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tables/table2.xml" ContentType="application/vnd.openxmlformats-officedocument.spreadsheetml.table+xml"/>
  <Override PartName="/xl/drawings/drawing12.xml" ContentType="application/vnd.openxmlformats-officedocument.drawing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tables/table4.xml" ContentType="application/vnd.openxmlformats-officedocument.spreadsheetml.tab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tables/table5.xml" ContentType="application/vnd.openxmlformats-officedocument.spreadsheetml.table+xml"/>
  <Override PartName="/xl/comments3.xml" ContentType="application/vnd.openxmlformats-officedocument.spreadsheetml.comments+xml"/>
  <Override PartName="/xl/drawings/drawing21.xml" ContentType="application/vnd.openxmlformats-officedocument.drawing+xml"/>
  <Override PartName="/xl/comments4.xml" ContentType="application/vnd.openxmlformats-officedocument.spreadsheetml.comment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15360" windowHeight="7650" firstSheet="59" activeTab="59"/>
  </bookViews>
  <sheets>
    <sheet name="PRECIOS BSD $" sheetId="138" r:id="rId1"/>
    <sheet name="LIMITES" sheetId="137" r:id="rId2"/>
    <sheet name="Hoja1" sheetId="140" r:id="rId3"/>
    <sheet name="IBERIA" sheetId="139" r:id="rId4"/>
    <sheet name="GIRALDA IMPORTADO" sheetId="136" r:id="rId5"/>
    <sheet name=" LA GIRALDA NACIONAL" sheetId="135" r:id="rId6"/>
    <sheet name="DIFRESCA ALIMENTO" sheetId="132" r:id="rId7"/>
    <sheet name="ALIMENTOS POLAR HACER PEDIDO" sheetId="121" r:id="rId8"/>
    <sheet name="CAUJARAL" sheetId="120" r:id="rId9"/>
    <sheet name="CACHILANDIA" sheetId="118" r:id="rId10"/>
    <sheet name="CONTROL DE COMBO DE PAN MESUAL " sheetId="101" r:id="rId11"/>
    <sheet name="CASABE INVERSIONES BENAR" sheetId="42" r:id="rId12"/>
    <sheet name="HELADOS EFE" sheetId="54" r:id="rId13"/>
    <sheet name="VERDUGO" sheetId="1" r:id="rId14"/>
    <sheet name="QUESO VICTORIA CHARCUTERIA" sheetId="98" r:id="rId15"/>
    <sheet name="QUESOLANDIA charcuteria" sheetId="2" r:id="rId16"/>
    <sheet name="CALICANTO CHACUTERIA" sheetId="71" r:id="rId17"/>
    <sheet name="DON RAMON" sheetId="124" r:id="rId18"/>
    <sheet name="RADISA CHARTUTERIA" sheetId="93" r:id="rId19"/>
    <sheet name="HERMO CHARCUTERIA" sheetId="66" r:id="rId20"/>
    <sheet name="TUNAL CHARCUTERIA LECHE" sheetId="65" r:id="rId21"/>
    <sheet name="DIVINA PASTORA CHARCUTERIA" sheetId="97" r:id="rId22"/>
    <sheet name="LACTIOS R.D.C.A charcuteria" sheetId="3" r:id="rId23"/>
    <sheet name="CERVEZA POLAR" sheetId="4" r:id="rId24"/>
    <sheet name="REGIONAL" sheetId="5" r:id="rId25"/>
    <sheet name="INPRODELCA" sheetId="129" r:id="rId26"/>
    <sheet name="AVION" sheetId="35" r:id="rId27"/>
    <sheet name="AGUA LOS ALPES" sheetId="83" r:id="rId28"/>
    <sheet name="LA LUCHA" sheetId="52" r:id="rId29"/>
    <sheet name="ARROZ SANTONI" sheetId="50" r:id="rId30"/>
    <sheet name="MONDELEZ" sheetId="80" r:id="rId31"/>
    <sheet name="REGAL" sheetId="117" r:id="rId32"/>
    <sheet name="HELADOS TIO RICO" sheetId="95" r:id="rId33"/>
    <sheet name="PANADERIA LA TEQUENSE" sheetId="110" r:id="rId34"/>
    <sheet name="MI PAN FAVORITO &amp; BERMUPAN" sheetId="109" r:id="rId35"/>
    <sheet name="FRUTAS IMPORTADAS" sheetId="82" r:id="rId36"/>
    <sheet name="CAPRI Y SINDONI" sheetId="81" r:id="rId37"/>
    <sheet name="ALLEEGRI" sheetId="119" r:id="rId38"/>
    <sheet name="ARROZ DON FINA" sheetId="123" r:id="rId39"/>
    <sheet name="ARROZ DOÑA ALISA" sheetId="49" r:id="rId40"/>
    <sheet name="MARY" sheetId="134" r:id="rId41"/>
    <sheet name=" RICHAR PEREIRA" sheetId="51" r:id="rId42"/>
    <sheet name="SALINERA" sheetId="47" r:id="rId43"/>
    <sheet name="VELANDIA" sheetId="53" r:id="rId44"/>
    <sheet name="PUIG" sheetId="116" r:id="rId45"/>
    <sheet name="CARBON LA ISLEÑA" sheetId="61" r:id="rId46"/>
    <sheet name="DAVIMAR" sheetId="6" r:id="rId47"/>
    <sheet name="COMERCIALIZADO GLOBAL ALIMENTOS" sheetId="7" r:id="rId48"/>
    <sheet name="VENTA CERVEZA MES DICIEMBRE2021" sheetId="108" r:id="rId49"/>
    <sheet name="VENA CERVEZA  MES DE NOVIEMBRE" sheetId="102" r:id="rId50"/>
    <sheet name="VENTA DE CERVEZA DE MES OCTUBRE" sheetId="88" r:id="rId51"/>
    <sheet name="VENTA DE CERVEZA DEL SEPTIEMBRE" sheetId="36" r:id="rId52"/>
    <sheet name="VENTA DE CERVEZA DEL MES AGOSTO" sheetId="8" r:id="rId53"/>
    <sheet name="VENTA DE CERVEZA DEL MES JULIO" sheetId="69" r:id="rId54"/>
    <sheet name="VENTA DE CERVEZA DEL JUNIO" sheetId="70" r:id="rId55"/>
    <sheet name="EUREKA DIRECTO" sheetId="33" r:id="rId56"/>
    <sheet name="DISMARKET EXPRESS.C.A" sheetId="10" r:id="rId57"/>
    <sheet name="COPOSA" sheetId="32" r:id="rId58"/>
    <sheet name="TAPA AMARILLA" sheetId="11" r:id="rId59"/>
    <sheet name="AMANECER  KALDY  VERO CAFE" sheetId="16" r:id="rId60"/>
    <sheet name="MASAS FACILES TEQUEÑO" sheetId="12" r:id="rId61"/>
    <sheet name="ALFONZO RIVAS" sheetId="13" r:id="rId62"/>
    <sheet name="PAPELERIA MARACAY" sheetId="14" r:id="rId63"/>
    <sheet name="TORONDOY CHARCUTERIA" sheetId="39" r:id="rId64"/>
    <sheet name="PACOMELA CHARCUTERIA" sheetId="100" r:id="rId65"/>
    <sheet name="LANZA CHARCUTERIA" sheetId="106" r:id="rId66"/>
    <sheet name="MOVILLA CHARCUTERIA" sheetId="104" r:id="rId67"/>
    <sheet name="MEISTER" sheetId="125" r:id="rId68"/>
    <sheet name="CHARCUTERIA TOVAR" sheetId="38" r:id="rId69"/>
    <sheet name="NUEVO QUESO CREMA" sheetId="126" r:id="rId70"/>
    <sheet name="CAHUVENCA " sheetId="127" r:id="rId71"/>
    <sheet name="CHARVENCA CHARCUTERIA" sheetId="94" r:id="rId72"/>
    <sheet name="FIAMFOR CHARCUTERIA" sheetId="103" r:id="rId73"/>
    <sheet name="CASTELO BRANCO CHARCUTERIA" sheetId="107" r:id="rId74"/>
    <sheet name="RICCI CHARCUTERIA" sheetId="92" r:id="rId75"/>
    <sheet name="PLUMROSE CHARCUTERIA" sheetId="90" r:id="rId76"/>
    <sheet name="DOÑAFLORA  SERVIPOR CHARCUTERI" sheetId="31" r:id="rId77"/>
    <sheet name="LA GRANJA CHARCUTERIA" sheetId="30" r:id="rId78"/>
    <sheet name="MONTSERARINA CHARCUTERIA" sheetId="64" r:id="rId79"/>
    <sheet name="FLOR DE ARAGUA CHARCUTERIA" sheetId="29" r:id="rId80"/>
    <sheet name="MONTALBAN Y ROMAC.A" sheetId="62" r:id="rId81"/>
    <sheet name="DAMASCU" sheetId="15" r:id="rId82"/>
    <sheet name="PRESUPUESTO " sheetId="17" r:id="rId83"/>
    <sheet name="CASA AZUL " sheetId="74" r:id="rId84"/>
    <sheet name="PROTINAL" sheetId="77" r:id="rId85"/>
    <sheet name="HEINZ VENEZUELA" sheetId="73" r:id="rId86"/>
    <sheet name="CORTE PROM PEPSI FIN SEMANA " sheetId="28" r:id="rId87"/>
    <sheet name="BOLSAS ECO  DEMPRESA" sheetId="72" r:id="rId88"/>
    <sheet name="CARGIL" sheetId="56" r:id="rId89"/>
    <sheet name="ALIMENTOS POLAR ESTUDIO PRECIO " sheetId="78" r:id="rId90"/>
    <sheet name="GLUP" sheetId="86" r:id="rId91"/>
    <sheet name="COCA COLA" sheetId="67" r:id="rId92"/>
    <sheet name="ESTUDIO" sheetId="133" r:id="rId93"/>
    <sheet name="PEPSI PARA PEDIDO" sheetId="96" r:id="rId94"/>
    <sheet name="PEPSI ESTUDIO" sheetId="55" r:id="rId95"/>
    <sheet name="COMBOS NAVIDEÑOS" sheetId="91" r:id="rId96"/>
    <sheet name="HISTORIA PROCT NAVIDAD 2020" sheetId="18" r:id="rId97"/>
    <sheet name="ROMA C.A" sheetId="46" r:id="rId98"/>
    <sheet name="DISBECA" sheetId="45" r:id="rId99"/>
    <sheet name="FACIMEN DE QUESO " sheetId="27" r:id="rId100"/>
    <sheet name="FACILICITADOR DE CIGARRILLO" sheetId="40" r:id="rId101"/>
    <sheet name="GIACOMELO CHARCUTERIA" sheetId="105" r:id="rId102"/>
    <sheet name="ALPINO CHARCUTERIA" sheetId="99" r:id="rId103"/>
    <sheet name="CHARCUTERIA FRANCIS" sheetId="58" r:id="rId104"/>
    <sheet name="FACIMEN POLLO " sheetId="25" r:id="rId105"/>
    <sheet name="GRUPO CAPITAL" sheetId="26" r:id="rId106"/>
    <sheet name="ROMHER CENTRAL" sheetId="84" r:id="rId107"/>
    <sheet name="SURTIMAG" sheetId="112" r:id="rId108"/>
    <sheet name="D'TODITO" sheetId="111" r:id="rId109"/>
    <sheet name="CORPORACION D-S.M PERFUMERIA" sheetId="19" r:id="rId110"/>
    <sheet name="PRODUCTOS MAS AMERIACA PRODUCTO" sheetId="63" r:id="rId111"/>
    <sheet name="UNO PUREZA PERFUMERIA" sheetId="59" r:id="rId112"/>
    <sheet name="DIMASSI PERFUMERIA" sheetId="41" r:id="rId113"/>
    <sheet name="DIPROCHER PERFUMERIAA" sheetId="76" r:id="rId114"/>
    <sheet name=" DURACENTRO PREFUMERIA" sheetId="57" r:id="rId115"/>
    <sheet name="TUTTO IMPOT PERFUMERIA" sheetId="44" r:id="rId116"/>
    <sheet name=" ROLDAL PERFUMERIA" sheetId="43" r:id="rId117"/>
    <sheet name="CAMACHO PERFUMERIA" sheetId="21" r:id="rId118"/>
    <sheet name="LA MARCONA" sheetId="23" r:id="rId119"/>
    <sheet name="NATULAC" sheetId="34" r:id="rId120"/>
    <sheet name="GENICA" sheetId="37" r:id="rId121"/>
    <sheet name="MONACA" sheetId="22" r:id="rId122"/>
    <sheet name="CARNICO" sheetId="122" r:id="rId123"/>
    <sheet name="COMARCA" sheetId="114" r:id="rId124"/>
  </sheets>
  <externalReferences>
    <externalReference r:id="rId125"/>
  </externalReferences>
  <definedNames>
    <definedName name="REFRESCO_PEPSI_2_LTS_PEPSI_COLA.">'PEPSI ESTUDIO'!#REF!</definedName>
  </definedNames>
  <calcPr calcId="162913"/>
</workbook>
</file>

<file path=xl/calcChain.xml><?xml version="1.0" encoding="utf-8"?>
<calcChain xmlns="http://schemas.openxmlformats.org/spreadsheetml/2006/main">
  <c r="I19" i="96" l="1"/>
  <c r="Q19" i="96"/>
  <c r="S19" i="96"/>
  <c r="E20" i="67" l="1"/>
  <c r="I1802" i="35" l="1"/>
  <c r="H1802" i="35"/>
  <c r="I1800" i="35"/>
  <c r="I1804" i="35" s="1"/>
  <c r="I1798" i="35"/>
  <c r="H1798" i="35"/>
  <c r="I1799" i="35"/>
  <c r="H1799" i="35"/>
  <c r="R9" i="123"/>
  <c r="R10" i="123"/>
  <c r="R11" i="123"/>
  <c r="R12" i="123"/>
  <c r="R8" i="123"/>
  <c r="Q9" i="123"/>
  <c r="Q10" i="123"/>
  <c r="Q11" i="123"/>
  <c r="Q12" i="123"/>
  <c r="Q8" i="123"/>
  <c r="O12" i="123"/>
  <c r="O11" i="123"/>
  <c r="O10" i="123"/>
  <c r="O9" i="123"/>
  <c r="O8" i="123"/>
  <c r="G78" i="4"/>
  <c r="I78" i="4"/>
  <c r="K642" i="17" l="1"/>
  <c r="K643" i="17"/>
  <c r="K644" i="17"/>
  <c r="K645" i="17"/>
  <c r="K646" i="17"/>
  <c r="K647" i="17"/>
  <c r="K648" i="17"/>
  <c r="K649" i="17"/>
  <c r="K641" i="17"/>
  <c r="I642" i="17"/>
  <c r="I643" i="17"/>
  <c r="I644" i="17"/>
  <c r="I645" i="17"/>
  <c r="I646" i="17"/>
  <c r="I647" i="17"/>
  <c r="I648" i="17"/>
  <c r="I649" i="17"/>
  <c r="I641" i="17"/>
  <c r="M642" i="17"/>
  <c r="M643" i="17"/>
  <c r="M644" i="17"/>
  <c r="M645" i="17"/>
  <c r="M646" i="17"/>
  <c r="M647" i="17"/>
  <c r="M648" i="17"/>
  <c r="M649" i="17"/>
  <c r="M641" i="17"/>
  <c r="N647" i="17"/>
  <c r="K650" i="17" l="1"/>
  <c r="J4" i="98"/>
  <c r="O30" i="138"/>
  <c r="P30" i="138" s="1"/>
  <c r="P29" i="138"/>
  <c r="Q29" i="138" s="1"/>
  <c r="E5" i="138"/>
  <c r="E6" i="138"/>
  <c r="E7" i="138"/>
  <c r="E8" i="138"/>
  <c r="E9" i="138"/>
  <c r="E10" i="138"/>
  <c r="E11" i="138"/>
  <c r="E12" i="138"/>
  <c r="E13" i="138"/>
  <c r="E14" i="138"/>
  <c r="E15" i="138"/>
  <c r="E16" i="138"/>
  <c r="E17" i="138"/>
  <c r="E18" i="138"/>
  <c r="E19" i="138"/>
  <c r="E20" i="138"/>
  <c r="E21" i="138"/>
  <c r="E22" i="138"/>
  <c r="E23" i="138"/>
  <c r="E24" i="138"/>
  <c r="E25" i="138"/>
  <c r="E26" i="138"/>
  <c r="E27" i="138"/>
  <c r="E28" i="138"/>
  <c r="E29" i="138"/>
  <c r="E30" i="138"/>
  <c r="E31" i="138"/>
  <c r="E32" i="138"/>
  <c r="E33" i="138"/>
  <c r="E34" i="138"/>
  <c r="E35" i="138"/>
  <c r="E36" i="138"/>
  <c r="E37" i="138"/>
  <c r="E38" i="138"/>
  <c r="E39" i="138"/>
  <c r="E40" i="138"/>
  <c r="E41" i="138"/>
  <c r="E42" i="138"/>
  <c r="E43" i="138"/>
  <c r="E44" i="138"/>
  <c r="E45" i="138"/>
  <c r="E46" i="138"/>
  <c r="E47" i="138"/>
  <c r="E48" i="138"/>
  <c r="E49" i="138"/>
  <c r="E50" i="138"/>
  <c r="E51" i="138"/>
  <c r="E52" i="138"/>
  <c r="E53" i="138"/>
  <c r="E54" i="138"/>
  <c r="E55" i="138"/>
  <c r="E56" i="138"/>
  <c r="E57" i="138"/>
  <c r="E58" i="138"/>
  <c r="E59" i="138"/>
  <c r="E60" i="138"/>
  <c r="E61" i="138"/>
  <c r="E62" i="138"/>
  <c r="E63" i="138"/>
  <c r="E64" i="138"/>
  <c r="E65" i="138"/>
  <c r="E66" i="138"/>
  <c r="E67" i="138"/>
  <c r="E68" i="138"/>
  <c r="E69" i="138"/>
  <c r="E70" i="138"/>
  <c r="E71" i="138"/>
  <c r="E72" i="138"/>
  <c r="E73" i="138"/>
  <c r="E74" i="138"/>
  <c r="E75" i="138"/>
  <c r="E76" i="138"/>
  <c r="E77" i="138"/>
  <c r="E78" i="138"/>
  <c r="E79" i="138"/>
  <c r="E80" i="138"/>
  <c r="E81" i="138"/>
  <c r="E82" i="138"/>
  <c r="E83" i="138"/>
  <c r="E84" i="138"/>
  <c r="E85" i="138"/>
  <c r="E86" i="138"/>
  <c r="E87" i="138"/>
  <c r="E88" i="138"/>
  <c r="E89" i="138"/>
  <c r="E90" i="138"/>
  <c r="E91" i="138"/>
  <c r="E92" i="138"/>
  <c r="E93" i="138"/>
  <c r="E94" i="138"/>
  <c r="E95" i="138"/>
  <c r="E96" i="138"/>
  <c r="E97" i="138"/>
  <c r="E98" i="138"/>
  <c r="E99" i="138"/>
  <c r="E100" i="138"/>
  <c r="E101" i="138"/>
  <c r="E102" i="138"/>
  <c r="E103" i="138"/>
  <c r="E104" i="138"/>
  <c r="E105" i="138"/>
  <c r="E106" i="138"/>
  <c r="E107" i="138"/>
  <c r="E108" i="138"/>
  <c r="E109" i="138"/>
  <c r="E110" i="138"/>
  <c r="E111" i="138"/>
  <c r="E4" i="138"/>
  <c r="U4" i="25"/>
  <c r="R29" i="138" l="1"/>
  <c r="Q30" i="138"/>
  <c r="R30" i="138" s="1"/>
  <c r="I1762" i="35"/>
  <c r="I1763" i="35"/>
  <c r="I1764" i="35"/>
  <c r="I1765" i="35"/>
  <c r="I1766" i="35"/>
  <c r="I1767" i="35"/>
  <c r="I1768" i="35"/>
  <c r="I1769" i="35"/>
  <c r="I1770" i="35"/>
  <c r="I1771" i="35"/>
  <c r="I1772" i="35"/>
  <c r="I1773" i="35"/>
  <c r="I1774" i="35"/>
  <c r="I1775" i="35"/>
  <c r="I1776" i="35"/>
  <c r="I1777" i="35"/>
  <c r="I1778" i="35"/>
  <c r="I1779" i="35"/>
  <c r="I1780" i="35"/>
  <c r="I1781" i="35"/>
  <c r="I1782" i="35"/>
  <c r="I1783" i="35"/>
  <c r="I1784" i="35"/>
  <c r="I1785" i="35"/>
  <c r="I1786" i="35"/>
  <c r="I1787" i="35"/>
  <c r="I1788" i="35"/>
  <c r="H1768" i="35"/>
  <c r="I627" i="17"/>
  <c r="I629" i="17"/>
  <c r="I631" i="17"/>
  <c r="I632" i="17"/>
  <c r="H626" i="17"/>
  <c r="I626" i="17" s="1"/>
  <c r="H627" i="17"/>
  <c r="H628" i="17"/>
  <c r="I628" i="17" s="1"/>
  <c r="H629" i="17"/>
  <c r="H630" i="17"/>
  <c r="I630" i="17" s="1"/>
  <c r="H631" i="17"/>
  <c r="H633" i="17"/>
  <c r="I633" i="17" s="1"/>
  <c r="H131" i="17"/>
  <c r="H272" i="17"/>
  <c r="H275" i="17"/>
  <c r="H523" i="17"/>
  <c r="H524" i="17"/>
  <c r="H525" i="17"/>
  <c r="H526" i="17"/>
  <c r="H527" i="17"/>
  <c r="H528" i="17"/>
  <c r="H529" i="17"/>
  <c r="H530" i="17"/>
  <c r="H531" i="17"/>
  <c r="H532" i="17"/>
  <c r="H541" i="17"/>
  <c r="H542" i="17"/>
  <c r="H543" i="17"/>
  <c r="H544" i="17"/>
  <c r="H545" i="17"/>
  <c r="H546" i="17" l="1"/>
  <c r="G29" i="5"/>
  <c r="U49" i="4"/>
  <c r="T52" i="4"/>
  <c r="T50" i="4"/>
  <c r="I18" i="4"/>
  <c r="I19" i="4"/>
  <c r="I20" i="4"/>
  <c r="I21" i="4"/>
  <c r="G18" i="4"/>
  <c r="G19" i="4"/>
  <c r="G20" i="4"/>
  <c r="G21" i="4"/>
  <c r="G74" i="4" l="1"/>
  <c r="G75" i="4"/>
  <c r="G76" i="4"/>
  <c r="G77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S5" i="82"/>
  <c r="K37" i="110"/>
  <c r="O37" i="110" s="1"/>
  <c r="K34" i="110"/>
  <c r="K27" i="110"/>
  <c r="K28" i="110"/>
  <c r="K29" i="110"/>
  <c r="K30" i="110"/>
  <c r="K41" i="110"/>
  <c r="K40" i="110"/>
  <c r="K42" i="110" s="1"/>
  <c r="O42" i="110" s="1"/>
  <c r="K39" i="110"/>
  <c r="G555" i="17" l="1"/>
  <c r="G556" i="17"/>
  <c r="G557" i="17"/>
  <c r="G558" i="17"/>
  <c r="G559" i="17"/>
  <c r="G560" i="17"/>
  <c r="G561" i="17"/>
  <c r="G562" i="17"/>
  <c r="G563" i="17"/>
  <c r="G564" i="17"/>
  <c r="G565" i="17"/>
  <c r="G566" i="17"/>
  <c r="G567" i="17"/>
  <c r="G568" i="17"/>
  <c r="S67" i="82" l="1"/>
  <c r="S68" i="82" s="1"/>
  <c r="M5" i="25"/>
  <c r="M6" i="25"/>
  <c r="M7" i="25"/>
  <c r="M8" i="25"/>
  <c r="M9" i="25"/>
  <c r="M10" i="25"/>
  <c r="M11" i="25"/>
  <c r="M12" i="25"/>
  <c r="M13" i="25"/>
  <c r="M4" i="25"/>
  <c r="N4" i="25" s="1"/>
  <c r="O45" i="65"/>
  <c r="O44" i="65"/>
  <c r="M44" i="65"/>
  <c r="AF11" i="134"/>
  <c r="AG11" i="134" s="1"/>
  <c r="AF12" i="134"/>
  <c r="AG12" i="134" s="1"/>
  <c r="AF7" i="134"/>
  <c r="AG7" i="134" s="1"/>
  <c r="AF8" i="134"/>
  <c r="AG8" i="134" s="1"/>
  <c r="AF9" i="134"/>
  <c r="AG9" i="134" s="1"/>
  <c r="AF10" i="134"/>
  <c r="AG10" i="134" s="1"/>
  <c r="AF6" i="134"/>
  <c r="AG6" i="134" s="1"/>
  <c r="I6" i="119"/>
  <c r="I7" i="119"/>
  <c r="I8" i="119"/>
  <c r="I9" i="119"/>
  <c r="I10" i="119"/>
  <c r="I11" i="119"/>
  <c r="I12" i="119"/>
  <c r="I13" i="119"/>
  <c r="I14" i="119"/>
  <c r="I15" i="119"/>
  <c r="I16" i="119"/>
  <c r="I17" i="119"/>
  <c r="I18" i="119"/>
  <c r="I5" i="119"/>
  <c r="C18" i="119"/>
  <c r="C17" i="119"/>
  <c r="C16" i="119"/>
  <c r="C15" i="119"/>
  <c r="C14" i="119"/>
  <c r="C13" i="119"/>
  <c r="C12" i="119"/>
  <c r="C11" i="119"/>
  <c r="C10" i="119"/>
  <c r="C9" i="119"/>
  <c r="K36" i="110" l="1"/>
  <c r="R609" i="17" l="1"/>
  <c r="R610" i="17"/>
  <c r="R611" i="17"/>
  <c r="Q617" i="17"/>
  <c r="R617" i="17" s="1"/>
  <c r="Q616" i="17"/>
  <c r="R616" i="17" s="1"/>
  <c r="Q615" i="17"/>
  <c r="R615" i="17" s="1"/>
  <c r="Q614" i="17"/>
  <c r="R614" i="17" s="1"/>
  <c r="Q613" i="17"/>
  <c r="R613" i="17" s="1"/>
  <c r="Q612" i="17"/>
  <c r="R612" i="17" s="1"/>
  <c r="Q608" i="17"/>
  <c r="R608" i="17" s="1"/>
  <c r="Q607" i="17"/>
  <c r="R607" i="17" s="1"/>
  <c r="Q606" i="17"/>
  <c r="R606" i="17" s="1"/>
  <c r="R618" i="17" l="1"/>
  <c r="R619" i="17" s="1"/>
  <c r="I36" i="114"/>
  <c r="G36" i="114"/>
  <c r="B36" i="114"/>
  <c r="I35" i="114"/>
  <c r="G35" i="114"/>
  <c r="B35" i="114"/>
  <c r="I34" i="114"/>
  <c r="G34" i="114"/>
  <c r="I33" i="114"/>
  <c r="G33" i="114"/>
  <c r="I19" i="114"/>
  <c r="G19" i="114"/>
  <c r="I18" i="114"/>
  <c r="G18" i="114"/>
  <c r="F19" i="22"/>
  <c r="K17" i="22"/>
  <c r="I17" i="22"/>
  <c r="F17" i="22"/>
  <c r="U16" i="22"/>
  <c r="S16" i="22"/>
  <c r="P16" i="22"/>
  <c r="N16" i="22"/>
  <c r="K16" i="22"/>
  <c r="I16" i="22"/>
  <c r="F16" i="22"/>
  <c r="U15" i="22"/>
  <c r="S15" i="22"/>
  <c r="P15" i="22"/>
  <c r="N15" i="22"/>
  <c r="K15" i="22"/>
  <c r="I15" i="22"/>
  <c r="F15" i="22"/>
  <c r="U14" i="22"/>
  <c r="S14" i="22"/>
  <c r="P14" i="22"/>
  <c r="N14" i="22"/>
  <c r="K14" i="22"/>
  <c r="I14" i="22"/>
  <c r="F14" i="22"/>
  <c r="U13" i="22"/>
  <c r="S13" i="22"/>
  <c r="P13" i="22"/>
  <c r="N13" i="22"/>
  <c r="K13" i="22"/>
  <c r="I13" i="22"/>
  <c r="F13" i="22"/>
  <c r="U12" i="22"/>
  <c r="S12" i="22"/>
  <c r="P12" i="22"/>
  <c r="N12" i="22"/>
  <c r="K12" i="22"/>
  <c r="I12" i="22"/>
  <c r="F12" i="22"/>
  <c r="U11" i="22"/>
  <c r="S11" i="22"/>
  <c r="P11" i="22"/>
  <c r="N11" i="22"/>
  <c r="K11" i="22"/>
  <c r="I11" i="22"/>
  <c r="F11" i="22"/>
  <c r="U10" i="22"/>
  <c r="S10" i="22"/>
  <c r="P10" i="22"/>
  <c r="N10" i="22"/>
  <c r="K10" i="22"/>
  <c r="I10" i="22"/>
  <c r="F10" i="22"/>
  <c r="U9" i="22"/>
  <c r="S9" i="22"/>
  <c r="P9" i="22"/>
  <c r="N9" i="22"/>
  <c r="K9" i="22"/>
  <c r="I9" i="22"/>
  <c r="F9" i="22"/>
  <c r="U8" i="22"/>
  <c r="S8" i="22"/>
  <c r="P8" i="22"/>
  <c r="N8" i="22"/>
  <c r="K8" i="22"/>
  <c r="I8" i="22"/>
  <c r="F8" i="22"/>
  <c r="U7" i="22"/>
  <c r="S7" i="22"/>
  <c r="P7" i="22"/>
  <c r="N7" i="22"/>
  <c r="K7" i="22"/>
  <c r="I7" i="22"/>
  <c r="F7" i="22"/>
  <c r="U6" i="22"/>
  <c r="S6" i="22"/>
  <c r="P6" i="22"/>
  <c r="N6" i="22"/>
  <c r="K6" i="22"/>
  <c r="I6" i="22"/>
  <c r="F6" i="22"/>
  <c r="J64" i="34"/>
  <c r="I64" i="34"/>
  <c r="J63" i="34"/>
  <c r="I63" i="34"/>
  <c r="J62" i="34"/>
  <c r="I62" i="34"/>
  <c r="J61" i="34"/>
  <c r="I61" i="34"/>
  <c r="J60" i="34"/>
  <c r="I60" i="34"/>
  <c r="J59" i="34"/>
  <c r="I59" i="34"/>
  <c r="J58" i="34"/>
  <c r="I58" i="34"/>
  <c r="J57" i="34"/>
  <c r="I57" i="34"/>
  <c r="J56" i="34"/>
  <c r="I56" i="34"/>
  <c r="J55" i="34"/>
  <c r="I55" i="34"/>
  <c r="J54" i="34"/>
  <c r="I54" i="34"/>
  <c r="J53" i="34"/>
  <c r="I53" i="34"/>
  <c r="J52" i="34"/>
  <c r="I52" i="34"/>
  <c r="J51" i="34"/>
  <c r="I51" i="34"/>
  <c r="J50" i="34"/>
  <c r="I50" i="34"/>
  <c r="J49" i="34"/>
  <c r="I49" i="34"/>
  <c r="J48" i="34"/>
  <c r="I48" i="34"/>
  <c r="J47" i="34"/>
  <c r="I47" i="34"/>
  <c r="J46" i="34"/>
  <c r="I46" i="34"/>
  <c r="J45" i="34"/>
  <c r="I45" i="34"/>
  <c r="J44" i="34"/>
  <c r="I44" i="34"/>
  <c r="J43" i="34"/>
  <c r="I43" i="34"/>
  <c r="J42" i="34"/>
  <c r="I42" i="34"/>
  <c r="J41" i="34"/>
  <c r="I41" i="34"/>
  <c r="J40" i="34"/>
  <c r="I40" i="34"/>
  <c r="J39" i="34"/>
  <c r="I39" i="34"/>
  <c r="J38" i="34"/>
  <c r="I38" i="34"/>
  <c r="J37" i="34"/>
  <c r="I37" i="34"/>
  <c r="J36" i="34"/>
  <c r="I36" i="34"/>
  <c r="J35" i="34"/>
  <c r="I35" i="34"/>
  <c r="J34" i="34"/>
  <c r="I34" i="34"/>
  <c r="J33" i="34"/>
  <c r="I33" i="34"/>
  <c r="J32" i="34"/>
  <c r="I32" i="34"/>
  <c r="J31" i="34"/>
  <c r="I31" i="34"/>
  <c r="J30" i="34"/>
  <c r="I30" i="34"/>
  <c r="J29" i="34"/>
  <c r="I29" i="34"/>
  <c r="J28" i="34"/>
  <c r="I28" i="34"/>
  <c r="J27" i="34"/>
  <c r="I27" i="34"/>
  <c r="J26" i="34"/>
  <c r="I26" i="34"/>
  <c r="J25" i="34"/>
  <c r="I25" i="34"/>
  <c r="J24" i="34"/>
  <c r="I24" i="34"/>
  <c r="J23" i="34"/>
  <c r="I23" i="34"/>
  <c r="J22" i="34"/>
  <c r="I22" i="34"/>
  <c r="J21" i="34"/>
  <c r="I21" i="34"/>
  <c r="J20" i="34"/>
  <c r="I20" i="34"/>
  <c r="J19" i="34"/>
  <c r="I19" i="34"/>
  <c r="J18" i="34"/>
  <c r="I18" i="34"/>
  <c r="J17" i="34"/>
  <c r="I17" i="34"/>
  <c r="J16" i="34"/>
  <c r="I16" i="34"/>
  <c r="J15" i="34"/>
  <c r="I15" i="34"/>
  <c r="J14" i="34"/>
  <c r="I14" i="34"/>
  <c r="J13" i="34"/>
  <c r="I13" i="34"/>
  <c r="J12" i="34"/>
  <c r="I12" i="34"/>
  <c r="J11" i="34"/>
  <c r="I11" i="34"/>
  <c r="J10" i="34"/>
  <c r="I10" i="34"/>
  <c r="J9" i="34"/>
  <c r="I9" i="34"/>
  <c r="E9" i="23"/>
  <c r="E8" i="23"/>
  <c r="E7" i="23"/>
  <c r="E6" i="23"/>
  <c r="G34" i="25"/>
  <c r="G32" i="25"/>
  <c r="G28" i="25"/>
  <c r="G23" i="25"/>
  <c r="G22" i="25"/>
  <c r="G21" i="25"/>
  <c r="G20" i="25"/>
  <c r="G19" i="25"/>
  <c r="G12" i="58"/>
  <c r="D12" i="58"/>
  <c r="G11" i="58"/>
  <c r="D11" i="58"/>
  <c r="G10" i="58"/>
  <c r="D10" i="58"/>
  <c r="G9" i="58"/>
  <c r="D9" i="58"/>
  <c r="G8" i="58"/>
  <c r="D8" i="58"/>
  <c r="G7" i="58"/>
  <c r="D7" i="58"/>
  <c r="G6" i="58"/>
  <c r="D6" i="58"/>
  <c r="G5" i="58"/>
  <c r="D5" i="58"/>
  <c r="G4" i="58"/>
  <c r="D4" i="58"/>
  <c r="G3" i="58"/>
  <c r="D3" i="58"/>
  <c r="D2" i="58"/>
  <c r="I14" i="99"/>
  <c r="H14" i="99"/>
  <c r="C14" i="99"/>
  <c r="I13" i="99"/>
  <c r="H13" i="99"/>
  <c r="C13" i="99"/>
  <c r="I12" i="99"/>
  <c r="H12" i="99"/>
  <c r="C12" i="99"/>
  <c r="I11" i="99"/>
  <c r="H11" i="99"/>
  <c r="C11" i="99"/>
  <c r="I10" i="99"/>
  <c r="H10" i="99"/>
  <c r="C10" i="99"/>
  <c r="I9" i="99"/>
  <c r="H9" i="99"/>
  <c r="C9" i="99"/>
  <c r="I8" i="99"/>
  <c r="H8" i="99"/>
  <c r="C8" i="99"/>
  <c r="I7" i="99"/>
  <c r="H7" i="99"/>
  <c r="C7" i="99"/>
  <c r="I6" i="99"/>
  <c r="H6" i="99"/>
  <c r="C6" i="99"/>
  <c r="I5" i="99"/>
  <c r="H5" i="99"/>
  <c r="C5" i="99"/>
  <c r="I4" i="99"/>
  <c r="H4" i="99"/>
  <c r="C4" i="99"/>
  <c r="C3" i="99"/>
  <c r="G79" i="40"/>
  <c r="F79" i="40"/>
  <c r="D79" i="40"/>
  <c r="G78" i="40"/>
  <c r="F78" i="40"/>
  <c r="D78" i="40"/>
  <c r="G77" i="40"/>
  <c r="F77" i="40"/>
  <c r="E77" i="40"/>
  <c r="D77" i="40"/>
  <c r="C77" i="40"/>
  <c r="G76" i="40"/>
  <c r="F76" i="40"/>
  <c r="E76" i="40"/>
  <c r="D76" i="40"/>
  <c r="C76" i="40"/>
  <c r="G75" i="40"/>
  <c r="F75" i="40"/>
  <c r="E75" i="40"/>
  <c r="D75" i="40"/>
  <c r="G74" i="40"/>
  <c r="F74" i="40"/>
  <c r="D74" i="40"/>
  <c r="G73" i="40"/>
  <c r="F73" i="40"/>
  <c r="D73" i="40"/>
  <c r="G72" i="40"/>
  <c r="F72" i="40"/>
  <c r="E72" i="40"/>
  <c r="D72" i="40"/>
  <c r="G71" i="40"/>
  <c r="F71" i="40"/>
  <c r="E71" i="40"/>
  <c r="D71" i="40"/>
  <c r="G70" i="40"/>
  <c r="F70" i="40"/>
  <c r="D70" i="40"/>
  <c r="G69" i="40"/>
  <c r="F69" i="40"/>
  <c r="D69" i="40"/>
  <c r="D45" i="40"/>
  <c r="B45" i="40"/>
  <c r="D44" i="40"/>
  <c r="B44" i="40"/>
  <c r="D43" i="40"/>
  <c r="B43" i="40"/>
  <c r="D42" i="40"/>
  <c r="D41" i="40"/>
  <c r="B41" i="40"/>
  <c r="D40" i="40"/>
  <c r="D39" i="40"/>
  <c r="D38" i="40"/>
  <c r="D37" i="40"/>
  <c r="D36" i="40"/>
  <c r="D35" i="40"/>
  <c r="D34" i="40"/>
  <c r="D33" i="40"/>
  <c r="D32" i="40"/>
  <c r="D31" i="40"/>
  <c r="D30" i="40"/>
  <c r="D29" i="40"/>
  <c r="H21" i="40"/>
  <c r="G21" i="40"/>
  <c r="F21" i="40"/>
  <c r="E21" i="40"/>
  <c r="H20" i="40"/>
  <c r="G20" i="40"/>
  <c r="F20" i="40"/>
  <c r="E20" i="40"/>
  <c r="H19" i="40"/>
  <c r="G19" i="40"/>
  <c r="F19" i="40"/>
  <c r="E19" i="40"/>
  <c r="H18" i="40"/>
  <c r="G18" i="40"/>
  <c r="F18" i="40"/>
  <c r="E18" i="40"/>
  <c r="H17" i="40"/>
  <c r="G17" i="40"/>
  <c r="F17" i="40"/>
  <c r="E17" i="40"/>
  <c r="H16" i="40"/>
  <c r="G16" i="40"/>
  <c r="F16" i="40"/>
  <c r="E16" i="40"/>
  <c r="H15" i="40"/>
  <c r="G15" i="40"/>
  <c r="F15" i="40"/>
  <c r="E15" i="40"/>
  <c r="H14" i="40"/>
  <c r="G14" i="40"/>
  <c r="F14" i="40"/>
  <c r="E14" i="40"/>
  <c r="H13" i="40"/>
  <c r="G13" i="40"/>
  <c r="F13" i="40"/>
  <c r="E13" i="40"/>
  <c r="H12" i="40"/>
  <c r="G12" i="40"/>
  <c r="F12" i="40"/>
  <c r="E12" i="40"/>
  <c r="H11" i="40"/>
  <c r="G11" i="40"/>
  <c r="F11" i="40"/>
  <c r="E11" i="40"/>
  <c r="H10" i="40"/>
  <c r="G10" i="40"/>
  <c r="F10" i="40"/>
  <c r="E10" i="40"/>
  <c r="H9" i="40"/>
  <c r="G9" i="40"/>
  <c r="F9" i="40"/>
  <c r="E9" i="40"/>
  <c r="H8" i="40"/>
  <c r="G8" i="40"/>
  <c r="F8" i="40"/>
  <c r="E8" i="40"/>
  <c r="H7" i="40"/>
  <c r="G7" i="40"/>
  <c r="F7" i="40"/>
  <c r="E7" i="40"/>
  <c r="H6" i="40"/>
  <c r="G6" i="40"/>
  <c r="F6" i="40"/>
  <c r="E6" i="40"/>
  <c r="H5" i="40"/>
  <c r="G5" i="40"/>
  <c r="F5" i="40"/>
  <c r="E5" i="40"/>
  <c r="X41" i="18"/>
  <c r="X40" i="18"/>
  <c r="W40" i="18"/>
  <c r="V40" i="18"/>
  <c r="X38" i="18"/>
  <c r="J30" i="18"/>
  <c r="X17" i="18"/>
  <c r="X16" i="18"/>
  <c r="W16" i="18"/>
  <c r="V16" i="18"/>
  <c r="O15" i="18"/>
  <c r="X14" i="18"/>
  <c r="V14" i="18"/>
  <c r="O14" i="18"/>
  <c r="O13" i="18"/>
  <c r="O12" i="18"/>
  <c r="O11" i="18"/>
  <c r="O10" i="18"/>
  <c r="P58" i="91"/>
  <c r="P54" i="91"/>
  <c r="F53" i="91"/>
  <c r="F52" i="91"/>
  <c r="F51" i="91"/>
  <c r="F50" i="91"/>
  <c r="F47" i="91"/>
  <c r="F46" i="91"/>
  <c r="F45" i="91"/>
  <c r="F44" i="91"/>
  <c r="F43" i="91"/>
  <c r="J37" i="91"/>
  <c r="H37" i="91"/>
  <c r="H36" i="91"/>
  <c r="K35" i="91"/>
  <c r="J35" i="91"/>
  <c r="H35" i="91"/>
  <c r="J34" i="91"/>
  <c r="H34" i="91"/>
  <c r="F34" i="91"/>
  <c r="E34" i="91"/>
  <c r="D34" i="91"/>
  <c r="J33" i="91"/>
  <c r="H33" i="91"/>
  <c r="E33" i="91"/>
  <c r="J32" i="91"/>
  <c r="H32" i="91"/>
  <c r="F32" i="91"/>
  <c r="E32" i="91"/>
  <c r="D32" i="91"/>
  <c r="J31" i="91"/>
  <c r="H31" i="91"/>
  <c r="E31" i="91"/>
  <c r="J30" i="91"/>
  <c r="H30" i="91"/>
  <c r="E30" i="91"/>
  <c r="J29" i="91"/>
  <c r="H29" i="91"/>
  <c r="E29" i="91"/>
  <c r="J28" i="91"/>
  <c r="H28" i="91"/>
  <c r="F28" i="91"/>
  <c r="E28" i="91"/>
  <c r="D28" i="91"/>
  <c r="J27" i="91"/>
  <c r="H27" i="91"/>
  <c r="F27" i="91"/>
  <c r="E27" i="91"/>
  <c r="D27" i="91"/>
  <c r="J26" i="91"/>
  <c r="H26" i="91"/>
  <c r="F26" i="91"/>
  <c r="E26" i="91"/>
  <c r="D26" i="91"/>
  <c r="J25" i="91"/>
  <c r="H25" i="91"/>
  <c r="E25" i="91"/>
  <c r="J24" i="91"/>
  <c r="H24" i="91"/>
  <c r="F24" i="91"/>
  <c r="E24" i="91"/>
  <c r="D24" i="91"/>
  <c r="J23" i="91"/>
  <c r="H23" i="91"/>
  <c r="F23" i="91"/>
  <c r="E23" i="91"/>
  <c r="D23" i="91"/>
  <c r="J22" i="91"/>
  <c r="H22" i="91"/>
  <c r="F22" i="91"/>
  <c r="E22" i="91"/>
  <c r="D22" i="91"/>
  <c r="J21" i="91"/>
  <c r="H21" i="91"/>
  <c r="F21" i="91"/>
  <c r="E21" i="91"/>
  <c r="D21" i="91"/>
  <c r="J17" i="91"/>
  <c r="H17" i="91"/>
  <c r="H16" i="91"/>
  <c r="K15" i="91"/>
  <c r="J15" i="91"/>
  <c r="H15" i="91"/>
  <c r="D15" i="91"/>
  <c r="J14" i="91"/>
  <c r="H14" i="91"/>
  <c r="E14" i="91"/>
  <c r="J13" i="91"/>
  <c r="H13" i="91"/>
  <c r="E13" i="91"/>
  <c r="J12" i="91"/>
  <c r="H12" i="91"/>
  <c r="E12" i="91"/>
  <c r="J11" i="91"/>
  <c r="H11" i="91"/>
  <c r="E11" i="91"/>
  <c r="J10" i="91"/>
  <c r="H10" i="91"/>
  <c r="E10" i="91"/>
  <c r="J9" i="91"/>
  <c r="H9" i="91"/>
  <c r="E9" i="91"/>
  <c r="J8" i="91"/>
  <c r="H8" i="91"/>
  <c r="E8" i="91"/>
  <c r="J7" i="91"/>
  <c r="H7" i="91"/>
  <c r="E7" i="91"/>
  <c r="J6" i="91"/>
  <c r="H6" i="91"/>
  <c r="E6" i="91"/>
  <c r="J5" i="91"/>
  <c r="H5" i="91"/>
  <c r="E5" i="91"/>
  <c r="J4" i="91"/>
  <c r="H4" i="91"/>
  <c r="E4" i="91"/>
  <c r="H12" i="55"/>
  <c r="G12" i="55"/>
  <c r="F12" i="55"/>
  <c r="E12" i="55"/>
  <c r="D4" i="55"/>
  <c r="F100" i="96"/>
  <c r="F102" i="96" s="1"/>
  <c r="S92" i="96"/>
  <c r="Q92" i="96"/>
  <c r="I92" i="96"/>
  <c r="S91" i="96"/>
  <c r="Q91" i="96"/>
  <c r="I91" i="96"/>
  <c r="S90" i="96"/>
  <c r="Q90" i="96"/>
  <c r="I90" i="96"/>
  <c r="S89" i="96"/>
  <c r="Q89" i="96"/>
  <c r="I89" i="96"/>
  <c r="S88" i="96"/>
  <c r="Q88" i="96"/>
  <c r="I88" i="96"/>
  <c r="S87" i="96"/>
  <c r="Q87" i="96"/>
  <c r="G87" i="96"/>
  <c r="S86" i="96"/>
  <c r="Q86" i="96"/>
  <c r="G86" i="96"/>
  <c r="S84" i="96"/>
  <c r="Q84" i="96"/>
  <c r="I84" i="96"/>
  <c r="S83" i="96"/>
  <c r="Q83" i="96"/>
  <c r="I83" i="96"/>
  <c r="S82" i="96"/>
  <c r="Q82" i="96"/>
  <c r="I82" i="96"/>
  <c r="S81" i="96"/>
  <c r="Q81" i="96"/>
  <c r="S80" i="96"/>
  <c r="Q80" i="96"/>
  <c r="S79" i="96"/>
  <c r="Q79" i="96"/>
  <c r="S78" i="96"/>
  <c r="Q78" i="96"/>
  <c r="S77" i="96"/>
  <c r="Q77" i="96"/>
  <c r="S76" i="96"/>
  <c r="Q76" i="96"/>
  <c r="S74" i="96"/>
  <c r="Q74" i="96"/>
  <c r="S73" i="96"/>
  <c r="Q73" i="96"/>
  <c r="S72" i="96"/>
  <c r="Q72" i="96"/>
  <c r="I72" i="96"/>
  <c r="S71" i="96"/>
  <c r="Q71" i="96"/>
  <c r="I71" i="96"/>
  <c r="S70" i="96"/>
  <c r="Q70" i="96"/>
  <c r="I70" i="96"/>
  <c r="S69" i="96"/>
  <c r="Q69" i="96"/>
  <c r="I69" i="96"/>
  <c r="S68" i="96"/>
  <c r="Q68" i="96"/>
  <c r="I68" i="96"/>
  <c r="S67" i="96"/>
  <c r="Q67" i="96"/>
  <c r="I67" i="96"/>
  <c r="S66" i="96"/>
  <c r="Q66" i="96"/>
  <c r="I66" i="96"/>
  <c r="S65" i="96"/>
  <c r="Q65" i="96"/>
  <c r="S64" i="96"/>
  <c r="Q64" i="96"/>
  <c r="S63" i="96"/>
  <c r="Q63" i="96"/>
  <c r="S62" i="96"/>
  <c r="Q62" i="96"/>
  <c r="S61" i="96"/>
  <c r="Q61" i="96"/>
  <c r="S60" i="96"/>
  <c r="Q60" i="96"/>
  <c r="I60" i="96"/>
  <c r="S59" i="96"/>
  <c r="Q59" i="96"/>
  <c r="I59" i="96"/>
  <c r="S58" i="96"/>
  <c r="Q58" i="96"/>
  <c r="I58" i="96"/>
  <c r="S57" i="96"/>
  <c r="Q57" i="96"/>
  <c r="I57" i="96"/>
  <c r="S56" i="96"/>
  <c r="Q56" i="96"/>
  <c r="I56" i="96"/>
  <c r="S55" i="96"/>
  <c r="Q55" i="96"/>
  <c r="I55" i="96"/>
  <c r="S54" i="96"/>
  <c r="Q54" i="96"/>
  <c r="I54" i="96"/>
  <c r="S53" i="96"/>
  <c r="Q53" i="96"/>
  <c r="I53" i="96"/>
  <c r="S52" i="96"/>
  <c r="Q52" i="96"/>
  <c r="I52" i="96"/>
  <c r="S51" i="96"/>
  <c r="Q51" i="96"/>
  <c r="I51" i="96"/>
  <c r="S50" i="96"/>
  <c r="Q50" i="96"/>
  <c r="I50" i="96"/>
  <c r="S49" i="96"/>
  <c r="Q49" i="96"/>
  <c r="I49" i="96"/>
  <c r="S48" i="96"/>
  <c r="Q48" i="96"/>
  <c r="I48" i="96"/>
  <c r="S47" i="96"/>
  <c r="Q47" i="96"/>
  <c r="I47" i="96"/>
  <c r="S46" i="96"/>
  <c r="Q46" i="96"/>
  <c r="I46" i="96"/>
  <c r="S45" i="96"/>
  <c r="Q45" i="96"/>
  <c r="I45" i="96"/>
  <c r="S44" i="96"/>
  <c r="Q44" i="96"/>
  <c r="S43" i="96"/>
  <c r="Q43" i="96"/>
  <c r="I43" i="96"/>
  <c r="S42" i="96"/>
  <c r="Q42" i="96"/>
  <c r="I42" i="96"/>
  <c r="S41" i="96"/>
  <c r="Q41" i="96"/>
  <c r="I41" i="96"/>
  <c r="S40" i="96"/>
  <c r="Q40" i="96"/>
  <c r="I40" i="96"/>
  <c r="S39" i="96"/>
  <c r="Q39" i="96"/>
  <c r="I39" i="96"/>
  <c r="S38" i="96"/>
  <c r="Q38" i="96"/>
  <c r="I38" i="96"/>
  <c r="S37" i="96"/>
  <c r="Q37" i="96"/>
  <c r="I37" i="96"/>
  <c r="S36" i="96"/>
  <c r="Q36" i="96"/>
  <c r="I36" i="96"/>
  <c r="S35" i="96"/>
  <c r="Q35" i="96"/>
  <c r="S34" i="96"/>
  <c r="Q34" i="96"/>
  <c r="I34" i="96"/>
  <c r="Z33" i="96"/>
  <c r="S33" i="96"/>
  <c r="Q33" i="96"/>
  <c r="I33" i="96"/>
  <c r="S32" i="96"/>
  <c r="Q32" i="96"/>
  <c r="I32" i="96"/>
  <c r="S31" i="96"/>
  <c r="Q31" i="96"/>
  <c r="I31" i="96"/>
  <c r="S30" i="96"/>
  <c r="Q30" i="96"/>
  <c r="I30" i="96"/>
  <c r="S29" i="96"/>
  <c r="Q29" i="96"/>
  <c r="I29" i="96"/>
  <c r="S28" i="96"/>
  <c r="Q28" i="96"/>
  <c r="S27" i="96"/>
  <c r="Q27" i="96"/>
  <c r="S26" i="96"/>
  <c r="Q26" i="96"/>
  <c r="I26" i="96"/>
  <c r="I27" i="96" s="1"/>
  <c r="I28" i="96" s="1"/>
  <c r="S25" i="96"/>
  <c r="Q25" i="96"/>
  <c r="I25" i="96"/>
  <c r="W24" i="96"/>
  <c r="S24" i="96"/>
  <c r="Q24" i="96"/>
  <c r="I24" i="96"/>
  <c r="S23" i="96"/>
  <c r="Q23" i="96"/>
  <c r="I23" i="96"/>
  <c r="S22" i="96"/>
  <c r="Q22" i="96"/>
  <c r="I22" i="96"/>
  <c r="S21" i="96"/>
  <c r="I21" i="96"/>
  <c r="S20" i="96"/>
  <c r="Q20" i="96"/>
  <c r="I20" i="96"/>
  <c r="AA17" i="96"/>
  <c r="S17" i="96"/>
  <c r="Q17" i="96"/>
  <c r="I17" i="96"/>
  <c r="S16" i="96"/>
  <c r="Q16" i="96"/>
  <c r="I16" i="96"/>
  <c r="S15" i="96"/>
  <c r="Q15" i="96"/>
  <c r="I15" i="96"/>
  <c r="S14" i="96"/>
  <c r="Q14" i="96"/>
  <c r="I14" i="96"/>
  <c r="S13" i="96"/>
  <c r="Q13" i="96"/>
  <c r="I13" i="96"/>
  <c r="I35" i="96" s="1"/>
  <c r="S12" i="96"/>
  <c r="Q12" i="96"/>
  <c r="S11" i="96"/>
  <c r="Q11" i="96"/>
  <c r="S10" i="96"/>
  <c r="Q10" i="96"/>
  <c r="S9" i="96"/>
  <c r="Q9" i="96"/>
  <c r="I9" i="96"/>
  <c r="S8" i="96"/>
  <c r="Q8" i="96"/>
  <c r="S7" i="96"/>
  <c r="Q7" i="96"/>
  <c r="S6" i="96"/>
  <c r="Q6" i="96"/>
  <c r="S5" i="96"/>
  <c r="Q5" i="96"/>
  <c r="I5" i="96"/>
  <c r="V4" i="96"/>
  <c r="W4" i="96" s="1"/>
  <c r="Y4" i="96" s="1"/>
  <c r="T4" i="96"/>
  <c r="S4" i="96"/>
  <c r="Q4" i="96"/>
  <c r="E22" i="67"/>
  <c r="E21" i="67"/>
  <c r="E18" i="67"/>
  <c r="E17" i="67"/>
  <c r="E16" i="67"/>
  <c r="E15" i="67"/>
  <c r="E14" i="67"/>
  <c r="E13" i="67"/>
  <c r="E12" i="67"/>
  <c r="E11" i="67"/>
  <c r="E10" i="67"/>
  <c r="E8" i="67"/>
  <c r="E7" i="67"/>
  <c r="E6" i="67"/>
  <c r="E5" i="67"/>
  <c r="E4" i="67"/>
  <c r="K7" i="86"/>
  <c r="K6" i="86"/>
  <c r="I6" i="86"/>
  <c r="H6" i="86"/>
  <c r="G6" i="86"/>
  <c r="E6" i="86"/>
  <c r="D6" i="86"/>
  <c r="K5" i="86"/>
  <c r="I5" i="86"/>
  <c r="H5" i="86"/>
  <c r="G5" i="86"/>
  <c r="E5" i="86"/>
  <c r="D5" i="86"/>
  <c r="K4" i="86"/>
  <c r="I4" i="86"/>
  <c r="H4" i="86"/>
  <c r="G4" i="86"/>
  <c r="E4" i="86"/>
  <c r="D4" i="86"/>
  <c r="I87" i="78"/>
  <c r="K86" i="78"/>
  <c r="I86" i="78"/>
  <c r="E78" i="78"/>
  <c r="C78" i="78"/>
  <c r="E77" i="78"/>
  <c r="C77" i="78"/>
  <c r="K60" i="56"/>
  <c r="J60" i="56"/>
  <c r="J59" i="56"/>
  <c r="H59" i="56"/>
  <c r="H54" i="56" s="1"/>
  <c r="G45" i="56"/>
  <c r="G44" i="56"/>
  <c r="G43" i="56"/>
  <c r="G42" i="56"/>
  <c r="G41" i="56"/>
  <c r="H40" i="56"/>
  <c r="G40" i="56"/>
  <c r="H39" i="56"/>
  <c r="G39" i="56"/>
  <c r="G38" i="56"/>
  <c r="G37" i="56"/>
  <c r="G36" i="56"/>
  <c r="G35" i="56"/>
  <c r="G34" i="56"/>
  <c r="G33" i="56"/>
  <c r="G32" i="56"/>
  <c r="G31" i="56"/>
  <c r="G30" i="56"/>
  <c r="G29" i="56"/>
  <c r="K30" i="28"/>
  <c r="K29" i="28"/>
  <c r="K27" i="28"/>
  <c r="E27" i="28"/>
  <c r="E26" i="28"/>
  <c r="K25" i="28"/>
  <c r="E25" i="28"/>
  <c r="B21" i="28"/>
  <c r="B20" i="28"/>
  <c r="E19" i="28"/>
  <c r="B19" i="28"/>
  <c r="B18" i="28"/>
  <c r="B17" i="28"/>
  <c r="H16" i="28"/>
  <c r="F16" i="28"/>
  <c r="B16" i="28"/>
  <c r="B15" i="28"/>
  <c r="L9" i="28"/>
  <c r="K8" i="28"/>
  <c r="J8" i="28"/>
  <c r="I8" i="28"/>
  <c r="H8" i="28"/>
  <c r="G8" i="28"/>
  <c r="F8" i="28"/>
  <c r="E8" i="28"/>
  <c r="D8" i="28"/>
  <c r="C8" i="28"/>
  <c r="S246" i="73"/>
  <c r="S245" i="73"/>
  <c r="S244" i="73"/>
  <c r="W243" i="73"/>
  <c r="U243" i="73"/>
  <c r="S243" i="73"/>
  <c r="Q243" i="73"/>
  <c r="P243" i="73"/>
  <c r="W242" i="73"/>
  <c r="U242" i="73"/>
  <c r="S242" i="73"/>
  <c r="Q242" i="73"/>
  <c r="P242" i="73"/>
  <c r="W241" i="73"/>
  <c r="U241" i="73"/>
  <c r="S241" i="73"/>
  <c r="Q241" i="73"/>
  <c r="P241" i="73"/>
  <c r="W240" i="73"/>
  <c r="U240" i="73"/>
  <c r="S240" i="73"/>
  <c r="Q240" i="73"/>
  <c r="P240" i="73"/>
  <c r="W239" i="73"/>
  <c r="U239" i="73"/>
  <c r="S239" i="73"/>
  <c r="Q239" i="73"/>
  <c r="P239" i="73"/>
  <c r="W238" i="73"/>
  <c r="U238" i="73"/>
  <c r="S238" i="73"/>
  <c r="Q238" i="73"/>
  <c r="P238" i="73"/>
  <c r="W237" i="73"/>
  <c r="U237" i="73"/>
  <c r="S237" i="73"/>
  <c r="Q237" i="73"/>
  <c r="P237" i="73"/>
  <c r="W236" i="73"/>
  <c r="U236" i="73"/>
  <c r="S236" i="73"/>
  <c r="Q236" i="73"/>
  <c r="P236" i="73"/>
  <c r="W235" i="73"/>
  <c r="U235" i="73"/>
  <c r="S235" i="73"/>
  <c r="Q235" i="73"/>
  <c r="P235" i="73"/>
  <c r="W234" i="73"/>
  <c r="U234" i="73"/>
  <c r="S234" i="73"/>
  <c r="Q234" i="73"/>
  <c r="P234" i="73"/>
  <c r="W233" i="73"/>
  <c r="U233" i="73"/>
  <c r="S233" i="73"/>
  <c r="Q233" i="73"/>
  <c r="P233" i="73"/>
  <c r="W232" i="73"/>
  <c r="U232" i="73"/>
  <c r="S232" i="73"/>
  <c r="Q232" i="73"/>
  <c r="P232" i="73"/>
  <c r="W231" i="73"/>
  <c r="U231" i="73"/>
  <c r="S231" i="73"/>
  <c r="Q231" i="73"/>
  <c r="P231" i="73"/>
  <c r="W230" i="73"/>
  <c r="U230" i="73"/>
  <c r="S230" i="73"/>
  <c r="Q230" i="73"/>
  <c r="P230" i="73"/>
  <c r="W229" i="73"/>
  <c r="U229" i="73"/>
  <c r="S229" i="73"/>
  <c r="Q229" i="73"/>
  <c r="P229" i="73"/>
  <c r="W228" i="73"/>
  <c r="U228" i="73"/>
  <c r="S228" i="73"/>
  <c r="Q228" i="73"/>
  <c r="P228" i="73"/>
  <c r="W227" i="73"/>
  <c r="U227" i="73"/>
  <c r="S227" i="73"/>
  <c r="Q227" i="73"/>
  <c r="P227" i="73"/>
  <c r="W226" i="73"/>
  <c r="U226" i="73"/>
  <c r="S226" i="73"/>
  <c r="Q226" i="73"/>
  <c r="P226" i="73"/>
  <c r="W225" i="73"/>
  <c r="U225" i="73"/>
  <c r="S225" i="73"/>
  <c r="Q225" i="73"/>
  <c r="P225" i="73"/>
  <c r="W224" i="73"/>
  <c r="U224" i="73"/>
  <c r="S224" i="73"/>
  <c r="Q224" i="73"/>
  <c r="P224" i="73"/>
  <c r="W223" i="73"/>
  <c r="U223" i="73"/>
  <c r="S223" i="73"/>
  <c r="Q223" i="73"/>
  <c r="P223" i="73"/>
  <c r="W222" i="73"/>
  <c r="U222" i="73"/>
  <c r="S222" i="73"/>
  <c r="Q222" i="73"/>
  <c r="P222" i="73"/>
  <c r="W221" i="73"/>
  <c r="U221" i="73"/>
  <c r="S221" i="73"/>
  <c r="Q221" i="73"/>
  <c r="P221" i="73"/>
  <c r="W220" i="73"/>
  <c r="U220" i="73"/>
  <c r="S220" i="73"/>
  <c r="Q220" i="73"/>
  <c r="P220" i="73"/>
  <c r="W219" i="73"/>
  <c r="U219" i="73"/>
  <c r="S219" i="73"/>
  <c r="Q219" i="73"/>
  <c r="P219" i="73"/>
  <c r="W218" i="73"/>
  <c r="U218" i="73"/>
  <c r="S218" i="73"/>
  <c r="Q218" i="73"/>
  <c r="P218" i="73"/>
  <c r="W217" i="73"/>
  <c r="U217" i="73"/>
  <c r="S217" i="73"/>
  <c r="Q217" i="73"/>
  <c r="P217" i="73"/>
  <c r="W216" i="73"/>
  <c r="U216" i="73"/>
  <c r="S216" i="73"/>
  <c r="Q216" i="73"/>
  <c r="P216" i="73"/>
  <c r="W215" i="73"/>
  <c r="U215" i="73"/>
  <c r="S215" i="73"/>
  <c r="Q215" i="73"/>
  <c r="P215" i="73"/>
  <c r="W214" i="73"/>
  <c r="U214" i="73"/>
  <c r="S214" i="73"/>
  <c r="Q214" i="73"/>
  <c r="P214" i="73"/>
  <c r="W213" i="73"/>
  <c r="U213" i="73"/>
  <c r="S213" i="73"/>
  <c r="Q213" i="73"/>
  <c r="P213" i="73"/>
  <c r="W212" i="73"/>
  <c r="U212" i="73"/>
  <c r="S212" i="73"/>
  <c r="Q212" i="73"/>
  <c r="P212" i="73"/>
  <c r="W211" i="73"/>
  <c r="U211" i="73"/>
  <c r="S211" i="73"/>
  <c r="Q211" i="73"/>
  <c r="P211" i="73"/>
  <c r="W210" i="73"/>
  <c r="U210" i="73"/>
  <c r="S210" i="73"/>
  <c r="Q210" i="73"/>
  <c r="P210" i="73"/>
  <c r="W209" i="73"/>
  <c r="U209" i="73"/>
  <c r="S209" i="73"/>
  <c r="Q209" i="73"/>
  <c r="P209" i="73"/>
  <c r="W208" i="73"/>
  <c r="U208" i="73"/>
  <c r="S208" i="73"/>
  <c r="Q208" i="73"/>
  <c r="P208" i="73"/>
  <c r="W207" i="73"/>
  <c r="U207" i="73"/>
  <c r="S207" i="73"/>
  <c r="Q207" i="73"/>
  <c r="P207" i="73"/>
  <c r="W206" i="73"/>
  <c r="U206" i="73"/>
  <c r="S206" i="73"/>
  <c r="Q206" i="73"/>
  <c r="P206" i="73"/>
  <c r="W205" i="73"/>
  <c r="U205" i="73"/>
  <c r="S205" i="73"/>
  <c r="Q205" i="73"/>
  <c r="P205" i="73"/>
  <c r="W204" i="73"/>
  <c r="U204" i="73"/>
  <c r="S204" i="73"/>
  <c r="Q204" i="73"/>
  <c r="P204" i="73"/>
  <c r="W203" i="73"/>
  <c r="U203" i="73"/>
  <c r="S203" i="73"/>
  <c r="Q203" i="73"/>
  <c r="P203" i="73"/>
  <c r="W202" i="73"/>
  <c r="U202" i="73"/>
  <c r="S202" i="73"/>
  <c r="Q202" i="73"/>
  <c r="P202" i="73"/>
  <c r="W201" i="73"/>
  <c r="U201" i="73"/>
  <c r="S201" i="73"/>
  <c r="Q201" i="73"/>
  <c r="P201" i="73"/>
  <c r="W200" i="73"/>
  <c r="U200" i="73"/>
  <c r="S200" i="73"/>
  <c r="Q200" i="73"/>
  <c r="P200" i="73"/>
  <c r="W199" i="73"/>
  <c r="U199" i="73"/>
  <c r="S199" i="73"/>
  <c r="Q199" i="73"/>
  <c r="P199" i="73"/>
  <c r="W198" i="73"/>
  <c r="U198" i="73"/>
  <c r="S198" i="73"/>
  <c r="Q198" i="73"/>
  <c r="P198" i="73"/>
  <c r="W197" i="73"/>
  <c r="U197" i="73"/>
  <c r="S197" i="73"/>
  <c r="Q197" i="73"/>
  <c r="P197" i="73"/>
  <c r="W196" i="73"/>
  <c r="U196" i="73"/>
  <c r="S196" i="73"/>
  <c r="Q196" i="73"/>
  <c r="P196" i="73"/>
  <c r="W195" i="73"/>
  <c r="U195" i="73"/>
  <c r="S195" i="73"/>
  <c r="Q195" i="73"/>
  <c r="P195" i="73"/>
  <c r="W194" i="73"/>
  <c r="U194" i="73"/>
  <c r="S194" i="73"/>
  <c r="Q194" i="73"/>
  <c r="P194" i="73"/>
  <c r="W193" i="73"/>
  <c r="U193" i="73"/>
  <c r="S193" i="73"/>
  <c r="Q193" i="73"/>
  <c r="P193" i="73"/>
  <c r="W192" i="73"/>
  <c r="U192" i="73"/>
  <c r="S192" i="73"/>
  <c r="Q192" i="73"/>
  <c r="P192" i="73"/>
  <c r="W191" i="73"/>
  <c r="U191" i="73"/>
  <c r="S191" i="73"/>
  <c r="Q191" i="73"/>
  <c r="P191" i="73"/>
  <c r="W190" i="73"/>
  <c r="U190" i="73"/>
  <c r="S190" i="73"/>
  <c r="Q190" i="73"/>
  <c r="P190" i="73"/>
  <c r="W189" i="73"/>
  <c r="U189" i="73"/>
  <c r="S189" i="73"/>
  <c r="Q189" i="73"/>
  <c r="P189" i="73"/>
  <c r="W188" i="73"/>
  <c r="U188" i="73"/>
  <c r="S188" i="73"/>
  <c r="Q188" i="73"/>
  <c r="P188" i="73"/>
  <c r="W187" i="73"/>
  <c r="U187" i="73"/>
  <c r="S187" i="73"/>
  <c r="Q187" i="73"/>
  <c r="P187" i="73"/>
  <c r="W186" i="73"/>
  <c r="U186" i="73"/>
  <c r="S186" i="73"/>
  <c r="Q186" i="73"/>
  <c r="P186" i="73"/>
  <c r="W185" i="73"/>
  <c r="U185" i="73"/>
  <c r="S185" i="73"/>
  <c r="Q185" i="73"/>
  <c r="P185" i="73"/>
  <c r="W184" i="73"/>
  <c r="U184" i="73"/>
  <c r="S184" i="73"/>
  <c r="Q184" i="73"/>
  <c r="P184" i="73"/>
  <c r="W183" i="73"/>
  <c r="U183" i="73"/>
  <c r="S183" i="73"/>
  <c r="Q183" i="73"/>
  <c r="P183" i="73"/>
  <c r="W182" i="73"/>
  <c r="U182" i="73"/>
  <c r="S182" i="73"/>
  <c r="Q182" i="73"/>
  <c r="P182" i="73"/>
  <c r="W181" i="73"/>
  <c r="U181" i="73"/>
  <c r="S181" i="73"/>
  <c r="Q181" i="73"/>
  <c r="P181" i="73"/>
  <c r="W180" i="73"/>
  <c r="U180" i="73"/>
  <c r="S180" i="73"/>
  <c r="Q180" i="73"/>
  <c r="P180" i="73"/>
  <c r="W179" i="73"/>
  <c r="U179" i="73"/>
  <c r="S179" i="73"/>
  <c r="Q179" i="73"/>
  <c r="P179" i="73"/>
  <c r="W178" i="73"/>
  <c r="U178" i="73"/>
  <c r="S178" i="73"/>
  <c r="Q178" i="73"/>
  <c r="P178" i="73"/>
  <c r="W177" i="73"/>
  <c r="U177" i="73"/>
  <c r="S177" i="73"/>
  <c r="Q177" i="73"/>
  <c r="P177" i="73"/>
  <c r="W176" i="73"/>
  <c r="U176" i="73"/>
  <c r="S176" i="73"/>
  <c r="Q176" i="73"/>
  <c r="P176" i="73"/>
  <c r="W175" i="73"/>
  <c r="U175" i="73"/>
  <c r="S175" i="73"/>
  <c r="Q175" i="73"/>
  <c r="P175" i="73"/>
  <c r="W174" i="73"/>
  <c r="U174" i="73"/>
  <c r="S174" i="73"/>
  <c r="Q174" i="73"/>
  <c r="P174" i="73"/>
  <c r="W173" i="73"/>
  <c r="U173" i="73"/>
  <c r="S173" i="73"/>
  <c r="Q173" i="73"/>
  <c r="P173" i="73"/>
  <c r="W172" i="73"/>
  <c r="U172" i="73"/>
  <c r="S172" i="73"/>
  <c r="Q172" i="73"/>
  <c r="P172" i="73"/>
  <c r="W171" i="73"/>
  <c r="U171" i="73"/>
  <c r="S171" i="73"/>
  <c r="Q171" i="73"/>
  <c r="P171" i="73"/>
  <c r="W170" i="73"/>
  <c r="U170" i="73"/>
  <c r="S170" i="73"/>
  <c r="Q170" i="73"/>
  <c r="P170" i="73"/>
  <c r="W169" i="73"/>
  <c r="U169" i="73"/>
  <c r="S169" i="73"/>
  <c r="Q169" i="73"/>
  <c r="P169" i="73"/>
  <c r="W168" i="73"/>
  <c r="U168" i="73"/>
  <c r="S168" i="73"/>
  <c r="Q168" i="73"/>
  <c r="P168" i="73"/>
  <c r="W167" i="73"/>
  <c r="U167" i="73"/>
  <c r="S167" i="73"/>
  <c r="Q167" i="73"/>
  <c r="P167" i="73"/>
  <c r="W166" i="73"/>
  <c r="U166" i="73"/>
  <c r="S166" i="73"/>
  <c r="Q166" i="73"/>
  <c r="P166" i="73"/>
  <c r="W165" i="73"/>
  <c r="U165" i="73"/>
  <c r="S165" i="73"/>
  <c r="Q165" i="73"/>
  <c r="P165" i="73"/>
  <c r="W164" i="73"/>
  <c r="U164" i="73"/>
  <c r="S164" i="73"/>
  <c r="Q164" i="73"/>
  <c r="P164" i="73"/>
  <c r="W163" i="73"/>
  <c r="U163" i="73"/>
  <c r="S163" i="73"/>
  <c r="Q163" i="73"/>
  <c r="P163" i="73"/>
  <c r="W162" i="73"/>
  <c r="U162" i="73"/>
  <c r="S162" i="73"/>
  <c r="Q162" i="73"/>
  <c r="P162" i="73"/>
  <c r="W161" i="73"/>
  <c r="U161" i="73"/>
  <c r="S161" i="73"/>
  <c r="Q161" i="73"/>
  <c r="P161" i="73"/>
  <c r="W160" i="73"/>
  <c r="U160" i="73"/>
  <c r="S160" i="73"/>
  <c r="Q160" i="73"/>
  <c r="P160" i="73"/>
  <c r="W159" i="73"/>
  <c r="U159" i="73"/>
  <c r="S159" i="73"/>
  <c r="Q159" i="73"/>
  <c r="P159" i="73"/>
  <c r="W158" i="73"/>
  <c r="U158" i="73"/>
  <c r="S158" i="73"/>
  <c r="Q158" i="73"/>
  <c r="P158" i="73"/>
  <c r="W157" i="73"/>
  <c r="U157" i="73"/>
  <c r="S157" i="73"/>
  <c r="Q157" i="73"/>
  <c r="P157" i="73"/>
  <c r="W156" i="73"/>
  <c r="U156" i="73"/>
  <c r="S156" i="73"/>
  <c r="Q156" i="73"/>
  <c r="P156" i="73"/>
  <c r="W155" i="73"/>
  <c r="U155" i="73"/>
  <c r="S155" i="73"/>
  <c r="Q155" i="73"/>
  <c r="P155" i="73"/>
  <c r="W154" i="73"/>
  <c r="U154" i="73"/>
  <c r="S154" i="73"/>
  <c r="Q154" i="73"/>
  <c r="P154" i="73"/>
  <c r="W153" i="73"/>
  <c r="U153" i="73"/>
  <c r="S153" i="73"/>
  <c r="Q153" i="73"/>
  <c r="P153" i="73"/>
  <c r="W152" i="73"/>
  <c r="U152" i="73"/>
  <c r="S152" i="73"/>
  <c r="Q152" i="73"/>
  <c r="P152" i="73"/>
  <c r="W151" i="73"/>
  <c r="U151" i="73"/>
  <c r="S151" i="73"/>
  <c r="Q151" i="73"/>
  <c r="P151" i="73"/>
  <c r="W150" i="73"/>
  <c r="U150" i="73"/>
  <c r="S150" i="73"/>
  <c r="Q150" i="73"/>
  <c r="P150" i="73"/>
  <c r="W149" i="73"/>
  <c r="U149" i="73"/>
  <c r="S149" i="73"/>
  <c r="Q149" i="73"/>
  <c r="P149" i="73"/>
  <c r="W148" i="73"/>
  <c r="U148" i="73"/>
  <c r="S148" i="73"/>
  <c r="Q148" i="73"/>
  <c r="P148" i="73"/>
  <c r="W147" i="73"/>
  <c r="U147" i="73"/>
  <c r="S147" i="73"/>
  <c r="Q147" i="73"/>
  <c r="P147" i="73"/>
  <c r="W146" i="73"/>
  <c r="U146" i="73"/>
  <c r="S146" i="73"/>
  <c r="Q146" i="73"/>
  <c r="P146" i="73"/>
  <c r="W145" i="73"/>
  <c r="U145" i="73"/>
  <c r="S145" i="73"/>
  <c r="Q145" i="73"/>
  <c r="P145" i="73"/>
  <c r="W144" i="73"/>
  <c r="U144" i="73"/>
  <c r="S144" i="73"/>
  <c r="Q144" i="73"/>
  <c r="P144" i="73"/>
  <c r="W143" i="73"/>
  <c r="U143" i="73"/>
  <c r="S143" i="73"/>
  <c r="Q143" i="73"/>
  <c r="P143" i="73"/>
  <c r="W142" i="73"/>
  <c r="U142" i="73"/>
  <c r="S142" i="73"/>
  <c r="Q142" i="73"/>
  <c r="P142" i="73"/>
  <c r="W141" i="73"/>
  <c r="U141" i="73"/>
  <c r="S141" i="73"/>
  <c r="Q141" i="73"/>
  <c r="P141" i="73"/>
  <c r="W140" i="73"/>
  <c r="U140" i="73"/>
  <c r="S140" i="73"/>
  <c r="Q140" i="73"/>
  <c r="P140" i="73"/>
  <c r="W139" i="73"/>
  <c r="U139" i="73"/>
  <c r="S139" i="73"/>
  <c r="Q139" i="73"/>
  <c r="P139" i="73"/>
  <c r="W138" i="73"/>
  <c r="U138" i="73"/>
  <c r="S138" i="73"/>
  <c r="Q138" i="73"/>
  <c r="P138" i="73"/>
  <c r="W137" i="73"/>
  <c r="U137" i="73"/>
  <c r="S137" i="73"/>
  <c r="Q137" i="73"/>
  <c r="P137" i="73"/>
  <c r="W136" i="73"/>
  <c r="U136" i="73"/>
  <c r="S136" i="73"/>
  <c r="Q136" i="73"/>
  <c r="P136" i="73"/>
  <c r="W135" i="73"/>
  <c r="U135" i="73"/>
  <c r="S135" i="73"/>
  <c r="Q135" i="73"/>
  <c r="P135" i="73"/>
  <c r="W134" i="73"/>
  <c r="U134" i="73"/>
  <c r="S134" i="73"/>
  <c r="Q134" i="73"/>
  <c r="P134" i="73"/>
  <c r="W133" i="73"/>
  <c r="U133" i="73"/>
  <c r="S133" i="73"/>
  <c r="Q133" i="73"/>
  <c r="P133" i="73"/>
  <c r="W132" i="73"/>
  <c r="U132" i="73"/>
  <c r="S132" i="73"/>
  <c r="Q132" i="73"/>
  <c r="P132" i="73"/>
  <c r="W131" i="73"/>
  <c r="U131" i="73"/>
  <c r="S131" i="73"/>
  <c r="Q131" i="73"/>
  <c r="P131" i="73"/>
  <c r="S130" i="73"/>
  <c r="Q130" i="73"/>
  <c r="P130" i="73"/>
  <c r="R120" i="73"/>
  <c r="R118" i="73"/>
  <c r="R115" i="73"/>
  <c r="R114" i="73"/>
  <c r="R113" i="73"/>
  <c r="R112" i="73"/>
  <c r="R111" i="73"/>
  <c r="R110" i="73"/>
  <c r="R109" i="73"/>
  <c r="R108" i="73"/>
  <c r="R107" i="73"/>
  <c r="R106" i="73"/>
  <c r="R105" i="73"/>
  <c r="R104" i="73"/>
  <c r="V103" i="73"/>
  <c r="T103" i="73"/>
  <c r="R103" i="73"/>
  <c r="V102" i="73"/>
  <c r="T102" i="73"/>
  <c r="R102" i="73"/>
  <c r="V101" i="73"/>
  <c r="T101" i="73"/>
  <c r="R101" i="73"/>
  <c r="V100" i="73"/>
  <c r="T100" i="73"/>
  <c r="R100" i="73"/>
  <c r="V99" i="73"/>
  <c r="T99" i="73"/>
  <c r="R99" i="73"/>
  <c r="V98" i="73"/>
  <c r="T98" i="73"/>
  <c r="R98" i="73"/>
  <c r="V97" i="73"/>
  <c r="T97" i="73"/>
  <c r="R97" i="73"/>
  <c r="V96" i="73"/>
  <c r="T96" i="73"/>
  <c r="R96" i="73"/>
  <c r="V95" i="73"/>
  <c r="T95" i="73"/>
  <c r="R95" i="73"/>
  <c r="V94" i="73"/>
  <c r="T94" i="73"/>
  <c r="R94" i="73"/>
  <c r="V93" i="73"/>
  <c r="T93" i="73"/>
  <c r="R93" i="73"/>
  <c r="V92" i="73"/>
  <c r="T92" i="73"/>
  <c r="R92" i="73"/>
  <c r="V91" i="73"/>
  <c r="T91" i="73"/>
  <c r="R91" i="73"/>
  <c r="V90" i="73"/>
  <c r="T90" i="73"/>
  <c r="R90" i="73"/>
  <c r="V89" i="73"/>
  <c r="T89" i="73"/>
  <c r="R89" i="73"/>
  <c r="V88" i="73"/>
  <c r="T88" i="73"/>
  <c r="R88" i="73"/>
  <c r="V87" i="73"/>
  <c r="T87" i="73"/>
  <c r="R87" i="73"/>
  <c r="V86" i="73"/>
  <c r="T86" i="73"/>
  <c r="R86" i="73"/>
  <c r="V85" i="73"/>
  <c r="T85" i="73"/>
  <c r="R85" i="73"/>
  <c r="V84" i="73"/>
  <c r="T84" i="73"/>
  <c r="R84" i="73"/>
  <c r="V83" i="73"/>
  <c r="T83" i="73"/>
  <c r="R83" i="73"/>
  <c r="V82" i="73"/>
  <c r="T82" i="73"/>
  <c r="R82" i="73"/>
  <c r="V81" i="73"/>
  <c r="T81" i="73"/>
  <c r="R81" i="73"/>
  <c r="V80" i="73"/>
  <c r="T80" i="73"/>
  <c r="R80" i="73"/>
  <c r="V79" i="73"/>
  <c r="T79" i="73"/>
  <c r="R79" i="73"/>
  <c r="V78" i="73"/>
  <c r="T78" i="73"/>
  <c r="R78" i="73"/>
  <c r="V77" i="73"/>
  <c r="T77" i="73"/>
  <c r="R77" i="73"/>
  <c r="V76" i="73"/>
  <c r="T76" i="73"/>
  <c r="R76" i="73"/>
  <c r="V75" i="73"/>
  <c r="T75" i="73"/>
  <c r="R75" i="73"/>
  <c r="V74" i="73"/>
  <c r="T74" i="73"/>
  <c r="R74" i="73"/>
  <c r="V73" i="73"/>
  <c r="T73" i="73"/>
  <c r="R73" i="73"/>
  <c r="V72" i="73"/>
  <c r="T72" i="73"/>
  <c r="R72" i="73"/>
  <c r="V71" i="73"/>
  <c r="T71" i="73"/>
  <c r="R71" i="73"/>
  <c r="V70" i="73"/>
  <c r="T70" i="73"/>
  <c r="R70" i="73"/>
  <c r="V69" i="73"/>
  <c r="T69" i="73"/>
  <c r="R69" i="73"/>
  <c r="V68" i="73"/>
  <c r="T68" i="73"/>
  <c r="R68" i="73"/>
  <c r="V67" i="73"/>
  <c r="T67" i="73"/>
  <c r="R67" i="73"/>
  <c r="V66" i="73"/>
  <c r="T66" i="73"/>
  <c r="R66" i="73"/>
  <c r="V65" i="73"/>
  <c r="T65" i="73"/>
  <c r="R65" i="73"/>
  <c r="V64" i="73"/>
  <c r="T64" i="73"/>
  <c r="R64" i="73"/>
  <c r="V63" i="73"/>
  <c r="T63" i="73"/>
  <c r="R63" i="73"/>
  <c r="V62" i="73"/>
  <c r="T62" i="73"/>
  <c r="R62" i="73"/>
  <c r="V61" i="73"/>
  <c r="T61" i="73"/>
  <c r="R61" i="73"/>
  <c r="V60" i="73"/>
  <c r="T60" i="73"/>
  <c r="R60" i="73"/>
  <c r="V59" i="73"/>
  <c r="T59" i="73"/>
  <c r="R59" i="73"/>
  <c r="V58" i="73"/>
  <c r="T58" i="73"/>
  <c r="R58" i="73"/>
  <c r="V57" i="73"/>
  <c r="T57" i="73"/>
  <c r="R57" i="73"/>
  <c r="V56" i="73"/>
  <c r="T56" i="73"/>
  <c r="R56" i="73"/>
  <c r="V55" i="73"/>
  <c r="T55" i="73"/>
  <c r="R55" i="73"/>
  <c r="V54" i="73"/>
  <c r="T54" i="73"/>
  <c r="R54" i="73"/>
  <c r="V53" i="73"/>
  <c r="T53" i="73"/>
  <c r="R53" i="73"/>
  <c r="V52" i="73"/>
  <c r="T52" i="73"/>
  <c r="R52" i="73"/>
  <c r="V51" i="73"/>
  <c r="T51" i="73"/>
  <c r="R51" i="73"/>
  <c r="V50" i="73"/>
  <c r="T50" i="73"/>
  <c r="R50" i="73"/>
  <c r="V49" i="73"/>
  <c r="T49" i="73"/>
  <c r="R49" i="73"/>
  <c r="V48" i="73"/>
  <c r="T48" i="73"/>
  <c r="R48" i="73"/>
  <c r="V47" i="73"/>
  <c r="T47" i="73"/>
  <c r="R47" i="73"/>
  <c r="V46" i="73"/>
  <c r="T46" i="73"/>
  <c r="R46" i="73"/>
  <c r="V45" i="73"/>
  <c r="T45" i="73"/>
  <c r="R45" i="73"/>
  <c r="V44" i="73"/>
  <c r="T44" i="73"/>
  <c r="R44" i="73"/>
  <c r="V43" i="73"/>
  <c r="T43" i="73"/>
  <c r="R43" i="73"/>
  <c r="V42" i="73"/>
  <c r="T42" i="73"/>
  <c r="R42" i="73"/>
  <c r="V41" i="73"/>
  <c r="T41" i="73"/>
  <c r="R41" i="73"/>
  <c r="V40" i="73"/>
  <c r="T40" i="73"/>
  <c r="R40" i="73"/>
  <c r="V39" i="73"/>
  <c r="T39" i="73"/>
  <c r="R39" i="73"/>
  <c r="V38" i="73"/>
  <c r="T38" i="73"/>
  <c r="R38" i="73"/>
  <c r="V37" i="73"/>
  <c r="T37" i="73"/>
  <c r="R37" i="73"/>
  <c r="V36" i="73"/>
  <c r="T36" i="73"/>
  <c r="R36" i="73"/>
  <c r="V35" i="73"/>
  <c r="T35" i="73"/>
  <c r="R35" i="73"/>
  <c r="V34" i="73"/>
  <c r="T34" i="73"/>
  <c r="R34" i="73"/>
  <c r="V33" i="73"/>
  <c r="T33" i="73"/>
  <c r="R33" i="73"/>
  <c r="V32" i="73"/>
  <c r="T32" i="73"/>
  <c r="R32" i="73"/>
  <c r="V31" i="73"/>
  <c r="T31" i="73"/>
  <c r="R31" i="73"/>
  <c r="V30" i="73"/>
  <c r="T30" i="73"/>
  <c r="R30" i="73"/>
  <c r="V29" i="73"/>
  <c r="T29" i="73"/>
  <c r="R29" i="73"/>
  <c r="V28" i="73"/>
  <c r="T28" i="73"/>
  <c r="R28" i="73"/>
  <c r="V27" i="73"/>
  <c r="T27" i="73"/>
  <c r="R27" i="73"/>
  <c r="V26" i="73"/>
  <c r="T26" i="73"/>
  <c r="R26" i="73"/>
  <c r="V25" i="73"/>
  <c r="T25" i="73"/>
  <c r="R25" i="73"/>
  <c r="V24" i="73"/>
  <c r="T24" i="73"/>
  <c r="R24" i="73"/>
  <c r="V23" i="73"/>
  <c r="T23" i="73"/>
  <c r="R23" i="73"/>
  <c r="V22" i="73"/>
  <c r="T22" i="73"/>
  <c r="R22" i="73"/>
  <c r="V21" i="73"/>
  <c r="T21" i="73"/>
  <c r="R21" i="73"/>
  <c r="V20" i="73"/>
  <c r="T20" i="73"/>
  <c r="R20" i="73"/>
  <c r="V19" i="73"/>
  <c r="T19" i="73"/>
  <c r="R19" i="73"/>
  <c r="V18" i="73"/>
  <c r="T18" i="73"/>
  <c r="R18" i="73"/>
  <c r="V17" i="73"/>
  <c r="T17" i="73"/>
  <c r="R17" i="73"/>
  <c r="V16" i="73"/>
  <c r="T16" i="73"/>
  <c r="R16" i="73"/>
  <c r="V15" i="73"/>
  <c r="T15" i="73"/>
  <c r="R15" i="73"/>
  <c r="V14" i="73"/>
  <c r="T14" i="73"/>
  <c r="R14" i="73"/>
  <c r="V13" i="73"/>
  <c r="T13" i="73"/>
  <c r="R13" i="73"/>
  <c r="V12" i="73"/>
  <c r="T12" i="73"/>
  <c r="R12" i="73"/>
  <c r="V11" i="73"/>
  <c r="T11" i="73"/>
  <c r="R11" i="73"/>
  <c r="V10" i="73"/>
  <c r="T10" i="73"/>
  <c r="R10" i="73"/>
  <c r="R9" i="73"/>
  <c r="F9" i="77"/>
  <c r="F8" i="77"/>
  <c r="F7" i="77"/>
  <c r="H19" i="74"/>
  <c r="H18" i="74"/>
  <c r="H17" i="74"/>
  <c r="H16" i="74"/>
  <c r="F16" i="74"/>
  <c r="H15" i="74"/>
  <c r="F15" i="74"/>
  <c r="H14" i="74"/>
  <c r="F14" i="74"/>
  <c r="H13" i="74"/>
  <c r="F13" i="74"/>
  <c r="H12" i="74"/>
  <c r="F12" i="74"/>
  <c r="H11" i="74"/>
  <c r="F11" i="74"/>
  <c r="H10" i="74"/>
  <c r="F10" i="74"/>
  <c r="O618" i="17"/>
  <c r="P618" i="17" s="1"/>
  <c r="O617" i="17"/>
  <c r="P617" i="17" s="1"/>
  <c r="N600" i="17" s="1"/>
  <c r="G600" i="17" s="1"/>
  <c r="I600" i="17" s="1"/>
  <c r="O616" i="17"/>
  <c r="P616" i="17" s="1"/>
  <c r="N599" i="17" s="1"/>
  <c r="G599" i="17" s="1"/>
  <c r="I599" i="17" s="1"/>
  <c r="O615" i="17"/>
  <c r="P615" i="17" s="1"/>
  <c r="N598" i="17" s="1"/>
  <c r="G598" i="17" s="1"/>
  <c r="I598" i="17" s="1"/>
  <c r="O614" i="17"/>
  <c r="P614" i="17" s="1"/>
  <c r="N597" i="17" s="1"/>
  <c r="G597" i="17" s="1"/>
  <c r="I597" i="17" s="1"/>
  <c r="O613" i="17"/>
  <c r="P613" i="17" s="1"/>
  <c r="N596" i="17" s="1"/>
  <c r="G596" i="17" s="1"/>
  <c r="I596" i="17" s="1"/>
  <c r="O612" i="17"/>
  <c r="P612" i="17" s="1"/>
  <c r="N595" i="17" s="1"/>
  <c r="G595" i="17" s="1"/>
  <c r="I595" i="17" s="1"/>
  <c r="O611" i="17"/>
  <c r="P611" i="17" s="1"/>
  <c r="O610" i="17"/>
  <c r="P610" i="17" s="1"/>
  <c r="O609" i="17"/>
  <c r="P609" i="17" s="1"/>
  <c r="O608" i="17"/>
  <c r="P608" i="17" s="1"/>
  <c r="N594" i="17" s="1"/>
  <c r="G594" i="17" s="1"/>
  <c r="I594" i="17" s="1"/>
  <c r="O607" i="17"/>
  <c r="P607" i="17" s="1"/>
  <c r="N593" i="17" s="1"/>
  <c r="G593" i="17" s="1"/>
  <c r="I593" i="17" s="1"/>
  <c r="O606" i="17"/>
  <c r="P606" i="17" s="1"/>
  <c r="N592" i="17" s="1"/>
  <c r="G592" i="17" s="1"/>
  <c r="M596" i="17"/>
  <c r="M595" i="17"/>
  <c r="P585" i="17"/>
  <c r="J585" i="17"/>
  <c r="I585" i="17"/>
  <c r="M584" i="17"/>
  <c r="J584" i="17"/>
  <c r="G584" i="17"/>
  <c r="I584" i="17" s="1"/>
  <c r="J583" i="17"/>
  <c r="G583" i="17"/>
  <c r="I583" i="17" s="1"/>
  <c r="P582" i="17"/>
  <c r="J582" i="17"/>
  <c r="G582" i="17"/>
  <c r="I582" i="17" s="1"/>
  <c r="P581" i="17"/>
  <c r="J581" i="17"/>
  <c r="G581" i="17"/>
  <c r="I581" i="17" s="1"/>
  <c r="P580" i="17"/>
  <c r="J580" i="17"/>
  <c r="G580" i="17"/>
  <c r="I580" i="17" s="1"/>
  <c r="P579" i="17"/>
  <c r="J579" i="17"/>
  <c r="G579" i="17"/>
  <c r="I579" i="17" s="1"/>
  <c r="P578" i="17"/>
  <c r="J578" i="17"/>
  <c r="G578" i="17"/>
  <c r="I578" i="17" s="1"/>
  <c r="P577" i="17"/>
  <c r="J577" i="17"/>
  <c r="G577" i="17"/>
  <c r="I577" i="17" s="1"/>
  <c r="P576" i="17"/>
  <c r="J576" i="17"/>
  <c r="G576" i="17"/>
  <c r="I576" i="17" s="1"/>
  <c r="P575" i="17"/>
  <c r="J575" i="17"/>
  <c r="G575" i="17"/>
  <c r="I575" i="17" s="1"/>
  <c r="P574" i="17"/>
  <c r="J574" i="17"/>
  <c r="G574" i="17"/>
  <c r="I574" i="17" s="1"/>
  <c r="G554" i="17"/>
  <c r="I532" i="17"/>
  <c r="K532" i="17" s="1"/>
  <c r="I531" i="17"/>
  <c r="K531" i="17" s="1"/>
  <c r="I530" i="17"/>
  <c r="K530" i="17" s="1"/>
  <c r="I529" i="17"/>
  <c r="K529" i="17" s="1"/>
  <c r="I528" i="17"/>
  <c r="K528" i="17" s="1"/>
  <c r="I527" i="17"/>
  <c r="K527" i="17" s="1"/>
  <c r="I526" i="17"/>
  <c r="K526" i="17" s="1"/>
  <c r="I525" i="17"/>
  <c r="K525" i="17" s="1"/>
  <c r="I524" i="17"/>
  <c r="K524" i="17" s="1"/>
  <c r="I523" i="17"/>
  <c r="K523" i="17" s="1"/>
  <c r="K513" i="17"/>
  <c r="N512" i="17"/>
  <c r="K512" i="17"/>
  <c r="N511" i="17"/>
  <c r="K511" i="17"/>
  <c r="S510" i="17"/>
  <c r="N510" i="17"/>
  <c r="K510" i="17"/>
  <c r="P485" i="17"/>
  <c r="P486" i="17" s="1"/>
  <c r="N471" i="17"/>
  <c r="O471" i="17" s="1"/>
  <c r="N470" i="17"/>
  <c r="O470" i="17" s="1"/>
  <c r="H470" i="17" s="1"/>
  <c r="N469" i="17"/>
  <c r="O469" i="17" s="1"/>
  <c r="H469" i="17" s="1"/>
  <c r="N468" i="17"/>
  <c r="O468" i="17" s="1"/>
  <c r="N467" i="17"/>
  <c r="O467" i="17" s="1"/>
  <c r="H467" i="17" s="1"/>
  <c r="T466" i="17"/>
  <c r="S466" i="17"/>
  <c r="S469" i="17" s="1"/>
  <c r="N466" i="17"/>
  <c r="O466" i="17" s="1"/>
  <c r="N465" i="17"/>
  <c r="O465" i="17" s="1"/>
  <c r="H465" i="17" s="1"/>
  <c r="N464" i="17"/>
  <c r="O464" i="17" s="1"/>
  <c r="N463" i="17"/>
  <c r="O463" i="17" s="1"/>
  <c r="H463" i="17" s="1"/>
  <c r="N462" i="17"/>
  <c r="O462" i="17" s="1"/>
  <c r="N461" i="17"/>
  <c r="O461" i="17" s="1"/>
  <c r="H461" i="17" s="1"/>
  <c r="N460" i="17"/>
  <c r="O460" i="17" s="1"/>
  <c r="H460" i="17" s="1"/>
  <c r="N459" i="17"/>
  <c r="O459" i="17" s="1"/>
  <c r="H459" i="17" s="1"/>
  <c r="N458" i="17"/>
  <c r="O458" i="17" s="1"/>
  <c r="H458" i="17" s="1"/>
  <c r="T455" i="17"/>
  <c r="T456" i="17" s="1"/>
  <c r="O454" i="17"/>
  <c r="K449" i="17"/>
  <c r="L449" i="17" s="1"/>
  <c r="M449" i="17" s="1"/>
  <c r="K448" i="17"/>
  <c r="L448" i="17" s="1"/>
  <c r="M448" i="17" s="1"/>
  <c r="K447" i="17"/>
  <c r="L447" i="17" s="1"/>
  <c r="M447" i="17" s="1"/>
  <c r="K446" i="17"/>
  <c r="L446" i="17" s="1"/>
  <c r="M446" i="17" s="1"/>
  <c r="K445" i="17"/>
  <c r="L445" i="17" s="1"/>
  <c r="M445" i="17" s="1"/>
  <c r="K444" i="17"/>
  <c r="L444" i="17" s="1"/>
  <c r="M444" i="17" s="1"/>
  <c r="K443" i="17"/>
  <c r="L443" i="17" s="1"/>
  <c r="M443" i="17" s="1"/>
  <c r="K442" i="17"/>
  <c r="L442" i="17" s="1"/>
  <c r="M442" i="17" s="1"/>
  <c r="K441" i="17"/>
  <c r="L441" i="17" s="1"/>
  <c r="M441" i="17" s="1"/>
  <c r="K440" i="17"/>
  <c r="L440" i="17" s="1"/>
  <c r="M440" i="17" s="1"/>
  <c r="K439" i="17"/>
  <c r="L439" i="17" s="1"/>
  <c r="M439" i="17" s="1"/>
  <c r="K438" i="17"/>
  <c r="L438" i="17" s="1"/>
  <c r="M438" i="17" s="1"/>
  <c r="K437" i="17"/>
  <c r="L437" i="17" s="1"/>
  <c r="M437" i="17" s="1"/>
  <c r="K436" i="17"/>
  <c r="L436" i="17" s="1"/>
  <c r="M436" i="17" s="1"/>
  <c r="K435" i="17"/>
  <c r="L435" i="17" s="1"/>
  <c r="M435" i="17" s="1"/>
  <c r="K434" i="17"/>
  <c r="L434" i="17" s="1"/>
  <c r="M434" i="17" s="1"/>
  <c r="K433" i="17"/>
  <c r="L433" i="17" s="1"/>
  <c r="M433" i="17" s="1"/>
  <c r="K432" i="17"/>
  <c r="L432" i="17" s="1"/>
  <c r="M432" i="17" s="1"/>
  <c r="K431" i="17"/>
  <c r="L431" i="17" s="1"/>
  <c r="M431" i="17" s="1"/>
  <c r="K430" i="17"/>
  <c r="L430" i="17" s="1"/>
  <c r="M430" i="17" s="1"/>
  <c r="K408" i="17"/>
  <c r="J408" i="17"/>
  <c r="K407" i="17"/>
  <c r="J407" i="17"/>
  <c r="K406" i="17"/>
  <c r="J406" i="17"/>
  <c r="K405" i="17"/>
  <c r="J405" i="17"/>
  <c r="K404" i="17"/>
  <c r="J404" i="17"/>
  <c r="K403" i="17"/>
  <c r="J403" i="17"/>
  <c r="K402" i="17"/>
  <c r="J402" i="17"/>
  <c r="P363" i="17"/>
  <c r="J363" i="17"/>
  <c r="G363" i="17"/>
  <c r="I363" i="17" s="1"/>
  <c r="P362" i="17"/>
  <c r="J362" i="17"/>
  <c r="G362" i="17"/>
  <c r="I362" i="17" s="1"/>
  <c r="P361" i="17"/>
  <c r="J361" i="17"/>
  <c r="G361" i="17"/>
  <c r="I361" i="17" s="1"/>
  <c r="P360" i="17"/>
  <c r="J360" i="17"/>
  <c r="G360" i="17"/>
  <c r="I360" i="17" s="1"/>
  <c r="P359" i="17"/>
  <c r="J359" i="17"/>
  <c r="G359" i="17"/>
  <c r="I359" i="17" s="1"/>
  <c r="P358" i="17"/>
  <c r="J358" i="17"/>
  <c r="G358" i="17"/>
  <c r="I358" i="17" s="1"/>
  <c r="P357" i="17"/>
  <c r="J357" i="17"/>
  <c r="G357" i="17"/>
  <c r="I357" i="17" s="1"/>
  <c r="P356" i="17"/>
  <c r="J356" i="17"/>
  <c r="G356" i="17"/>
  <c r="I356" i="17" s="1"/>
  <c r="P355" i="17"/>
  <c r="J355" i="17"/>
  <c r="G355" i="17"/>
  <c r="I355" i="17" s="1"/>
  <c r="P354" i="17"/>
  <c r="J354" i="17"/>
  <c r="G354" i="17"/>
  <c r="I354" i="17" s="1"/>
  <c r="P348" i="17"/>
  <c r="Q348" i="17" s="1"/>
  <c r="G340" i="17" s="1"/>
  <c r="I340" i="17" s="1"/>
  <c r="P347" i="17"/>
  <c r="Q347" i="17" s="1"/>
  <c r="P346" i="17"/>
  <c r="Q346" i="17" s="1"/>
  <c r="G339" i="17" s="1"/>
  <c r="I339" i="17" s="1"/>
  <c r="N346" i="17"/>
  <c r="P345" i="17"/>
  <c r="Q345" i="17" s="1"/>
  <c r="G338" i="17" s="1"/>
  <c r="I338" i="17" s="1"/>
  <c r="N345" i="17"/>
  <c r="P344" i="17"/>
  <c r="Q344" i="17" s="1"/>
  <c r="G337" i="17" s="1"/>
  <c r="I337" i="17" s="1"/>
  <c r="N344" i="17"/>
  <c r="P343" i="17"/>
  <c r="N343" i="17"/>
  <c r="P342" i="17"/>
  <c r="N342" i="17"/>
  <c r="P341" i="17"/>
  <c r="N341" i="17"/>
  <c r="P340" i="17"/>
  <c r="Q340" i="17" s="1"/>
  <c r="G336" i="17" s="1"/>
  <c r="I336" i="17" s="1"/>
  <c r="N340" i="17"/>
  <c r="P339" i="17"/>
  <c r="Q339" i="17" s="1"/>
  <c r="N339" i="17"/>
  <c r="P338" i="17"/>
  <c r="Q338" i="17" s="1"/>
  <c r="G335" i="17" s="1"/>
  <c r="I335" i="17" s="1"/>
  <c r="N338" i="17"/>
  <c r="P337" i="17"/>
  <c r="N337" i="17"/>
  <c r="P336" i="17"/>
  <c r="N336" i="17"/>
  <c r="P335" i="17"/>
  <c r="N335" i="17"/>
  <c r="P334" i="17"/>
  <c r="Q334" i="17" s="1"/>
  <c r="G334" i="17" s="1"/>
  <c r="I334" i="17" s="1"/>
  <c r="G328" i="17"/>
  <c r="I328" i="17" s="1"/>
  <c r="G327" i="17"/>
  <c r="I327" i="17" s="1"/>
  <c r="G326" i="17"/>
  <c r="I326" i="17" s="1"/>
  <c r="G325" i="17"/>
  <c r="I325" i="17" s="1"/>
  <c r="G324" i="17"/>
  <c r="I324" i="17" s="1"/>
  <c r="G323" i="17"/>
  <c r="I323" i="17" s="1"/>
  <c r="G322" i="17"/>
  <c r="I322" i="17" s="1"/>
  <c r="G321" i="17"/>
  <c r="I321" i="17" s="1"/>
  <c r="G320" i="17"/>
  <c r="I320" i="17" s="1"/>
  <c r="G319" i="17"/>
  <c r="I319" i="17" s="1"/>
  <c r="O309" i="17"/>
  <c r="N309" i="17"/>
  <c r="O308" i="17"/>
  <c r="N308" i="17"/>
  <c r="O307" i="17"/>
  <c r="N307" i="17"/>
  <c r="N306" i="17"/>
  <c r="P306" i="17" s="1"/>
  <c r="G306" i="17" s="1"/>
  <c r="I306" i="17" s="1"/>
  <c r="O305" i="17"/>
  <c r="N305" i="17"/>
  <c r="O304" i="17"/>
  <c r="N304" i="17"/>
  <c r="N303" i="17"/>
  <c r="P303" i="17" s="1"/>
  <c r="G303" i="17" s="1"/>
  <c r="I303" i="17" s="1"/>
  <c r="N302" i="17"/>
  <c r="P302" i="17" s="1"/>
  <c r="G302" i="17" s="1"/>
  <c r="I302" i="17" s="1"/>
  <c r="N301" i="17"/>
  <c r="P301" i="17" s="1"/>
  <c r="G301" i="17" s="1"/>
  <c r="I301" i="17" s="1"/>
  <c r="N300" i="17"/>
  <c r="P300" i="17" s="1"/>
  <c r="G300" i="17" s="1"/>
  <c r="I300" i="17" s="1"/>
  <c r="N299" i="17"/>
  <c r="P299" i="17" s="1"/>
  <c r="G299" i="17" s="1"/>
  <c r="I299" i="17" s="1"/>
  <c r="O298" i="17"/>
  <c r="N298" i="17"/>
  <c r="O297" i="17"/>
  <c r="N297" i="17"/>
  <c r="K288" i="17"/>
  <c r="N287" i="17"/>
  <c r="K287" i="17"/>
  <c r="N286" i="17"/>
  <c r="K286" i="17"/>
  <c r="S285" i="17"/>
  <c r="N285" i="17"/>
  <c r="K285" i="17"/>
  <c r="P277" i="17"/>
  <c r="R277" i="17" s="1"/>
  <c r="L277" i="17"/>
  <c r="P276" i="17"/>
  <c r="R276" i="17" s="1"/>
  <c r="L276" i="17"/>
  <c r="L275" i="17"/>
  <c r="I275" i="17"/>
  <c r="L274" i="17"/>
  <c r="I274" i="17"/>
  <c r="L273" i="17"/>
  <c r="I272" i="17"/>
  <c r="P265" i="17"/>
  <c r="Q265" i="17" s="1"/>
  <c r="I265" i="17"/>
  <c r="P264" i="17"/>
  <c r="Q264" i="17" s="1"/>
  <c r="I264" i="17"/>
  <c r="P263" i="17"/>
  <c r="Q263" i="17" s="1"/>
  <c r="I263" i="17"/>
  <c r="P262" i="17"/>
  <c r="Q262" i="17" s="1"/>
  <c r="I262" i="17"/>
  <c r="P261" i="17"/>
  <c r="Q261" i="17" s="1"/>
  <c r="I261" i="17"/>
  <c r="P260" i="17"/>
  <c r="Q260" i="17" s="1"/>
  <c r="I260" i="17"/>
  <c r="P259" i="17"/>
  <c r="Q259" i="17" s="1"/>
  <c r="I259" i="17"/>
  <c r="I266" i="17" s="1"/>
  <c r="L267" i="17" s="1"/>
  <c r="M254" i="17"/>
  <c r="Q253" i="17"/>
  <c r="N253" i="17"/>
  <c r="I253" i="17"/>
  <c r="Q252" i="17"/>
  <c r="N252" i="17"/>
  <c r="I252" i="17"/>
  <c r="Q251" i="17"/>
  <c r="N251" i="17"/>
  <c r="I251" i="17"/>
  <c r="Q250" i="17"/>
  <c r="N250" i="17"/>
  <c r="I250" i="17"/>
  <c r="Q249" i="17"/>
  <c r="N249" i="17"/>
  <c r="I249" i="17"/>
  <c r="Q248" i="17"/>
  <c r="N248" i="17"/>
  <c r="I248" i="17"/>
  <c r="Q247" i="17"/>
  <c r="N247" i="17"/>
  <c r="I247" i="17"/>
  <c r="Q246" i="17"/>
  <c r="N246" i="17"/>
  <c r="I246" i="17"/>
  <c r="Q245" i="17"/>
  <c r="N245" i="17"/>
  <c r="I245" i="17"/>
  <c r="N244" i="17"/>
  <c r="I244" i="17"/>
  <c r="I236" i="17"/>
  <c r="I235" i="17"/>
  <c r="I234" i="17"/>
  <c r="I233" i="17"/>
  <c r="I232" i="17"/>
  <c r="I231" i="17"/>
  <c r="I229" i="17"/>
  <c r="I228" i="17"/>
  <c r="I227" i="17"/>
  <c r="I226" i="17"/>
  <c r="S220" i="17"/>
  <c r="R217" i="17"/>
  <c r="K217" i="17"/>
  <c r="K216" i="17"/>
  <c r="K215" i="17"/>
  <c r="S214" i="17"/>
  <c r="K214" i="17"/>
  <c r="K207" i="17"/>
  <c r="G202" i="17"/>
  <c r="K202" i="17" s="1"/>
  <c r="V200" i="17"/>
  <c r="G192" i="17"/>
  <c r="K192" i="17" s="1"/>
  <c r="Q187" i="17"/>
  <c r="R187" i="17" s="1"/>
  <c r="G197" i="17" s="1"/>
  <c r="K197" i="17" s="1"/>
  <c r="Q186" i="17"/>
  <c r="R186" i="17" s="1"/>
  <c r="Q185" i="17"/>
  <c r="R185" i="17" s="1"/>
  <c r="G185" i="17" s="1"/>
  <c r="K185" i="17" s="1"/>
  <c r="Q184" i="17"/>
  <c r="R184" i="17" s="1"/>
  <c r="Q183" i="17"/>
  <c r="R183" i="17" s="1"/>
  <c r="Q182" i="17"/>
  <c r="R182" i="17" s="1"/>
  <c r="Q181" i="17"/>
  <c r="R181" i="17" s="1"/>
  <c r="Q180" i="17"/>
  <c r="G180" i="17"/>
  <c r="K180" i="17" s="1"/>
  <c r="K172" i="17"/>
  <c r="K171" i="17"/>
  <c r="K170" i="17"/>
  <c r="K169" i="17"/>
  <c r="K168" i="17"/>
  <c r="I162" i="17"/>
  <c r="I161" i="17"/>
  <c r="I160" i="17"/>
  <c r="I159" i="17"/>
  <c r="I158" i="17"/>
  <c r="I138" i="17"/>
  <c r="I137" i="17"/>
  <c r="I136" i="17"/>
  <c r="I135" i="17"/>
  <c r="I134" i="17"/>
  <c r="M130" i="17"/>
  <c r="L130" i="17"/>
  <c r="W126" i="17"/>
  <c r="X124" i="17"/>
  <c r="K122" i="17"/>
  <c r="V121" i="17"/>
  <c r="K117" i="17"/>
  <c r="AI116" i="17"/>
  <c r="AF116" i="17"/>
  <c r="AA116" i="17"/>
  <c r="AB116" i="17" s="1"/>
  <c r="K116" i="17"/>
  <c r="AJ115" i="17"/>
  <c r="K115" i="17"/>
  <c r="AJ114" i="17"/>
  <c r="Y114" i="17"/>
  <c r="K114" i="17"/>
  <c r="Y113" i="17"/>
  <c r="K113" i="17"/>
  <c r="K112" i="17"/>
  <c r="K111" i="17"/>
  <c r="K110" i="17"/>
  <c r="G105" i="17"/>
  <c r="T103" i="17"/>
  <c r="U103" i="17" s="1"/>
  <c r="S103" i="17"/>
  <c r="L103" i="17"/>
  <c r="T102" i="17"/>
  <c r="U102" i="17" s="1"/>
  <c r="S102" i="17"/>
  <c r="L102" i="17"/>
  <c r="T101" i="17"/>
  <c r="U101" i="17" s="1"/>
  <c r="S101" i="17"/>
  <c r="L101" i="17"/>
  <c r="L100" i="17"/>
  <c r="I99" i="17"/>
  <c r="L99" i="17" s="1"/>
  <c r="I98" i="17"/>
  <c r="L98" i="17" s="1"/>
  <c r="L97" i="17"/>
  <c r="I96" i="17"/>
  <c r="L96" i="17" s="1"/>
  <c r="L87" i="17"/>
  <c r="L86" i="17"/>
  <c r="L85" i="17"/>
  <c r="T84" i="17"/>
  <c r="U84" i="17" s="1"/>
  <c r="S84" i="17"/>
  <c r="L84" i="17"/>
  <c r="T83" i="17"/>
  <c r="U83" i="17" s="1"/>
  <c r="S83" i="17"/>
  <c r="L83" i="17"/>
  <c r="T82" i="17"/>
  <c r="U82" i="17" s="1"/>
  <c r="S82" i="17"/>
  <c r="L82" i="17"/>
  <c r="L81" i="17"/>
  <c r="I80" i="17"/>
  <c r="L80" i="17" s="1"/>
  <c r="I79" i="17"/>
  <c r="L79" i="17" s="1"/>
  <c r="L78" i="17"/>
  <c r="I77" i="17"/>
  <c r="L77" i="17" s="1"/>
  <c r="L58" i="17"/>
  <c r="L57" i="17"/>
  <c r="L56" i="17"/>
  <c r="L55" i="17"/>
  <c r="L54" i="17"/>
  <c r="L53" i="17"/>
  <c r="L52" i="17"/>
  <c r="L51" i="17"/>
  <c r="L50" i="17"/>
  <c r="L49" i="17"/>
  <c r="L48" i="17"/>
  <c r="L42" i="17"/>
  <c r="M42" i="17" s="1"/>
  <c r="Q42" i="17" s="1"/>
  <c r="L41" i="17"/>
  <c r="M41" i="17" s="1"/>
  <c r="Q41" i="17" s="1"/>
  <c r="L40" i="17"/>
  <c r="M40" i="17" s="1"/>
  <c r="Q40" i="17" s="1"/>
  <c r="L39" i="17"/>
  <c r="M39" i="17" s="1"/>
  <c r="Q39" i="17" s="1"/>
  <c r="L38" i="17"/>
  <c r="M38" i="17" s="1"/>
  <c r="Q38" i="17" s="1"/>
  <c r="L37" i="17"/>
  <c r="M37" i="17" s="1"/>
  <c r="Q37" i="17" s="1"/>
  <c r="L36" i="17"/>
  <c r="M36" i="17" s="1"/>
  <c r="Q36" i="17" s="1"/>
  <c r="S29" i="17"/>
  <c r="S23" i="17"/>
  <c r="T17" i="17"/>
  <c r="S17" i="17"/>
  <c r="M16" i="17"/>
  <c r="S16" i="17" s="1"/>
  <c r="T15" i="17"/>
  <c r="M15" i="17"/>
  <c r="S15" i="17" s="1"/>
  <c r="T14" i="17"/>
  <c r="M14" i="17"/>
  <c r="M13" i="17"/>
  <c r="P13" i="17" s="1"/>
  <c r="M12" i="17"/>
  <c r="S12" i="17" s="1"/>
  <c r="K12" i="17"/>
  <c r="T12" i="17" s="1"/>
  <c r="T11" i="17"/>
  <c r="M11" i="17"/>
  <c r="S11" i="17" s="1"/>
  <c r="M10" i="17"/>
  <c r="S10" i="17" s="1"/>
  <c r="K10" i="17"/>
  <c r="T9" i="17"/>
  <c r="M9" i="17"/>
  <c r="S9" i="17" s="1"/>
  <c r="M8" i="17"/>
  <c r="S8" i="17" s="1"/>
  <c r="M7" i="17"/>
  <c r="S7" i="17" s="1"/>
  <c r="S18" i="17" s="1"/>
  <c r="M6" i="17"/>
  <c r="C14" i="15"/>
  <c r="C13" i="15"/>
  <c r="K12" i="15"/>
  <c r="I12" i="15"/>
  <c r="C12" i="15"/>
  <c r="P30" i="62"/>
  <c r="P29" i="62"/>
  <c r="P28" i="62"/>
  <c r="P27" i="62"/>
  <c r="P26" i="62"/>
  <c r="P25" i="62"/>
  <c r="P24" i="62"/>
  <c r="P23" i="62"/>
  <c r="P22" i="62"/>
  <c r="P21" i="62"/>
  <c r="Q14" i="62"/>
  <c r="Q13" i="62"/>
  <c r="Q12" i="62"/>
  <c r="Q11" i="62"/>
  <c r="Q10" i="62"/>
  <c r="Q9" i="62"/>
  <c r="Q8" i="62"/>
  <c r="Q7" i="62"/>
  <c r="Q6" i="62"/>
  <c r="Q5" i="62"/>
  <c r="H15" i="31"/>
  <c r="I15" i="31" s="1"/>
  <c r="H14" i="31"/>
  <c r="I14" i="31" s="1"/>
  <c r="H13" i="31"/>
  <c r="I13" i="31" s="1"/>
  <c r="H12" i="31"/>
  <c r="I12" i="31" s="1"/>
  <c r="H11" i="31"/>
  <c r="I11" i="31" s="1"/>
  <c r="H10" i="31"/>
  <c r="I10" i="31" s="1"/>
  <c r="I9" i="31"/>
  <c r="H9" i="31"/>
  <c r="H8" i="31"/>
  <c r="I8" i="31" s="1"/>
  <c r="H7" i="31"/>
  <c r="I7" i="31" s="1"/>
  <c r="H6" i="31"/>
  <c r="I6" i="31" s="1"/>
  <c r="I5" i="31"/>
  <c r="H5" i="31"/>
  <c r="I4" i="31"/>
  <c r="H4" i="31"/>
  <c r="J19" i="92"/>
  <c r="D19" i="92"/>
  <c r="J18" i="92"/>
  <c r="D18" i="92"/>
  <c r="J17" i="92"/>
  <c r="D17" i="92"/>
  <c r="J16" i="92"/>
  <c r="D16" i="92"/>
  <c r="J15" i="92"/>
  <c r="D15" i="92"/>
  <c r="J14" i="92"/>
  <c r="D14" i="92"/>
  <c r="J13" i="92"/>
  <c r="D13" i="92"/>
  <c r="J12" i="92"/>
  <c r="D12" i="92"/>
  <c r="J11" i="92"/>
  <c r="D11" i="92"/>
  <c r="J10" i="92"/>
  <c r="D10" i="92"/>
  <c r="J9" i="92"/>
  <c r="D9" i="92"/>
  <c r="J8" i="92"/>
  <c r="D8" i="92"/>
  <c r="J7" i="92"/>
  <c r="D7" i="92"/>
  <c r="J6" i="92"/>
  <c r="D6" i="92"/>
  <c r="J5" i="92"/>
  <c r="D5" i="92"/>
  <c r="J4" i="92"/>
  <c r="D4" i="92"/>
  <c r="C8" i="106"/>
  <c r="C7" i="106"/>
  <c r="C6" i="106"/>
  <c r="C5" i="106"/>
  <c r="G7" i="100"/>
  <c r="C7" i="100"/>
  <c r="G6" i="100"/>
  <c r="C6" i="100"/>
  <c r="C5" i="100"/>
  <c r="N35" i="14"/>
  <c r="M35" i="14"/>
  <c r="N34" i="14"/>
  <c r="M34" i="14"/>
  <c r="N33" i="14"/>
  <c r="M33" i="14"/>
  <c r="N32" i="14"/>
  <c r="M32" i="14"/>
  <c r="N31" i="14"/>
  <c r="M31" i="14"/>
  <c r="N30" i="14"/>
  <c r="S29" i="14"/>
  <c r="S28" i="14"/>
  <c r="S27" i="14"/>
  <c r="J18" i="14"/>
  <c r="I18" i="14"/>
  <c r="H18" i="14"/>
  <c r="J17" i="14"/>
  <c r="I17" i="14"/>
  <c r="H17" i="14"/>
  <c r="J16" i="14"/>
  <c r="I16" i="14"/>
  <c r="H16" i="14"/>
  <c r="J15" i="14"/>
  <c r="I15" i="14"/>
  <c r="H15" i="14"/>
  <c r="J13" i="14"/>
  <c r="I13" i="14"/>
  <c r="H13" i="14"/>
  <c r="J12" i="14"/>
  <c r="I12" i="14"/>
  <c r="H12" i="14"/>
  <c r="J11" i="14"/>
  <c r="I11" i="14"/>
  <c r="H11" i="14"/>
  <c r="J10" i="14"/>
  <c r="I10" i="14"/>
  <c r="H10" i="14"/>
  <c r="J9" i="14"/>
  <c r="I9" i="14"/>
  <c r="H9" i="14"/>
  <c r="J8" i="14"/>
  <c r="I8" i="14"/>
  <c r="H8" i="14"/>
  <c r="J7" i="14"/>
  <c r="I7" i="14"/>
  <c r="H7" i="14"/>
  <c r="J6" i="14"/>
  <c r="I6" i="14"/>
  <c r="H6" i="14"/>
  <c r="J5" i="14"/>
  <c r="I5" i="14"/>
  <c r="H5" i="14"/>
  <c r="H20" i="12"/>
  <c r="I19" i="12"/>
  <c r="H19" i="12"/>
  <c r="I18" i="12"/>
  <c r="H18" i="12"/>
  <c r="I17" i="12"/>
  <c r="H17" i="12"/>
  <c r="I16" i="12"/>
  <c r="I15" i="12"/>
  <c r="H15" i="12"/>
  <c r="I14" i="12"/>
  <c r="H14" i="12"/>
  <c r="I13" i="12"/>
  <c r="H13" i="12"/>
  <c r="I12" i="12"/>
  <c r="I11" i="12"/>
  <c r="H11" i="12"/>
  <c r="I10" i="12"/>
  <c r="H10" i="12"/>
  <c r="I9" i="12"/>
  <c r="H9" i="12"/>
  <c r="I8" i="12"/>
  <c r="H8" i="12"/>
  <c r="I7" i="12"/>
  <c r="H7" i="12"/>
  <c r="I6" i="12"/>
  <c r="H6" i="12"/>
  <c r="I5" i="12"/>
  <c r="H5" i="12"/>
  <c r="R24" i="16"/>
  <c r="P24" i="16"/>
  <c r="N24" i="16"/>
  <c r="R23" i="16"/>
  <c r="P23" i="16"/>
  <c r="N23" i="16"/>
  <c r="R22" i="16"/>
  <c r="P22" i="16"/>
  <c r="N22" i="16"/>
  <c r="R17" i="16"/>
  <c r="P17" i="16"/>
  <c r="M17" i="16"/>
  <c r="R16" i="16"/>
  <c r="P16" i="16"/>
  <c r="N16" i="16"/>
  <c r="R15" i="16"/>
  <c r="P15" i="16"/>
  <c r="N15" i="16"/>
  <c r="R14" i="16"/>
  <c r="P14" i="16"/>
  <c r="M14" i="16"/>
  <c r="R13" i="16"/>
  <c r="P13" i="16"/>
  <c r="M13" i="16"/>
  <c r="R10" i="16"/>
  <c r="P10" i="16"/>
  <c r="F10" i="16"/>
  <c r="R9" i="16"/>
  <c r="P9" i="16"/>
  <c r="F9" i="16"/>
  <c r="R8" i="16"/>
  <c r="P8" i="16"/>
  <c r="M8" i="16"/>
  <c r="F8" i="16"/>
  <c r="R7" i="16"/>
  <c r="P7" i="16"/>
  <c r="M7" i="16"/>
  <c r="F7" i="16"/>
  <c r="R6" i="16"/>
  <c r="P6" i="16"/>
  <c r="M6" i="16"/>
  <c r="F6" i="16"/>
  <c r="R5" i="16"/>
  <c r="P5" i="16"/>
  <c r="M5" i="16"/>
  <c r="F5" i="16"/>
  <c r="R4" i="16"/>
  <c r="P4" i="16"/>
  <c r="M4" i="16"/>
  <c r="F4" i="16"/>
  <c r="O61" i="11"/>
  <c r="M61" i="11"/>
  <c r="M60" i="11"/>
  <c r="J60" i="11"/>
  <c r="H60" i="11"/>
  <c r="E60" i="11"/>
  <c r="M59" i="11"/>
  <c r="J59" i="11"/>
  <c r="H59" i="11"/>
  <c r="E59" i="11"/>
  <c r="M58" i="11"/>
  <c r="J58" i="11"/>
  <c r="H58" i="11"/>
  <c r="E58" i="11"/>
  <c r="M57" i="11"/>
  <c r="J57" i="11"/>
  <c r="H57" i="11"/>
  <c r="E57" i="11"/>
  <c r="M56" i="11"/>
  <c r="J56" i="11"/>
  <c r="H56" i="11"/>
  <c r="E56" i="11"/>
  <c r="M55" i="11"/>
  <c r="J55" i="11"/>
  <c r="H55" i="11"/>
  <c r="E55" i="11"/>
  <c r="M54" i="11"/>
  <c r="J54" i="11"/>
  <c r="H54" i="11"/>
  <c r="E54" i="11"/>
  <c r="M53" i="11"/>
  <c r="J53" i="11"/>
  <c r="H53" i="11"/>
  <c r="E53" i="11"/>
  <c r="M52" i="11"/>
  <c r="J52" i="11"/>
  <c r="H52" i="11"/>
  <c r="E52" i="11"/>
  <c r="M51" i="11"/>
  <c r="J51" i="11"/>
  <c r="H51" i="11"/>
  <c r="E51" i="11"/>
  <c r="M50" i="11"/>
  <c r="J50" i="11"/>
  <c r="H50" i="11"/>
  <c r="E50" i="11"/>
  <c r="M49" i="11"/>
  <c r="J49" i="11"/>
  <c r="H49" i="11"/>
  <c r="E49" i="11"/>
  <c r="M48" i="11"/>
  <c r="J48" i="11"/>
  <c r="H48" i="11"/>
  <c r="E48" i="11"/>
  <c r="M47" i="11"/>
  <c r="J47" i="11"/>
  <c r="H47" i="11"/>
  <c r="E47" i="11"/>
  <c r="M46" i="11"/>
  <c r="J46" i="11"/>
  <c r="H46" i="11"/>
  <c r="E46" i="11"/>
  <c r="M45" i="11"/>
  <c r="J45" i="11"/>
  <c r="H45" i="11"/>
  <c r="E45" i="11"/>
  <c r="M44" i="11"/>
  <c r="J44" i="11"/>
  <c r="H44" i="11"/>
  <c r="E44" i="11"/>
  <c r="M43" i="11"/>
  <c r="J43" i="11"/>
  <c r="H43" i="11"/>
  <c r="E43" i="11"/>
  <c r="M42" i="11"/>
  <c r="J42" i="11"/>
  <c r="H42" i="11"/>
  <c r="E42" i="11"/>
  <c r="M41" i="11"/>
  <c r="J41" i="11"/>
  <c r="H41" i="11"/>
  <c r="E41" i="11"/>
  <c r="M40" i="11"/>
  <c r="J40" i="11"/>
  <c r="H40" i="11"/>
  <c r="E40" i="11"/>
  <c r="M39" i="11"/>
  <c r="J39" i="11"/>
  <c r="H39" i="11"/>
  <c r="E39" i="11"/>
  <c r="M38" i="11"/>
  <c r="J38" i="11"/>
  <c r="H38" i="11"/>
  <c r="E38" i="11"/>
  <c r="M37" i="11"/>
  <c r="J37" i="11"/>
  <c r="H37" i="11"/>
  <c r="E37" i="11"/>
  <c r="M36" i="11"/>
  <c r="J36" i="11"/>
  <c r="H36" i="11"/>
  <c r="E36" i="11"/>
  <c r="M35" i="11"/>
  <c r="J35" i="11"/>
  <c r="H35" i="11"/>
  <c r="E35" i="11"/>
  <c r="M34" i="11"/>
  <c r="J34" i="11"/>
  <c r="H34" i="11"/>
  <c r="E34" i="11"/>
  <c r="M33" i="11"/>
  <c r="J33" i="11"/>
  <c r="H33" i="11"/>
  <c r="E33" i="11"/>
  <c r="M32" i="11"/>
  <c r="J32" i="11"/>
  <c r="H32" i="11"/>
  <c r="E32" i="11"/>
  <c r="M31" i="11"/>
  <c r="J31" i="11"/>
  <c r="H31" i="11"/>
  <c r="E31" i="11"/>
  <c r="I25" i="11"/>
  <c r="P24" i="11"/>
  <c r="M24" i="11"/>
  <c r="I24" i="11"/>
  <c r="M23" i="11"/>
  <c r="L23" i="11"/>
  <c r="J23" i="11"/>
  <c r="I23" i="11"/>
  <c r="G23" i="11"/>
  <c r="M22" i="11"/>
  <c r="L22" i="11"/>
  <c r="J22" i="11"/>
  <c r="I22" i="11"/>
  <c r="G22" i="11"/>
  <c r="M21" i="11"/>
  <c r="L21" i="11"/>
  <c r="J21" i="11"/>
  <c r="I21" i="11"/>
  <c r="G21" i="11"/>
  <c r="M20" i="11"/>
  <c r="L20" i="11"/>
  <c r="J20" i="11"/>
  <c r="I20" i="11"/>
  <c r="G20" i="11"/>
  <c r="M19" i="11"/>
  <c r="L19" i="11"/>
  <c r="J19" i="11"/>
  <c r="I19" i="11"/>
  <c r="G19" i="11"/>
  <c r="M18" i="11"/>
  <c r="L18" i="11"/>
  <c r="J18" i="11"/>
  <c r="I18" i="11"/>
  <c r="G18" i="11"/>
  <c r="M17" i="11"/>
  <c r="L17" i="11"/>
  <c r="J17" i="11"/>
  <c r="I17" i="11"/>
  <c r="G17" i="11"/>
  <c r="M16" i="11"/>
  <c r="L16" i="11"/>
  <c r="J16" i="11"/>
  <c r="I16" i="11"/>
  <c r="G16" i="11"/>
  <c r="M15" i="11"/>
  <c r="L15" i="11"/>
  <c r="J15" i="11"/>
  <c r="I15" i="11"/>
  <c r="G15" i="11"/>
  <c r="M14" i="11"/>
  <c r="L14" i="11"/>
  <c r="J14" i="11"/>
  <c r="I14" i="11"/>
  <c r="G14" i="11"/>
  <c r="M13" i="11"/>
  <c r="L13" i="11"/>
  <c r="J13" i="11"/>
  <c r="I13" i="11"/>
  <c r="G13" i="11"/>
  <c r="M12" i="11"/>
  <c r="L12" i="11"/>
  <c r="J12" i="11"/>
  <c r="I12" i="11"/>
  <c r="G12" i="11"/>
  <c r="M11" i="11"/>
  <c r="L11" i="11"/>
  <c r="J11" i="11"/>
  <c r="I11" i="11"/>
  <c r="G11" i="11"/>
  <c r="M10" i="11"/>
  <c r="L10" i="11"/>
  <c r="J10" i="11"/>
  <c r="I10" i="11"/>
  <c r="G10" i="11"/>
  <c r="M9" i="11"/>
  <c r="L9" i="11"/>
  <c r="J9" i="11"/>
  <c r="I9" i="11"/>
  <c r="G9" i="11"/>
  <c r="M8" i="11"/>
  <c r="L8" i="11"/>
  <c r="J8" i="11"/>
  <c r="I8" i="11"/>
  <c r="G8" i="11"/>
  <c r="M7" i="11"/>
  <c r="L7" i="11"/>
  <c r="J7" i="11"/>
  <c r="I7" i="11"/>
  <c r="G7" i="11"/>
  <c r="F33" i="32"/>
  <c r="C31" i="32"/>
  <c r="E24" i="32"/>
  <c r="E22" i="32"/>
  <c r="E21" i="32"/>
  <c r="G20" i="32"/>
  <c r="E20" i="32"/>
  <c r="E19" i="32"/>
  <c r="E18" i="32"/>
  <c r="E17" i="32"/>
  <c r="E16" i="32"/>
  <c r="E15" i="32"/>
  <c r="E14" i="32"/>
  <c r="E13" i="32"/>
  <c r="G12" i="32"/>
  <c r="E12" i="32"/>
  <c r="E11" i="32"/>
  <c r="E10" i="32"/>
  <c r="E9" i="32"/>
  <c r="E8" i="32"/>
  <c r="E7" i="32"/>
  <c r="E6" i="32"/>
  <c r="L64" i="33"/>
  <c r="L63" i="33"/>
  <c r="L62" i="33"/>
  <c r="L61" i="33"/>
  <c r="J61" i="33"/>
  <c r="L60" i="33"/>
  <c r="J60" i="33"/>
  <c r="L59" i="33"/>
  <c r="J59" i="33"/>
  <c r="L58" i="33"/>
  <c r="J58" i="33"/>
  <c r="L57" i="33"/>
  <c r="J57" i="33"/>
  <c r="J37" i="33"/>
  <c r="L35" i="33"/>
  <c r="J35" i="33"/>
  <c r="L34" i="33"/>
  <c r="J34" i="33"/>
  <c r="L33" i="33"/>
  <c r="J33" i="33"/>
  <c r="L32" i="33"/>
  <c r="J32" i="33"/>
  <c r="L31" i="33"/>
  <c r="J31" i="33"/>
  <c r="L30" i="33"/>
  <c r="J30" i="33"/>
  <c r="L29" i="33"/>
  <c r="J29" i="33"/>
  <c r="L28" i="33"/>
  <c r="J28" i="33"/>
  <c r="I28" i="33"/>
  <c r="L27" i="33"/>
  <c r="J27" i="33"/>
  <c r="L26" i="33"/>
  <c r="J26" i="33"/>
  <c r="L25" i="33"/>
  <c r="J25" i="33"/>
  <c r="L24" i="33"/>
  <c r="J24" i="33"/>
  <c r="L23" i="33"/>
  <c r="J23" i="33"/>
  <c r="L22" i="33"/>
  <c r="J22" i="33"/>
  <c r="I22" i="33"/>
  <c r="L21" i="33"/>
  <c r="J21" i="33"/>
  <c r="I21" i="33"/>
  <c r="L20" i="33"/>
  <c r="J20" i="33"/>
  <c r="L19" i="33"/>
  <c r="J19" i="33"/>
  <c r="L18" i="33"/>
  <c r="J18" i="33"/>
  <c r="L17" i="33"/>
  <c r="J17" i="33"/>
  <c r="L16" i="33"/>
  <c r="E34" i="70"/>
  <c r="E25" i="70"/>
  <c r="E15" i="70"/>
  <c r="K6" i="70"/>
  <c r="J6" i="70"/>
  <c r="I6" i="70"/>
  <c r="E53" i="69"/>
  <c r="E46" i="69"/>
  <c r="E37" i="69"/>
  <c r="L35" i="69"/>
  <c r="K30" i="69"/>
  <c r="J30" i="69"/>
  <c r="I30" i="69"/>
  <c r="E31" i="8"/>
  <c r="E26" i="8"/>
  <c r="E18" i="8"/>
  <c r="J10" i="8"/>
  <c r="I6" i="8"/>
  <c r="H6" i="8"/>
  <c r="G6" i="8"/>
  <c r="E31" i="36"/>
  <c r="E26" i="36"/>
  <c r="F18" i="36"/>
  <c r="M12" i="36"/>
  <c r="M10" i="36"/>
  <c r="L5" i="36"/>
  <c r="K5" i="36"/>
  <c r="J5" i="36"/>
  <c r="I5" i="36"/>
  <c r="H5" i="36"/>
  <c r="G5" i="36"/>
  <c r="E28" i="88"/>
  <c r="E24" i="88"/>
  <c r="E19" i="88"/>
  <c r="H14" i="88"/>
  <c r="H13" i="88"/>
  <c r="H11" i="88"/>
  <c r="G7" i="88"/>
  <c r="F7" i="88"/>
  <c r="E7" i="88"/>
  <c r="D7" i="88"/>
  <c r="C7" i="88"/>
  <c r="B7" i="88"/>
  <c r="E22" i="102"/>
  <c r="G5" i="102"/>
  <c r="F5" i="102"/>
  <c r="E5" i="102"/>
  <c r="C5" i="102"/>
  <c r="M21" i="108"/>
  <c r="O20" i="108"/>
  <c r="M20" i="108"/>
  <c r="A18" i="108"/>
  <c r="A15" i="108"/>
  <c r="A13" i="108"/>
  <c r="A11" i="108"/>
  <c r="I5" i="108"/>
  <c r="H5" i="108"/>
  <c r="G5" i="108"/>
  <c r="F5" i="108"/>
  <c r="E5" i="108"/>
  <c r="D5" i="108"/>
  <c r="G31" i="61"/>
  <c r="G30" i="61"/>
  <c r="G29" i="61"/>
  <c r="G28" i="61"/>
  <c r="G27" i="61"/>
  <c r="G26" i="61"/>
  <c r="G25" i="61"/>
  <c r="G24" i="61"/>
  <c r="G23" i="61"/>
  <c r="G22" i="61"/>
  <c r="G21" i="61"/>
  <c r="G20" i="61"/>
  <c r="N7" i="61"/>
  <c r="J7" i="61"/>
  <c r="J6" i="61"/>
  <c r="D6" i="61"/>
  <c r="J5" i="61"/>
  <c r="D5" i="61"/>
  <c r="N4" i="61"/>
  <c r="J4" i="61"/>
  <c r="D4" i="61"/>
  <c r="H18" i="116"/>
  <c r="H17" i="116"/>
  <c r="H16" i="116"/>
  <c r="H15" i="116"/>
  <c r="H14" i="116"/>
  <c r="H13" i="116"/>
  <c r="H12" i="116"/>
  <c r="H11" i="116"/>
  <c r="H10" i="116"/>
  <c r="H9" i="116"/>
  <c r="H8" i="116"/>
  <c r="H7" i="116"/>
  <c r="K113" i="53"/>
  <c r="P73" i="53"/>
  <c r="P72" i="53"/>
  <c r="P71" i="53"/>
  <c r="P70" i="53"/>
  <c r="P69" i="53"/>
  <c r="O69" i="53"/>
  <c r="Q230" i="47"/>
  <c r="O230" i="47"/>
  <c r="Q229" i="47"/>
  <c r="O229" i="47"/>
  <c r="Q228" i="47"/>
  <c r="O228" i="47"/>
  <c r="Q227" i="47"/>
  <c r="O227" i="47"/>
  <c r="Q226" i="47"/>
  <c r="O226" i="47"/>
  <c r="Q225" i="47"/>
  <c r="Q224" i="47"/>
  <c r="O224" i="47"/>
  <c r="Q223" i="47"/>
  <c r="O223" i="47"/>
  <c r="Q222" i="47"/>
  <c r="O222" i="47"/>
  <c r="Q221" i="47"/>
  <c r="O221" i="47"/>
  <c r="Q220" i="47"/>
  <c r="O220" i="47"/>
  <c r="Q219" i="47"/>
  <c r="O219" i="47"/>
  <c r="Q218" i="47"/>
  <c r="O218" i="47"/>
  <c r="Q217" i="47"/>
  <c r="O217" i="47"/>
  <c r="Q216" i="47"/>
  <c r="O216" i="47"/>
  <c r="Q215" i="47"/>
  <c r="O215" i="47"/>
  <c r="Q214" i="47"/>
  <c r="O214" i="47"/>
  <c r="Q213" i="47"/>
  <c r="O213" i="47"/>
  <c r="Q212" i="47"/>
  <c r="O212" i="47"/>
  <c r="Q211" i="47"/>
  <c r="O211" i="47"/>
  <c r="Q210" i="47"/>
  <c r="O210" i="47"/>
  <c r="Q209" i="47"/>
  <c r="O209" i="47"/>
  <c r="Q208" i="47"/>
  <c r="O208" i="47"/>
  <c r="Q207" i="47"/>
  <c r="O207" i="47"/>
  <c r="Q206" i="47"/>
  <c r="O206" i="47"/>
  <c r="Q205" i="47"/>
  <c r="O205" i="47"/>
  <c r="Q204" i="47"/>
  <c r="O204" i="47"/>
  <c r="Q203" i="47"/>
  <c r="O203" i="47"/>
  <c r="Q202" i="47"/>
  <c r="O202" i="47"/>
  <c r="Q201" i="47"/>
  <c r="O201" i="47"/>
  <c r="Q200" i="47"/>
  <c r="O200" i="47"/>
  <c r="Q199" i="47"/>
  <c r="O199" i="47"/>
  <c r="Q198" i="47"/>
  <c r="O198" i="47"/>
  <c r="Q197" i="47"/>
  <c r="O197" i="47"/>
  <c r="Q196" i="47"/>
  <c r="O196" i="47"/>
  <c r="Q195" i="47"/>
  <c r="O195" i="47"/>
  <c r="Q194" i="47"/>
  <c r="O194" i="47"/>
  <c r="Q193" i="47"/>
  <c r="O193" i="47"/>
  <c r="Q192" i="47"/>
  <c r="O192" i="47"/>
  <c r="Q191" i="47"/>
  <c r="O191" i="47"/>
  <c r="Q190" i="47"/>
  <c r="O190" i="47"/>
  <c r="Q189" i="47"/>
  <c r="O189" i="47"/>
  <c r="Q188" i="47"/>
  <c r="O188" i="47"/>
  <c r="Q187" i="47"/>
  <c r="O187" i="47"/>
  <c r="Q186" i="47"/>
  <c r="O186" i="47"/>
  <c r="Q185" i="47"/>
  <c r="O185" i="47"/>
  <c r="Q184" i="47"/>
  <c r="O184" i="47"/>
  <c r="Q183" i="47"/>
  <c r="O183" i="47"/>
  <c r="Q182" i="47"/>
  <c r="O182" i="47"/>
  <c r="Q181" i="47"/>
  <c r="O181" i="47"/>
  <c r="Q180" i="47"/>
  <c r="O180" i="47"/>
  <c r="Q179" i="47"/>
  <c r="O179" i="47"/>
  <c r="Q178" i="47"/>
  <c r="O178" i="47"/>
  <c r="Q177" i="47"/>
  <c r="O177" i="47"/>
  <c r="Q176" i="47"/>
  <c r="O176" i="47"/>
  <c r="Q175" i="47"/>
  <c r="O175" i="47"/>
  <c r="Q174" i="47"/>
  <c r="O174" i="47"/>
  <c r="Q173" i="47"/>
  <c r="O173" i="47"/>
  <c r="Q172" i="47"/>
  <c r="O172" i="47"/>
  <c r="Q171" i="47"/>
  <c r="O171" i="47"/>
  <c r="Q170" i="47"/>
  <c r="O170" i="47"/>
  <c r="Q169" i="47"/>
  <c r="O169" i="47"/>
  <c r="Q168" i="47"/>
  <c r="O168" i="47"/>
  <c r="Q167" i="47"/>
  <c r="O167" i="47"/>
  <c r="Q166" i="47"/>
  <c r="O166" i="47"/>
  <c r="Q165" i="47"/>
  <c r="O165" i="47"/>
  <c r="Q164" i="47"/>
  <c r="O164" i="47"/>
  <c r="Q163" i="47"/>
  <c r="O163" i="47"/>
  <c r="Q162" i="47"/>
  <c r="O162" i="47"/>
  <c r="Q161" i="47"/>
  <c r="O161" i="47"/>
  <c r="Q160" i="47"/>
  <c r="O160" i="47"/>
  <c r="Q159" i="47"/>
  <c r="O159" i="47"/>
  <c r="Q158" i="47"/>
  <c r="O158" i="47"/>
  <c r="Q157" i="47"/>
  <c r="O157" i="47"/>
  <c r="Q156" i="47"/>
  <c r="O156" i="47"/>
  <c r="Q155" i="47"/>
  <c r="O155" i="47"/>
  <c r="Q154" i="47"/>
  <c r="O154" i="47"/>
  <c r="Q153" i="47"/>
  <c r="O153" i="47"/>
  <c r="Q152" i="47"/>
  <c r="O152" i="47"/>
  <c r="Q151" i="47"/>
  <c r="O151" i="47"/>
  <c r="Q150" i="47"/>
  <c r="O150" i="47"/>
  <c r="Q149" i="47"/>
  <c r="O149" i="47"/>
  <c r="Q148" i="47"/>
  <c r="O148" i="47"/>
  <c r="Q147" i="47"/>
  <c r="O147" i="47"/>
  <c r="Q146" i="47"/>
  <c r="O146" i="47"/>
  <c r="Q145" i="47"/>
  <c r="O145" i="47"/>
  <c r="Q144" i="47"/>
  <c r="O144" i="47"/>
  <c r="Q143" i="47"/>
  <c r="O143" i="47"/>
  <c r="Q142" i="47"/>
  <c r="O142" i="47"/>
  <c r="Q141" i="47"/>
  <c r="O141" i="47"/>
  <c r="Q140" i="47"/>
  <c r="O140" i="47"/>
  <c r="Q139" i="47"/>
  <c r="O139" i="47"/>
  <c r="Q138" i="47"/>
  <c r="O138" i="47"/>
  <c r="Q137" i="47"/>
  <c r="O137" i="47"/>
  <c r="Q136" i="47"/>
  <c r="O136" i="47"/>
  <c r="Q135" i="47"/>
  <c r="O135" i="47"/>
  <c r="Q134" i="47"/>
  <c r="O134" i="47"/>
  <c r="Q133" i="47"/>
  <c r="O133" i="47"/>
  <c r="Q132" i="47"/>
  <c r="O132" i="47"/>
  <c r="Q131" i="47"/>
  <c r="O131" i="47"/>
  <c r="Q130" i="47"/>
  <c r="O130" i="47"/>
  <c r="Q129" i="47"/>
  <c r="O129" i="47"/>
  <c r="Q128" i="47"/>
  <c r="O128" i="47"/>
  <c r="Q127" i="47"/>
  <c r="O127" i="47"/>
  <c r="Q126" i="47"/>
  <c r="O126" i="47"/>
  <c r="Q125" i="47"/>
  <c r="O125" i="47"/>
  <c r="Q124" i="47"/>
  <c r="O124" i="47"/>
  <c r="Q123" i="47"/>
  <c r="O123" i="47"/>
  <c r="Q122" i="47"/>
  <c r="O122" i="47"/>
  <c r="Q121" i="47"/>
  <c r="O121" i="47"/>
  <c r="Q120" i="47"/>
  <c r="O120" i="47"/>
  <c r="Q119" i="47"/>
  <c r="O119" i="47"/>
  <c r="Q118" i="47"/>
  <c r="O118" i="47"/>
  <c r="Q117" i="47"/>
  <c r="O117" i="47"/>
  <c r="Q116" i="47"/>
  <c r="O116" i="47"/>
  <c r="Q115" i="47"/>
  <c r="O115" i="47"/>
  <c r="Q114" i="47"/>
  <c r="O114" i="47"/>
  <c r="Q113" i="47"/>
  <c r="O113" i="47"/>
  <c r="Q112" i="47"/>
  <c r="O112" i="47"/>
  <c r="Q111" i="47"/>
  <c r="O111" i="47"/>
  <c r="Q110" i="47"/>
  <c r="O110" i="47"/>
  <c r="Q109" i="47"/>
  <c r="O109" i="47"/>
  <c r="Q108" i="47"/>
  <c r="O108" i="47"/>
  <c r="Q107" i="47"/>
  <c r="O107" i="47"/>
  <c r="Q106" i="47"/>
  <c r="O106" i="47"/>
  <c r="Q105" i="47"/>
  <c r="O105" i="47"/>
  <c r="Q104" i="47"/>
  <c r="O104" i="47"/>
  <c r="Q103" i="47"/>
  <c r="O103" i="47"/>
  <c r="Q102" i="47"/>
  <c r="O102" i="47"/>
  <c r="Q101" i="47"/>
  <c r="O101" i="47"/>
  <c r="Q100" i="47"/>
  <c r="O100" i="47"/>
  <c r="Q99" i="47"/>
  <c r="O99" i="47"/>
  <c r="Q98" i="47"/>
  <c r="O98" i="47"/>
  <c r="Q97" i="47"/>
  <c r="O97" i="47"/>
  <c r="Q96" i="47"/>
  <c r="O96" i="47"/>
  <c r="Q95" i="47"/>
  <c r="O95" i="47"/>
  <c r="Q94" i="47"/>
  <c r="O94" i="47"/>
  <c r="Q93" i="47"/>
  <c r="O93" i="47"/>
  <c r="Q92" i="47"/>
  <c r="O92" i="47"/>
  <c r="Q91" i="47"/>
  <c r="O91" i="47"/>
  <c r="Q90" i="47"/>
  <c r="O90" i="47"/>
  <c r="Q89" i="47"/>
  <c r="O89" i="47"/>
  <c r="Q88" i="47"/>
  <c r="O88" i="47"/>
  <c r="Q87" i="47"/>
  <c r="O87" i="47"/>
  <c r="Q86" i="47"/>
  <c r="O86" i="47"/>
  <c r="Q85" i="47"/>
  <c r="O85" i="47"/>
  <c r="Q84" i="47"/>
  <c r="O84" i="47"/>
  <c r="N21" i="47"/>
  <c r="L21" i="47"/>
  <c r="O15" i="47"/>
  <c r="O13" i="47"/>
  <c r="L6" i="47"/>
  <c r="L5" i="47"/>
  <c r="R190" i="134"/>
  <c r="R189" i="134"/>
  <c r="R188" i="134"/>
  <c r="R187" i="134"/>
  <c r="P187" i="134"/>
  <c r="R186" i="134"/>
  <c r="P186" i="134"/>
  <c r="R185" i="134"/>
  <c r="P185" i="134"/>
  <c r="R184" i="134"/>
  <c r="P184" i="134"/>
  <c r="M171" i="134"/>
  <c r="K171" i="134"/>
  <c r="M170" i="134"/>
  <c r="K170" i="134"/>
  <c r="M169" i="134"/>
  <c r="K169" i="134"/>
  <c r="M168" i="134"/>
  <c r="K168" i="134"/>
  <c r="M167" i="134"/>
  <c r="K167" i="134"/>
  <c r="M166" i="134"/>
  <c r="K166" i="134"/>
  <c r="M165" i="134"/>
  <c r="K165" i="134"/>
  <c r="M164" i="134"/>
  <c r="K164" i="134"/>
  <c r="M163" i="134"/>
  <c r="K163" i="134"/>
  <c r="M162" i="134"/>
  <c r="K162" i="134"/>
  <c r="M161" i="134"/>
  <c r="K161" i="134"/>
  <c r="M160" i="134"/>
  <c r="K160" i="134"/>
  <c r="M159" i="134"/>
  <c r="K159" i="134"/>
  <c r="M158" i="134"/>
  <c r="K158" i="134"/>
  <c r="M157" i="134"/>
  <c r="K157" i="134"/>
  <c r="M156" i="134"/>
  <c r="K156" i="134"/>
  <c r="M155" i="134"/>
  <c r="K155" i="134"/>
  <c r="M154" i="134"/>
  <c r="K154" i="134"/>
  <c r="M153" i="134"/>
  <c r="K153" i="134"/>
  <c r="M152" i="134"/>
  <c r="K152" i="134"/>
  <c r="M151" i="134"/>
  <c r="K151" i="134"/>
  <c r="M150" i="134"/>
  <c r="K150" i="134"/>
  <c r="M149" i="134"/>
  <c r="K149" i="134"/>
  <c r="M148" i="134"/>
  <c r="K148" i="134"/>
  <c r="M147" i="134"/>
  <c r="K147" i="134"/>
  <c r="M146" i="134"/>
  <c r="K146" i="134"/>
  <c r="M145" i="134"/>
  <c r="K145" i="134"/>
  <c r="M144" i="134"/>
  <c r="K144" i="134"/>
  <c r="M143" i="134"/>
  <c r="K143" i="134"/>
  <c r="M142" i="134"/>
  <c r="K142" i="134"/>
  <c r="M141" i="134"/>
  <c r="K141" i="134"/>
  <c r="M140" i="134"/>
  <c r="K140" i="134"/>
  <c r="M139" i="134"/>
  <c r="K139" i="134"/>
  <c r="M138" i="134"/>
  <c r="K138" i="134"/>
  <c r="M137" i="134"/>
  <c r="K137" i="134"/>
  <c r="M136" i="134"/>
  <c r="K136" i="134"/>
  <c r="M135" i="134"/>
  <c r="K135" i="134"/>
  <c r="M134" i="134"/>
  <c r="K134" i="134"/>
  <c r="M133" i="134"/>
  <c r="K133" i="134"/>
  <c r="M132" i="134"/>
  <c r="K132" i="134"/>
  <c r="M131" i="134"/>
  <c r="K131" i="134"/>
  <c r="M130" i="134"/>
  <c r="K130" i="134"/>
  <c r="M129" i="134"/>
  <c r="K129" i="134"/>
  <c r="M128" i="134"/>
  <c r="K128" i="134"/>
  <c r="M127" i="134"/>
  <c r="K127" i="134"/>
  <c r="M126" i="134"/>
  <c r="K126" i="134"/>
  <c r="M125" i="134"/>
  <c r="K125" i="134"/>
  <c r="M124" i="134"/>
  <c r="K124" i="134"/>
  <c r="M123" i="134"/>
  <c r="K123" i="134"/>
  <c r="M122" i="134"/>
  <c r="K122" i="134"/>
  <c r="M121" i="134"/>
  <c r="K121" i="134"/>
  <c r="M120" i="134"/>
  <c r="K120" i="134"/>
  <c r="M119" i="134"/>
  <c r="K119" i="134"/>
  <c r="M118" i="134"/>
  <c r="K118" i="134"/>
  <c r="M117" i="134"/>
  <c r="K117" i="134"/>
  <c r="M116" i="134"/>
  <c r="K116" i="134"/>
  <c r="M115" i="134"/>
  <c r="K115" i="134"/>
  <c r="M114" i="134"/>
  <c r="K114" i="134"/>
  <c r="M113" i="134"/>
  <c r="K113" i="134"/>
  <c r="M112" i="134"/>
  <c r="K112" i="134"/>
  <c r="M111" i="134"/>
  <c r="K111" i="134"/>
  <c r="M110" i="134"/>
  <c r="K110" i="134"/>
  <c r="M109" i="134"/>
  <c r="K109" i="134"/>
  <c r="M108" i="134"/>
  <c r="K108" i="134"/>
  <c r="M107" i="134"/>
  <c r="K107" i="134"/>
  <c r="M106" i="134"/>
  <c r="K106" i="134"/>
  <c r="M105" i="134"/>
  <c r="K105" i="134"/>
  <c r="M104" i="134"/>
  <c r="K104" i="134"/>
  <c r="M103" i="134"/>
  <c r="K103" i="134"/>
  <c r="M102" i="134"/>
  <c r="K102" i="134"/>
  <c r="M101" i="134"/>
  <c r="K101" i="134"/>
  <c r="M100" i="134"/>
  <c r="K100" i="134"/>
  <c r="M99" i="134"/>
  <c r="K99" i="134"/>
  <c r="M98" i="134"/>
  <c r="K98" i="134"/>
  <c r="M97" i="134"/>
  <c r="K97" i="134"/>
  <c r="M96" i="134"/>
  <c r="K96" i="134"/>
  <c r="M95" i="134"/>
  <c r="K95" i="134"/>
  <c r="M94" i="134"/>
  <c r="K94" i="134"/>
  <c r="M93" i="134"/>
  <c r="K93" i="134"/>
  <c r="M92" i="134"/>
  <c r="K92" i="134"/>
  <c r="M91" i="134"/>
  <c r="K91" i="134"/>
  <c r="M90" i="134"/>
  <c r="K90" i="134"/>
  <c r="M89" i="134"/>
  <c r="K89" i="134"/>
  <c r="M88" i="134"/>
  <c r="K88" i="134"/>
  <c r="M87" i="134"/>
  <c r="K87" i="134"/>
  <c r="M86" i="134"/>
  <c r="K86" i="134"/>
  <c r="M85" i="134"/>
  <c r="K85" i="134"/>
  <c r="M84" i="134"/>
  <c r="K84" i="134"/>
  <c r="M83" i="134"/>
  <c r="K83" i="134"/>
  <c r="M82" i="134"/>
  <c r="K82" i="134"/>
  <c r="M81" i="134"/>
  <c r="K81" i="134"/>
  <c r="M80" i="134"/>
  <c r="K80" i="134"/>
  <c r="M79" i="134"/>
  <c r="K79" i="134"/>
  <c r="M78" i="134"/>
  <c r="K78" i="134"/>
  <c r="M77" i="134"/>
  <c r="K77" i="134"/>
  <c r="M76" i="134"/>
  <c r="K76" i="134"/>
  <c r="M75" i="134"/>
  <c r="K75" i="134"/>
  <c r="M74" i="134"/>
  <c r="K74" i="134"/>
  <c r="M73" i="134"/>
  <c r="K73" i="134"/>
  <c r="M72" i="134"/>
  <c r="K72" i="134"/>
  <c r="M71" i="134"/>
  <c r="K71" i="134"/>
  <c r="M70" i="134"/>
  <c r="K70" i="134"/>
  <c r="M69" i="134"/>
  <c r="K69" i="134"/>
  <c r="M68" i="134"/>
  <c r="K68" i="134"/>
  <c r="M67" i="134"/>
  <c r="K67" i="134"/>
  <c r="M66" i="134"/>
  <c r="K66" i="134"/>
  <c r="M65" i="134"/>
  <c r="K65" i="134"/>
  <c r="M64" i="134"/>
  <c r="K64" i="134"/>
  <c r="M63" i="134"/>
  <c r="K63" i="134"/>
  <c r="M62" i="134"/>
  <c r="K62" i="134"/>
  <c r="M61" i="134"/>
  <c r="K61" i="134"/>
  <c r="M59" i="134"/>
  <c r="K59" i="134"/>
  <c r="M58" i="134"/>
  <c r="K58" i="134"/>
  <c r="M57" i="134"/>
  <c r="K57" i="134"/>
  <c r="M56" i="134"/>
  <c r="K56" i="134"/>
  <c r="M55" i="134"/>
  <c r="K55" i="134"/>
  <c r="M54" i="134"/>
  <c r="K54" i="134"/>
  <c r="M53" i="134"/>
  <c r="K53" i="134"/>
  <c r="M52" i="134"/>
  <c r="K52" i="134"/>
  <c r="M51" i="134"/>
  <c r="K51" i="134"/>
  <c r="M50" i="134"/>
  <c r="K50" i="134"/>
  <c r="M49" i="134"/>
  <c r="K49" i="134"/>
  <c r="K48" i="134"/>
  <c r="M47" i="134"/>
  <c r="K47" i="134"/>
  <c r="M46" i="134"/>
  <c r="K46" i="134"/>
  <c r="M45" i="134"/>
  <c r="K45" i="134"/>
  <c r="M44" i="134"/>
  <c r="K44" i="134"/>
  <c r="M43" i="134"/>
  <c r="K43" i="134"/>
  <c r="M42" i="134"/>
  <c r="K42" i="134"/>
  <c r="M41" i="134"/>
  <c r="K41" i="134"/>
  <c r="M40" i="134"/>
  <c r="K40" i="134"/>
  <c r="M39" i="134"/>
  <c r="K39" i="134"/>
  <c r="M38" i="134"/>
  <c r="K38" i="134"/>
  <c r="M37" i="134"/>
  <c r="K37" i="134"/>
  <c r="M36" i="134"/>
  <c r="K36" i="134"/>
  <c r="M35" i="134"/>
  <c r="K35" i="134"/>
  <c r="M34" i="134"/>
  <c r="K34" i="134"/>
  <c r="M33" i="134"/>
  <c r="K33" i="134"/>
  <c r="M32" i="134"/>
  <c r="K32" i="134"/>
  <c r="M31" i="134"/>
  <c r="K31" i="134"/>
  <c r="M30" i="134"/>
  <c r="K30" i="134"/>
  <c r="M29" i="134"/>
  <c r="K29" i="134"/>
  <c r="M28" i="134"/>
  <c r="K28" i="134"/>
  <c r="M27" i="134"/>
  <c r="K27" i="134"/>
  <c r="M26" i="134"/>
  <c r="K26" i="134"/>
  <c r="M25" i="134"/>
  <c r="K25" i="134"/>
  <c r="M24" i="134"/>
  <c r="K24" i="134"/>
  <c r="M23" i="134"/>
  <c r="K23" i="134"/>
  <c r="M22" i="134"/>
  <c r="K22" i="134"/>
  <c r="M21" i="134"/>
  <c r="K21" i="134"/>
  <c r="M20" i="134"/>
  <c r="K20" i="134"/>
  <c r="M19" i="134"/>
  <c r="K19" i="134"/>
  <c r="M18" i="134"/>
  <c r="K18" i="134"/>
  <c r="M17" i="134"/>
  <c r="K17" i="134"/>
  <c r="M16" i="134"/>
  <c r="K16" i="134"/>
  <c r="M15" i="134"/>
  <c r="K15" i="134"/>
  <c r="M14" i="134"/>
  <c r="K14" i="134"/>
  <c r="M13" i="134"/>
  <c r="K13" i="134"/>
  <c r="M12" i="134"/>
  <c r="K12" i="134"/>
  <c r="M11" i="134"/>
  <c r="K11" i="134"/>
  <c r="M10" i="134"/>
  <c r="K10" i="134"/>
  <c r="M9" i="134"/>
  <c r="K9" i="134"/>
  <c r="M8" i="134"/>
  <c r="K8" i="134"/>
  <c r="M7" i="134"/>
  <c r="K7" i="134"/>
  <c r="M6" i="134"/>
  <c r="K6" i="134"/>
  <c r="M5" i="134"/>
  <c r="K5" i="134"/>
  <c r="H13" i="123"/>
  <c r="M12" i="123"/>
  <c r="K12" i="123"/>
  <c r="H12" i="123"/>
  <c r="F12" i="123"/>
  <c r="M11" i="123"/>
  <c r="K11" i="123"/>
  <c r="H11" i="123"/>
  <c r="F11" i="123"/>
  <c r="M10" i="123"/>
  <c r="K10" i="123"/>
  <c r="H10" i="123"/>
  <c r="F10" i="123"/>
  <c r="M9" i="123"/>
  <c r="K9" i="123"/>
  <c r="H9" i="123"/>
  <c r="F9" i="123"/>
  <c r="M8" i="123"/>
  <c r="K8" i="123"/>
  <c r="H8" i="123"/>
  <c r="F8" i="123"/>
  <c r="J18" i="119"/>
  <c r="J17" i="119"/>
  <c r="J16" i="119"/>
  <c r="J15" i="119"/>
  <c r="J14" i="119"/>
  <c r="J13" i="119"/>
  <c r="J12" i="119"/>
  <c r="J11" i="119"/>
  <c r="J10" i="119"/>
  <c r="J9" i="119"/>
  <c r="J8" i="119"/>
  <c r="J7" i="119"/>
  <c r="J6" i="119"/>
  <c r="J5" i="119"/>
  <c r="P59" i="81"/>
  <c r="P58" i="81"/>
  <c r="P57" i="81"/>
  <c r="P56" i="81"/>
  <c r="O56" i="81"/>
  <c r="C56" i="81"/>
  <c r="P55" i="81"/>
  <c r="O55" i="81"/>
  <c r="C55" i="81"/>
  <c r="P54" i="81"/>
  <c r="O54" i="81"/>
  <c r="J54" i="81"/>
  <c r="G54" i="81"/>
  <c r="C54" i="81"/>
  <c r="P52" i="81"/>
  <c r="O52" i="81"/>
  <c r="C52" i="81"/>
  <c r="P51" i="81"/>
  <c r="O51" i="81"/>
  <c r="J51" i="81"/>
  <c r="P50" i="81"/>
  <c r="O50" i="81"/>
  <c r="C50" i="81"/>
  <c r="P49" i="81"/>
  <c r="O49" i="81"/>
  <c r="J49" i="81"/>
  <c r="C49" i="81"/>
  <c r="P48" i="81"/>
  <c r="O48" i="81"/>
  <c r="C48" i="81"/>
  <c r="P47" i="81"/>
  <c r="O47" i="81"/>
  <c r="J47" i="81"/>
  <c r="P46" i="81"/>
  <c r="O46" i="81"/>
  <c r="C46" i="81"/>
  <c r="P45" i="81"/>
  <c r="O45" i="81"/>
  <c r="J45" i="81"/>
  <c r="P44" i="81"/>
  <c r="O44" i="81"/>
  <c r="J43" i="81"/>
  <c r="J39" i="81"/>
  <c r="G39" i="81"/>
  <c r="J37" i="81"/>
  <c r="G37" i="81"/>
  <c r="J35" i="81"/>
  <c r="J33" i="81"/>
  <c r="J31" i="81"/>
  <c r="G31" i="81"/>
  <c r="J30" i="81"/>
  <c r="G30" i="81"/>
  <c r="J28" i="81"/>
  <c r="G28" i="81"/>
  <c r="J4" i="81"/>
  <c r="R85" i="82"/>
  <c r="R87" i="82" s="1"/>
  <c r="G35" i="82"/>
  <c r="G34" i="82"/>
  <c r="G33" i="82"/>
  <c r="I32" i="82"/>
  <c r="G32" i="82"/>
  <c r="J32" i="82" s="1"/>
  <c r="I31" i="82"/>
  <c r="G31" i="82"/>
  <c r="I30" i="82"/>
  <c r="G30" i="82"/>
  <c r="I29" i="82"/>
  <c r="G29" i="82"/>
  <c r="I28" i="82"/>
  <c r="M38" i="82" s="1"/>
  <c r="G28" i="82"/>
  <c r="L38" i="82" s="1"/>
  <c r="U10" i="82"/>
  <c r="S10" i="82"/>
  <c r="U9" i="82"/>
  <c r="S9" i="82"/>
  <c r="U8" i="82"/>
  <c r="S8" i="82"/>
  <c r="U7" i="82"/>
  <c r="S7" i="82"/>
  <c r="P7" i="82"/>
  <c r="M7" i="82"/>
  <c r="J7" i="82"/>
  <c r="U6" i="82"/>
  <c r="S6" i="82"/>
  <c r="P6" i="82"/>
  <c r="M6" i="82"/>
  <c r="J6" i="82"/>
  <c r="U5" i="82"/>
  <c r="P5" i="82"/>
  <c r="M5" i="82"/>
  <c r="J5" i="82"/>
  <c r="U4" i="82"/>
  <c r="S4" i="82"/>
  <c r="P4" i="82"/>
  <c r="M4" i="82"/>
  <c r="J4" i="82"/>
  <c r="L102" i="109"/>
  <c r="M102" i="109" s="1"/>
  <c r="L101" i="109"/>
  <c r="M101" i="109" s="1"/>
  <c r="L100" i="109"/>
  <c r="M100" i="109" s="1"/>
  <c r="L99" i="109"/>
  <c r="M99" i="109" s="1"/>
  <c r="L98" i="109"/>
  <c r="M98" i="109" s="1"/>
  <c r="L97" i="109"/>
  <c r="M97" i="109" s="1"/>
  <c r="L96" i="109"/>
  <c r="M96" i="109" s="1"/>
  <c r="L95" i="109"/>
  <c r="M95" i="109" s="1"/>
  <c r="L94" i="109"/>
  <c r="M94" i="109" s="1"/>
  <c r="L93" i="109"/>
  <c r="M93" i="109" s="1"/>
  <c r="L92" i="109"/>
  <c r="M92" i="109" s="1"/>
  <c r="L91" i="109"/>
  <c r="M91" i="109" s="1"/>
  <c r="L90" i="109"/>
  <c r="M90" i="109" s="1"/>
  <c r="L89" i="109"/>
  <c r="M89" i="109" s="1"/>
  <c r="L88" i="109"/>
  <c r="M88" i="109" s="1"/>
  <c r="L87" i="109"/>
  <c r="M87" i="109" s="1"/>
  <c r="L86" i="109"/>
  <c r="M86" i="109" s="1"/>
  <c r="L85" i="109"/>
  <c r="M85" i="109" s="1"/>
  <c r="L84" i="109"/>
  <c r="M84" i="109" s="1"/>
  <c r="L83" i="109"/>
  <c r="M83" i="109" s="1"/>
  <c r="L82" i="109"/>
  <c r="M82" i="109" s="1"/>
  <c r="L81" i="109"/>
  <c r="M81" i="109" s="1"/>
  <c r="L80" i="109"/>
  <c r="M80" i="109" s="1"/>
  <c r="L79" i="109"/>
  <c r="M79" i="109" s="1"/>
  <c r="L78" i="109"/>
  <c r="M78" i="109" s="1"/>
  <c r="L77" i="109"/>
  <c r="M77" i="109" s="1"/>
  <c r="L76" i="109"/>
  <c r="M76" i="109" s="1"/>
  <c r="L75" i="109"/>
  <c r="M75" i="109" s="1"/>
  <c r="L74" i="109"/>
  <c r="M74" i="109" s="1"/>
  <c r="L73" i="109"/>
  <c r="M73" i="109" s="1"/>
  <c r="L72" i="109"/>
  <c r="M72" i="109" s="1"/>
  <c r="L71" i="109"/>
  <c r="M71" i="109" s="1"/>
  <c r="L70" i="109"/>
  <c r="M70" i="109" s="1"/>
  <c r="L69" i="109"/>
  <c r="M69" i="109" s="1"/>
  <c r="L68" i="109"/>
  <c r="M68" i="109" s="1"/>
  <c r="L67" i="109"/>
  <c r="M67" i="109" s="1"/>
  <c r="L66" i="109"/>
  <c r="M66" i="109" s="1"/>
  <c r="L65" i="109"/>
  <c r="M65" i="109" s="1"/>
  <c r="L64" i="109"/>
  <c r="M64" i="109" s="1"/>
  <c r="L63" i="109"/>
  <c r="M63" i="109" s="1"/>
  <c r="L62" i="109"/>
  <c r="M62" i="109" s="1"/>
  <c r="L61" i="109"/>
  <c r="M61" i="109" s="1"/>
  <c r="L60" i="109"/>
  <c r="M60" i="109" s="1"/>
  <c r="L59" i="109"/>
  <c r="M59" i="109" s="1"/>
  <c r="L58" i="109"/>
  <c r="M58" i="109" s="1"/>
  <c r="L57" i="109"/>
  <c r="M57" i="109" s="1"/>
  <c r="L56" i="109"/>
  <c r="M56" i="109" s="1"/>
  <c r="L55" i="109"/>
  <c r="M55" i="109" s="1"/>
  <c r="L54" i="109"/>
  <c r="M54" i="109" s="1"/>
  <c r="L53" i="109"/>
  <c r="M53" i="109" s="1"/>
  <c r="L52" i="109"/>
  <c r="M52" i="109" s="1"/>
  <c r="L51" i="109"/>
  <c r="M51" i="109" s="1"/>
  <c r="L50" i="109"/>
  <c r="M50" i="109" s="1"/>
  <c r="L49" i="109"/>
  <c r="M49" i="109" s="1"/>
  <c r="L48" i="109"/>
  <c r="M48" i="109" s="1"/>
  <c r="L47" i="109"/>
  <c r="M47" i="109" s="1"/>
  <c r="L46" i="109"/>
  <c r="M46" i="109" s="1"/>
  <c r="L45" i="109"/>
  <c r="M45" i="109" s="1"/>
  <c r="L44" i="109"/>
  <c r="M44" i="109" s="1"/>
  <c r="L43" i="109"/>
  <c r="M43" i="109" s="1"/>
  <c r="L42" i="109"/>
  <c r="M42" i="109" s="1"/>
  <c r="L41" i="109"/>
  <c r="M41" i="109" s="1"/>
  <c r="L40" i="109"/>
  <c r="M40" i="109" s="1"/>
  <c r="L39" i="109"/>
  <c r="M39" i="109" s="1"/>
  <c r="L38" i="109"/>
  <c r="M38" i="109" s="1"/>
  <c r="L37" i="109"/>
  <c r="M37" i="109" s="1"/>
  <c r="L36" i="109"/>
  <c r="M36" i="109" s="1"/>
  <c r="L35" i="109"/>
  <c r="M35" i="109" s="1"/>
  <c r="L34" i="109"/>
  <c r="M34" i="109" s="1"/>
  <c r="L33" i="109"/>
  <c r="M33" i="109" s="1"/>
  <c r="L32" i="109"/>
  <c r="M32" i="109" s="1"/>
  <c r="L31" i="109"/>
  <c r="M31" i="109" s="1"/>
  <c r="L30" i="109"/>
  <c r="P29" i="109"/>
  <c r="R28" i="109" s="1"/>
  <c r="L29" i="109"/>
  <c r="M29" i="109" s="1"/>
  <c r="L28" i="109"/>
  <c r="M28" i="109" s="1"/>
  <c r="M27" i="109"/>
  <c r="L27" i="109"/>
  <c r="M26" i="109"/>
  <c r="L26" i="109"/>
  <c r="I19" i="109"/>
  <c r="I17" i="109"/>
  <c r="O39" i="110"/>
  <c r="K33" i="110"/>
  <c r="K35" i="110" s="1"/>
  <c r="K26" i="110"/>
  <c r="K25" i="110"/>
  <c r="K31" i="110" s="1"/>
  <c r="K24" i="110"/>
  <c r="O24" i="110" s="1"/>
  <c r="K23" i="110"/>
  <c r="O23" i="110" s="1"/>
  <c r="P22" i="110"/>
  <c r="K22" i="110"/>
  <c r="K21" i="110"/>
  <c r="O21" i="110" s="1"/>
  <c r="K20" i="110"/>
  <c r="O20" i="110" s="1"/>
  <c r="K19" i="110"/>
  <c r="O19" i="110" s="1"/>
  <c r="K16" i="110"/>
  <c r="K15" i="110"/>
  <c r="K14" i="110"/>
  <c r="K17" i="110" s="1"/>
  <c r="K12" i="110"/>
  <c r="K11" i="110"/>
  <c r="K10" i="110"/>
  <c r="L10" i="110" s="1"/>
  <c r="K9" i="110"/>
  <c r="L9" i="110" s="1"/>
  <c r="K8" i="110"/>
  <c r="K7" i="110"/>
  <c r="K6" i="110"/>
  <c r="L6" i="110" s="1"/>
  <c r="J26" i="117"/>
  <c r="J25" i="117"/>
  <c r="J48" i="80"/>
  <c r="I48" i="80"/>
  <c r="J47" i="80"/>
  <c r="I47" i="80"/>
  <c r="J38" i="80"/>
  <c r="I38" i="80"/>
  <c r="J37" i="80"/>
  <c r="I37" i="80"/>
  <c r="J36" i="80"/>
  <c r="I36" i="80"/>
  <c r="I35" i="80"/>
  <c r="J34" i="80"/>
  <c r="I34" i="80"/>
  <c r="J32" i="80"/>
  <c r="I32" i="80"/>
  <c r="J30" i="80"/>
  <c r="I30" i="80"/>
  <c r="J29" i="80"/>
  <c r="I29" i="80"/>
  <c r="J28" i="80"/>
  <c r="I28" i="80"/>
  <c r="J27" i="80"/>
  <c r="I27" i="80"/>
  <c r="J26" i="80"/>
  <c r="I26" i="80"/>
  <c r="J25" i="80"/>
  <c r="I25" i="80"/>
  <c r="J24" i="80"/>
  <c r="I24" i="80"/>
  <c r="J23" i="80"/>
  <c r="I23" i="80"/>
  <c r="J22" i="80"/>
  <c r="I22" i="80"/>
  <c r="J21" i="80"/>
  <c r="I21" i="80"/>
  <c r="J19" i="80"/>
  <c r="I19" i="80"/>
  <c r="J17" i="80"/>
  <c r="I17" i="80"/>
  <c r="J16" i="80"/>
  <c r="I16" i="80"/>
  <c r="J15" i="80"/>
  <c r="I15" i="80"/>
  <c r="J14" i="80"/>
  <c r="I14" i="80"/>
  <c r="J13" i="80"/>
  <c r="I13" i="80"/>
  <c r="J12" i="80"/>
  <c r="I12" i="80"/>
  <c r="J11" i="80"/>
  <c r="I11" i="80"/>
  <c r="J10" i="80"/>
  <c r="I10" i="80"/>
  <c r="J9" i="80"/>
  <c r="I9" i="80"/>
  <c r="J8" i="80"/>
  <c r="I8" i="80"/>
  <c r="J7" i="80"/>
  <c r="I7" i="80"/>
  <c r="M15" i="50"/>
  <c r="L15" i="50"/>
  <c r="E15" i="50"/>
  <c r="M14" i="50"/>
  <c r="L14" i="50"/>
  <c r="E14" i="50"/>
  <c r="M13" i="50"/>
  <c r="L13" i="50"/>
  <c r="E13" i="50"/>
  <c r="M12" i="50"/>
  <c r="L12" i="50"/>
  <c r="E12" i="50"/>
  <c r="M11" i="50"/>
  <c r="L11" i="50"/>
  <c r="E11" i="50"/>
  <c r="M10" i="50"/>
  <c r="L10" i="50"/>
  <c r="E10" i="50"/>
  <c r="M9" i="50"/>
  <c r="L9" i="50"/>
  <c r="E9" i="50"/>
  <c r="M8" i="50"/>
  <c r="L8" i="50"/>
  <c r="E8" i="50"/>
  <c r="M7" i="50"/>
  <c r="L7" i="50"/>
  <c r="E7" i="50"/>
  <c r="M6" i="50"/>
  <c r="L6" i="50"/>
  <c r="E6" i="50"/>
  <c r="M5" i="50"/>
  <c r="L5" i="50"/>
  <c r="E5" i="50"/>
  <c r="H1788" i="35"/>
  <c r="H1787" i="35"/>
  <c r="H1786" i="35"/>
  <c r="H1785" i="35"/>
  <c r="H1784" i="35"/>
  <c r="H1783" i="35"/>
  <c r="H1782" i="35"/>
  <c r="H1781" i="35"/>
  <c r="H1780" i="35"/>
  <c r="H1779" i="35"/>
  <c r="H1778" i="35"/>
  <c r="H1777" i="35"/>
  <c r="H1776" i="35"/>
  <c r="H1775" i="35"/>
  <c r="H1774" i="35"/>
  <c r="H1773" i="35"/>
  <c r="H1772" i="35"/>
  <c r="H1771" i="35"/>
  <c r="H1770" i="35"/>
  <c r="H1769" i="35"/>
  <c r="H1767" i="35"/>
  <c r="H1766" i="35"/>
  <c r="H1765" i="35"/>
  <c r="H1764" i="35"/>
  <c r="H1763" i="35"/>
  <c r="H1762" i="35"/>
  <c r="I1761" i="35"/>
  <c r="I1789" i="35" s="1"/>
  <c r="H1761" i="35"/>
  <c r="I1753" i="35"/>
  <c r="H1753" i="35"/>
  <c r="I1752" i="35"/>
  <c r="H1752" i="35"/>
  <c r="I1751" i="35"/>
  <c r="H1751" i="35"/>
  <c r="I1750" i="35"/>
  <c r="H1750" i="35"/>
  <c r="I1749" i="35"/>
  <c r="H1749" i="35"/>
  <c r="I1748" i="35"/>
  <c r="H1748" i="35"/>
  <c r="I1747" i="35"/>
  <c r="H1747" i="35"/>
  <c r="I1746" i="35"/>
  <c r="H1746" i="35"/>
  <c r="I1745" i="35"/>
  <c r="H1745" i="35"/>
  <c r="I1744" i="35"/>
  <c r="H1744" i="35"/>
  <c r="I1743" i="35"/>
  <c r="H1743" i="35"/>
  <c r="I1742" i="35"/>
  <c r="H1742" i="35"/>
  <c r="I1741" i="35"/>
  <c r="H1741" i="35"/>
  <c r="I1740" i="35"/>
  <c r="H1740" i="35"/>
  <c r="I1739" i="35"/>
  <c r="H1739" i="35"/>
  <c r="I1738" i="35"/>
  <c r="H1738" i="35"/>
  <c r="I1737" i="35"/>
  <c r="H1737" i="35"/>
  <c r="I1736" i="35"/>
  <c r="H1736" i="35"/>
  <c r="I1735" i="35"/>
  <c r="H1735" i="35"/>
  <c r="I1734" i="35"/>
  <c r="H1734" i="35"/>
  <c r="I1733" i="35"/>
  <c r="H1733" i="35"/>
  <c r="I1732" i="35"/>
  <c r="H1732" i="35"/>
  <c r="I1731" i="35"/>
  <c r="H1731" i="35"/>
  <c r="I1730" i="35"/>
  <c r="H1730" i="35"/>
  <c r="I1729" i="35"/>
  <c r="H1729" i="35"/>
  <c r="I1728" i="35"/>
  <c r="H1728" i="35"/>
  <c r="I1727" i="35"/>
  <c r="H1727" i="35"/>
  <c r="I1726" i="35"/>
  <c r="H1726" i="35"/>
  <c r="I1725" i="35"/>
  <c r="H1725" i="35"/>
  <c r="I1724" i="35"/>
  <c r="H1724" i="35"/>
  <c r="I1723" i="35"/>
  <c r="H1723" i="35"/>
  <c r="I1722" i="35"/>
  <c r="H1722" i="35"/>
  <c r="I1721" i="35"/>
  <c r="H1721" i="35"/>
  <c r="I1720" i="35"/>
  <c r="H1720" i="35"/>
  <c r="I1719" i="35"/>
  <c r="H1719" i="35"/>
  <c r="I1718" i="35"/>
  <c r="H1718" i="35"/>
  <c r="I1717" i="35"/>
  <c r="H1717" i="35"/>
  <c r="I1716" i="35"/>
  <c r="H1716" i="35"/>
  <c r="I1715" i="35"/>
  <c r="H1715" i="35"/>
  <c r="I1714" i="35"/>
  <c r="H1714" i="35"/>
  <c r="I1713" i="35"/>
  <c r="H1713" i="35"/>
  <c r="I1712" i="35"/>
  <c r="H1712" i="35"/>
  <c r="I1711" i="35"/>
  <c r="H1711" i="35"/>
  <c r="I1710" i="35"/>
  <c r="H1710" i="35"/>
  <c r="I1709" i="35"/>
  <c r="H1709" i="35"/>
  <c r="I1708" i="35"/>
  <c r="H1708" i="35"/>
  <c r="I1707" i="35"/>
  <c r="H1707" i="35"/>
  <c r="I1706" i="35"/>
  <c r="H1706" i="35"/>
  <c r="I1705" i="35"/>
  <c r="H1705" i="35"/>
  <c r="I1704" i="35"/>
  <c r="H1704" i="35"/>
  <c r="I1703" i="35"/>
  <c r="H1703" i="35"/>
  <c r="I1702" i="35"/>
  <c r="H1702" i="35"/>
  <c r="I1701" i="35"/>
  <c r="H1701" i="35"/>
  <c r="I1700" i="35"/>
  <c r="H1700" i="35"/>
  <c r="I1699" i="35"/>
  <c r="H1699" i="35"/>
  <c r="I1698" i="35"/>
  <c r="H1698" i="35"/>
  <c r="I1697" i="35"/>
  <c r="H1697" i="35"/>
  <c r="I1696" i="35"/>
  <c r="H1696" i="35"/>
  <c r="I1695" i="35"/>
  <c r="H1695" i="35"/>
  <c r="I1694" i="35"/>
  <c r="H1694" i="35"/>
  <c r="I1693" i="35"/>
  <c r="H1693" i="35"/>
  <c r="I1692" i="35"/>
  <c r="H1692" i="35"/>
  <c r="I1691" i="35"/>
  <c r="H1691" i="35"/>
  <c r="I1690" i="35"/>
  <c r="H1690" i="35"/>
  <c r="I1689" i="35"/>
  <c r="H1689" i="35"/>
  <c r="I1688" i="35"/>
  <c r="H1688" i="35"/>
  <c r="I1687" i="35"/>
  <c r="H1687" i="35"/>
  <c r="I1686" i="35"/>
  <c r="H1686" i="35"/>
  <c r="I1685" i="35"/>
  <c r="H1685" i="35"/>
  <c r="I1684" i="35"/>
  <c r="H1684" i="35"/>
  <c r="I1683" i="35"/>
  <c r="H1683" i="35"/>
  <c r="I1682" i="35"/>
  <c r="H1682" i="35"/>
  <c r="I1681" i="35"/>
  <c r="H1681" i="35"/>
  <c r="I1680" i="35"/>
  <c r="H1680" i="35"/>
  <c r="I1679" i="35"/>
  <c r="H1679" i="35"/>
  <c r="I1678" i="35"/>
  <c r="H1678" i="35"/>
  <c r="I1677" i="35"/>
  <c r="H1677" i="35"/>
  <c r="I1676" i="35"/>
  <c r="H1676" i="35"/>
  <c r="I1675" i="35"/>
  <c r="H1675" i="35"/>
  <c r="I1674" i="35"/>
  <c r="H1674" i="35"/>
  <c r="I1673" i="35"/>
  <c r="H1673" i="35"/>
  <c r="I1672" i="35"/>
  <c r="H1672" i="35"/>
  <c r="I1671" i="35"/>
  <c r="H1671" i="35"/>
  <c r="I1670" i="35"/>
  <c r="H1670" i="35"/>
  <c r="I1669" i="35"/>
  <c r="H1669" i="35"/>
  <c r="I1668" i="35"/>
  <c r="H1668" i="35"/>
  <c r="I1667" i="35"/>
  <c r="H1667" i="35"/>
  <c r="I1666" i="35"/>
  <c r="H1666" i="35"/>
  <c r="I1665" i="35"/>
  <c r="H1665" i="35"/>
  <c r="I1664" i="35"/>
  <c r="H1664" i="35"/>
  <c r="I1663" i="35"/>
  <c r="H1663" i="35"/>
  <c r="I1662" i="35"/>
  <c r="H1662" i="35"/>
  <c r="I1661" i="35"/>
  <c r="H1661" i="35"/>
  <c r="I1660" i="35"/>
  <c r="H1660" i="35"/>
  <c r="I1659" i="35"/>
  <c r="H1659" i="35"/>
  <c r="I1658" i="35"/>
  <c r="H1658" i="35"/>
  <c r="I1657" i="35"/>
  <c r="H1657" i="35"/>
  <c r="I1656" i="35"/>
  <c r="H1656" i="35"/>
  <c r="I1655" i="35"/>
  <c r="H1655" i="35"/>
  <c r="H1641" i="35"/>
  <c r="H1640" i="35"/>
  <c r="H1639" i="35"/>
  <c r="J1632" i="35"/>
  <c r="I1632" i="35"/>
  <c r="H1632" i="35"/>
  <c r="J1631" i="35"/>
  <c r="I1631" i="35"/>
  <c r="H1631" i="35"/>
  <c r="J1630" i="35"/>
  <c r="I1630" i="35"/>
  <c r="H1630" i="35"/>
  <c r="J1629" i="35"/>
  <c r="I1629" i="35"/>
  <c r="H1629" i="35"/>
  <c r="J1628" i="35"/>
  <c r="I1628" i="35"/>
  <c r="H1628" i="35"/>
  <c r="J1627" i="35"/>
  <c r="I1627" i="35"/>
  <c r="H1627" i="35"/>
  <c r="J1626" i="35"/>
  <c r="I1626" i="35"/>
  <c r="H1626" i="35"/>
  <c r="J1625" i="35"/>
  <c r="I1625" i="35"/>
  <c r="H1625" i="35"/>
  <c r="J1624" i="35"/>
  <c r="I1624" i="35"/>
  <c r="H1624" i="35"/>
  <c r="J1623" i="35"/>
  <c r="I1623" i="35"/>
  <c r="H1623" i="35"/>
  <c r="J1622" i="35"/>
  <c r="I1622" i="35"/>
  <c r="H1622" i="35"/>
  <c r="J1621" i="35"/>
  <c r="I1621" i="35"/>
  <c r="H1621" i="35"/>
  <c r="J1620" i="35"/>
  <c r="I1620" i="35"/>
  <c r="H1620" i="35"/>
  <c r="J1619" i="35"/>
  <c r="I1619" i="35"/>
  <c r="H1619" i="35"/>
  <c r="J1618" i="35"/>
  <c r="I1618" i="35"/>
  <c r="H1618" i="35"/>
  <c r="J1617" i="35"/>
  <c r="I1617" i="35"/>
  <c r="H1617" i="35"/>
  <c r="J1616" i="35"/>
  <c r="I1616" i="35"/>
  <c r="H1616" i="35"/>
  <c r="J1615" i="35"/>
  <c r="I1615" i="35"/>
  <c r="H1615" i="35"/>
  <c r="J1614" i="35"/>
  <c r="I1614" i="35"/>
  <c r="H1614" i="35"/>
  <c r="J1613" i="35"/>
  <c r="I1613" i="35"/>
  <c r="H1613" i="35"/>
  <c r="J1612" i="35"/>
  <c r="I1612" i="35"/>
  <c r="H1612" i="35"/>
  <c r="J1611" i="35"/>
  <c r="I1611" i="35"/>
  <c r="H1611" i="35"/>
  <c r="J1610" i="35"/>
  <c r="I1610" i="35"/>
  <c r="H1610" i="35"/>
  <c r="J1609" i="35"/>
  <c r="I1609" i="35"/>
  <c r="H1609" i="35"/>
  <c r="J1608" i="35"/>
  <c r="I1608" i="35"/>
  <c r="H1608" i="35"/>
  <c r="J1607" i="35"/>
  <c r="I1607" i="35"/>
  <c r="H1607" i="35"/>
  <c r="J1606" i="35"/>
  <c r="I1606" i="35"/>
  <c r="J1605" i="35"/>
  <c r="I1605" i="35"/>
  <c r="H1605" i="35"/>
  <c r="J1604" i="35"/>
  <c r="I1604" i="35"/>
  <c r="J1603" i="35"/>
  <c r="I1603" i="35"/>
  <c r="J1602" i="35"/>
  <c r="I1602" i="35"/>
  <c r="J1601" i="35"/>
  <c r="I1601" i="35"/>
  <c r="J1600" i="35"/>
  <c r="I1600" i="35"/>
  <c r="J1599" i="35"/>
  <c r="I1599" i="35"/>
  <c r="H1599" i="35"/>
  <c r="J1598" i="35"/>
  <c r="I1598" i="35"/>
  <c r="H1598" i="35"/>
  <c r="J1597" i="35"/>
  <c r="I1597" i="35"/>
  <c r="H1597" i="35"/>
  <c r="J1596" i="35"/>
  <c r="I1596" i="35"/>
  <c r="H1596" i="35"/>
  <c r="J1595" i="35"/>
  <c r="I1595" i="35"/>
  <c r="H1595" i="35"/>
  <c r="J1594" i="35"/>
  <c r="I1594" i="35"/>
  <c r="H1594" i="35"/>
  <c r="J1593" i="35"/>
  <c r="I1593" i="35"/>
  <c r="H1593" i="35"/>
  <c r="J1592" i="35"/>
  <c r="I1592" i="35"/>
  <c r="H1592" i="35"/>
  <c r="J1591" i="35"/>
  <c r="I1591" i="35"/>
  <c r="H1591" i="35"/>
  <c r="J1590" i="35"/>
  <c r="I1590" i="35"/>
  <c r="H1590" i="35"/>
  <c r="J1589" i="35"/>
  <c r="I1589" i="35"/>
  <c r="H1589" i="35"/>
  <c r="J1588" i="35"/>
  <c r="I1588" i="35"/>
  <c r="H1588" i="35"/>
  <c r="J1587" i="35"/>
  <c r="I1587" i="35"/>
  <c r="H1587" i="35"/>
  <c r="J1586" i="35"/>
  <c r="I1586" i="35"/>
  <c r="J1585" i="35"/>
  <c r="I1585" i="35"/>
  <c r="H1585" i="35"/>
  <c r="J1584" i="35"/>
  <c r="I1584" i="35"/>
  <c r="H1584" i="35"/>
  <c r="J1583" i="35"/>
  <c r="I1583" i="35"/>
  <c r="H1583" i="35"/>
  <c r="J1582" i="35"/>
  <c r="I1582" i="35"/>
  <c r="H1582" i="35"/>
  <c r="J1581" i="35"/>
  <c r="I1581" i="35"/>
  <c r="H1581" i="35"/>
  <c r="J1580" i="35"/>
  <c r="I1580" i="35"/>
  <c r="H1580" i="35"/>
  <c r="J1579" i="35"/>
  <c r="I1579" i="35"/>
  <c r="H1579" i="35"/>
  <c r="J1578" i="35"/>
  <c r="I1578" i="35"/>
  <c r="H1578" i="35"/>
  <c r="J1577" i="35"/>
  <c r="I1577" i="35"/>
  <c r="H1577" i="35"/>
  <c r="I1569" i="35"/>
  <c r="H1569" i="35"/>
  <c r="I1568" i="35"/>
  <c r="H1568" i="35"/>
  <c r="I1567" i="35"/>
  <c r="H1567" i="35"/>
  <c r="I1566" i="35"/>
  <c r="H1566" i="35"/>
  <c r="I1565" i="35"/>
  <c r="H1565" i="35"/>
  <c r="I1564" i="35"/>
  <c r="H1564" i="35"/>
  <c r="I1563" i="35"/>
  <c r="H1563" i="35"/>
  <c r="I1562" i="35"/>
  <c r="H1562" i="35"/>
  <c r="I1561" i="35"/>
  <c r="H1561" i="35"/>
  <c r="I1560" i="35"/>
  <c r="H1560" i="35"/>
  <c r="I1559" i="35"/>
  <c r="H1559" i="35"/>
  <c r="I1558" i="35"/>
  <c r="H1558" i="35"/>
  <c r="I1557" i="35"/>
  <c r="H1557" i="35"/>
  <c r="I1556" i="35"/>
  <c r="H1556" i="35"/>
  <c r="I1555" i="35"/>
  <c r="H1555" i="35"/>
  <c r="I1554" i="35"/>
  <c r="H1554" i="35"/>
  <c r="I1553" i="35"/>
  <c r="H1553" i="35"/>
  <c r="I1552" i="35"/>
  <c r="H1552" i="35"/>
  <c r="I1551" i="35"/>
  <c r="H1551" i="35"/>
  <c r="I1550" i="35"/>
  <c r="H1550" i="35"/>
  <c r="I1549" i="35"/>
  <c r="H1549" i="35"/>
  <c r="I1548" i="35"/>
  <c r="H1548" i="35"/>
  <c r="I1547" i="35"/>
  <c r="H1547" i="35"/>
  <c r="I1546" i="35"/>
  <c r="H1546" i="35"/>
  <c r="I1545" i="35"/>
  <c r="H1545" i="35"/>
  <c r="I1544" i="35"/>
  <c r="H1544" i="35"/>
  <c r="I1543" i="35"/>
  <c r="H1543" i="35"/>
  <c r="I1542" i="35"/>
  <c r="H1542" i="35"/>
  <c r="I1541" i="35"/>
  <c r="H1541" i="35"/>
  <c r="I1540" i="35"/>
  <c r="H1540" i="35"/>
  <c r="I1539" i="35"/>
  <c r="H1539" i="35"/>
  <c r="I1538" i="35"/>
  <c r="H1538" i="35"/>
  <c r="I1537" i="35"/>
  <c r="H1537" i="35"/>
  <c r="I1536" i="35"/>
  <c r="H1536" i="35"/>
  <c r="I1535" i="35"/>
  <c r="H1535" i="35"/>
  <c r="I1534" i="35"/>
  <c r="H1534" i="35"/>
  <c r="I1533" i="35"/>
  <c r="H1533" i="35"/>
  <c r="I1532" i="35"/>
  <c r="H1532" i="35"/>
  <c r="I1531" i="35"/>
  <c r="H1531" i="35"/>
  <c r="I1530" i="35"/>
  <c r="H1530" i="35"/>
  <c r="I1529" i="35"/>
  <c r="H1529" i="35"/>
  <c r="I1528" i="35"/>
  <c r="H1528" i="35"/>
  <c r="I1527" i="35"/>
  <c r="H1527" i="35"/>
  <c r="I1526" i="35"/>
  <c r="H1526" i="35"/>
  <c r="I1525" i="35"/>
  <c r="H1525" i="35"/>
  <c r="I1524" i="35"/>
  <c r="H1524" i="35"/>
  <c r="I1523" i="35"/>
  <c r="H1523" i="35"/>
  <c r="I1522" i="35"/>
  <c r="H1522" i="35"/>
  <c r="I1521" i="35"/>
  <c r="H1521" i="35"/>
  <c r="I1520" i="35"/>
  <c r="H1520" i="35"/>
  <c r="I1519" i="35"/>
  <c r="H1519" i="35"/>
  <c r="I1518" i="35"/>
  <c r="H1518" i="35"/>
  <c r="I1517" i="35"/>
  <c r="H1517" i="35"/>
  <c r="I1516" i="35"/>
  <c r="H1516" i="35"/>
  <c r="I1515" i="35"/>
  <c r="H1515" i="35"/>
  <c r="I1514" i="35"/>
  <c r="H1514" i="35"/>
  <c r="I1513" i="35"/>
  <c r="H1513" i="35"/>
  <c r="I1512" i="35"/>
  <c r="H1512" i="35"/>
  <c r="I1511" i="35"/>
  <c r="H1511" i="35"/>
  <c r="I1510" i="35"/>
  <c r="H1510" i="35"/>
  <c r="I1509" i="35"/>
  <c r="H1509" i="35"/>
  <c r="I1508" i="35"/>
  <c r="H1508" i="35"/>
  <c r="I1507" i="35"/>
  <c r="H1507" i="35"/>
  <c r="I1506" i="35"/>
  <c r="H1506" i="35"/>
  <c r="I1505" i="35"/>
  <c r="H1505" i="35"/>
  <c r="I1504" i="35"/>
  <c r="H1504" i="35"/>
  <c r="I1503" i="35"/>
  <c r="H1503" i="35"/>
  <c r="I1502" i="35"/>
  <c r="H1502" i="35"/>
  <c r="I1501" i="35"/>
  <c r="H1501" i="35"/>
  <c r="I1500" i="35"/>
  <c r="H1500" i="35"/>
  <c r="I1499" i="35"/>
  <c r="H1499" i="35"/>
  <c r="I1498" i="35"/>
  <c r="H1498" i="35"/>
  <c r="I1497" i="35"/>
  <c r="H1497" i="35"/>
  <c r="I1496" i="35"/>
  <c r="H1496" i="35"/>
  <c r="I1495" i="35"/>
  <c r="H1495" i="35"/>
  <c r="I1494" i="35"/>
  <c r="H1494" i="35"/>
  <c r="I1493" i="35"/>
  <c r="H1493" i="35"/>
  <c r="I1492" i="35"/>
  <c r="H1492" i="35"/>
  <c r="I1491" i="35"/>
  <c r="H1491" i="35"/>
  <c r="I1490" i="35"/>
  <c r="H1490" i="35"/>
  <c r="I1489" i="35"/>
  <c r="H1489" i="35"/>
  <c r="I1488" i="35"/>
  <c r="H1488" i="35"/>
  <c r="I1487" i="35"/>
  <c r="H1487" i="35"/>
  <c r="I1486" i="35"/>
  <c r="H1486" i="35"/>
  <c r="I1485" i="35"/>
  <c r="H1485" i="35"/>
  <c r="I1484" i="35"/>
  <c r="H1484" i="35"/>
  <c r="I1483" i="35"/>
  <c r="H1483" i="35"/>
  <c r="I1482" i="35"/>
  <c r="H1482" i="35"/>
  <c r="I1481" i="35"/>
  <c r="H1481" i="35"/>
  <c r="I1480" i="35"/>
  <c r="H1480" i="35"/>
  <c r="I1479" i="35"/>
  <c r="H1479" i="35"/>
  <c r="I1478" i="35"/>
  <c r="H1478" i="35"/>
  <c r="I1477" i="35"/>
  <c r="H1477" i="35"/>
  <c r="I1476" i="35"/>
  <c r="H1476" i="35"/>
  <c r="I1467" i="35"/>
  <c r="H1467" i="35"/>
  <c r="H1468" i="35" s="1"/>
  <c r="I1463" i="35"/>
  <c r="H1463" i="35"/>
  <c r="I1462" i="35"/>
  <c r="H1462" i="35"/>
  <c r="I1461" i="35"/>
  <c r="H1461" i="35"/>
  <c r="I1460" i="35"/>
  <c r="H1460" i="35"/>
  <c r="I1459" i="35"/>
  <c r="H1459" i="35"/>
  <c r="I1458" i="35"/>
  <c r="H1458" i="35"/>
  <c r="I1457" i="35"/>
  <c r="H1457" i="35"/>
  <c r="I1456" i="35"/>
  <c r="H1456" i="35"/>
  <c r="I1452" i="35"/>
  <c r="H1452" i="35"/>
  <c r="I1451" i="35"/>
  <c r="H1451" i="35"/>
  <c r="I1450" i="35"/>
  <c r="H1450" i="35"/>
  <c r="I1449" i="35"/>
  <c r="H1449" i="35"/>
  <c r="I1448" i="35"/>
  <c r="H1448" i="35"/>
  <c r="I1447" i="35"/>
  <c r="H1447" i="35"/>
  <c r="I1446" i="35"/>
  <c r="H1446" i="35"/>
  <c r="I1445" i="35"/>
  <c r="H1445" i="35"/>
  <c r="I1444" i="35"/>
  <c r="H1444" i="35"/>
  <c r="I1443" i="35"/>
  <c r="H1443" i="35"/>
  <c r="I1442" i="35"/>
  <c r="H1442" i="35"/>
  <c r="I1441" i="35"/>
  <c r="H1441" i="35"/>
  <c r="I1440" i="35"/>
  <c r="H1440" i="35"/>
  <c r="I1439" i="35"/>
  <c r="H1439" i="35"/>
  <c r="I1438" i="35"/>
  <c r="H1438" i="35"/>
  <c r="I1437" i="35"/>
  <c r="H1437" i="35"/>
  <c r="I1436" i="35"/>
  <c r="H1436" i="35"/>
  <c r="I1435" i="35"/>
  <c r="H1435" i="35"/>
  <c r="I1434" i="35"/>
  <c r="H1434" i="35"/>
  <c r="I1433" i="35"/>
  <c r="H1433" i="35"/>
  <c r="I1432" i="35"/>
  <c r="H1432" i="35"/>
  <c r="I1431" i="35"/>
  <c r="H1431" i="35"/>
  <c r="I1430" i="35"/>
  <c r="H1430" i="35"/>
  <c r="I1429" i="35"/>
  <c r="H1429" i="35"/>
  <c r="I1428" i="35"/>
  <c r="H1428" i="35"/>
  <c r="I1427" i="35"/>
  <c r="H1427" i="35"/>
  <c r="I1426" i="35"/>
  <c r="H1426" i="35"/>
  <c r="I1425" i="35"/>
  <c r="H1425" i="35"/>
  <c r="I1424" i="35"/>
  <c r="H1424" i="35"/>
  <c r="I1423" i="35"/>
  <c r="H1423" i="35"/>
  <c r="I1422" i="35"/>
  <c r="H1422" i="35"/>
  <c r="I1421" i="35"/>
  <c r="H1421" i="35"/>
  <c r="I1420" i="35"/>
  <c r="H1420" i="35"/>
  <c r="I1419" i="35"/>
  <c r="H1419" i="35"/>
  <c r="I1418" i="35"/>
  <c r="H1418" i="35"/>
  <c r="I1417" i="35"/>
  <c r="H1417" i="35"/>
  <c r="I1416" i="35"/>
  <c r="H1416" i="35"/>
  <c r="I1415" i="35"/>
  <c r="H1415" i="35"/>
  <c r="I1414" i="35"/>
  <c r="H1414" i="35"/>
  <c r="I1413" i="35"/>
  <c r="H1413" i="35"/>
  <c r="I1412" i="35"/>
  <c r="H1412" i="35"/>
  <c r="I1411" i="35"/>
  <c r="H1411" i="35"/>
  <c r="I1410" i="35"/>
  <c r="H1410" i="35"/>
  <c r="I1409" i="35"/>
  <c r="H1409" i="35"/>
  <c r="I1408" i="35"/>
  <c r="H1408" i="35"/>
  <c r="I1407" i="35"/>
  <c r="H1407" i="35"/>
  <c r="I1406" i="35"/>
  <c r="H1406" i="35"/>
  <c r="I1405" i="35"/>
  <c r="H1405" i="35"/>
  <c r="I1404" i="35"/>
  <c r="H1404" i="35"/>
  <c r="I1403" i="35"/>
  <c r="H1403" i="35"/>
  <c r="I1402" i="35"/>
  <c r="H1402" i="35"/>
  <c r="I1401" i="35"/>
  <c r="H1401" i="35"/>
  <c r="I1400" i="35"/>
  <c r="H1400" i="35"/>
  <c r="I1399" i="35"/>
  <c r="H1399" i="35"/>
  <c r="I1398" i="35"/>
  <c r="I1397" i="35"/>
  <c r="H1397" i="35"/>
  <c r="I1396" i="35"/>
  <c r="H1396" i="35"/>
  <c r="I1395" i="35"/>
  <c r="H1395" i="35"/>
  <c r="I1394" i="35"/>
  <c r="H1394" i="35"/>
  <c r="I1393" i="35"/>
  <c r="H1393" i="35"/>
  <c r="I1392" i="35"/>
  <c r="H1392" i="35"/>
  <c r="I1391" i="35"/>
  <c r="H1391" i="35"/>
  <c r="I1390" i="35"/>
  <c r="H1390" i="35"/>
  <c r="I1389" i="35"/>
  <c r="H1389" i="35"/>
  <c r="I1388" i="35"/>
  <c r="H1388" i="35"/>
  <c r="I1387" i="35"/>
  <c r="H1387" i="35"/>
  <c r="I1386" i="35"/>
  <c r="H1386" i="35"/>
  <c r="I1385" i="35"/>
  <c r="H1385" i="35"/>
  <c r="I1384" i="35"/>
  <c r="H1384" i="35"/>
  <c r="I1383" i="35"/>
  <c r="H1383" i="35"/>
  <c r="I1382" i="35"/>
  <c r="H1382" i="35"/>
  <c r="I1381" i="35"/>
  <c r="H1381" i="35"/>
  <c r="I1380" i="35"/>
  <c r="H1380" i="35"/>
  <c r="I1379" i="35"/>
  <c r="H1379" i="35"/>
  <c r="I1378" i="35"/>
  <c r="H1378" i="35"/>
  <c r="I1377" i="35"/>
  <c r="H1377" i="35"/>
  <c r="I1376" i="35"/>
  <c r="H1376" i="35"/>
  <c r="I1375" i="35"/>
  <c r="H1375" i="35"/>
  <c r="I1374" i="35"/>
  <c r="H1374" i="35"/>
  <c r="I1373" i="35"/>
  <c r="H1373" i="35"/>
  <c r="I1372" i="35"/>
  <c r="H1372" i="35"/>
  <c r="I1371" i="35"/>
  <c r="H1371" i="35"/>
  <c r="I1370" i="35"/>
  <c r="H1370" i="35"/>
  <c r="I1369" i="35"/>
  <c r="H1369" i="35"/>
  <c r="I1368" i="35"/>
  <c r="H1368" i="35"/>
  <c r="I1367" i="35"/>
  <c r="H1367" i="35"/>
  <c r="I1366" i="35"/>
  <c r="H1366" i="35"/>
  <c r="I1365" i="35"/>
  <c r="H1365" i="35"/>
  <c r="I1364" i="35"/>
  <c r="H1364" i="35"/>
  <c r="I1363" i="35"/>
  <c r="H1363" i="35"/>
  <c r="I1362" i="35"/>
  <c r="H1362" i="35"/>
  <c r="I1361" i="35"/>
  <c r="H1361" i="35"/>
  <c r="I1360" i="35"/>
  <c r="H1360" i="35"/>
  <c r="I1359" i="35"/>
  <c r="H1359" i="35"/>
  <c r="I1358" i="35"/>
  <c r="H1358" i="35"/>
  <c r="I1357" i="35"/>
  <c r="H1357" i="35"/>
  <c r="I1356" i="35"/>
  <c r="H1356" i="35"/>
  <c r="I1355" i="35"/>
  <c r="H1355" i="35"/>
  <c r="I1354" i="35"/>
  <c r="H1354" i="35"/>
  <c r="I1353" i="35"/>
  <c r="H1353" i="35"/>
  <c r="I1352" i="35"/>
  <c r="H1352" i="35"/>
  <c r="I1351" i="35"/>
  <c r="H1351" i="35"/>
  <c r="I1350" i="35"/>
  <c r="H1350" i="35"/>
  <c r="I1349" i="35"/>
  <c r="H1349" i="35"/>
  <c r="I1348" i="35"/>
  <c r="H1348" i="35"/>
  <c r="I1347" i="35"/>
  <c r="H1347" i="35"/>
  <c r="I1346" i="35"/>
  <c r="H1346" i="35"/>
  <c r="I1345" i="35"/>
  <c r="H1345" i="35"/>
  <c r="I1344" i="35"/>
  <c r="H1344" i="35"/>
  <c r="I1343" i="35"/>
  <c r="H1343" i="35"/>
  <c r="I1342" i="35"/>
  <c r="H1342" i="35"/>
  <c r="I1341" i="35"/>
  <c r="H1341" i="35"/>
  <c r="I1340" i="35"/>
  <c r="H1340" i="35"/>
  <c r="I1339" i="35"/>
  <c r="H1339" i="35"/>
  <c r="I1338" i="35"/>
  <c r="H1338" i="35"/>
  <c r="I1337" i="35"/>
  <c r="H1337" i="35"/>
  <c r="I1336" i="35"/>
  <c r="H1336" i="35"/>
  <c r="I1335" i="35"/>
  <c r="H1335" i="35"/>
  <c r="I1334" i="35"/>
  <c r="H1334" i="35"/>
  <c r="I1333" i="35"/>
  <c r="H1333" i="35"/>
  <c r="I1332" i="35"/>
  <c r="H1332" i="35"/>
  <c r="I1331" i="35"/>
  <c r="H1331" i="35"/>
  <c r="I1330" i="35"/>
  <c r="H1330" i="35"/>
  <c r="I1329" i="35"/>
  <c r="H1329" i="35"/>
  <c r="I1328" i="35"/>
  <c r="H1328" i="35"/>
  <c r="I1327" i="35"/>
  <c r="H1327" i="35"/>
  <c r="I1326" i="35"/>
  <c r="H1326" i="35"/>
  <c r="I1325" i="35"/>
  <c r="H1325" i="35"/>
  <c r="I1324" i="35"/>
  <c r="H1324" i="35"/>
  <c r="I1323" i="35"/>
  <c r="H1323" i="35"/>
  <c r="I1322" i="35"/>
  <c r="H1322" i="35"/>
  <c r="I1321" i="35"/>
  <c r="H1321" i="35"/>
  <c r="I1320" i="35"/>
  <c r="H1320" i="35"/>
  <c r="I1319" i="35"/>
  <c r="H1319" i="35"/>
  <c r="I1318" i="35"/>
  <c r="H1318" i="35"/>
  <c r="I1317" i="35"/>
  <c r="H1317" i="35"/>
  <c r="I1316" i="35"/>
  <c r="H1316" i="35"/>
  <c r="I1315" i="35"/>
  <c r="H1315" i="35"/>
  <c r="I1314" i="35"/>
  <c r="H1314" i="35"/>
  <c r="I1313" i="35"/>
  <c r="H1313" i="35"/>
  <c r="I1312" i="35"/>
  <c r="H1312" i="35"/>
  <c r="I1311" i="35"/>
  <c r="H1311" i="35"/>
  <c r="I1310" i="35"/>
  <c r="H1310" i="35"/>
  <c r="I1309" i="35"/>
  <c r="H1309" i="35"/>
  <c r="I1308" i="35"/>
  <c r="H1308" i="35"/>
  <c r="I1307" i="35"/>
  <c r="H1307" i="35"/>
  <c r="I1301" i="35"/>
  <c r="I1299" i="35"/>
  <c r="H1299" i="35"/>
  <c r="I1298" i="35"/>
  <c r="H1298" i="35"/>
  <c r="I1297" i="35"/>
  <c r="H1297" i="35"/>
  <c r="I1296" i="35"/>
  <c r="H1296" i="35"/>
  <c r="I1295" i="35"/>
  <c r="H1295" i="35"/>
  <c r="I1294" i="35"/>
  <c r="H1294" i="35"/>
  <c r="I1293" i="35"/>
  <c r="H1293" i="35"/>
  <c r="I1292" i="35"/>
  <c r="H1292" i="35"/>
  <c r="I1291" i="35"/>
  <c r="H1291" i="35"/>
  <c r="I1290" i="35"/>
  <c r="I1289" i="35"/>
  <c r="H1289" i="35"/>
  <c r="I1288" i="35"/>
  <c r="H1288" i="35"/>
  <c r="I1287" i="35"/>
  <c r="H1287" i="35"/>
  <c r="I1286" i="35"/>
  <c r="H1286" i="35"/>
  <c r="I1285" i="35"/>
  <c r="H1285" i="35"/>
  <c r="I1284" i="35"/>
  <c r="H1284" i="35"/>
  <c r="I1283" i="35"/>
  <c r="H1283" i="35"/>
  <c r="I1282" i="35"/>
  <c r="H1282" i="35"/>
  <c r="I1281" i="35"/>
  <c r="H1281" i="35"/>
  <c r="I1280" i="35"/>
  <c r="H1280" i="35"/>
  <c r="I1279" i="35"/>
  <c r="H1279" i="35"/>
  <c r="I1278" i="35"/>
  <c r="H1278" i="35"/>
  <c r="I1277" i="35"/>
  <c r="H1277" i="35"/>
  <c r="I1276" i="35"/>
  <c r="H1276" i="35"/>
  <c r="I1275" i="35"/>
  <c r="H1275" i="35"/>
  <c r="I1274" i="35"/>
  <c r="H1274" i="35"/>
  <c r="I1273" i="35"/>
  <c r="H1273" i="35"/>
  <c r="I1272" i="35"/>
  <c r="H1272" i="35"/>
  <c r="I1271" i="35"/>
  <c r="H1271" i="35"/>
  <c r="I1270" i="35"/>
  <c r="H1270" i="35"/>
  <c r="I1269" i="35"/>
  <c r="H1269" i="35"/>
  <c r="I1268" i="35"/>
  <c r="H1268" i="35"/>
  <c r="I1267" i="35"/>
  <c r="H1267" i="35"/>
  <c r="I1266" i="35"/>
  <c r="H1266" i="35"/>
  <c r="I1265" i="35"/>
  <c r="H1265" i="35"/>
  <c r="I1264" i="35"/>
  <c r="H1264" i="35"/>
  <c r="I1263" i="35"/>
  <c r="H1263" i="35"/>
  <c r="I1262" i="35"/>
  <c r="H1262" i="35"/>
  <c r="I1261" i="35"/>
  <c r="H1261" i="35"/>
  <c r="I1260" i="35"/>
  <c r="H1260" i="35"/>
  <c r="I1259" i="35"/>
  <c r="H1259" i="35"/>
  <c r="I1258" i="35"/>
  <c r="H1258" i="35"/>
  <c r="I1257" i="35"/>
  <c r="H1257" i="35"/>
  <c r="I1256" i="35"/>
  <c r="H1256" i="35"/>
  <c r="I1255" i="35"/>
  <c r="H1255" i="35"/>
  <c r="I1254" i="35"/>
  <c r="H1254" i="35"/>
  <c r="I1253" i="35"/>
  <c r="H1253" i="35"/>
  <c r="I1252" i="35"/>
  <c r="H1252" i="35"/>
  <c r="I1251" i="35"/>
  <c r="H1251" i="35"/>
  <c r="I1250" i="35"/>
  <c r="H1250" i="35"/>
  <c r="I1249" i="35"/>
  <c r="H1249" i="35"/>
  <c r="I1248" i="35"/>
  <c r="H1248" i="35"/>
  <c r="I1247" i="35"/>
  <c r="I1246" i="35"/>
  <c r="I1245" i="35"/>
  <c r="I1244" i="35"/>
  <c r="H1244" i="35"/>
  <c r="I1243" i="35"/>
  <c r="H1243" i="35"/>
  <c r="I1242" i="35"/>
  <c r="H1242" i="35"/>
  <c r="I1241" i="35"/>
  <c r="H1241" i="35"/>
  <c r="I1240" i="35"/>
  <c r="H1240" i="35"/>
  <c r="I1239" i="35"/>
  <c r="H1239" i="35"/>
  <c r="I1238" i="35"/>
  <c r="H1238" i="35"/>
  <c r="I1237" i="35"/>
  <c r="H1237" i="35"/>
  <c r="I1236" i="35"/>
  <c r="H1236" i="35"/>
  <c r="I1235" i="35"/>
  <c r="H1235" i="35"/>
  <c r="I1234" i="35"/>
  <c r="H1234" i="35"/>
  <c r="I1233" i="35"/>
  <c r="H1233" i="35"/>
  <c r="I1232" i="35"/>
  <c r="H1232" i="35"/>
  <c r="I1231" i="35"/>
  <c r="H1231" i="35"/>
  <c r="I1230" i="35"/>
  <c r="H1230" i="35"/>
  <c r="I1229" i="35"/>
  <c r="H1229" i="35"/>
  <c r="I1228" i="35"/>
  <c r="H1228" i="35"/>
  <c r="I1227" i="35"/>
  <c r="H1227" i="35"/>
  <c r="I1226" i="35"/>
  <c r="H1226" i="35"/>
  <c r="I1225" i="35"/>
  <c r="H1225" i="35"/>
  <c r="I1224" i="35"/>
  <c r="H1224" i="35"/>
  <c r="I1223" i="35"/>
  <c r="H1223" i="35"/>
  <c r="I1222" i="35"/>
  <c r="H1222" i="35"/>
  <c r="I1221" i="35"/>
  <c r="H1221" i="35"/>
  <c r="I1220" i="35"/>
  <c r="H1220" i="35"/>
  <c r="I1219" i="35"/>
  <c r="H1219" i="35"/>
  <c r="I1218" i="35"/>
  <c r="H1218" i="35"/>
  <c r="I1217" i="35"/>
  <c r="H1217" i="35"/>
  <c r="I1216" i="35"/>
  <c r="H1216" i="35"/>
  <c r="I1215" i="35"/>
  <c r="H1215" i="35"/>
  <c r="I1214" i="35"/>
  <c r="H1214" i="35"/>
  <c r="I1213" i="35"/>
  <c r="H1213" i="35"/>
  <c r="I1212" i="35"/>
  <c r="H1212" i="35"/>
  <c r="I1211" i="35"/>
  <c r="H1211" i="35"/>
  <c r="I1210" i="35"/>
  <c r="H1210" i="35"/>
  <c r="I1209" i="35"/>
  <c r="H1209" i="35"/>
  <c r="I1208" i="35"/>
  <c r="H1208" i="35"/>
  <c r="I1207" i="35"/>
  <c r="H1207" i="35"/>
  <c r="I1206" i="35"/>
  <c r="H1206" i="35"/>
  <c r="I1205" i="35"/>
  <c r="H1205" i="35"/>
  <c r="I1204" i="35"/>
  <c r="H1204" i="35"/>
  <c r="I1203" i="35"/>
  <c r="H1203" i="35"/>
  <c r="I1202" i="35"/>
  <c r="H1202" i="35"/>
  <c r="I1201" i="35"/>
  <c r="H1201" i="35"/>
  <c r="I1200" i="35"/>
  <c r="H1200" i="35"/>
  <c r="I1199" i="35"/>
  <c r="H1199" i="35"/>
  <c r="I1198" i="35"/>
  <c r="H1198" i="35"/>
  <c r="I1197" i="35"/>
  <c r="H1197" i="35"/>
  <c r="I1196" i="35"/>
  <c r="H1196" i="35"/>
  <c r="I1195" i="35"/>
  <c r="H1195" i="35"/>
  <c r="I1194" i="35"/>
  <c r="H1194" i="35"/>
  <c r="I1193" i="35"/>
  <c r="H1193" i="35"/>
  <c r="I1192" i="35"/>
  <c r="H1192" i="35"/>
  <c r="I1191" i="35"/>
  <c r="H1191" i="35"/>
  <c r="I1190" i="35"/>
  <c r="H1190" i="35"/>
  <c r="I1189" i="35"/>
  <c r="H1189" i="35"/>
  <c r="I1188" i="35"/>
  <c r="H1188" i="35"/>
  <c r="I1187" i="35"/>
  <c r="H1187" i="35"/>
  <c r="I1186" i="35"/>
  <c r="H1186" i="35"/>
  <c r="I1185" i="35"/>
  <c r="H1185" i="35"/>
  <c r="I1184" i="35"/>
  <c r="H1184" i="35"/>
  <c r="I1183" i="35"/>
  <c r="H1183" i="35"/>
  <c r="I1182" i="35"/>
  <c r="H1182" i="35"/>
  <c r="I1181" i="35"/>
  <c r="H1181" i="35"/>
  <c r="I1180" i="35"/>
  <c r="H1180" i="35"/>
  <c r="I1179" i="35"/>
  <c r="H1179" i="35"/>
  <c r="I1178" i="35"/>
  <c r="H1178" i="35"/>
  <c r="I1177" i="35"/>
  <c r="H1177" i="35"/>
  <c r="I1176" i="35"/>
  <c r="H1176" i="35"/>
  <c r="I1175" i="35"/>
  <c r="H1175" i="35"/>
  <c r="I1174" i="35"/>
  <c r="H1174" i="35"/>
  <c r="I1173" i="35"/>
  <c r="H1173" i="35"/>
  <c r="I1172" i="35"/>
  <c r="H1172" i="35"/>
  <c r="I1171" i="35"/>
  <c r="H1171" i="35"/>
  <c r="I1170" i="35"/>
  <c r="H1170" i="35"/>
  <c r="I1169" i="35"/>
  <c r="H1169" i="35"/>
  <c r="I1168" i="35"/>
  <c r="H1168" i="35"/>
  <c r="I1167" i="35"/>
  <c r="H1167" i="35"/>
  <c r="I1166" i="35"/>
  <c r="H1166" i="35"/>
  <c r="I1165" i="35"/>
  <c r="H1165" i="35"/>
  <c r="I1164" i="35"/>
  <c r="H1164" i="35"/>
  <c r="I1163" i="35"/>
  <c r="H1163" i="35"/>
  <c r="I1162" i="35"/>
  <c r="H1162" i="35"/>
  <c r="I1161" i="35"/>
  <c r="H1161" i="35"/>
  <c r="I1160" i="35"/>
  <c r="H1160" i="35"/>
  <c r="I1159" i="35"/>
  <c r="H1159" i="35"/>
  <c r="I1158" i="35"/>
  <c r="H1158" i="35"/>
  <c r="I1157" i="35"/>
  <c r="H1157" i="35"/>
  <c r="I1156" i="35"/>
  <c r="H1156" i="35"/>
  <c r="I1155" i="35"/>
  <c r="H1155" i="35"/>
  <c r="I1154" i="35"/>
  <c r="H1154" i="35"/>
  <c r="I1153" i="35"/>
  <c r="H1153" i="35"/>
  <c r="I1152" i="35"/>
  <c r="H1152" i="35"/>
  <c r="I1151" i="35"/>
  <c r="H1151" i="35"/>
  <c r="I1150" i="35"/>
  <c r="H1150" i="35"/>
  <c r="I1149" i="35"/>
  <c r="H1149" i="35"/>
  <c r="I1148" i="35"/>
  <c r="H1148" i="35"/>
  <c r="I1147" i="35"/>
  <c r="H1147" i="35"/>
  <c r="I1146" i="35"/>
  <c r="H1146" i="35"/>
  <c r="I1145" i="35"/>
  <c r="H1145" i="35"/>
  <c r="H1140" i="35"/>
  <c r="H1139" i="35"/>
  <c r="H1138" i="35"/>
  <c r="H1137" i="35"/>
  <c r="H1136" i="35"/>
  <c r="H1135" i="35"/>
  <c r="H1134" i="35"/>
  <c r="H1133" i="35"/>
  <c r="H1132" i="35"/>
  <c r="H1131" i="35"/>
  <c r="H1130" i="35"/>
  <c r="H1129" i="35"/>
  <c r="I1128" i="35"/>
  <c r="H1128" i="35"/>
  <c r="I1127" i="35"/>
  <c r="H1127" i="35"/>
  <c r="I1126" i="35"/>
  <c r="H1126" i="35"/>
  <c r="I1125" i="35"/>
  <c r="H1125" i="35"/>
  <c r="I1124" i="35"/>
  <c r="H1124" i="35"/>
  <c r="I1123" i="35"/>
  <c r="H1123" i="35"/>
  <c r="I1122" i="35"/>
  <c r="H1122" i="35"/>
  <c r="I1121" i="35"/>
  <c r="H1121" i="35"/>
  <c r="I1120" i="35"/>
  <c r="H1120" i="35"/>
  <c r="I1119" i="35"/>
  <c r="H1119" i="35"/>
  <c r="I1118" i="35"/>
  <c r="H1118" i="35"/>
  <c r="I1117" i="35"/>
  <c r="H1117" i="35"/>
  <c r="I1116" i="35"/>
  <c r="H1116" i="35"/>
  <c r="I1115" i="35"/>
  <c r="I1114" i="35"/>
  <c r="I1113" i="35"/>
  <c r="I1112" i="35"/>
  <c r="H1112" i="35"/>
  <c r="I1111" i="35"/>
  <c r="H1111" i="35"/>
  <c r="I1110" i="35"/>
  <c r="H1110" i="35"/>
  <c r="I1109" i="35"/>
  <c r="H1109" i="35"/>
  <c r="I1108" i="35"/>
  <c r="H1108" i="35"/>
  <c r="I1107" i="35"/>
  <c r="H1107" i="35"/>
  <c r="I1106" i="35"/>
  <c r="H1106" i="35"/>
  <c r="I1105" i="35"/>
  <c r="H1105" i="35"/>
  <c r="I1104" i="35"/>
  <c r="H1104" i="35"/>
  <c r="I1103" i="35"/>
  <c r="I1102" i="35"/>
  <c r="H1102" i="35"/>
  <c r="I1101" i="35"/>
  <c r="I1100" i="35"/>
  <c r="I1099" i="35"/>
  <c r="I1098" i="35"/>
  <c r="H1098" i="35"/>
  <c r="I1097" i="35"/>
  <c r="H1097" i="35"/>
  <c r="I1096" i="35"/>
  <c r="H1096" i="35"/>
  <c r="I1095" i="35"/>
  <c r="H1095" i="35"/>
  <c r="I1094" i="35"/>
  <c r="H1094" i="35"/>
  <c r="I1093" i="35"/>
  <c r="H1093" i="35"/>
  <c r="I1092" i="35"/>
  <c r="H1092" i="35"/>
  <c r="I1091" i="35"/>
  <c r="H1091" i="35"/>
  <c r="I1090" i="35"/>
  <c r="H1090" i="35"/>
  <c r="I1089" i="35"/>
  <c r="H1089" i="35"/>
  <c r="I1088" i="35"/>
  <c r="H1088" i="35"/>
  <c r="I1087" i="35"/>
  <c r="H1087" i="35"/>
  <c r="I1086" i="35"/>
  <c r="H1086" i="35"/>
  <c r="I1085" i="35"/>
  <c r="H1085" i="35"/>
  <c r="I1084" i="35"/>
  <c r="H1084" i="35"/>
  <c r="I1083" i="35"/>
  <c r="H1083" i="35"/>
  <c r="I1082" i="35"/>
  <c r="H1082" i="35"/>
  <c r="I1081" i="35"/>
  <c r="H1081" i="35"/>
  <c r="I1080" i="35"/>
  <c r="H1080" i="35"/>
  <c r="I1079" i="35"/>
  <c r="H1079" i="35"/>
  <c r="I1078" i="35"/>
  <c r="H1078" i="35"/>
  <c r="I1077" i="35"/>
  <c r="H1077" i="35"/>
  <c r="I1076" i="35"/>
  <c r="H1076" i="35"/>
  <c r="I1075" i="35"/>
  <c r="H1075" i="35"/>
  <c r="I1074" i="35"/>
  <c r="H1074" i="35"/>
  <c r="I1073" i="35"/>
  <c r="H1073" i="35"/>
  <c r="I1072" i="35"/>
  <c r="H1072" i="35"/>
  <c r="I1071" i="35"/>
  <c r="H1071" i="35"/>
  <c r="I1070" i="35"/>
  <c r="H1070" i="35"/>
  <c r="I1069" i="35"/>
  <c r="H1069" i="35"/>
  <c r="I1068" i="35"/>
  <c r="H1068" i="35"/>
  <c r="I1067" i="35"/>
  <c r="H1067" i="35"/>
  <c r="I1066" i="35"/>
  <c r="H1066" i="35"/>
  <c r="I1065" i="35"/>
  <c r="H1065" i="35"/>
  <c r="I1064" i="35"/>
  <c r="H1064" i="35"/>
  <c r="I1063" i="35"/>
  <c r="H1063" i="35"/>
  <c r="I1062" i="35"/>
  <c r="H1062" i="35"/>
  <c r="I1061" i="35"/>
  <c r="H1061" i="35"/>
  <c r="I1060" i="35"/>
  <c r="H1060" i="35"/>
  <c r="I1059" i="35"/>
  <c r="H1059" i="35"/>
  <c r="I1058" i="35"/>
  <c r="H1058" i="35"/>
  <c r="I1057" i="35"/>
  <c r="H1057" i="35"/>
  <c r="I1056" i="35"/>
  <c r="H1056" i="35"/>
  <c r="I1055" i="35"/>
  <c r="H1055" i="35"/>
  <c r="I1054" i="35"/>
  <c r="H1054" i="35"/>
  <c r="I1053" i="35"/>
  <c r="H1053" i="35"/>
  <c r="I1052" i="35"/>
  <c r="H1052" i="35"/>
  <c r="I1051" i="35"/>
  <c r="H1051" i="35"/>
  <c r="I1050" i="35"/>
  <c r="H1050" i="35"/>
  <c r="I1049" i="35"/>
  <c r="H1049" i="35"/>
  <c r="I1048" i="35"/>
  <c r="H1048" i="35"/>
  <c r="I1047" i="35"/>
  <c r="H1047" i="35"/>
  <c r="I1046" i="35"/>
  <c r="H1046" i="35"/>
  <c r="I1045" i="35"/>
  <c r="H1045" i="35"/>
  <c r="I1044" i="35"/>
  <c r="H1044" i="35"/>
  <c r="I1043" i="35"/>
  <c r="H1043" i="35"/>
  <c r="I1042" i="35"/>
  <c r="H1042" i="35"/>
  <c r="I1041" i="35"/>
  <c r="H1041" i="35"/>
  <c r="I1040" i="35"/>
  <c r="H1040" i="35"/>
  <c r="I1039" i="35"/>
  <c r="H1039" i="35"/>
  <c r="I1038" i="35"/>
  <c r="H1038" i="35"/>
  <c r="I1037" i="35"/>
  <c r="H1037" i="35"/>
  <c r="I1036" i="35"/>
  <c r="H1036" i="35"/>
  <c r="I1035" i="35"/>
  <c r="H1035" i="35"/>
  <c r="I1034" i="35"/>
  <c r="H1034" i="35"/>
  <c r="I1033" i="35"/>
  <c r="H1033" i="35"/>
  <c r="I1032" i="35"/>
  <c r="H1032" i="35"/>
  <c r="I1031" i="35"/>
  <c r="H1031" i="35"/>
  <c r="I1030" i="35"/>
  <c r="H1030" i="35"/>
  <c r="I1029" i="35"/>
  <c r="H1029" i="35"/>
  <c r="I1028" i="35"/>
  <c r="H1028" i="35"/>
  <c r="I1027" i="35"/>
  <c r="H1027" i="35"/>
  <c r="I1026" i="35"/>
  <c r="H1026" i="35"/>
  <c r="I1025" i="35"/>
  <c r="H1025" i="35"/>
  <c r="I1024" i="35"/>
  <c r="H1024" i="35"/>
  <c r="I1023" i="35"/>
  <c r="H1023" i="35"/>
  <c r="I1022" i="35"/>
  <c r="H1022" i="35"/>
  <c r="I1021" i="35"/>
  <c r="H1021" i="35"/>
  <c r="I1020" i="35"/>
  <c r="H1020" i="35"/>
  <c r="I1019" i="35"/>
  <c r="H1019" i="35"/>
  <c r="I1018" i="35"/>
  <c r="H1018" i="35"/>
  <c r="I1017" i="35"/>
  <c r="H1017" i="35"/>
  <c r="I1016" i="35"/>
  <c r="H1016" i="35"/>
  <c r="I1015" i="35"/>
  <c r="H1015" i="35"/>
  <c r="I1014" i="35"/>
  <c r="H1014" i="35"/>
  <c r="I1013" i="35"/>
  <c r="H1013" i="35"/>
  <c r="I1012" i="35"/>
  <c r="H1012" i="35"/>
  <c r="I1011" i="35"/>
  <c r="H1011" i="35"/>
  <c r="I1010" i="35"/>
  <c r="H1010" i="35"/>
  <c r="I1009" i="35"/>
  <c r="H1009" i="35"/>
  <c r="I1008" i="35"/>
  <c r="H1008" i="35"/>
  <c r="I1007" i="35"/>
  <c r="H1007" i="35"/>
  <c r="I1006" i="35"/>
  <c r="H1006" i="35"/>
  <c r="I1005" i="35"/>
  <c r="H1005" i="35"/>
  <c r="I1004" i="35"/>
  <c r="H1004" i="35"/>
  <c r="I1003" i="35"/>
  <c r="H1003" i="35"/>
  <c r="I1002" i="35"/>
  <c r="H1002" i="35"/>
  <c r="I1001" i="35"/>
  <c r="H1001" i="35"/>
  <c r="I1000" i="35"/>
  <c r="H1000" i="35"/>
  <c r="I999" i="35"/>
  <c r="H999" i="35"/>
  <c r="I998" i="35"/>
  <c r="H998" i="35"/>
  <c r="I997" i="35"/>
  <c r="H997" i="35"/>
  <c r="I996" i="35"/>
  <c r="H996" i="35"/>
  <c r="I995" i="35"/>
  <c r="H995" i="35"/>
  <c r="I994" i="35"/>
  <c r="H994" i="35"/>
  <c r="I984" i="35"/>
  <c r="H984" i="35"/>
  <c r="I983" i="35"/>
  <c r="H983" i="35"/>
  <c r="I982" i="35"/>
  <c r="H982" i="35"/>
  <c r="I981" i="35"/>
  <c r="H981" i="35"/>
  <c r="I980" i="35"/>
  <c r="H980" i="35"/>
  <c r="I979" i="35"/>
  <c r="H979" i="35"/>
  <c r="I978" i="35"/>
  <c r="H978" i="35"/>
  <c r="I977" i="35"/>
  <c r="H977" i="35"/>
  <c r="I976" i="35"/>
  <c r="H976" i="35"/>
  <c r="I975" i="35"/>
  <c r="H975" i="35"/>
  <c r="I974" i="35"/>
  <c r="H974" i="35"/>
  <c r="I973" i="35"/>
  <c r="H973" i="35"/>
  <c r="I972" i="35"/>
  <c r="H972" i="35"/>
  <c r="I971" i="35"/>
  <c r="H971" i="35"/>
  <c r="I970" i="35"/>
  <c r="H970" i="35"/>
  <c r="I969" i="35"/>
  <c r="H969" i="35"/>
  <c r="I968" i="35"/>
  <c r="H968" i="35"/>
  <c r="I967" i="35"/>
  <c r="H967" i="35"/>
  <c r="I966" i="35"/>
  <c r="H966" i="35"/>
  <c r="I965" i="35"/>
  <c r="H965" i="35"/>
  <c r="I964" i="35"/>
  <c r="H964" i="35"/>
  <c r="I963" i="35"/>
  <c r="H963" i="35"/>
  <c r="I962" i="35"/>
  <c r="H962" i="35"/>
  <c r="I961" i="35"/>
  <c r="H961" i="35"/>
  <c r="I960" i="35"/>
  <c r="H960" i="35"/>
  <c r="I959" i="35"/>
  <c r="H959" i="35"/>
  <c r="I958" i="35"/>
  <c r="H958" i="35"/>
  <c r="I957" i="35"/>
  <c r="H957" i="35"/>
  <c r="I956" i="35"/>
  <c r="H956" i="35"/>
  <c r="I955" i="35"/>
  <c r="H955" i="35"/>
  <c r="I954" i="35"/>
  <c r="H954" i="35"/>
  <c r="I953" i="35"/>
  <c r="H953" i="35"/>
  <c r="I952" i="35"/>
  <c r="H952" i="35"/>
  <c r="I951" i="35"/>
  <c r="H951" i="35"/>
  <c r="I950" i="35"/>
  <c r="H950" i="35"/>
  <c r="I949" i="35"/>
  <c r="H949" i="35"/>
  <c r="I948" i="35"/>
  <c r="H948" i="35"/>
  <c r="I947" i="35"/>
  <c r="H947" i="35"/>
  <c r="I946" i="35"/>
  <c r="H946" i="35"/>
  <c r="I945" i="35"/>
  <c r="H945" i="35"/>
  <c r="I944" i="35"/>
  <c r="H944" i="35"/>
  <c r="I943" i="35"/>
  <c r="H943" i="35"/>
  <c r="I942" i="35"/>
  <c r="H942" i="35"/>
  <c r="I941" i="35"/>
  <c r="H941" i="35"/>
  <c r="I940" i="35"/>
  <c r="H940" i="35"/>
  <c r="I939" i="35"/>
  <c r="H939" i="35"/>
  <c r="I938" i="35"/>
  <c r="H938" i="35"/>
  <c r="I937" i="35"/>
  <c r="H937" i="35"/>
  <c r="I936" i="35"/>
  <c r="H936" i="35"/>
  <c r="I935" i="35"/>
  <c r="H935" i="35"/>
  <c r="I934" i="35"/>
  <c r="H934" i="35"/>
  <c r="I933" i="35"/>
  <c r="H933" i="35"/>
  <c r="I932" i="35"/>
  <c r="H932" i="35"/>
  <c r="I931" i="35"/>
  <c r="H931" i="35"/>
  <c r="I930" i="35"/>
  <c r="H930" i="35"/>
  <c r="I929" i="35"/>
  <c r="H929" i="35"/>
  <c r="I928" i="35"/>
  <c r="H928" i="35"/>
  <c r="I927" i="35"/>
  <c r="H927" i="35"/>
  <c r="I926" i="35"/>
  <c r="H926" i="35"/>
  <c r="I925" i="35"/>
  <c r="H925" i="35"/>
  <c r="I924" i="35"/>
  <c r="H924" i="35"/>
  <c r="I923" i="35"/>
  <c r="H923" i="35"/>
  <c r="I922" i="35"/>
  <c r="H922" i="35"/>
  <c r="I921" i="35"/>
  <c r="H921" i="35"/>
  <c r="I920" i="35"/>
  <c r="H920" i="35"/>
  <c r="I919" i="35"/>
  <c r="H919" i="35"/>
  <c r="I918" i="35"/>
  <c r="H918" i="35"/>
  <c r="I917" i="35"/>
  <c r="H917" i="35"/>
  <c r="I916" i="35"/>
  <c r="H916" i="35"/>
  <c r="I915" i="35"/>
  <c r="H915" i="35"/>
  <c r="I914" i="35"/>
  <c r="H914" i="35"/>
  <c r="I913" i="35"/>
  <c r="H913" i="35"/>
  <c r="I912" i="35"/>
  <c r="H912" i="35"/>
  <c r="I911" i="35"/>
  <c r="H911" i="35"/>
  <c r="I910" i="35"/>
  <c r="H910" i="35"/>
  <c r="I909" i="35"/>
  <c r="H909" i="35"/>
  <c r="I908" i="35"/>
  <c r="H908" i="35"/>
  <c r="I907" i="35"/>
  <c r="H907" i="35"/>
  <c r="I906" i="35"/>
  <c r="H906" i="35"/>
  <c r="I905" i="35"/>
  <c r="H905" i="35"/>
  <c r="I904" i="35"/>
  <c r="H904" i="35"/>
  <c r="I903" i="35"/>
  <c r="H903" i="35"/>
  <c r="I902" i="35"/>
  <c r="H902" i="35"/>
  <c r="I901" i="35"/>
  <c r="H901" i="35"/>
  <c r="I900" i="35"/>
  <c r="H900" i="35"/>
  <c r="I899" i="35"/>
  <c r="H899" i="35"/>
  <c r="I898" i="35"/>
  <c r="H898" i="35"/>
  <c r="I897" i="35"/>
  <c r="H897" i="35"/>
  <c r="I896" i="35"/>
  <c r="H896" i="35"/>
  <c r="I895" i="35"/>
  <c r="H895" i="35"/>
  <c r="I894" i="35"/>
  <c r="H894" i="35"/>
  <c r="I893" i="35"/>
  <c r="H893" i="35"/>
  <c r="I892" i="35"/>
  <c r="H892" i="35"/>
  <c r="I891" i="35"/>
  <c r="H891" i="35"/>
  <c r="I890" i="35"/>
  <c r="H890" i="35"/>
  <c r="I889" i="35"/>
  <c r="H889" i="35"/>
  <c r="I888" i="35"/>
  <c r="H888" i="35"/>
  <c r="I887" i="35"/>
  <c r="H887" i="35"/>
  <c r="I886" i="35"/>
  <c r="H886" i="35"/>
  <c r="I885" i="35"/>
  <c r="H885" i="35"/>
  <c r="I884" i="35"/>
  <c r="H884" i="35"/>
  <c r="I883" i="35"/>
  <c r="H883" i="35"/>
  <c r="I882" i="35"/>
  <c r="H882" i="35"/>
  <c r="I881" i="35"/>
  <c r="H881" i="35"/>
  <c r="I880" i="35"/>
  <c r="H880" i="35"/>
  <c r="I879" i="35"/>
  <c r="H879" i="35"/>
  <c r="I878" i="35"/>
  <c r="H878" i="35"/>
  <c r="I877" i="35"/>
  <c r="H877" i="35"/>
  <c r="I876" i="35"/>
  <c r="H876" i="35"/>
  <c r="I875" i="35"/>
  <c r="H875" i="35"/>
  <c r="I874" i="35"/>
  <c r="H874" i="35"/>
  <c r="I873" i="35"/>
  <c r="H873" i="35"/>
  <c r="I872" i="35"/>
  <c r="H872" i="35"/>
  <c r="I871" i="35"/>
  <c r="H871" i="35"/>
  <c r="I870" i="35"/>
  <c r="H870" i="35"/>
  <c r="I869" i="35"/>
  <c r="H869" i="35"/>
  <c r="I868" i="35"/>
  <c r="H868" i="35"/>
  <c r="I867" i="35"/>
  <c r="H867" i="35"/>
  <c r="I866" i="35"/>
  <c r="H866" i="35"/>
  <c r="I865" i="35"/>
  <c r="H865" i="35"/>
  <c r="I864" i="35"/>
  <c r="H864" i="35"/>
  <c r="I863" i="35"/>
  <c r="H863" i="35"/>
  <c r="I862" i="35"/>
  <c r="H862" i="35"/>
  <c r="I861" i="35"/>
  <c r="H861" i="35"/>
  <c r="I860" i="35"/>
  <c r="H860" i="35"/>
  <c r="I859" i="35"/>
  <c r="H859" i="35"/>
  <c r="I858" i="35"/>
  <c r="H858" i="35"/>
  <c r="I857" i="35"/>
  <c r="H857" i="35"/>
  <c r="I856" i="35"/>
  <c r="H856" i="35"/>
  <c r="I855" i="35"/>
  <c r="H855" i="35"/>
  <c r="I854" i="35"/>
  <c r="H854" i="35"/>
  <c r="I853" i="35"/>
  <c r="H853" i="35"/>
  <c r="I852" i="35"/>
  <c r="H852" i="35"/>
  <c r="I851" i="35"/>
  <c r="H851" i="35"/>
  <c r="I850" i="35"/>
  <c r="H850" i="35"/>
  <c r="I849" i="35"/>
  <c r="H849" i="35"/>
  <c r="I848" i="35"/>
  <c r="H848" i="35"/>
  <c r="I847" i="35"/>
  <c r="H847" i="35"/>
  <c r="I846" i="35"/>
  <c r="H846" i="35"/>
  <c r="I845" i="35"/>
  <c r="H845" i="35"/>
  <c r="I844" i="35"/>
  <c r="I985" i="35" s="1"/>
  <c r="H844" i="35"/>
  <c r="I843" i="35"/>
  <c r="H843" i="35"/>
  <c r="I842" i="35"/>
  <c r="H842" i="35"/>
  <c r="I841" i="35"/>
  <c r="H841" i="35"/>
  <c r="I840" i="35"/>
  <c r="H840" i="35"/>
  <c r="I835" i="35"/>
  <c r="H835" i="35"/>
  <c r="I834" i="35"/>
  <c r="H834" i="35"/>
  <c r="I833" i="35"/>
  <c r="H833" i="35"/>
  <c r="I832" i="35"/>
  <c r="H832" i="35"/>
  <c r="I831" i="35"/>
  <c r="H831" i="35"/>
  <c r="I830" i="35"/>
  <c r="H830" i="35"/>
  <c r="I829" i="35"/>
  <c r="H829" i="35"/>
  <c r="I828" i="35"/>
  <c r="H828" i="35"/>
  <c r="I827" i="35"/>
  <c r="H827" i="35"/>
  <c r="I826" i="35"/>
  <c r="H826" i="35"/>
  <c r="I825" i="35"/>
  <c r="H825" i="35"/>
  <c r="I824" i="35"/>
  <c r="H824" i="35"/>
  <c r="I823" i="35"/>
  <c r="H823" i="35"/>
  <c r="I822" i="35"/>
  <c r="H822" i="35"/>
  <c r="I821" i="35"/>
  <c r="H821" i="35"/>
  <c r="I820" i="35"/>
  <c r="H820" i="35"/>
  <c r="I819" i="35"/>
  <c r="H819" i="35"/>
  <c r="I818" i="35"/>
  <c r="H818" i="35"/>
  <c r="I817" i="35"/>
  <c r="H817" i="35"/>
  <c r="I816" i="35"/>
  <c r="H816" i="35"/>
  <c r="I815" i="35"/>
  <c r="H815" i="35"/>
  <c r="I814" i="35"/>
  <c r="H814" i="35"/>
  <c r="I813" i="35"/>
  <c r="H813" i="35"/>
  <c r="I812" i="35"/>
  <c r="H812" i="35"/>
  <c r="I811" i="35"/>
  <c r="H811" i="35"/>
  <c r="I810" i="35"/>
  <c r="H810" i="35"/>
  <c r="I809" i="35"/>
  <c r="H809" i="35"/>
  <c r="I808" i="35"/>
  <c r="H808" i="35"/>
  <c r="I807" i="35"/>
  <c r="H807" i="35"/>
  <c r="I806" i="35"/>
  <c r="H806" i="35"/>
  <c r="I805" i="35"/>
  <c r="H805" i="35"/>
  <c r="I804" i="35"/>
  <c r="H804" i="35"/>
  <c r="I803" i="35"/>
  <c r="H803" i="35"/>
  <c r="I802" i="35"/>
  <c r="H802" i="35"/>
  <c r="I801" i="35"/>
  <c r="H801" i="35"/>
  <c r="I800" i="35"/>
  <c r="H800" i="35"/>
  <c r="I799" i="35"/>
  <c r="H799" i="35"/>
  <c r="I798" i="35"/>
  <c r="H798" i="35"/>
  <c r="I797" i="35"/>
  <c r="H797" i="35"/>
  <c r="I796" i="35"/>
  <c r="H796" i="35"/>
  <c r="I795" i="35"/>
  <c r="H795" i="35"/>
  <c r="I794" i="35"/>
  <c r="H794" i="35"/>
  <c r="I793" i="35"/>
  <c r="H793" i="35"/>
  <c r="I792" i="35"/>
  <c r="H792" i="35"/>
  <c r="I791" i="35"/>
  <c r="H791" i="35"/>
  <c r="I790" i="35"/>
  <c r="H790" i="35"/>
  <c r="I789" i="35"/>
  <c r="H789" i="35"/>
  <c r="I788" i="35"/>
  <c r="H788" i="35"/>
  <c r="I787" i="35"/>
  <c r="H787" i="35"/>
  <c r="I786" i="35"/>
  <c r="H786" i="35"/>
  <c r="I785" i="35"/>
  <c r="H785" i="35"/>
  <c r="I784" i="35"/>
  <c r="H784" i="35"/>
  <c r="I783" i="35"/>
  <c r="H783" i="35"/>
  <c r="I782" i="35"/>
  <c r="H782" i="35"/>
  <c r="I781" i="35"/>
  <c r="H781" i="35"/>
  <c r="I780" i="35"/>
  <c r="H780" i="35"/>
  <c r="I779" i="35"/>
  <c r="H779" i="35"/>
  <c r="I778" i="35"/>
  <c r="H778" i="35"/>
  <c r="I777" i="35"/>
  <c r="H777" i="35"/>
  <c r="I776" i="35"/>
  <c r="H776" i="35"/>
  <c r="I775" i="35"/>
  <c r="H775" i="35"/>
  <c r="I774" i="35"/>
  <c r="H774" i="35"/>
  <c r="I773" i="35"/>
  <c r="H773" i="35"/>
  <c r="I772" i="35"/>
  <c r="H772" i="35"/>
  <c r="I771" i="35"/>
  <c r="H771" i="35"/>
  <c r="I770" i="35"/>
  <c r="H770" i="35"/>
  <c r="I769" i="35"/>
  <c r="H769" i="35"/>
  <c r="I768" i="35"/>
  <c r="H768" i="35"/>
  <c r="I767" i="35"/>
  <c r="H767" i="35"/>
  <c r="I766" i="35"/>
  <c r="H766" i="35"/>
  <c r="I765" i="35"/>
  <c r="H765" i="35"/>
  <c r="I764" i="35"/>
  <c r="H764" i="35"/>
  <c r="I763" i="35"/>
  <c r="H763" i="35"/>
  <c r="I762" i="35"/>
  <c r="H762" i="35"/>
  <c r="I761" i="35"/>
  <c r="H761" i="35"/>
  <c r="I760" i="35"/>
  <c r="H760" i="35"/>
  <c r="I759" i="35"/>
  <c r="H759" i="35"/>
  <c r="I758" i="35"/>
  <c r="H758" i="35"/>
  <c r="I757" i="35"/>
  <c r="H757" i="35"/>
  <c r="I756" i="35"/>
  <c r="H756" i="35"/>
  <c r="I755" i="35"/>
  <c r="H755" i="35"/>
  <c r="I754" i="35"/>
  <c r="H754" i="35"/>
  <c r="I753" i="35"/>
  <c r="H753" i="35"/>
  <c r="I752" i="35"/>
  <c r="H752" i="35"/>
  <c r="I751" i="35"/>
  <c r="H751" i="35"/>
  <c r="I750" i="35"/>
  <c r="H750" i="35"/>
  <c r="I749" i="35"/>
  <c r="H749" i="35"/>
  <c r="I748" i="35"/>
  <c r="H748" i="35"/>
  <c r="I747" i="35"/>
  <c r="H747" i="35"/>
  <c r="I746" i="35"/>
  <c r="H746" i="35"/>
  <c r="I745" i="35"/>
  <c r="H745" i="35"/>
  <c r="I744" i="35"/>
  <c r="H744" i="35"/>
  <c r="I743" i="35"/>
  <c r="H743" i="35"/>
  <c r="I742" i="35"/>
  <c r="H742" i="35"/>
  <c r="I741" i="35"/>
  <c r="H741" i="35"/>
  <c r="I740" i="35"/>
  <c r="H740" i="35"/>
  <c r="I739" i="35"/>
  <c r="H739" i="35"/>
  <c r="I738" i="35"/>
  <c r="H738" i="35"/>
  <c r="I737" i="35"/>
  <c r="H737" i="35"/>
  <c r="I736" i="35"/>
  <c r="H736" i="35"/>
  <c r="I735" i="35"/>
  <c r="H735" i="35"/>
  <c r="I734" i="35"/>
  <c r="H734" i="35"/>
  <c r="I733" i="35"/>
  <c r="H733" i="35"/>
  <c r="I732" i="35"/>
  <c r="H732" i="35"/>
  <c r="I731" i="35"/>
  <c r="H731" i="35"/>
  <c r="I730" i="35"/>
  <c r="H730" i="35"/>
  <c r="I729" i="35"/>
  <c r="H729" i="35"/>
  <c r="I728" i="35"/>
  <c r="H728" i="35"/>
  <c r="I727" i="35"/>
  <c r="H727" i="35"/>
  <c r="I726" i="35"/>
  <c r="H726" i="35"/>
  <c r="I725" i="35"/>
  <c r="H725" i="35"/>
  <c r="I724" i="35"/>
  <c r="H724" i="35"/>
  <c r="I723" i="35"/>
  <c r="H723" i="35"/>
  <c r="I722" i="35"/>
  <c r="H722" i="35"/>
  <c r="I721" i="35"/>
  <c r="H721" i="35"/>
  <c r="I720" i="35"/>
  <c r="H720" i="35"/>
  <c r="I719" i="35"/>
  <c r="H719" i="35"/>
  <c r="I718" i="35"/>
  <c r="H718" i="35"/>
  <c r="I717" i="35"/>
  <c r="H717" i="35"/>
  <c r="I716" i="35"/>
  <c r="H716" i="35"/>
  <c r="I715" i="35"/>
  <c r="H715" i="35"/>
  <c r="I714" i="35"/>
  <c r="H714" i="35"/>
  <c r="I713" i="35"/>
  <c r="H713" i="35"/>
  <c r="I712" i="35"/>
  <c r="H712" i="35"/>
  <c r="I711" i="35"/>
  <c r="H711" i="35"/>
  <c r="I710" i="35"/>
  <c r="H710" i="35"/>
  <c r="I709" i="35"/>
  <c r="H709" i="35"/>
  <c r="I708" i="35"/>
  <c r="H708" i="35"/>
  <c r="I707" i="35"/>
  <c r="H707" i="35"/>
  <c r="I706" i="35"/>
  <c r="H706" i="35"/>
  <c r="I705" i="35"/>
  <c r="H705" i="35"/>
  <c r="I704" i="35"/>
  <c r="H704" i="35"/>
  <c r="I703" i="35"/>
  <c r="H703" i="35"/>
  <c r="I702" i="35"/>
  <c r="H702" i="35"/>
  <c r="I701" i="35"/>
  <c r="H701" i="35"/>
  <c r="I700" i="35"/>
  <c r="H700" i="35"/>
  <c r="I699" i="35"/>
  <c r="H699" i="35"/>
  <c r="I698" i="35"/>
  <c r="H698" i="35"/>
  <c r="I697" i="35"/>
  <c r="H697" i="35"/>
  <c r="I693" i="35"/>
  <c r="H693" i="35"/>
  <c r="I691" i="35"/>
  <c r="H691" i="35"/>
  <c r="I690" i="35"/>
  <c r="H690" i="35"/>
  <c r="I689" i="35"/>
  <c r="H689" i="35"/>
  <c r="I688" i="35"/>
  <c r="H688" i="35"/>
  <c r="I687" i="35"/>
  <c r="H687" i="35"/>
  <c r="I686" i="35"/>
  <c r="H686" i="35"/>
  <c r="I685" i="35"/>
  <c r="H685" i="35"/>
  <c r="I684" i="35"/>
  <c r="H684" i="35"/>
  <c r="I683" i="35"/>
  <c r="H683" i="35"/>
  <c r="I682" i="35"/>
  <c r="H682" i="35"/>
  <c r="I681" i="35"/>
  <c r="H681" i="35"/>
  <c r="I680" i="35"/>
  <c r="H680" i="35"/>
  <c r="I679" i="35"/>
  <c r="I694" i="35" s="1"/>
  <c r="H679" i="35"/>
  <c r="I674" i="35"/>
  <c r="H674" i="35"/>
  <c r="I673" i="35"/>
  <c r="H673" i="35"/>
  <c r="I672" i="35"/>
  <c r="H672" i="35"/>
  <c r="I671" i="35"/>
  <c r="H671" i="35"/>
  <c r="I670" i="35"/>
  <c r="H670" i="35"/>
  <c r="I669" i="35"/>
  <c r="H669" i="35"/>
  <c r="I668" i="35"/>
  <c r="H668" i="35"/>
  <c r="I667" i="35"/>
  <c r="H667" i="35"/>
  <c r="I666" i="35"/>
  <c r="H666" i="35"/>
  <c r="I665" i="35"/>
  <c r="H665" i="35"/>
  <c r="I664" i="35"/>
  <c r="H664" i="35"/>
  <c r="I663" i="35"/>
  <c r="H663" i="35"/>
  <c r="I662" i="35"/>
  <c r="H662" i="35"/>
  <c r="I661" i="35"/>
  <c r="H661" i="35"/>
  <c r="I660" i="35"/>
  <c r="H660" i="35"/>
  <c r="I659" i="35"/>
  <c r="H659" i="35"/>
  <c r="I658" i="35"/>
  <c r="H658" i="35"/>
  <c r="I657" i="35"/>
  <c r="H657" i="35"/>
  <c r="I656" i="35"/>
  <c r="H656" i="35"/>
  <c r="I655" i="35"/>
  <c r="H655" i="35"/>
  <c r="I654" i="35"/>
  <c r="H654" i="35"/>
  <c r="I653" i="35"/>
  <c r="H653" i="35"/>
  <c r="I652" i="35"/>
  <c r="H652" i="35"/>
  <c r="I651" i="35"/>
  <c r="H651" i="35"/>
  <c r="I650" i="35"/>
  <c r="H650" i="35"/>
  <c r="I649" i="35"/>
  <c r="H649" i="35"/>
  <c r="I648" i="35"/>
  <c r="H648" i="35"/>
  <c r="I647" i="35"/>
  <c r="H647" i="35"/>
  <c r="I646" i="35"/>
  <c r="H646" i="35"/>
  <c r="I645" i="35"/>
  <c r="H645" i="35"/>
  <c r="I644" i="35"/>
  <c r="H644" i="35"/>
  <c r="I643" i="35"/>
  <c r="H643" i="35"/>
  <c r="I642" i="35"/>
  <c r="H642" i="35"/>
  <c r="I641" i="35"/>
  <c r="H641" i="35"/>
  <c r="I640" i="35"/>
  <c r="H640" i="35"/>
  <c r="I639" i="35"/>
  <c r="H639" i="35"/>
  <c r="I638" i="35"/>
  <c r="H638" i="35"/>
  <c r="I637" i="35"/>
  <c r="H637" i="35"/>
  <c r="I636" i="35"/>
  <c r="H636" i="35"/>
  <c r="I635" i="35"/>
  <c r="H635" i="35"/>
  <c r="I634" i="35"/>
  <c r="H634" i="35"/>
  <c r="I633" i="35"/>
  <c r="H633" i="35"/>
  <c r="I632" i="35"/>
  <c r="H632" i="35"/>
  <c r="I631" i="35"/>
  <c r="H631" i="35"/>
  <c r="I630" i="35"/>
  <c r="H630" i="35"/>
  <c r="I629" i="35"/>
  <c r="H629" i="35"/>
  <c r="I628" i="35"/>
  <c r="H628" i="35"/>
  <c r="I627" i="35"/>
  <c r="H627" i="35"/>
  <c r="I626" i="35"/>
  <c r="H626" i="35"/>
  <c r="I625" i="35"/>
  <c r="H625" i="35"/>
  <c r="I624" i="35"/>
  <c r="H624" i="35"/>
  <c r="I623" i="35"/>
  <c r="H623" i="35"/>
  <c r="I622" i="35"/>
  <c r="H622" i="35"/>
  <c r="I621" i="35"/>
  <c r="H621" i="35"/>
  <c r="I620" i="35"/>
  <c r="H620" i="35"/>
  <c r="I619" i="35"/>
  <c r="H619" i="35"/>
  <c r="I618" i="35"/>
  <c r="H618" i="35"/>
  <c r="I617" i="35"/>
  <c r="H617" i="35"/>
  <c r="I616" i="35"/>
  <c r="H616" i="35"/>
  <c r="I615" i="35"/>
  <c r="H615" i="35"/>
  <c r="I614" i="35"/>
  <c r="H614" i="35"/>
  <c r="I613" i="35"/>
  <c r="H613" i="35"/>
  <c r="I612" i="35"/>
  <c r="H612" i="35"/>
  <c r="I611" i="35"/>
  <c r="H611" i="35"/>
  <c r="I610" i="35"/>
  <c r="H610" i="35"/>
  <c r="I609" i="35"/>
  <c r="H609" i="35"/>
  <c r="I608" i="35"/>
  <c r="H608" i="35"/>
  <c r="I607" i="35"/>
  <c r="H607" i="35"/>
  <c r="I606" i="35"/>
  <c r="H606" i="35"/>
  <c r="I605" i="35"/>
  <c r="H605" i="35"/>
  <c r="I604" i="35"/>
  <c r="H604" i="35"/>
  <c r="I603" i="35"/>
  <c r="H603" i="35"/>
  <c r="I602" i="35"/>
  <c r="H602" i="35"/>
  <c r="I601" i="35"/>
  <c r="H601" i="35"/>
  <c r="I600" i="35"/>
  <c r="H600" i="35"/>
  <c r="I599" i="35"/>
  <c r="H599" i="35"/>
  <c r="I598" i="35"/>
  <c r="H598" i="35"/>
  <c r="I597" i="35"/>
  <c r="H597" i="35"/>
  <c r="I596" i="35"/>
  <c r="H596" i="35"/>
  <c r="I595" i="35"/>
  <c r="H595" i="35"/>
  <c r="I594" i="35"/>
  <c r="H594" i="35"/>
  <c r="I593" i="35"/>
  <c r="H593" i="35"/>
  <c r="I592" i="35"/>
  <c r="H592" i="35"/>
  <c r="I591" i="35"/>
  <c r="H591" i="35"/>
  <c r="I590" i="35"/>
  <c r="H590" i="35"/>
  <c r="I589" i="35"/>
  <c r="H589" i="35"/>
  <c r="I588" i="35"/>
  <c r="H588" i="35"/>
  <c r="I587" i="35"/>
  <c r="H587" i="35"/>
  <c r="I586" i="35"/>
  <c r="H586" i="35"/>
  <c r="I585" i="35"/>
  <c r="H585" i="35"/>
  <c r="I584" i="35"/>
  <c r="H584" i="35"/>
  <c r="I583" i="35"/>
  <c r="H583" i="35"/>
  <c r="I582" i="35"/>
  <c r="H582" i="35"/>
  <c r="I581" i="35"/>
  <c r="H581" i="35"/>
  <c r="I580" i="35"/>
  <c r="H580" i="35"/>
  <c r="I579" i="35"/>
  <c r="H579" i="35"/>
  <c r="I578" i="35"/>
  <c r="H578" i="35"/>
  <c r="I577" i="35"/>
  <c r="H577" i="35"/>
  <c r="I576" i="35"/>
  <c r="H576" i="35"/>
  <c r="I575" i="35"/>
  <c r="H575" i="35"/>
  <c r="I574" i="35"/>
  <c r="H574" i="35"/>
  <c r="I573" i="35"/>
  <c r="H573" i="35"/>
  <c r="I572" i="35"/>
  <c r="H572" i="35"/>
  <c r="I571" i="35"/>
  <c r="H571" i="35"/>
  <c r="I570" i="35"/>
  <c r="H570" i="35"/>
  <c r="I569" i="35"/>
  <c r="H569" i="35"/>
  <c r="I568" i="35"/>
  <c r="H568" i="35"/>
  <c r="I567" i="35"/>
  <c r="H567" i="35"/>
  <c r="I566" i="35"/>
  <c r="H566" i="35"/>
  <c r="I565" i="35"/>
  <c r="H565" i="35"/>
  <c r="I564" i="35"/>
  <c r="H564" i="35"/>
  <c r="I563" i="35"/>
  <c r="H563" i="35"/>
  <c r="I562" i="35"/>
  <c r="H562" i="35"/>
  <c r="I561" i="35"/>
  <c r="H561" i="35"/>
  <c r="I560" i="35"/>
  <c r="H560" i="35"/>
  <c r="I559" i="35"/>
  <c r="H559" i="35"/>
  <c r="I558" i="35"/>
  <c r="H558" i="35"/>
  <c r="I557" i="35"/>
  <c r="H557" i="35"/>
  <c r="I556" i="35"/>
  <c r="H556" i="35"/>
  <c r="I555" i="35"/>
  <c r="H555" i="35"/>
  <c r="I554" i="35"/>
  <c r="H554" i="35"/>
  <c r="I553" i="35"/>
  <c r="H553" i="35"/>
  <c r="I552" i="35"/>
  <c r="H552" i="35"/>
  <c r="I551" i="35"/>
  <c r="H551" i="35"/>
  <c r="I550" i="35"/>
  <c r="H550" i="35"/>
  <c r="I549" i="35"/>
  <c r="H549" i="35"/>
  <c r="I548" i="35"/>
  <c r="H548" i="35"/>
  <c r="I547" i="35"/>
  <c r="H547" i="35"/>
  <c r="I546" i="35"/>
  <c r="H546" i="35"/>
  <c r="I545" i="35"/>
  <c r="H545" i="35"/>
  <c r="I544" i="35"/>
  <c r="H544" i="35"/>
  <c r="I543" i="35"/>
  <c r="H543" i="35"/>
  <c r="I542" i="35"/>
  <c r="H542" i="35"/>
  <c r="I541" i="35"/>
  <c r="H541" i="35"/>
  <c r="I540" i="35"/>
  <c r="I675" i="35" s="1"/>
  <c r="H540" i="35"/>
  <c r="I535" i="35"/>
  <c r="H535" i="35"/>
  <c r="I534" i="35"/>
  <c r="H534" i="35"/>
  <c r="I533" i="35"/>
  <c r="H533" i="35"/>
  <c r="I532" i="35"/>
  <c r="H532" i="35"/>
  <c r="I531" i="35"/>
  <c r="H531" i="35"/>
  <c r="I530" i="35"/>
  <c r="H530" i="35"/>
  <c r="I529" i="35"/>
  <c r="H529" i="35"/>
  <c r="I528" i="35"/>
  <c r="H528" i="35"/>
  <c r="I527" i="35"/>
  <c r="H527" i="35"/>
  <c r="I526" i="35"/>
  <c r="H526" i="35"/>
  <c r="I525" i="35"/>
  <c r="H525" i="35"/>
  <c r="I524" i="35"/>
  <c r="H524" i="35"/>
  <c r="I523" i="35"/>
  <c r="H523" i="35"/>
  <c r="I522" i="35"/>
  <c r="H522" i="35"/>
  <c r="I521" i="35"/>
  <c r="H521" i="35"/>
  <c r="I520" i="35"/>
  <c r="I519" i="35"/>
  <c r="H519" i="35"/>
  <c r="I518" i="35"/>
  <c r="H518" i="35"/>
  <c r="I517" i="35"/>
  <c r="H517" i="35"/>
  <c r="I516" i="35"/>
  <c r="H516" i="35"/>
  <c r="I515" i="35"/>
  <c r="H515" i="35"/>
  <c r="I514" i="35"/>
  <c r="H514" i="35"/>
  <c r="I513" i="35"/>
  <c r="H513" i="35"/>
  <c r="I512" i="35"/>
  <c r="H512" i="35"/>
  <c r="I511" i="35"/>
  <c r="H511" i="35"/>
  <c r="I510" i="35"/>
  <c r="H510" i="35"/>
  <c r="I509" i="35"/>
  <c r="H509" i="35"/>
  <c r="I508" i="35"/>
  <c r="H508" i="35"/>
  <c r="I507" i="35"/>
  <c r="H507" i="35"/>
  <c r="I506" i="35"/>
  <c r="H506" i="35"/>
  <c r="I505" i="35"/>
  <c r="H505" i="35"/>
  <c r="I504" i="35"/>
  <c r="H504" i="35"/>
  <c r="I503" i="35"/>
  <c r="H503" i="35"/>
  <c r="I502" i="35"/>
  <c r="H502" i="35"/>
  <c r="I501" i="35"/>
  <c r="H501" i="35"/>
  <c r="I500" i="35"/>
  <c r="H500" i="35"/>
  <c r="I499" i="35"/>
  <c r="H499" i="35"/>
  <c r="I498" i="35"/>
  <c r="H498" i="35"/>
  <c r="I497" i="35"/>
  <c r="H497" i="35"/>
  <c r="I496" i="35"/>
  <c r="H496" i="35"/>
  <c r="I495" i="35"/>
  <c r="H495" i="35"/>
  <c r="I494" i="35"/>
  <c r="H494" i="35"/>
  <c r="I493" i="35"/>
  <c r="H493" i="35"/>
  <c r="I492" i="35"/>
  <c r="H492" i="35"/>
  <c r="I491" i="35"/>
  <c r="H491" i="35"/>
  <c r="I490" i="35"/>
  <c r="H490" i="35"/>
  <c r="I489" i="35"/>
  <c r="H489" i="35"/>
  <c r="I488" i="35"/>
  <c r="H488" i="35"/>
  <c r="J487" i="35"/>
  <c r="J499" i="35" s="1"/>
  <c r="I487" i="35"/>
  <c r="H487" i="35"/>
  <c r="I486" i="35"/>
  <c r="H486" i="35"/>
  <c r="I485" i="35"/>
  <c r="H485" i="35"/>
  <c r="I484" i="35"/>
  <c r="H484" i="35"/>
  <c r="I483" i="35"/>
  <c r="H483" i="35"/>
  <c r="I482" i="35"/>
  <c r="H482" i="35"/>
  <c r="I481" i="35"/>
  <c r="H481" i="35"/>
  <c r="I480" i="35"/>
  <c r="H480" i="35"/>
  <c r="I479" i="35"/>
  <c r="H479" i="35"/>
  <c r="I478" i="35"/>
  <c r="H478" i="35"/>
  <c r="I477" i="35"/>
  <c r="H477" i="35"/>
  <c r="J476" i="35"/>
  <c r="I476" i="35"/>
  <c r="H476" i="35"/>
  <c r="K475" i="35"/>
  <c r="J475" i="35"/>
  <c r="I475" i="35"/>
  <c r="H475" i="35"/>
  <c r="I474" i="35"/>
  <c r="H474" i="35"/>
  <c r="I473" i="35"/>
  <c r="H473" i="35"/>
  <c r="I472" i="35"/>
  <c r="H472" i="35"/>
  <c r="I471" i="35"/>
  <c r="H471" i="35"/>
  <c r="I470" i="35"/>
  <c r="H470" i="35"/>
  <c r="I469" i="35"/>
  <c r="H469" i="35"/>
  <c r="I468" i="35"/>
  <c r="H468" i="35"/>
  <c r="I467" i="35"/>
  <c r="H467" i="35"/>
  <c r="I466" i="35"/>
  <c r="H466" i="35"/>
  <c r="I465" i="35"/>
  <c r="H465" i="35"/>
  <c r="I464" i="35"/>
  <c r="H464" i="35"/>
  <c r="I463" i="35"/>
  <c r="H463" i="35"/>
  <c r="I462" i="35"/>
  <c r="H462" i="35"/>
  <c r="I461" i="35"/>
  <c r="H461" i="35"/>
  <c r="I460" i="35"/>
  <c r="H460" i="35"/>
  <c r="I459" i="35"/>
  <c r="H459" i="35"/>
  <c r="I458" i="35"/>
  <c r="H458" i="35"/>
  <c r="I457" i="35"/>
  <c r="H457" i="35"/>
  <c r="I456" i="35"/>
  <c r="H456" i="35"/>
  <c r="I455" i="35"/>
  <c r="H455" i="35"/>
  <c r="I454" i="35"/>
  <c r="H454" i="35"/>
  <c r="I453" i="35"/>
  <c r="H453" i="35"/>
  <c r="I452" i="35"/>
  <c r="H452" i="35"/>
  <c r="I451" i="35"/>
  <c r="H451" i="35"/>
  <c r="I450" i="35"/>
  <c r="H450" i="35"/>
  <c r="I449" i="35"/>
  <c r="H449" i="35"/>
  <c r="I448" i="35"/>
  <c r="H448" i="35"/>
  <c r="I447" i="35"/>
  <c r="H447" i="35"/>
  <c r="I446" i="35"/>
  <c r="H446" i="35"/>
  <c r="I445" i="35"/>
  <c r="H445" i="35"/>
  <c r="I444" i="35"/>
  <c r="H444" i="35"/>
  <c r="I443" i="35"/>
  <c r="H443" i="35"/>
  <c r="I442" i="35"/>
  <c r="H442" i="35"/>
  <c r="I441" i="35"/>
  <c r="H441" i="35"/>
  <c r="I440" i="35"/>
  <c r="H440" i="35"/>
  <c r="I439" i="35"/>
  <c r="H439" i="35"/>
  <c r="I438" i="35"/>
  <c r="H438" i="35"/>
  <c r="I437" i="35"/>
  <c r="H437" i="35"/>
  <c r="I436" i="35"/>
  <c r="H436" i="35"/>
  <c r="I435" i="35"/>
  <c r="H435" i="35"/>
  <c r="I434" i="35"/>
  <c r="H434" i="35"/>
  <c r="I433" i="35"/>
  <c r="H433" i="35"/>
  <c r="I432" i="35"/>
  <c r="H432" i="35"/>
  <c r="I431" i="35"/>
  <c r="H431" i="35"/>
  <c r="I430" i="35"/>
  <c r="H430" i="35"/>
  <c r="I429" i="35"/>
  <c r="H429" i="35"/>
  <c r="I428" i="35"/>
  <c r="H428" i="35"/>
  <c r="I427" i="35"/>
  <c r="H427" i="35"/>
  <c r="I426" i="35"/>
  <c r="H426" i="35"/>
  <c r="I425" i="35"/>
  <c r="H425" i="35"/>
  <c r="I420" i="35"/>
  <c r="H420" i="35"/>
  <c r="I419" i="35"/>
  <c r="H419" i="35"/>
  <c r="I418" i="35"/>
  <c r="H418" i="35"/>
  <c r="I417" i="35"/>
  <c r="H417" i="35"/>
  <c r="I416" i="35"/>
  <c r="H416" i="35"/>
  <c r="I415" i="35"/>
  <c r="H415" i="35"/>
  <c r="I414" i="35"/>
  <c r="H414" i="35"/>
  <c r="I413" i="35"/>
  <c r="H413" i="35"/>
  <c r="I412" i="35"/>
  <c r="H412" i="35"/>
  <c r="I411" i="35"/>
  <c r="H411" i="35"/>
  <c r="I410" i="35"/>
  <c r="H410" i="35"/>
  <c r="I409" i="35"/>
  <c r="H409" i="35"/>
  <c r="I408" i="35"/>
  <c r="H408" i="35"/>
  <c r="I407" i="35"/>
  <c r="H407" i="35"/>
  <c r="I406" i="35"/>
  <c r="H406" i="35"/>
  <c r="I405" i="35"/>
  <c r="H405" i="35"/>
  <c r="I404" i="35"/>
  <c r="H404" i="35"/>
  <c r="I403" i="35"/>
  <c r="H403" i="35"/>
  <c r="I402" i="35"/>
  <c r="H402" i="35"/>
  <c r="I401" i="35"/>
  <c r="H401" i="35"/>
  <c r="I400" i="35"/>
  <c r="H400" i="35"/>
  <c r="I399" i="35"/>
  <c r="H399" i="35"/>
  <c r="I398" i="35"/>
  <c r="H398" i="35"/>
  <c r="I397" i="35"/>
  <c r="H397" i="35"/>
  <c r="I396" i="35"/>
  <c r="H396" i="35"/>
  <c r="I395" i="35"/>
  <c r="H395" i="35"/>
  <c r="I394" i="35"/>
  <c r="H394" i="35"/>
  <c r="I393" i="35"/>
  <c r="H393" i="35"/>
  <c r="I392" i="35"/>
  <c r="H392" i="35"/>
  <c r="I391" i="35"/>
  <c r="H391" i="35"/>
  <c r="I390" i="35"/>
  <c r="H390" i="35"/>
  <c r="I389" i="35"/>
  <c r="H389" i="35"/>
  <c r="I388" i="35"/>
  <c r="H388" i="35"/>
  <c r="I387" i="35"/>
  <c r="H387" i="35"/>
  <c r="I386" i="35"/>
  <c r="H386" i="35"/>
  <c r="I385" i="35"/>
  <c r="H385" i="35"/>
  <c r="I384" i="35"/>
  <c r="H384" i="35"/>
  <c r="I383" i="35"/>
  <c r="H383" i="35"/>
  <c r="I382" i="35"/>
  <c r="H382" i="35"/>
  <c r="I381" i="35"/>
  <c r="H381" i="35"/>
  <c r="I380" i="35"/>
  <c r="H380" i="35"/>
  <c r="I379" i="35"/>
  <c r="H379" i="35"/>
  <c r="I378" i="35"/>
  <c r="H378" i="35"/>
  <c r="I377" i="35"/>
  <c r="H377" i="35"/>
  <c r="I376" i="35"/>
  <c r="H376" i="35"/>
  <c r="I375" i="35"/>
  <c r="H375" i="35"/>
  <c r="I374" i="35"/>
  <c r="H374" i="35"/>
  <c r="I373" i="35"/>
  <c r="H373" i="35"/>
  <c r="I372" i="35"/>
  <c r="H372" i="35"/>
  <c r="I371" i="35"/>
  <c r="H371" i="35"/>
  <c r="I370" i="35"/>
  <c r="H370" i="35"/>
  <c r="I369" i="35"/>
  <c r="H369" i="35"/>
  <c r="I368" i="35"/>
  <c r="H368" i="35"/>
  <c r="I367" i="35"/>
  <c r="H367" i="35"/>
  <c r="I366" i="35"/>
  <c r="H366" i="35"/>
  <c r="I365" i="35"/>
  <c r="H365" i="35"/>
  <c r="I364" i="35"/>
  <c r="H364" i="35"/>
  <c r="I363" i="35"/>
  <c r="H363" i="35"/>
  <c r="I362" i="35"/>
  <c r="H362" i="35"/>
  <c r="I361" i="35"/>
  <c r="H361" i="35"/>
  <c r="I360" i="35"/>
  <c r="H360" i="35"/>
  <c r="I359" i="35"/>
  <c r="H359" i="35"/>
  <c r="I358" i="35"/>
  <c r="H358" i="35"/>
  <c r="I357" i="35"/>
  <c r="H357" i="35"/>
  <c r="I356" i="35"/>
  <c r="H356" i="35"/>
  <c r="I355" i="35"/>
  <c r="H355" i="35"/>
  <c r="I354" i="35"/>
  <c r="H354" i="35"/>
  <c r="I353" i="35"/>
  <c r="H353" i="35"/>
  <c r="I352" i="35"/>
  <c r="H352" i="35"/>
  <c r="I351" i="35"/>
  <c r="H351" i="35"/>
  <c r="I350" i="35"/>
  <c r="H350" i="35"/>
  <c r="I349" i="35"/>
  <c r="H349" i="35"/>
  <c r="I348" i="35"/>
  <c r="H348" i="35"/>
  <c r="I347" i="35"/>
  <c r="H347" i="35"/>
  <c r="I346" i="35"/>
  <c r="H346" i="35"/>
  <c r="I345" i="35"/>
  <c r="H345" i="35"/>
  <c r="I344" i="35"/>
  <c r="H344" i="35"/>
  <c r="I343" i="35"/>
  <c r="H343" i="35"/>
  <c r="I342" i="35"/>
  <c r="H342" i="35"/>
  <c r="I341" i="35"/>
  <c r="H341" i="35"/>
  <c r="I340" i="35"/>
  <c r="H340" i="35"/>
  <c r="I339" i="35"/>
  <c r="H339" i="35"/>
  <c r="I338" i="35"/>
  <c r="H338" i="35"/>
  <c r="I337" i="35"/>
  <c r="H337" i="35"/>
  <c r="I336" i="35"/>
  <c r="H336" i="35"/>
  <c r="I335" i="35"/>
  <c r="H335" i="35"/>
  <c r="I334" i="35"/>
  <c r="H334" i="35"/>
  <c r="I333" i="35"/>
  <c r="H333" i="35"/>
  <c r="I332" i="35"/>
  <c r="H332" i="35"/>
  <c r="I331" i="35"/>
  <c r="H331" i="35"/>
  <c r="I330" i="35"/>
  <c r="H330" i="35"/>
  <c r="I329" i="35"/>
  <c r="H329" i="35"/>
  <c r="I328" i="35"/>
  <c r="H328" i="35"/>
  <c r="I327" i="35"/>
  <c r="H327" i="35"/>
  <c r="I326" i="35"/>
  <c r="H326" i="35"/>
  <c r="I325" i="35"/>
  <c r="H325" i="35"/>
  <c r="I324" i="35"/>
  <c r="H324" i="35"/>
  <c r="I323" i="35"/>
  <c r="H323" i="35"/>
  <c r="I322" i="35"/>
  <c r="H322" i="35"/>
  <c r="I321" i="35"/>
  <c r="H321" i="35"/>
  <c r="I320" i="35"/>
  <c r="H320" i="35"/>
  <c r="I319" i="35"/>
  <c r="H319" i="35"/>
  <c r="I318" i="35"/>
  <c r="H318" i="35"/>
  <c r="I317" i="35"/>
  <c r="H317" i="35"/>
  <c r="I316" i="35"/>
  <c r="H316" i="35"/>
  <c r="I315" i="35"/>
  <c r="H315" i="35"/>
  <c r="I314" i="35"/>
  <c r="H314" i="35"/>
  <c r="I313" i="35"/>
  <c r="H313" i="35"/>
  <c r="I312" i="35"/>
  <c r="H312" i="35"/>
  <c r="I311" i="35"/>
  <c r="H311" i="35"/>
  <c r="I310" i="35"/>
  <c r="I421" i="35" s="1"/>
  <c r="H310" i="35"/>
  <c r="I302" i="35"/>
  <c r="H302" i="35"/>
  <c r="I301" i="35"/>
  <c r="H301" i="35"/>
  <c r="I300" i="35"/>
  <c r="H300" i="35"/>
  <c r="I299" i="35"/>
  <c r="H299" i="35"/>
  <c r="I298" i="35"/>
  <c r="H298" i="35"/>
  <c r="I297" i="35"/>
  <c r="H297" i="35"/>
  <c r="I296" i="35"/>
  <c r="H296" i="35"/>
  <c r="I295" i="35"/>
  <c r="H295" i="35"/>
  <c r="I294" i="35"/>
  <c r="H294" i="35"/>
  <c r="I293" i="35"/>
  <c r="H293" i="35"/>
  <c r="I292" i="35"/>
  <c r="H292" i="35"/>
  <c r="I291" i="35"/>
  <c r="H291" i="35"/>
  <c r="I290" i="35"/>
  <c r="H290" i="35"/>
  <c r="I289" i="35"/>
  <c r="H289" i="35"/>
  <c r="I288" i="35"/>
  <c r="H288" i="35"/>
  <c r="I287" i="35"/>
  <c r="H287" i="35"/>
  <c r="I286" i="35"/>
  <c r="H286" i="35"/>
  <c r="I285" i="35"/>
  <c r="H285" i="35"/>
  <c r="I284" i="35"/>
  <c r="H284" i="35"/>
  <c r="I283" i="35"/>
  <c r="H283" i="35"/>
  <c r="I282" i="35"/>
  <c r="H282" i="35"/>
  <c r="I281" i="35"/>
  <c r="H281" i="35"/>
  <c r="I280" i="35"/>
  <c r="H280" i="35"/>
  <c r="I279" i="35"/>
  <c r="H279" i="35"/>
  <c r="I278" i="35"/>
  <c r="H278" i="35"/>
  <c r="I277" i="35"/>
  <c r="H277" i="35"/>
  <c r="I276" i="35"/>
  <c r="H276" i="35"/>
  <c r="I275" i="35"/>
  <c r="H275" i="35"/>
  <c r="I274" i="35"/>
  <c r="H274" i="35"/>
  <c r="I273" i="35"/>
  <c r="H273" i="35"/>
  <c r="I272" i="35"/>
  <c r="H272" i="35"/>
  <c r="I271" i="35"/>
  <c r="H271" i="35"/>
  <c r="I270" i="35"/>
  <c r="H270" i="35"/>
  <c r="I269" i="35"/>
  <c r="H269" i="35"/>
  <c r="I268" i="35"/>
  <c r="H268" i="35"/>
  <c r="I267" i="35"/>
  <c r="H267" i="35"/>
  <c r="I266" i="35"/>
  <c r="H266" i="35"/>
  <c r="I265" i="35"/>
  <c r="H265" i="35"/>
  <c r="I264" i="35"/>
  <c r="H264" i="35"/>
  <c r="I263" i="35"/>
  <c r="H263" i="35"/>
  <c r="I262" i="35"/>
  <c r="H262" i="35"/>
  <c r="I261" i="35"/>
  <c r="H261" i="35"/>
  <c r="I260" i="35"/>
  <c r="H260" i="35"/>
  <c r="I259" i="35"/>
  <c r="H259" i="35"/>
  <c r="I258" i="35"/>
  <c r="H258" i="35"/>
  <c r="I257" i="35"/>
  <c r="H257" i="35"/>
  <c r="I256" i="35"/>
  <c r="H256" i="35"/>
  <c r="I255" i="35"/>
  <c r="H255" i="35"/>
  <c r="I254" i="35"/>
  <c r="H254" i="35"/>
  <c r="I253" i="35"/>
  <c r="H253" i="35"/>
  <c r="I252" i="35"/>
  <c r="H252" i="35"/>
  <c r="I251" i="35"/>
  <c r="H251" i="35"/>
  <c r="I250" i="35"/>
  <c r="H250" i="35"/>
  <c r="I249" i="35"/>
  <c r="H249" i="35"/>
  <c r="I248" i="35"/>
  <c r="H248" i="35"/>
  <c r="I247" i="35"/>
  <c r="H247" i="35"/>
  <c r="I246" i="35"/>
  <c r="H246" i="35"/>
  <c r="I245" i="35"/>
  <c r="H245" i="35"/>
  <c r="I244" i="35"/>
  <c r="H244" i="35"/>
  <c r="I243" i="35"/>
  <c r="I304" i="35" s="1"/>
  <c r="H243" i="35"/>
  <c r="I238" i="35"/>
  <c r="I237" i="35"/>
  <c r="I236" i="35"/>
  <c r="I235" i="35"/>
  <c r="H235" i="35"/>
  <c r="I234" i="35"/>
  <c r="H234" i="35"/>
  <c r="I233" i="35"/>
  <c r="H233" i="35"/>
  <c r="I232" i="35"/>
  <c r="H232" i="35"/>
  <c r="I231" i="35"/>
  <c r="H231" i="35"/>
  <c r="I230" i="35"/>
  <c r="H230" i="35"/>
  <c r="I229" i="35"/>
  <c r="H229" i="35"/>
  <c r="I228" i="35"/>
  <c r="H228" i="35"/>
  <c r="I227" i="35"/>
  <c r="H227" i="35"/>
  <c r="I226" i="35"/>
  <c r="H226" i="35"/>
  <c r="I225" i="35"/>
  <c r="H225" i="35"/>
  <c r="I224" i="35"/>
  <c r="H224" i="35"/>
  <c r="I223" i="35"/>
  <c r="H223" i="35"/>
  <c r="I222" i="35"/>
  <c r="H222" i="35"/>
  <c r="I221" i="35"/>
  <c r="H221" i="35"/>
  <c r="I220" i="35"/>
  <c r="H220" i="35"/>
  <c r="I219" i="35"/>
  <c r="H219" i="35"/>
  <c r="I218" i="35"/>
  <c r="H218" i="35"/>
  <c r="I217" i="35"/>
  <c r="H217" i="35"/>
  <c r="I216" i="35"/>
  <c r="H216" i="35"/>
  <c r="I215" i="35"/>
  <c r="H215" i="35"/>
  <c r="I214" i="35"/>
  <c r="H214" i="35"/>
  <c r="I213" i="35"/>
  <c r="H213" i="35"/>
  <c r="I212" i="35"/>
  <c r="H212" i="35"/>
  <c r="I211" i="35"/>
  <c r="H211" i="35"/>
  <c r="I210" i="35"/>
  <c r="H210" i="35"/>
  <c r="I209" i="35"/>
  <c r="H209" i="35"/>
  <c r="I208" i="35"/>
  <c r="H208" i="35"/>
  <c r="I207" i="35"/>
  <c r="H207" i="35"/>
  <c r="I206" i="35"/>
  <c r="H206" i="35"/>
  <c r="I205" i="35"/>
  <c r="H205" i="35"/>
  <c r="I204" i="35"/>
  <c r="H204" i="35"/>
  <c r="I203" i="35"/>
  <c r="H203" i="35"/>
  <c r="I202" i="35"/>
  <c r="H202" i="35"/>
  <c r="I201" i="35"/>
  <c r="H201" i="35"/>
  <c r="I200" i="35"/>
  <c r="H200" i="35"/>
  <c r="I199" i="35"/>
  <c r="H199" i="35"/>
  <c r="I198" i="35"/>
  <c r="H198" i="35"/>
  <c r="I197" i="35"/>
  <c r="H197" i="35"/>
  <c r="I196" i="35"/>
  <c r="H196" i="35"/>
  <c r="I195" i="35"/>
  <c r="H195" i="35"/>
  <c r="I194" i="35"/>
  <c r="H194" i="35"/>
  <c r="I193" i="35"/>
  <c r="H193" i="35"/>
  <c r="I192" i="35"/>
  <c r="H192" i="35"/>
  <c r="I191" i="35"/>
  <c r="H191" i="35"/>
  <c r="I190" i="35"/>
  <c r="H190" i="35"/>
  <c r="I189" i="35"/>
  <c r="H189" i="35"/>
  <c r="I188" i="35"/>
  <c r="H188" i="35"/>
  <c r="I187" i="35"/>
  <c r="H187" i="35"/>
  <c r="I186" i="35"/>
  <c r="H186" i="35"/>
  <c r="I185" i="35"/>
  <c r="H185" i="35"/>
  <c r="I184" i="35"/>
  <c r="H184" i="35"/>
  <c r="I183" i="35"/>
  <c r="H183" i="35"/>
  <c r="I182" i="35"/>
  <c r="H182" i="35"/>
  <c r="I181" i="35"/>
  <c r="H181" i="35"/>
  <c r="I180" i="35"/>
  <c r="H180" i="35"/>
  <c r="I179" i="35"/>
  <c r="H179" i="35"/>
  <c r="I178" i="35"/>
  <c r="H178" i="35"/>
  <c r="I171" i="35"/>
  <c r="H171" i="35"/>
  <c r="I170" i="35"/>
  <c r="I172" i="35" s="1"/>
  <c r="H170" i="35"/>
  <c r="I167" i="35"/>
  <c r="H167" i="35"/>
  <c r="I166" i="35"/>
  <c r="H166" i="35"/>
  <c r="I165" i="35"/>
  <c r="H165" i="35"/>
  <c r="I164" i="35"/>
  <c r="H164" i="35"/>
  <c r="I163" i="35"/>
  <c r="H163" i="35"/>
  <c r="I162" i="35"/>
  <c r="H162" i="35"/>
  <c r="I161" i="35"/>
  <c r="H161" i="35"/>
  <c r="I160" i="35"/>
  <c r="H160" i="35"/>
  <c r="I159" i="35"/>
  <c r="H159" i="35"/>
  <c r="I158" i="35"/>
  <c r="H158" i="35"/>
  <c r="I157" i="35"/>
  <c r="H157" i="35"/>
  <c r="I156" i="35"/>
  <c r="H156" i="35"/>
  <c r="I155" i="35"/>
  <c r="H155" i="35"/>
  <c r="I154" i="35"/>
  <c r="I153" i="35"/>
  <c r="H153" i="35"/>
  <c r="I152" i="35"/>
  <c r="I151" i="35"/>
  <c r="I150" i="35"/>
  <c r="H150" i="35"/>
  <c r="I149" i="35"/>
  <c r="I148" i="35"/>
  <c r="I147" i="35"/>
  <c r="I146" i="35"/>
  <c r="I145" i="35"/>
  <c r="I144" i="35"/>
  <c r="H144" i="35"/>
  <c r="I143" i="35"/>
  <c r="H143" i="35"/>
  <c r="I142" i="35"/>
  <c r="H142" i="35"/>
  <c r="I141" i="35"/>
  <c r="H141" i="35"/>
  <c r="I140" i="35"/>
  <c r="H140" i="35"/>
  <c r="I139" i="35"/>
  <c r="H139" i="35"/>
  <c r="I138" i="35"/>
  <c r="H138" i="35"/>
  <c r="I137" i="35"/>
  <c r="H137" i="35"/>
  <c r="I136" i="35"/>
  <c r="H136" i="35"/>
  <c r="I135" i="35"/>
  <c r="H135" i="35"/>
  <c r="I134" i="35"/>
  <c r="H134" i="35"/>
  <c r="I133" i="35"/>
  <c r="H133" i="35"/>
  <c r="I132" i="35"/>
  <c r="H132" i="35"/>
  <c r="I131" i="35"/>
  <c r="H131" i="35"/>
  <c r="I130" i="35"/>
  <c r="H130" i="35"/>
  <c r="I129" i="35"/>
  <c r="H129" i="35"/>
  <c r="I128" i="35"/>
  <c r="H128" i="35"/>
  <c r="I122" i="35"/>
  <c r="H122" i="35"/>
  <c r="I109" i="35"/>
  <c r="I107" i="35"/>
  <c r="H107" i="35"/>
  <c r="I106" i="35"/>
  <c r="H106" i="35"/>
  <c r="I105" i="35"/>
  <c r="I108" i="35" s="1"/>
  <c r="I99" i="35"/>
  <c r="I96" i="35"/>
  <c r="H96" i="35"/>
  <c r="I95" i="35"/>
  <c r="H95" i="35"/>
  <c r="I94" i="35"/>
  <c r="H94" i="35"/>
  <c r="I93" i="35"/>
  <c r="H93" i="35"/>
  <c r="I92" i="35"/>
  <c r="H92" i="35"/>
  <c r="I91" i="35"/>
  <c r="H91" i="35"/>
  <c r="I90" i="35"/>
  <c r="H90" i="35"/>
  <c r="I89" i="35"/>
  <c r="H89" i="35"/>
  <c r="I88" i="35"/>
  <c r="H88" i="35"/>
  <c r="I87" i="35"/>
  <c r="H87" i="35"/>
  <c r="I86" i="35"/>
  <c r="H86" i="35"/>
  <c r="I80" i="35"/>
  <c r="H80" i="35"/>
  <c r="I79" i="35"/>
  <c r="H79" i="35"/>
  <c r="I78" i="35"/>
  <c r="H78" i="35"/>
  <c r="I77" i="35"/>
  <c r="H77" i="35"/>
  <c r="I76" i="35"/>
  <c r="H76" i="35"/>
  <c r="I75" i="35"/>
  <c r="H75" i="35"/>
  <c r="I74" i="35"/>
  <c r="H74" i="35"/>
  <c r="I73" i="35"/>
  <c r="H73" i="35"/>
  <c r="I72" i="35"/>
  <c r="H72" i="35"/>
  <c r="I71" i="35"/>
  <c r="H71" i="35"/>
  <c r="I70" i="35"/>
  <c r="H70" i="35"/>
  <c r="I69" i="35"/>
  <c r="H69" i="35"/>
  <c r="I68" i="35"/>
  <c r="H68" i="35"/>
  <c r="I67" i="35"/>
  <c r="I98" i="35" s="1"/>
  <c r="H67" i="35"/>
  <c r="I56" i="35"/>
  <c r="H56" i="35"/>
  <c r="I55" i="35"/>
  <c r="H55" i="35"/>
  <c r="I54" i="35"/>
  <c r="H54" i="35"/>
  <c r="I53" i="35"/>
  <c r="H53" i="35"/>
  <c r="I52" i="35"/>
  <c r="H52" i="35"/>
  <c r="I51" i="35"/>
  <c r="H51" i="35"/>
  <c r="I50" i="35"/>
  <c r="H50" i="35"/>
  <c r="I49" i="35"/>
  <c r="H49" i="35"/>
  <c r="I48" i="35"/>
  <c r="H48" i="35"/>
  <c r="I47" i="35"/>
  <c r="H47" i="35"/>
  <c r="I46" i="35"/>
  <c r="H46" i="35"/>
  <c r="I45" i="35"/>
  <c r="H45" i="35"/>
  <c r="I44" i="35"/>
  <c r="H44" i="35"/>
  <c r="I43" i="35"/>
  <c r="H43" i="35"/>
  <c r="I42" i="35"/>
  <c r="H42" i="35"/>
  <c r="I41" i="35"/>
  <c r="H41" i="35"/>
  <c r="I40" i="35"/>
  <c r="H40" i="35"/>
  <c r="I39" i="35"/>
  <c r="H39" i="35"/>
  <c r="I38" i="35"/>
  <c r="H38" i="35"/>
  <c r="I37" i="35"/>
  <c r="H37" i="35"/>
  <c r="H59" i="35" s="1"/>
  <c r="I59" i="35" s="1"/>
  <c r="I36" i="35"/>
  <c r="H36" i="35"/>
  <c r="I35" i="35"/>
  <c r="H35" i="35"/>
  <c r="I34" i="35"/>
  <c r="H34" i="35"/>
  <c r="I33" i="35"/>
  <c r="H33" i="35"/>
  <c r="I32" i="35"/>
  <c r="H32" i="35"/>
  <c r="I31" i="35"/>
  <c r="H31" i="35"/>
  <c r="I30" i="35"/>
  <c r="H30" i="35"/>
  <c r="I29" i="35"/>
  <c r="I57" i="35" s="1"/>
  <c r="H29" i="35"/>
  <c r="I25" i="35"/>
  <c r="G23" i="35"/>
  <c r="G22" i="35"/>
  <c r="G21" i="35"/>
  <c r="G20" i="35"/>
  <c r="O19" i="35"/>
  <c r="G19" i="35"/>
  <c r="O18" i="35"/>
  <c r="G18" i="35"/>
  <c r="G17" i="35"/>
  <c r="G16" i="35"/>
  <c r="G15" i="35"/>
  <c r="G14" i="35"/>
  <c r="G13" i="35"/>
  <c r="G12" i="35"/>
  <c r="G11" i="35"/>
  <c r="G10" i="35"/>
  <c r="G9" i="35"/>
  <c r="G8" i="35"/>
  <c r="R87" i="129"/>
  <c r="N87" i="129"/>
  <c r="R86" i="129"/>
  <c r="N86" i="129"/>
  <c r="R85" i="129"/>
  <c r="N85" i="129"/>
  <c r="N84" i="129"/>
  <c r="N83" i="129"/>
  <c r="N82" i="129"/>
  <c r="N81" i="129"/>
  <c r="N80" i="129"/>
  <c r="N79" i="129"/>
  <c r="N78" i="129"/>
  <c r="N77" i="129"/>
  <c r="N76" i="129"/>
  <c r="N75" i="129"/>
  <c r="N74" i="129"/>
  <c r="N73" i="129"/>
  <c r="N72" i="129"/>
  <c r="N71" i="129"/>
  <c r="N70" i="129"/>
  <c r="N69" i="129"/>
  <c r="N68" i="129"/>
  <c r="N67" i="129"/>
  <c r="N66" i="129"/>
  <c r="N65" i="129"/>
  <c r="N64" i="129"/>
  <c r="N63" i="129"/>
  <c r="N62" i="129"/>
  <c r="N61" i="129"/>
  <c r="N60" i="129"/>
  <c r="N59" i="129"/>
  <c r="N58" i="129"/>
  <c r="N57" i="129"/>
  <c r="N56" i="129"/>
  <c r="N55" i="129"/>
  <c r="N54" i="129"/>
  <c r="N53" i="129"/>
  <c r="N52" i="129"/>
  <c r="N51" i="129"/>
  <c r="N50" i="129"/>
  <c r="N49" i="129"/>
  <c r="N48" i="129"/>
  <c r="N47" i="129"/>
  <c r="N46" i="129"/>
  <c r="N45" i="129"/>
  <c r="N44" i="129"/>
  <c r="N43" i="129"/>
  <c r="N42" i="129"/>
  <c r="N41" i="129"/>
  <c r="N40" i="129"/>
  <c r="N39" i="129"/>
  <c r="N38" i="129"/>
  <c r="N37" i="129"/>
  <c r="N36" i="129"/>
  <c r="N35" i="129"/>
  <c r="N34" i="129"/>
  <c r="N33" i="129"/>
  <c r="N32" i="129"/>
  <c r="N31" i="129"/>
  <c r="N30" i="129"/>
  <c r="N29" i="129"/>
  <c r="N28" i="129"/>
  <c r="N27" i="129"/>
  <c r="N26" i="129"/>
  <c r="N25" i="129"/>
  <c r="N24" i="129"/>
  <c r="N23" i="129"/>
  <c r="N22" i="129"/>
  <c r="N21" i="129"/>
  <c r="N20" i="129"/>
  <c r="N19" i="129"/>
  <c r="N18" i="129"/>
  <c r="N17" i="129"/>
  <c r="N16" i="129"/>
  <c r="N15" i="129"/>
  <c r="N14" i="129"/>
  <c r="N13" i="129"/>
  <c r="N12" i="129"/>
  <c r="N11" i="129"/>
  <c r="N10" i="129"/>
  <c r="N9" i="129"/>
  <c r="N8" i="129"/>
  <c r="H19" i="5"/>
  <c r="O18" i="5"/>
  <c r="H18" i="5"/>
  <c r="F18" i="5"/>
  <c r="H17" i="5"/>
  <c r="F17" i="5"/>
  <c r="H16" i="5"/>
  <c r="F16" i="5"/>
  <c r="H15" i="5"/>
  <c r="F15" i="5"/>
  <c r="H14" i="5"/>
  <c r="H20" i="5" s="1"/>
  <c r="F14" i="5"/>
  <c r="P145" i="4"/>
  <c r="P141" i="4"/>
  <c r="P140" i="4"/>
  <c r="P136" i="4"/>
  <c r="P142" i="4" s="1"/>
  <c r="X120" i="4"/>
  <c r="S99" i="4"/>
  <c r="Q99" i="4"/>
  <c r="N99" i="4"/>
  <c r="L99" i="4"/>
  <c r="I99" i="4"/>
  <c r="S98" i="4"/>
  <c r="Q98" i="4"/>
  <c r="N98" i="4"/>
  <c r="L98" i="4"/>
  <c r="I98" i="4"/>
  <c r="S97" i="4"/>
  <c r="Q97" i="4"/>
  <c r="N97" i="4"/>
  <c r="L97" i="4"/>
  <c r="I97" i="4"/>
  <c r="S96" i="4"/>
  <c r="Q96" i="4"/>
  <c r="N96" i="4"/>
  <c r="L96" i="4"/>
  <c r="I96" i="4"/>
  <c r="S95" i="4"/>
  <c r="Q95" i="4"/>
  <c r="N95" i="4"/>
  <c r="L95" i="4"/>
  <c r="I95" i="4"/>
  <c r="S94" i="4"/>
  <c r="Q94" i="4"/>
  <c r="N94" i="4"/>
  <c r="L94" i="4"/>
  <c r="I94" i="4"/>
  <c r="S93" i="4"/>
  <c r="Q93" i="4"/>
  <c r="N93" i="4"/>
  <c r="L93" i="4"/>
  <c r="I93" i="4"/>
  <c r="S92" i="4"/>
  <c r="Q92" i="4"/>
  <c r="N92" i="4"/>
  <c r="L92" i="4"/>
  <c r="I92" i="4"/>
  <c r="S91" i="4"/>
  <c r="Q91" i="4"/>
  <c r="N91" i="4"/>
  <c r="L91" i="4"/>
  <c r="I91" i="4"/>
  <c r="S90" i="4"/>
  <c r="Q90" i="4"/>
  <c r="N90" i="4"/>
  <c r="L90" i="4"/>
  <c r="I90" i="4"/>
  <c r="S89" i="4"/>
  <c r="Q89" i="4"/>
  <c r="N89" i="4"/>
  <c r="L89" i="4"/>
  <c r="I89" i="4"/>
  <c r="S88" i="4"/>
  <c r="Q88" i="4"/>
  <c r="N88" i="4"/>
  <c r="L88" i="4"/>
  <c r="I88" i="4"/>
  <c r="S87" i="4"/>
  <c r="Q87" i="4"/>
  <c r="N87" i="4"/>
  <c r="L87" i="4"/>
  <c r="I87" i="4"/>
  <c r="S86" i="4"/>
  <c r="Q86" i="4"/>
  <c r="N86" i="4"/>
  <c r="L86" i="4"/>
  <c r="I86" i="4"/>
  <c r="S85" i="4"/>
  <c r="Q85" i="4"/>
  <c r="N85" i="4"/>
  <c r="L85" i="4"/>
  <c r="I85" i="4"/>
  <c r="S84" i="4"/>
  <c r="Q84" i="4"/>
  <c r="N84" i="4"/>
  <c r="L84" i="4"/>
  <c r="I84" i="4"/>
  <c r="S83" i="4"/>
  <c r="Q83" i="4"/>
  <c r="N83" i="4"/>
  <c r="L83" i="4"/>
  <c r="I83" i="4"/>
  <c r="S82" i="4"/>
  <c r="Q82" i="4"/>
  <c r="N82" i="4"/>
  <c r="L82" i="4"/>
  <c r="I82" i="4"/>
  <c r="S81" i="4"/>
  <c r="Q81" i="4"/>
  <c r="N81" i="4"/>
  <c r="L81" i="4"/>
  <c r="I81" i="4"/>
  <c r="S80" i="4"/>
  <c r="Q80" i="4"/>
  <c r="N80" i="4"/>
  <c r="L80" i="4"/>
  <c r="I80" i="4"/>
  <c r="S79" i="4"/>
  <c r="Q79" i="4"/>
  <c r="N79" i="4"/>
  <c r="L79" i="4"/>
  <c r="I79" i="4"/>
  <c r="S78" i="4"/>
  <c r="Q78" i="4"/>
  <c r="N78" i="4"/>
  <c r="L78" i="4"/>
  <c r="S77" i="4"/>
  <c r="Q77" i="4"/>
  <c r="N77" i="4"/>
  <c r="L77" i="4"/>
  <c r="I77" i="4"/>
  <c r="S76" i="4"/>
  <c r="Q76" i="4"/>
  <c r="N76" i="4"/>
  <c r="L76" i="4"/>
  <c r="I76" i="4"/>
  <c r="S75" i="4"/>
  <c r="Q75" i="4"/>
  <c r="N75" i="4"/>
  <c r="L75" i="4"/>
  <c r="I75" i="4"/>
  <c r="S74" i="4"/>
  <c r="Q74" i="4"/>
  <c r="N74" i="4"/>
  <c r="L74" i="4"/>
  <c r="I74" i="4"/>
  <c r="G73" i="4"/>
  <c r="H63" i="4"/>
  <c r="F63" i="4"/>
  <c r="H62" i="4"/>
  <c r="F62" i="4"/>
  <c r="H61" i="4"/>
  <c r="F61" i="4"/>
  <c r="H60" i="4"/>
  <c r="F60" i="4"/>
  <c r="H59" i="4"/>
  <c r="F59" i="4"/>
  <c r="H58" i="4"/>
  <c r="F58" i="4"/>
  <c r="H57" i="4"/>
  <c r="F57" i="4"/>
  <c r="H56" i="4"/>
  <c r="F56" i="4"/>
  <c r="H55" i="4"/>
  <c r="F55" i="4"/>
  <c r="H54" i="4"/>
  <c r="F54" i="4"/>
  <c r="H53" i="4"/>
  <c r="F53" i="4"/>
  <c r="H52" i="4"/>
  <c r="F52" i="4"/>
  <c r="H51" i="4"/>
  <c r="F51" i="4"/>
  <c r="H50" i="4"/>
  <c r="F50" i="4"/>
  <c r="H49" i="4"/>
  <c r="F49" i="4"/>
  <c r="H48" i="4"/>
  <c r="F48" i="4"/>
  <c r="H47" i="4"/>
  <c r="F47" i="4"/>
  <c r="H46" i="4"/>
  <c r="F46" i="4"/>
  <c r="H45" i="4"/>
  <c r="F45" i="4"/>
  <c r="H44" i="4"/>
  <c r="F44" i="4"/>
  <c r="H43" i="4"/>
  <c r="F43" i="4"/>
  <c r="L42" i="4"/>
  <c r="H42" i="4"/>
  <c r="F42" i="4"/>
  <c r="L41" i="4"/>
  <c r="H41" i="4"/>
  <c r="F41" i="4"/>
  <c r="L40" i="4"/>
  <c r="H40" i="4"/>
  <c r="F40" i="4"/>
  <c r="H39" i="4"/>
  <c r="F39" i="4"/>
  <c r="P38" i="4"/>
  <c r="P39" i="4" s="1"/>
  <c r="S36" i="4"/>
  <c r="S38" i="4" s="1"/>
  <c r="S39" i="4" s="1"/>
  <c r="P33" i="4"/>
  <c r="Q33" i="4" s="1"/>
  <c r="J29" i="4"/>
  <c r="I29" i="4"/>
  <c r="G29" i="4"/>
  <c r="J28" i="4"/>
  <c r="I28" i="4"/>
  <c r="G28" i="4"/>
  <c r="J27" i="4"/>
  <c r="K27" i="4" s="1"/>
  <c r="I27" i="4"/>
  <c r="G27" i="4"/>
  <c r="J26" i="4"/>
  <c r="I26" i="4"/>
  <c r="G26" i="4"/>
  <c r="J25" i="4"/>
  <c r="K25" i="4" s="1"/>
  <c r="I25" i="4"/>
  <c r="G25" i="4"/>
  <c r="I24" i="4"/>
  <c r="G24" i="4"/>
  <c r="I23" i="4"/>
  <c r="G23" i="4"/>
  <c r="I22" i="4"/>
  <c r="G22" i="4"/>
  <c r="I17" i="4"/>
  <c r="G17" i="4"/>
  <c r="I16" i="4"/>
  <c r="G16" i="4"/>
  <c r="I15" i="4"/>
  <c r="G15" i="4"/>
  <c r="I14" i="4"/>
  <c r="G14" i="4"/>
  <c r="I13" i="4"/>
  <c r="G13" i="4"/>
  <c r="I12" i="4"/>
  <c r="G12" i="4"/>
  <c r="I11" i="4"/>
  <c r="G11" i="4"/>
  <c r="I10" i="4"/>
  <c r="G10" i="4"/>
  <c r="I9" i="4"/>
  <c r="G9" i="4"/>
  <c r="I8" i="4"/>
  <c r="G8" i="4"/>
  <c r="I7" i="4"/>
  <c r="G7" i="4"/>
  <c r="I6" i="4"/>
  <c r="G6" i="4"/>
  <c r="I5" i="4"/>
  <c r="G5" i="4"/>
  <c r="I4" i="4"/>
  <c r="B10" i="3"/>
  <c r="G9" i="3"/>
  <c r="B9" i="3" s="1"/>
  <c r="G8" i="3"/>
  <c r="B8" i="3" s="1"/>
  <c r="G7" i="3"/>
  <c r="B7" i="3"/>
  <c r="G11" i="97"/>
  <c r="B11" i="97" s="1"/>
  <c r="G10" i="97"/>
  <c r="B10" i="97" s="1"/>
  <c r="G9" i="97"/>
  <c r="B9" i="97" s="1"/>
  <c r="G8" i="97"/>
  <c r="B8" i="97" s="1"/>
  <c r="G7" i="97"/>
  <c r="B7" i="97" s="1"/>
  <c r="G6" i="97"/>
  <c r="B6" i="97" s="1"/>
  <c r="G5" i="97"/>
  <c r="B5" i="97" s="1"/>
  <c r="G4" i="97"/>
  <c r="B4" i="97" s="1"/>
  <c r="G3" i="97"/>
  <c r="B3" i="97" s="1"/>
  <c r="F52" i="65"/>
  <c r="E52" i="65"/>
  <c r="G49" i="65"/>
  <c r="G48" i="65"/>
  <c r="G47" i="65"/>
  <c r="G46" i="65"/>
  <c r="G45" i="65"/>
  <c r="E45" i="65"/>
  <c r="F45" i="65" s="1"/>
  <c r="F46" i="65" s="1"/>
  <c r="F47" i="65" s="1"/>
  <c r="F48" i="65" s="1"/>
  <c r="F49" i="65" s="1"/>
  <c r="H38" i="65"/>
  <c r="F38" i="65"/>
  <c r="L24" i="65"/>
  <c r="J24" i="65"/>
  <c r="F24" i="65"/>
  <c r="L23" i="65"/>
  <c r="J23" i="65"/>
  <c r="F23" i="65"/>
  <c r="L22" i="65"/>
  <c r="J22" i="65"/>
  <c r="F22" i="65"/>
  <c r="L21" i="65"/>
  <c r="J21" i="65"/>
  <c r="F21" i="65"/>
  <c r="L20" i="65"/>
  <c r="J20" i="65"/>
  <c r="F20" i="65"/>
  <c r="L19" i="65"/>
  <c r="J19" i="65"/>
  <c r="F19" i="65"/>
  <c r="L17" i="65"/>
  <c r="J17" i="65"/>
  <c r="F17" i="65"/>
  <c r="L16" i="65"/>
  <c r="J16" i="65"/>
  <c r="F16" i="65"/>
  <c r="L15" i="65"/>
  <c r="J15" i="65"/>
  <c r="F15" i="65"/>
  <c r="L14" i="65"/>
  <c r="J14" i="65"/>
  <c r="F14" i="65"/>
  <c r="J13" i="65"/>
  <c r="J12" i="65"/>
  <c r="J11" i="65"/>
  <c r="J10" i="65"/>
  <c r="L9" i="65"/>
  <c r="J9" i="65"/>
  <c r="L8" i="65"/>
  <c r="J8" i="65"/>
  <c r="F8" i="65"/>
  <c r="L7" i="65"/>
  <c r="J7" i="65"/>
  <c r="L6" i="65"/>
  <c r="J6" i="65"/>
  <c r="I33" i="93"/>
  <c r="J33" i="93" s="1"/>
  <c r="I32" i="93"/>
  <c r="J32" i="93" s="1"/>
  <c r="E32" i="93" s="1"/>
  <c r="I31" i="93"/>
  <c r="J31" i="93" s="1"/>
  <c r="E31" i="93" s="1"/>
  <c r="I30" i="93"/>
  <c r="J30" i="93" s="1"/>
  <c r="E30" i="93" s="1"/>
  <c r="I29" i="93"/>
  <c r="J29" i="93" s="1"/>
  <c r="E29" i="93" s="1"/>
  <c r="I28" i="93"/>
  <c r="J28" i="93" s="1"/>
  <c r="E28" i="93" s="1"/>
  <c r="I27" i="93"/>
  <c r="J27" i="93" s="1"/>
  <c r="E27" i="93" s="1"/>
  <c r="I26" i="93"/>
  <c r="J26" i="93" s="1"/>
  <c r="E26" i="93" s="1"/>
  <c r="I25" i="93"/>
  <c r="J25" i="93" s="1"/>
  <c r="E25" i="93" s="1"/>
  <c r="I24" i="93"/>
  <c r="J24" i="93" s="1"/>
  <c r="E24" i="93" s="1"/>
  <c r="I23" i="93"/>
  <c r="J23" i="93" s="1"/>
  <c r="E23" i="93" s="1"/>
  <c r="I22" i="93"/>
  <c r="J22" i="93" s="1"/>
  <c r="E22" i="93" s="1"/>
  <c r="I21" i="93"/>
  <c r="J21" i="93" s="1"/>
  <c r="E21" i="93" s="1"/>
  <c r="I20" i="93"/>
  <c r="J20" i="93" s="1"/>
  <c r="E20" i="93" s="1"/>
  <c r="I19" i="93"/>
  <c r="J19" i="93" s="1"/>
  <c r="E19" i="93" s="1"/>
  <c r="I18" i="93"/>
  <c r="J18" i="93" s="1"/>
  <c r="E18" i="93" s="1"/>
  <c r="I17" i="93"/>
  <c r="J17" i="93" s="1"/>
  <c r="E17" i="93" s="1"/>
  <c r="I16" i="93"/>
  <c r="J16" i="93" s="1"/>
  <c r="E16" i="93" s="1"/>
  <c r="I15" i="93"/>
  <c r="J15" i="93" s="1"/>
  <c r="E15" i="93" s="1"/>
  <c r="I14" i="93"/>
  <c r="J14" i="93" s="1"/>
  <c r="E14" i="93" s="1"/>
  <c r="I13" i="93"/>
  <c r="J13" i="93" s="1"/>
  <c r="E13" i="93" s="1"/>
  <c r="I12" i="93"/>
  <c r="J12" i="93" s="1"/>
  <c r="E12" i="93" s="1"/>
  <c r="I11" i="93"/>
  <c r="J11" i="93" s="1"/>
  <c r="E11" i="93" s="1"/>
  <c r="I10" i="93"/>
  <c r="J10" i="93" s="1"/>
  <c r="E10" i="93" s="1"/>
  <c r="J7" i="93"/>
  <c r="I7" i="93"/>
  <c r="J6" i="93"/>
  <c r="I6" i="93"/>
  <c r="D4" i="93"/>
  <c r="G7" i="124"/>
  <c r="G6" i="124"/>
  <c r="G5" i="124"/>
  <c r="G20" i="71"/>
  <c r="G13" i="71"/>
  <c r="G18" i="2"/>
  <c r="C18" i="2" s="1"/>
  <c r="G17" i="2"/>
  <c r="C17" i="2" s="1"/>
  <c r="G16" i="2"/>
  <c r="C16" i="2" s="1"/>
  <c r="G15" i="2"/>
  <c r="C15" i="2" s="1"/>
  <c r="G14" i="2"/>
  <c r="C14" i="2" s="1"/>
  <c r="G13" i="2"/>
  <c r="C13" i="2" s="1"/>
  <c r="G12" i="2"/>
  <c r="C12" i="2"/>
  <c r="G11" i="2"/>
  <c r="C11" i="2"/>
  <c r="G10" i="2"/>
  <c r="C10" i="2"/>
  <c r="G8" i="2"/>
  <c r="C8" i="2"/>
  <c r="G6" i="2"/>
  <c r="C6" i="2" s="1"/>
  <c r="G5" i="2"/>
  <c r="C5" i="2" s="1"/>
  <c r="C4" i="2"/>
  <c r="C3" i="2"/>
  <c r="J3" i="98"/>
  <c r="C3" i="98" s="1"/>
  <c r="G61" i="1"/>
  <c r="F61" i="1"/>
  <c r="D61" i="1"/>
  <c r="G60" i="1"/>
  <c r="F60" i="1"/>
  <c r="D60" i="1"/>
  <c r="G59" i="1"/>
  <c r="F59" i="1"/>
  <c r="D59" i="1"/>
  <c r="G58" i="1"/>
  <c r="F58" i="1"/>
  <c r="D58" i="1"/>
  <c r="G57" i="1"/>
  <c r="F57" i="1"/>
  <c r="D57" i="1"/>
  <c r="G56" i="1"/>
  <c r="F56" i="1"/>
  <c r="D56" i="1"/>
  <c r="G55" i="1"/>
  <c r="F55" i="1"/>
  <c r="D55" i="1"/>
  <c r="G54" i="1"/>
  <c r="F54" i="1"/>
  <c r="D54" i="1"/>
  <c r="G53" i="1"/>
  <c r="F53" i="1"/>
  <c r="D53" i="1"/>
  <c r="G52" i="1"/>
  <c r="F52" i="1"/>
  <c r="D52" i="1"/>
  <c r="G51" i="1"/>
  <c r="F51" i="1"/>
  <c r="D51" i="1"/>
  <c r="G50" i="1"/>
  <c r="F50" i="1"/>
  <c r="D50" i="1"/>
  <c r="G49" i="1"/>
  <c r="F49" i="1"/>
  <c r="D49" i="1"/>
  <c r="G48" i="1"/>
  <c r="F48" i="1"/>
  <c r="D48" i="1"/>
  <c r="G47" i="1"/>
  <c r="F47" i="1"/>
  <c r="D47" i="1"/>
  <c r="G46" i="1"/>
  <c r="F46" i="1"/>
  <c r="D46" i="1"/>
  <c r="G45" i="1"/>
  <c r="F45" i="1"/>
  <c r="D45" i="1"/>
  <c r="G44" i="1"/>
  <c r="F44" i="1"/>
  <c r="D44" i="1"/>
  <c r="G43" i="1"/>
  <c r="F43" i="1"/>
  <c r="D43" i="1"/>
  <c r="G42" i="1"/>
  <c r="F42" i="1"/>
  <c r="D42" i="1"/>
  <c r="G41" i="1"/>
  <c r="F41" i="1"/>
  <c r="D41" i="1"/>
  <c r="G40" i="1"/>
  <c r="F40" i="1"/>
  <c r="D40" i="1"/>
  <c r="G39" i="1"/>
  <c r="F39" i="1"/>
  <c r="D39" i="1"/>
  <c r="G38" i="1"/>
  <c r="F38" i="1"/>
  <c r="D38" i="1"/>
  <c r="M31" i="1"/>
  <c r="T30" i="1"/>
  <c r="R30" i="1"/>
  <c r="O30" i="1"/>
  <c r="M30" i="1"/>
  <c r="J30" i="1"/>
  <c r="H30" i="1"/>
  <c r="D30" i="1"/>
  <c r="T29" i="1"/>
  <c r="R29" i="1"/>
  <c r="O29" i="1"/>
  <c r="M29" i="1"/>
  <c r="J29" i="1"/>
  <c r="H29" i="1"/>
  <c r="D29" i="1"/>
  <c r="T28" i="1"/>
  <c r="R28" i="1"/>
  <c r="O28" i="1"/>
  <c r="M28" i="1"/>
  <c r="J28" i="1"/>
  <c r="H28" i="1"/>
  <c r="D28" i="1"/>
  <c r="T27" i="1"/>
  <c r="R27" i="1"/>
  <c r="O27" i="1"/>
  <c r="M27" i="1"/>
  <c r="J27" i="1"/>
  <c r="H27" i="1"/>
  <c r="D27" i="1"/>
  <c r="T26" i="1"/>
  <c r="R26" i="1"/>
  <c r="O26" i="1"/>
  <c r="M26" i="1"/>
  <c r="J26" i="1"/>
  <c r="H26" i="1"/>
  <c r="D26" i="1"/>
  <c r="T25" i="1"/>
  <c r="R25" i="1"/>
  <c r="O25" i="1"/>
  <c r="M25" i="1"/>
  <c r="J25" i="1"/>
  <c r="H25" i="1"/>
  <c r="D25" i="1"/>
  <c r="T24" i="1"/>
  <c r="R24" i="1"/>
  <c r="O24" i="1"/>
  <c r="M24" i="1"/>
  <c r="J24" i="1"/>
  <c r="H24" i="1"/>
  <c r="D24" i="1"/>
  <c r="T23" i="1"/>
  <c r="R23" i="1"/>
  <c r="O23" i="1"/>
  <c r="M23" i="1"/>
  <c r="J23" i="1"/>
  <c r="H23" i="1"/>
  <c r="D23" i="1"/>
  <c r="T22" i="1"/>
  <c r="R22" i="1"/>
  <c r="O22" i="1"/>
  <c r="M22" i="1"/>
  <c r="J22" i="1"/>
  <c r="H22" i="1"/>
  <c r="D22" i="1"/>
  <c r="T21" i="1"/>
  <c r="R21" i="1"/>
  <c r="O21" i="1"/>
  <c r="M21" i="1"/>
  <c r="J21" i="1"/>
  <c r="H21" i="1"/>
  <c r="D21" i="1"/>
  <c r="T20" i="1"/>
  <c r="R20" i="1"/>
  <c r="O20" i="1"/>
  <c r="M20" i="1"/>
  <c r="J20" i="1"/>
  <c r="H20" i="1"/>
  <c r="D20" i="1"/>
  <c r="T19" i="1"/>
  <c r="R19" i="1"/>
  <c r="O19" i="1"/>
  <c r="M19" i="1"/>
  <c r="J19" i="1"/>
  <c r="H19" i="1"/>
  <c r="D19" i="1"/>
  <c r="J18" i="1"/>
  <c r="H18" i="1"/>
  <c r="D18" i="1"/>
  <c r="R17" i="1"/>
  <c r="J17" i="1"/>
  <c r="H17" i="1"/>
  <c r="D17" i="1"/>
  <c r="T16" i="1"/>
  <c r="R16" i="1"/>
  <c r="O16" i="1"/>
  <c r="M16" i="1"/>
  <c r="J16" i="1"/>
  <c r="H16" i="1"/>
  <c r="D16" i="1"/>
  <c r="T15" i="1"/>
  <c r="R15" i="1"/>
  <c r="O15" i="1"/>
  <c r="M15" i="1"/>
  <c r="J15" i="1"/>
  <c r="H15" i="1"/>
  <c r="D15" i="1"/>
  <c r="T14" i="1"/>
  <c r="R14" i="1"/>
  <c r="O14" i="1"/>
  <c r="M14" i="1"/>
  <c r="J14" i="1"/>
  <c r="H14" i="1"/>
  <c r="D14" i="1"/>
  <c r="T13" i="1"/>
  <c r="R13" i="1"/>
  <c r="O13" i="1"/>
  <c r="M13" i="1"/>
  <c r="J13" i="1"/>
  <c r="H13" i="1"/>
  <c r="D13" i="1"/>
  <c r="T12" i="1"/>
  <c r="R12" i="1"/>
  <c r="O12" i="1"/>
  <c r="M12" i="1"/>
  <c r="J12" i="1"/>
  <c r="H12" i="1"/>
  <c r="D12" i="1"/>
  <c r="T11" i="1"/>
  <c r="R11" i="1"/>
  <c r="O11" i="1"/>
  <c r="M11" i="1"/>
  <c r="J11" i="1"/>
  <c r="H11" i="1"/>
  <c r="D11" i="1"/>
  <c r="T10" i="1"/>
  <c r="R10" i="1"/>
  <c r="O10" i="1"/>
  <c r="M10" i="1"/>
  <c r="J10" i="1"/>
  <c r="H10" i="1"/>
  <c r="D10" i="1"/>
  <c r="T9" i="1"/>
  <c r="R9" i="1"/>
  <c r="O9" i="1"/>
  <c r="M9" i="1"/>
  <c r="J9" i="1"/>
  <c r="H9" i="1"/>
  <c r="D9" i="1"/>
  <c r="T8" i="1"/>
  <c r="R8" i="1"/>
  <c r="O8" i="1"/>
  <c r="M8" i="1"/>
  <c r="J8" i="1"/>
  <c r="H8" i="1"/>
  <c r="D8" i="1"/>
  <c r="S21" i="42"/>
  <c r="R21" i="42"/>
  <c r="O21" i="118"/>
  <c r="P19" i="118"/>
  <c r="O19" i="118"/>
  <c r="P18" i="118"/>
  <c r="O18" i="118"/>
  <c r="P17" i="118"/>
  <c r="O17" i="118"/>
  <c r="P16" i="118"/>
  <c r="O16" i="118"/>
  <c r="P15" i="118"/>
  <c r="O15" i="118"/>
  <c r="P14" i="118"/>
  <c r="O14" i="118"/>
  <c r="J14" i="118"/>
  <c r="P13" i="118"/>
  <c r="O13" i="118"/>
  <c r="J13" i="118"/>
  <c r="P12" i="118"/>
  <c r="O12" i="118"/>
  <c r="J12" i="118"/>
  <c r="P11" i="118"/>
  <c r="O11" i="118"/>
  <c r="J11" i="118"/>
  <c r="O10" i="118"/>
  <c r="J10" i="118"/>
  <c r="O9" i="118"/>
  <c r="K9" i="118"/>
  <c r="J9" i="118"/>
  <c r="H9" i="118"/>
  <c r="G9" i="118"/>
  <c r="O8" i="118"/>
  <c r="K8" i="118"/>
  <c r="J8" i="118"/>
  <c r="H8" i="118"/>
  <c r="O7" i="118"/>
  <c r="J7" i="118"/>
  <c r="H7" i="118"/>
  <c r="G7" i="118"/>
  <c r="O6" i="118"/>
  <c r="J6" i="118"/>
  <c r="G6" i="118"/>
  <c r="J182" i="121"/>
  <c r="H182" i="121"/>
  <c r="G182" i="121"/>
  <c r="F182" i="121"/>
  <c r="J181" i="121"/>
  <c r="H181" i="121"/>
  <c r="G181" i="121"/>
  <c r="F181" i="121"/>
  <c r="J180" i="121"/>
  <c r="H180" i="121"/>
  <c r="G180" i="121"/>
  <c r="F180" i="121"/>
  <c r="J179" i="121"/>
  <c r="H179" i="121"/>
  <c r="G179" i="121"/>
  <c r="F179" i="121"/>
  <c r="J178" i="121"/>
  <c r="H178" i="121"/>
  <c r="G178" i="121"/>
  <c r="F178" i="121"/>
  <c r="J177" i="121"/>
  <c r="H177" i="121"/>
  <c r="G177" i="121"/>
  <c r="F177" i="121"/>
  <c r="J176" i="121"/>
  <c r="H176" i="121"/>
  <c r="G176" i="121"/>
  <c r="F176" i="121"/>
  <c r="J175" i="121"/>
  <c r="H175" i="121"/>
  <c r="G175" i="121"/>
  <c r="F175" i="121"/>
  <c r="J174" i="121"/>
  <c r="H174" i="121"/>
  <c r="G174" i="121"/>
  <c r="F174" i="121"/>
  <c r="J173" i="121"/>
  <c r="H173" i="121"/>
  <c r="G173" i="121"/>
  <c r="F173" i="121"/>
  <c r="J172" i="121"/>
  <c r="H172" i="121"/>
  <c r="G172" i="121"/>
  <c r="F172" i="121"/>
  <c r="J171" i="121"/>
  <c r="H171" i="121"/>
  <c r="G171" i="121"/>
  <c r="F171" i="121"/>
  <c r="J170" i="121"/>
  <c r="H170" i="121"/>
  <c r="G170" i="121"/>
  <c r="F170" i="121"/>
  <c r="J169" i="121"/>
  <c r="H169" i="121"/>
  <c r="G169" i="121"/>
  <c r="F169" i="121"/>
  <c r="J168" i="121"/>
  <c r="H168" i="121"/>
  <c r="G168" i="121"/>
  <c r="F168" i="121"/>
  <c r="J167" i="121"/>
  <c r="H167" i="121"/>
  <c r="G167" i="121"/>
  <c r="F167" i="121"/>
  <c r="J166" i="121"/>
  <c r="H166" i="121"/>
  <c r="G166" i="121"/>
  <c r="F166" i="121"/>
  <c r="J165" i="121"/>
  <c r="H165" i="121"/>
  <c r="G165" i="121"/>
  <c r="F165" i="121"/>
  <c r="J164" i="121"/>
  <c r="H164" i="121"/>
  <c r="G164" i="121"/>
  <c r="F164" i="121"/>
  <c r="J163" i="121"/>
  <c r="H163" i="121"/>
  <c r="G163" i="121"/>
  <c r="F163" i="121"/>
  <c r="J162" i="121"/>
  <c r="H162" i="121"/>
  <c r="G162" i="121"/>
  <c r="F162" i="121"/>
  <c r="J161" i="121"/>
  <c r="H161" i="121"/>
  <c r="G161" i="121"/>
  <c r="F161" i="121"/>
  <c r="J160" i="121"/>
  <c r="H160" i="121"/>
  <c r="G160" i="121"/>
  <c r="F160" i="121"/>
  <c r="J159" i="121"/>
  <c r="H159" i="121"/>
  <c r="G159" i="121"/>
  <c r="F159" i="121"/>
  <c r="J158" i="121"/>
  <c r="H158" i="121"/>
  <c r="G158" i="121"/>
  <c r="F158" i="121"/>
  <c r="J157" i="121"/>
  <c r="H157" i="121"/>
  <c r="G157" i="121"/>
  <c r="F157" i="121"/>
  <c r="J156" i="121"/>
  <c r="H156" i="121"/>
  <c r="G156" i="121"/>
  <c r="F156" i="121"/>
  <c r="J155" i="121"/>
  <c r="H155" i="121"/>
  <c r="G155" i="121"/>
  <c r="F155" i="121"/>
  <c r="J154" i="121"/>
  <c r="H154" i="121"/>
  <c r="G154" i="121"/>
  <c r="F154" i="121"/>
  <c r="J153" i="121"/>
  <c r="H153" i="121"/>
  <c r="G153" i="121"/>
  <c r="F153" i="121"/>
  <c r="J152" i="121"/>
  <c r="H152" i="121"/>
  <c r="G152" i="121"/>
  <c r="F152" i="121"/>
  <c r="J151" i="121"/>
  <c r="H151" i="121"/>
  <c r="G151" i="121"/>
  <c r="F151" i="121"/>
  <c r="J150" i="121"/>
  <c r="H150" i="121"/>
  <c r="G150" i="121"/>
  <c r="F150" i="121"/>
  <c r="J149" i="121"/>
  <c r="H149" i="121"/>
  <c r="G149" i="121"/>
  <c r="F149" i="121"/>
  <c r="J148" i="121"/>
  <c r="H148" i="121"/>
  <c r="G148" i="121"/>
  <c r="F148" i="121"/>
  <c r="J147" i="121"/>
  <c r="H147" i="121"/>
  <c r="G147" i="121"/>
  <c r="F147" i="121"/>
  <c r="J146" i="121"/>
  <c r="H146" i="121"/>
  <c r="G146" i="121"/>
  <c r="F146" i="121"/>
  <c r="J145" i="121"/>
  <c r="H145" i="121"/>
  <c r="G145" i="121"/>
  <c r="F145" i="121"/>
  <c r="J144" i="121"/>
  <c r="H144" i="121"/>
  <c r="G144" i="121"/>
  <c r="F144" i="121"/>
  <c r="J143" i="121"/>
  <c r="H143" i="121"/>
  <c r="G143" i="121"/>
  <c r="F143" i="121"/>
  <c r="J142" i="121"/>
  <c r="H142" i="121"/>
  <c r="G142" i="121"/>
  <c r="F142" i="121"/>
  <c r="J141" i="121"/>
  <c r="H141" i="121"/>
  <c r="G141" i="121"/>
  <c r="F141" i="121"/>
  <c r="J140" i="121"/>
  <c r="H140" i="121"/>
  <c r="G140" i="121"/>
  <c r="F140" i="121"/>
  <c r="J139" i="121"/>
  <c r="H139" i="121"/>
  <c r="G139" i="121"/>
  <c r="F139" i="121"/>
  <c r="J138" i="121"/>
  <c r="H138" i="121"/>
  <c r="G138" i="121"/>
  <c r="F138" i="121"/>
  <c r="J137" i="121"/>
  <c r="H137" i="121"/>
  <c r="G137" i="121"/>
  <c r="F137" i="121"/>
  <c r="J136" i="121"/>
  <c r="H136" i="121"/>
  <c r="G136" i="121"/>
  <c r="F136" i="121"/>
  <c r="J135" i="121"/>
  <c r="H135" i="121"/>
  <c r="G135" i="121"/>
  <c r="F135" i="121"/>
  <c r="J134" i="121"/>
  <c r="H134" i="121"/>
  <c r="G134" i="121"/>
  <c r="F134" i="121"/>
  <c r="J133" i="121"/>
  <c r="H133" i="121"/>
  <c r="G133" i="121"/>
  <c r="F133" i="121"/>
  <c r="J132" i="121"/>
  <c r="H132" i="121"/>
  <c r="G132" i="121"/>
  <c r="F132" i="121"/>
  <c r="J131" i="121"/>
  <c r="H131" i="121"/>
  <c r="G131" i="121"/>
  <c r="F131" i="121"/>
  <c r="J130" i="121"/>
  <c r="H130" i="121"/>
  <c r="G130" i="121"/>
  <c r="F130" i="121"/>
  <c r="J129" i="121"/>
  <c r="H129" i="121"/>
  <c r="G129" i="121"/>
  <c r="F129" i="121"/>
  <c r="J128" i="121"/>
  <c r="H128" i="121"/>
  <c r="G128" i="121"/>
  <c r="F128" i="121"/>
  <c r="J127" i="121"/>
  <c r="H127" i="121"/>
  <c r="G127" i="121"/>
  <c r="F127" i="121"/>
  <c r="J126" i="121"/>
  <c r="H126" i="121"/>
  <c r="G126" i="121"/>
  <c r="F126" i="121"/>
  <c r="J125" i="121"/>
  <c r="H125" i="121"/>
  <c r="G125" i="121"/>
  <c r="F125" i="121"/>
  <c r="J124" i="121"/>
  <c r="H124" i="121"/>
  <c r="G124" i="121"/>
  <c r="F124" i="121"/>
  <c r="J123" i="121"/>
  <c r="H123" i="121"/>
  <c r="G123" i="121"/>
  <c r="F123" i="121"/>
  <c r="J122" i="121"/>
  <c r="H122" i="121"/>
  <c r="G122" i="121"/>
  <c r="F122" i="121"/>
  <c r="J121" i="121"/>
  <c r="H121" i="121"/>
  <c r="G121" i="121"/>
  <c r="F121" i="121"/>
  <c r="J120" i="121"/>
  <c r="H120" i="121"/>
  <c r="G120" i="121"/>
  <c r="F120" i="121"/>
  <c r="J119" i="121"/>
  <c r="H119" i="121"/>
  <c r="G119" i="121"/>
  <c r="F119" i="121"/>
  <c r="J118" i="121"/>
  <c r="H118" i="121"/>
  <c r="G118" i="121"/>
  <c r="F118" i="121"/>
  <c r="J117" i="121"/>
  <c r="H117" i="121"/>
  <c r="G117" i="121"/>
  <c r="F117" i="121"/>
  <c r="J116" i="121"/>
  <c r="H116" i="121"/>
  <c r="G116" i="121"/>
  <c r="F116" i="121"/>
  <c r="J115" i="121"/>
  <c r="H115" i="121"/>
  <c r="G115" i="121"/>
  <c r="F115" i="121"/>
  <c r="J114" i="121"/>
  <c r="H114" i="121"/>
  <c r="G114" i="121"/>
  <c r="F114" i="121"/>
  <c r="J113" i="121"/>
  <c r="H113" i="121"/>
  <c r="G113" i="121"/>
  <c r="F113" i="121"/>
  <c r="J112" i="121"/>
  <c r="H112" i="121"/>
  <c r="G112" i="121"/>
  <c r="F112" i="121"/>
  <c r="J111" i="121"/>
  <c r="H111" i="121"/>
  <c r="G111" i="121"/>
  <c r="F111" i="121"/>
  <c r="J110" i="121"/>
  <c r="H110" i="121"/>
  <c r="G110" i="121"/>
  <c r="F110" i="121"/>
  <c r="J109" i="121"/>
  <c r="H109" i="121"/>
  <c r="G109" i="121"/>
  <c r="F109" i="121"/>
  <c r="J108" i="121"/>
  <c r="H108" i="121"/>
  <c r="G108" i="121"/>
  <c r="F108" i="121"/>
  <c r="J107" i="121"/>
  <c r="H107" i="121"/>
  <c r="G107" i="121"/>
  <c r="F107" i="121"/>
  <c r="J106" i="121"/>
  <c r="H106" i="121"/>
  <c r="G106" i="121"/>
  <c r="F106" i="121"/>
  <c r="J105" i="121"/>
  <c r="H105" i="121"/>
  <c r="G105" i="121"/>
  <c r="F105" i="121"/>
  <c r="J104" i="121"/>
  <c r="H104" i="121"/>
  <c r="G104" i="121"/>
  <c r="F104" i="121"/>
  <c r="J103" i="121"/>
  <c r="H103" i="121"/>
  <c r="G103" i="121"/>
  <c r="F103" i="121"/>
  <c r="J102" i="121"/>
  <c r="H102" i="121"/>
  <c r="G102" i="121"/>
  <c r="F102" i="121"/>
  <c r="J101" i="121"/>
  <c r="H101" i="121"/>
  <c r="G101" i="121"/>
  <c r="F101" i="121"/>
  <c r="J100" i="121"/>
  <c r="H100" i="121"/>
  <c r="G100" i="121"/>
  <c r="F100" i="121"/>
  <c r="J99" i="121"/>
  <c r="H99" i="121"/>
  <c r="G99" i="121"/>
  <c r="F99" i="121"/>
  <c r="H98" i="121"/>
  <c r="G98" i="121"/>
  <c r="F98" i="121"/>
  <c r="J97" i="121"/>
  <c r="H97" i="121"/>
  <c r="G97" i="121"/>
  <c r="F97" i="121"/>
  <c r="J96" i="121"/>
  <c r="H96" i="121"/>
  <c r="G96" i="121"/>
  <c r="F96" i="121"/>
  <c r="J95" i="121"/>
  <c r="H95" i="121"/>
  <c r="G95" i="121"/>
  <c r="F95" i="121"/>
  <c r="J94" i="121"/>
  <c r="H94" i="121"/>
  <c r="G94" i="121"/>
  <c r="F94" i="121"/>
  <c r="J93" i="121"/>
  <c r="H93" i="121"/>
  <c r="G93" i="121"/>
  <c r="F93" i="121"/>
  <c r="J92" i="121"/>
  <c r="H92" i="121"/>
  <c r="G92" i="121"/>
  <c r="F92" i="121"/>
  <c r="J91" i="121"/>
  <c r="H91" i="121"/>
  <c r="G91" i="121"/>
  <c r="F91" i="121"/>
  <c r="J90" i="121"/>
  <c r="H90" i="121"/>
  <c r="G90" i="121"/>
  <c r="F90" i="121"/>
  <c r="J89" i="121"/>
  <c r="H89" i="121"/>
  <c r="G89" i="121"/>
  <c r="F89" i="121"/>
  <c r="J88" i="121"/>
  <c r="H88" i="121"/>
  <c r="G88" i="121"/>
  <c r="F88" i="121"/>
  <c r="J87" i="121"/>
  <c r="H87" i="121"/>
  <c r="G87" i="121"/>
  <c r="F87" i="121"/>
  <c r="J86" i="121"/>
  <c r="H86" i="121"/>
  <c r="G86" i="121"/>
  <c r="F86" i="121"/>
  <c r="H85" i="121"/>
  <c r="G85" i="121"/>
  <c r="F85" i="121"/>
  <c r="J84" i="121"/>
  <c r="H84" i="121"/>
  <c r="G84" i="121"/>
  <c r="F84" i="121"/>
  <c r="J83" i="121"/>
  <c r="H83" i="121"/>
  <c r="G83" i="121"/>
  <c r="F83" i="121"/>
  <c r="J82" i="121"/>
  <c r="H82" i="121"/>
  <c r="G82" i="121"/>
  <c r="F82" i="121"/>
  <c r="J81" i="121"/>
  <c r="H81" i="121"/>
  <c r="G81" i="121"/>
  <c r="F81" i="121"/>
  <c r="J80" i="121"/>
  <c r="H80" i="121"/>
  <c r="G80" i="121"/>
  <c r="F80" i="121"/>
  <c r="J79" i="121"/>
  <c r="H79" i="121"/>
  <c r="G79" i="121"/>
  <c r="F79" i="121"/>
  <c r="J78" i="121"/>
  <c r="H78" i="121"/>
  <c r="G78" i="121"/>
  <c r="F78" i="121"/>
  <c r="J77" i="121"/>
  <c r="H77" i="121"/>
  <c r="G77" i="121"/>
  <c r="F77" i="121"/>
  <c r="J76" i="121"/>
  <c r="H76" i="121"/>
  <c r="G76" i="121"/>
  <c r="F76" i="121"/>
  <c r="J75" i="121"/>
  <c r="H75" i="121"/>
  <c r="G75" i="121"/>
  <c r="F75" i="121"/>
  <c r="J74" i="121"/>
  <c r="H74" i="121"/>
  <c r="G74" i="121"/>
  <c r="F74" i="121"/>
  <c r="J73" i="121"/>
  <c r="H73" i="121"/>
  <c r="G73" i="121"/>
  <c r="F73" i="121"/>
  <c r="J72" i="121"/>
  <c r="H72" i="121"/>
  <c r="G72" i="121"/>
  <c r="F72" i="121"/>
  <c r="J71" i="121"/>
  <c r="H71" i="121"/>
  <c r="G71" i="121"/>
  <c r="F71" i="121"/>
  <c r="J70" i="121"/>
  <c r="H70" i="121"/>
  <c r="G70" i="121"/>
  <c r="F70" i="121"/>
  <c r="J69" i="121"/>
  <c r="H69" i="121"/>
  <c r="G69" i="121"/>
  <c r="F69" i="121"/>
  <c r="H68" i="121"/>
  <c r="G68" i="121"/>
  <c r="F68" i="121"/>
  <c r="J67" i="121"/>
  <c r="H67" i="121"/>
  <c r="G67" i="121"/>
  <c r="F67" i="121"/>
  <c r="J66" i="121"/>
  <c r="H66" i="121"/>
  <c r="G66" i="121"/>
  <c r="F66" i="121"/>
  <c r="J65" i="121"/>
  <c r="H65" i="121"/>
  <c r="G65" i="121"/>
  <c r="F65" i="121"/>
  <c r="J64" i="121"/>
  <c r="H64" i="121"/>
  <c r="G64" i="121"/>
  <c r="F64" i="121"/>
  <c r="J63" i="121"/>
  <c r="H63" i="121"/>
  <c r="G63" i="121"/>
  <c r="F63" i="121"/>
  <c r="J62" i="121"/>
  <c r="H62" i="121"/>
  <c r="G62" i="121"/>
  <c r="F62" i="121"/>
  <c r="H61" i="121"/>
  <c r="G61" i="121"/>
  <c r="F61" i="121"/>
  <c r="J60" i="121"/>
  <c r="H60" i="121"/>
  <c r="G60" i="121"/>
  <c r="F60" i="121"/>
  <c r="H59" i="121"/>
  <c r="G59" i="121"/>
  <c r="F59" i="121"/>
  <c r="J58" i="121"/>
  <c r="H58" i="121"/>
  <c r="G58" i="121"/>
  <c r="F58" i="121"/>
  <c r="J57" i="121"/>
  <c r="H57" i="121"/>
  <c r="G57" i="121"/>
  <c r="F57" i="121"/>
  <c r="J56" i="121"/>
  <c r="H56" i="121"/>
  <c r="G56" i="121"/>
  <c r="F56" i="121"/>
  <c r="J55" i="121"/>
  <c r="H55" i="121"/>
  <c r="G55" i="121"/>
  <c r="F55" i="121"/>
  <c r="J54" i="121"/>
  <c r="H54" i="121"/>
  <c r="G54" i="121"/>
  <c r="F54" i="121"/>
  <c r="H53" i="121"/>
  <c r="G53" i="121"/>
  <c r="F53" i="121"/>
  <c r="J52" i="121"/>
  <c r="H52" i="121"/>
  <c r="G52" i="121"/>
  <c r="F52" i="121"/>
  <c r="J51" i="121"/>
  <c r="H51" i="121"/>
  <c r="G51" i="121"/>
  <c r="F51" i="121"/>
  <c r="J50" i="121"/>
  <c r="H50" i="121"/>
  <c r="G50" i="121"/>
  <c r="F50" i="121"/>
  <c r="J49" i="121"/>
  <c r="H49" i="121"/>
  <c r="G49" i="121"/>
  <c r="F49" i="121"/>
  <c r="H48" i="121"/>
  <c r="G48" i="121"/>
  <c r="F48" i="121"/>
  <c r="J47" i="121"/>
  <c r="H47" i="121"/>
  <c r="G47" i="121"/>
  <c r="F47" i="121"/>
  <c r="J46" i="121"/>
  <c r="H46" i="121"/>
  <c r="G46" i="121"/>
  <c r="F46" i="121"/>
  <c r="J45" i="121"/>
  <c r="H45" i="121"/>
  <c r="G45" i="121"/>
  <c r="F45" i="121"/>
  <c r="J44" i="121"/>
  <c r="H44" i="121"/>
  <c r="G44" i="121"/>
  <c r="F44" i="121"/>
  <c r="J43" i="121"/>
  <c r="H43" i="121"/>
  <c r="G43" i="121"/>
  <c r="F43" i="121"/>
  <c r="J42" i="121"/>
  <c r="H42" i="121"/>
  <c r="G42" i="121"/>
  <c r="F42" i="121"/>
  <c r="J41" i="121"/>
  <c r="H41" i="121"/>
  <c r="G41" i="121"/>
  <c r="F41" i="121"/>
  <c r="J40" i="121"/>
  <c r="H40" i="121"/>
  <c r="G40" i="121"/>
  <c r="F40" i="121"/>
  <c r="J39" i="121"/>
  <c r="H39" i="121"/>
  <c r="G39" i="121"/>
  <c r="F39" i="121"/>
  <c r="J38" i="121"/>
  <c r="H38" i="121"/>
  <c r="G38" i="121"/>
  <c r="F38" i="121"/>
  <c r="H37" i="121"/>
  <c r="G37" i="121"/>
  <c r="F37" i="121"/>
  <c r="J36" i="121"/>
  <c r="H36" i="121"/>
  <c r="G36" i="121"/>
  <c r="F36" i="121"/>
  <c r="J35" i="121"/>
  <c r="H35" i="121"/>
  <c r="G35" i="121"/>
  <c r="F35" i="121"/>
  <c r="J34" i="121"/>
  <c r="H34" i="121"/>
  <c r="G34" i="121"/>
  <c r="F34" i="121"/>
  <c r="J33" i="121"/>
  <c r="H33" i="121"/>
  <c r="G33" i="121"/>
  <c r="F33" i="121"/>
  <c r="J32" i="121"/>
  <c r="H32" i="121"/>
  <c r="G32" i="121"/>
  <c r="F32" i="121"/>
  <c r="J31" i="121"/>
  <c r="H31" i="121"/>
  <c r="G31" i="121"/>
  <c r="F31" i="121"/>
  <c r="J30" i="121"/>
  <c r="H30" i="121"/>
  <c r="G30" i="121"/>
  <c r="F30" i="121"/>
  <c r="J29" i="121"/>
  <c r="H29" i="121"/>
  <c r="G29" i="121"/>
  <c r="F29" i="121"/>
  <c r="H28" i="121"/>
  <c r="G28" i="121"/>
  <c r="F28" i="121"/>
  <c r="J27" i="121"/>
  <c r="H27" i="121"/>
  <c r="G27" i="121"/>
  <c r="F27" i="121"/>
  <c r="J26" i="121"/>
  <c r="H26" i="121"/>
  <c r="G26" i="121"/>
  <c r="F26" i="121"/>
  <c r="J25" i="121"/>
  <c r="H25" i="121"/>
  <c r="G25" i="121"/>
  <c r="F25" i="121"/>
  <c r="J24" i="121"/>
  <c r="H24" i="121"/>
  <c r="G24" i="121"/>
  <c r="F24" i="121"/>
  <c r="J23" i="121"/>
  <c r="H23" i="121"/>
  <c r="G23" i="121"/>
  <c r="F23" i="121"/>
  <c r="J22" i="121"/>
  <c r="H22" i="121"/>
  <c r="G22" i="121"/>
  <c r="F22" i="121"/>
  <c r="J21" i="121"/>
  <c r="H21" i="121"/>
  <c r="G21" i="121"/>
  <c r="F21" i="121"/>
  <c r="J20" i="121"/>
  <c r="H20" i="121"/>
  <c r="G20" i="121"/>
  <c r="F20" i="121"/>
  <c r="J19" i="121"/>
  <c r="H19" i="121"/>
  <c r="G19" i="121"/>
  <c r="F19" i="121"/>
  <c r="J18" i="121"/>
  <c r="H18" i="121"/>
  <c r="G18" i="121"/>
  <c r="F18" i="121"/>
  <c r="J17" i="121"/>
  <c r="H17" i="121"/>
  <c r="G17" i="121"/>
  <c r="F17" i="121"/>
  <c r="J16" i="121"/>
  <c r="H16" i="121"/>
  <c r="G16" i="121"/>
  <c r="F16" i="121"/>
  <c r="J15" i="121"/>
  <c r="H15" i="121"/>
  <c r="G15" i="121"/>
  <c r="F15" i="121"/>
  <c r="J14" i="121"/>
  <c r="H14" i="121"/>
  <c r="G14" i="121"/>
  <c r="F14" i="121"/>
  <c r="J13" i="121"/>
  <c r="H13" i="121"/>
  <c r="G13" i="121"/>
  <c r="F13" i="121"/>
  <c r="J12" i="121"/>
  <c r="H12" i="121"/>
  <c r="G12" i="121"/>
  <c r="F12" i="121"/>
  <c r="J11" i="121"/>
  <c r="H11" i="121"/>
  <c r="G11" i="121"/>
  <c r="F11" i="121"/>
  <c r="J10" i="121"/>
  <c r="H10" i="121"/>
  <c r="G10" i="121"/>
  <c r="F10" i="121"/>
  <c r="J9" i="121"/>
  <c r="H9" i="121"/>
  <c r="G9" i="121"/>
  <c r="F9" i="121"/>
  <c r="J8" i="121"/>
  <c r="H8" i="121"/>
  <c r="G8" i="121"/>
  <c r="F8" i="121"/>
  <c r="J7" i="121"/>
  <c r="H7" i="121"/>
  <c r="G7" i="121"/>
  <c r="F7" i="121"/>
  <c r="J6" i="121"/>
  <c r="H6" i="121"/>
  <c r="G6" i="121"/>
  <c r="F6" i="121"/>
  <c r="E137" i="132"/>
  <c r="F136" i="132"/>
  <c r="F135" i="132"/>
  <c r="F134" i="132"/>
  <c r="S127" i="132"/>
  <c r="S126" i="132"/>
  <c r="S125" i="132"/>
  <c r="S124" i="132"/>
  <c r="Q124" i="132"/>
  <c r="O124" i="132"/>
  <c r="S123" i="132"/>
  <c r="Q123" i="132"/>
  <c r="O123" i="132"/>
  <c r="S122" i="132"/>
  <c r="Q122" i="132"/>
  <c r="O122" i="132"/>
  <c r="S121" i="132"/>
  <c r="S120" i="132"/>
  <c r="Q120" i="132"/>
  <c r="O120" i="132"/>
  <c r="S119" i="132"/>
  <c r="Q119" i="132"/>
  <c r="O119" i="132"/>
  <c r="S118" i="132"/>
  <c r="Q118" i="132"/>
  <c r="O118" i="132"/>
  <c r="S117" i="132"/>
  <c r="Q117" i="132"/>
  <c r="O117" i="132"/>
  <c r="S116" i="132"/>
  <c r="Q116" i="132"/>
  <c r="O116" i="132"/>
  <c r="S115" i="132"/>
  <c r="Q115" i="132"/>
  <c r="O115" i="132"/>
  <c r="S114" i="132"/>
  <c r="Q114" i="132"/>
  <c r="O114" i="132"/>
  <c r="S113" i="132"/>
  <c r="S112" i="132"/>
  <c r="Q112" i="132"/>
  <c r="O112" i="132"/>
  <c r="S111" i="132"/>
  <c r="Q111" i="132"/>
  <c r="O111" i="132"/>
  <c r="S110" i="132"/>
  <c r="Q110" i="132"/>
  <c r="O110" i="132"/>
  <c r="S109" i="132"/>
  <c r="Q109" i="132"/>
  <c r="O109" i="132"/>
  <c r="S108" i="132"/>
  <c r="Q108" i="132"/>
  <c r="O108" i="132"/>
  <c r="S107" i="132"/>
  <c r="Q107" i="132"/>
  <c r="O107" i="132"/>
  <c r="S106" i="132"/>
  <c r="Q106" i="132"/>
  <c r="O106" i="132"/>
  <c r="S105" i="132"/>
  <c r="Q105" i="132"/>
  <c r="O105" i="132"/>
  <c r="S104" i="132"/>
  <c r="Q104" i="132"/>
  <c r="O104" i="132"/>
  <c r="S103" i="132"/>
  <c r="S102" i="132"/>
  <c r="Q102" i="132"/>
  <c r="O102" i="132"/>
  <c r="S101" i="132"/>
  <c r="Q101" i="132"/>
  <c r="O101" i="132"/>
  <c r="S100" i="132"/>
  <c r="Q100" i="132"/>
  <c r="O100" i="132"/>
  <c r="S99" i="132"/>
  <c r="Q99" i="132"/>
  <c r="O99" i="132"/>
  <c r="S98" i="132"/>
  <c r="Q98" i="132"/>
  <c r="O98" i="132"/>
  <c r="S97" i="132"/>
  <c r="Q97" i="132"/>
  <c r="O97" i="132"/>
  <c r="S96" i="132"/>
  <c r="Q96" i="132"/>
  <c r="O96" i="132"/>
  <c r="S95" i="132"/>
  <c r="Q95" i="132"/>
  <c r="O95" i="132"/>
  <c r="S94" i="132"/>
  <c r="Q94" i="132"/>
  <c r="O94" i="132"/>
  <c r="S93" i="132"/>
  <c r="Q93" i="132"/>
  <c r="O93" i="132"/>
  <c r="S92" i="132"/>
  <c r="Q92" i="132"/>
  <c r="O92" i="132"/>
  <c r="S91" i="132"/>
  <c r="Q91" i="132"/>
  <c r="O91" i="132"/>
  <c r="S90" i="132"/>
  <c r="Q90" i="132"/>
  <c r="O90" i="132"/>
  <c r="S89" i="132"/>
  <c r="Q89" i="132"/>
  <c r="O89" i="132"/>
  <c r="S88" i="132"/>
  <c r="Q88" i="132"/>
  <c r="O88" i="132"/>
  <c r="S87" i="132"/>
  <c r="S86" i="132"/>
  <c r="Q86" i="132"/>
  <c r="O86" i="132"/>
  <c r="S85" i="132"/>
  <c r="Q85" i="132"/>
  <c r="O85" i="132"/>
  <c r="S84" i="132"/>
  <c r="Q84" i="132"/>
  <c r="O84" i="132"/>
  <c r="S83" i="132"/>
  <c r="Q83" i="132"/>
  <c r="O83" i="132"/>
  <c r="S82" i="132"/>
  <c r="Q82" i="132"/>
  <c r="O82" i="132"/>
  <c r="S81" i="132"/>
  <c r="S80" i="132"/>
  <c r="Q80" i="132"/>
  <c r="O80" i="132"/>
  <c r="S79" i="132"/>
  <c r="Q79" i="132"/>
  <c r="O79" i="132"/>
  <c r="S78" i="132"/>
  <c r="Q78" i="132"/>
  <c r="O78" i="132"/>
  <c r="S77" i="132"/>
  <c r="Q77" i="132"/>
  <c r="O77" i="132"/>
  <c r="S76" i="132"/>
  <c r="S75" i="132"/>
  <c r="Q75" i="132"/>
  <c r="O75" i="132"/>
  <c r="S74" i="132"/>
  <c r="Q74" i="132"/>
  <c r="O74" i="132"/>
  <c r="S73" i="132"/>
  <c r="Q73" i="132"/>
  <c r="O73" i="132"/>
  <c r="S72" i="132"/>
  <c r="Q72" i="132"/>
  <c r="O72" i="132"/>
  <c r="S71" i="132"/>
  <c r="Q71" i="132"/>
  <c r="O71" i="132"/>
  <c r="S70" i="132"/>
  <c r="Q70" i="132"/>
  <c r="O70" i="132"/>
  <c r="S69" i="132"/>
  <c r="Q69" i="132"/>
  <c r="O69" i="132"/>
  <c r="S68" i="132"/>
  <c r="S67" i="132"/>
  <c r="Q67" i="132"/>
  <c r="O67" i="132"/>
  <c r="S66" i="132"/>
  <c r="Q66" i="132"/>
  <c r="O66" i="132"/>
  <c r="S65" i="132"/>
  <c r="S64" i="132"/>
  <c r="Q64" i="132"/>
  <c r="O64" i="132"/>
  <c r="S63" i="132"/>
  <c r="Q63" i="132"/>
  <c r="O63" i="132"/>
  <c r="S62" i="132"/>
  <c r="Q62" i="132"/>
  <c r="O62" i="132"/>
  <c r="S61" i="132"/>
  <c r="Q61" i="132"/>
  <c r="O61" i="132"/>
  <c r="S60" i="132"/>
  <c r="Q60" i="132"/>
  <c r="O60" i="132"/>
  <c r="S59" i="132"/>
  <c r="Q59" i="132"/>
  <c r="O59" i="132"/>
  <c r="S58" i="132"/>
  <c r="Q58" i="132"/>
  <c r="O58" i="132"/>
  <c r="S57" i="132"/>
  <c r="Q57" i="132"/>
  <c r="O57" i="132"/>
  <c r="S56" i="132"/>
  <c r="Q56" i="132"/>
  <c r="O56" i="132"/>
  <c r="S55" i="132"/>
  <c r="Q55" i="132"/>
  <c r="O55" i="132"/>
  <c r="S54" i="132"/>
  <c r="Q54" i="132"/>
  <c r="O54" i="132"/>
  <c r="S53" i="132"/>
  <c r="Q53" i="132"/>
  <c r="O53" i="132"/>
  <c r="S52" i="132"/>
  <c r="Q52" i="132"/>
  <c r="O52" i="132"/>
  <c r="S51" i="132"/>
  <c r="Q51" i="132"/>
  <c r="O51" i="132"/>
  <c r="S50" i="132"/>
  <c r="Q50" i="132"/>
  <c r="O50" i="132"/>
  <c r="S49" i="132"/>
  <c r="Q49" i="132"/>
  <c r="O49" i="132"/>
  <c r="S48" i="132"/>
  <c r="Q48" i="132"/>
  <c r="O48" i="132"/>
  <c r="S47" i="132"/>
  <c r="Q47" i="132"/>
  <c r="O47" i="132"/>
  <c r="S46" i="132"/>
  <c r="Q46" i="132"/>
  <c r="O46" i="132"/>
  <c r="S45" i="132"/>
  <c r="Q45" i="132"/>
  <c r="O45" i="132"/>
  <c r="S44" i="132"/>
  <c r="Q44" i="132"/>
  <c r="O44" i="132"/>
  <c r="S43" i="132"/>
  <c r="Q43" i="132"/>
  <c r="O43" i="132"/>
  <c r="S42" i="132"/>
  <c r="S41" i="132"/>
  <c r="Q41" i="132"/>
  <c r="O41" i="132"/>
  <c r="S40" i="132"/>
  <c r="Q40" i="132"/>
  <c r="O40" i="132"/>
  <c r="S39" i="132"/>
  <c r="Q39" i="132"/>
  <c r="O39" i="132"/>
  <c r="S38" i="132"/>
  <c r="Q38" i="132"/>
  <c r="O38" i="132"/>
  <c r="S37" i="132"/>
  <c r="Q37" i="132"/>
  <c r="O37" i="132"/>
  <c r="S36" i="132"/>
  <c r="Q36" i="132"/>
  <c r="O36" i="132"/>
  <c r="S35" i="132"/>
  <c r="Q35" i="132"/>
  <c r="O35" i="132"/>
  <c r="S34" i="132"/>
  <c r="Q34" i="132"/>
  <c r="O34" i="132"/>
  <c r="S33" i="132"/>
  <c r="Q33" i="132"/>
  <c r="O33" i="132"/>
  <c r="S32" i="132"/>
  <c r="S31" i="132"/>
  <c r="Q31" i="132"/>
  <c r="O31" i="132"/>
  <c r="S30" i="132"/>
  <c r="Q30" i="132"/>
  <c r="O30" i="132"/>
  <c r="S29" i="132"/>
  <c r="Q29" i="132"/>
  <c r="O29" i="132"/>
  <c r="S28" i="132"/>
  <c r="Q28" i="132"/>
  <c r="O28" i="132"/>
  <c r="S27" i="132"/>
  <c r="S26" i="132"/>
  <c r="Q26" i="132"/>
  <c r="O26" i="132"/>
  <c r="S25" i="132"/>
  <c r="Q25" i="132"/>
  <c r="O25" i="132"/>
  <c r="S24" i="132"/>
  <c r="S23" i="132"/>
  <c r="Q23" i="132"/>
  <c r="O23" i="132"/>
  <c r="S22" i="132"/>
  <c r="Q22" i="132"/>
  <c r="O22" i="132"/>
  <c r="S21" i="132"/>
  <c r="Q21" i="132"/>
  <c r="O21" i="132"/>
  <c r="S20" i="132"/>
  <c r="Q20" i="132"/>
  <c r="O20" i="132"/>
  <c r="S19" i="132"/>
  <c r="Q19" i="132"/>
  <c r="O19" i="132"/>
  <c r="S18" i="132"/>
  <c r="S17" i="132"/>
  <c r="Q17" i="132"/>
  <c r="O17" i="132"/>
  <c r="S16" i="132"/>
  <c r="Q16" i="132"/>
  <c r="O16" i="132"/>
  <c r="S15" i="132"/>
  <c r="Q15" i="132"/>
  <c r="O15" i="132"/>
  <c r="S14" i="132"/>
  <c r="Q14" i="132"/>
  <c r="O14" i="132"/>
  <c r="S13" i="132"/>
  <c r="Q13" i="132"/>
  <c r="O13" i="132"/>
  <c r="S12" i="132"/>
  <c r="Q12" i="132"/>
  <c r="O12" i="132"/>
  <c r="S11" i="132"/>
  <c r="Q11" i="132"/>
  <c r="O11" i="132"/>
  <c r="S10" i="132"/>
  <c r="Q10" i="132"/>
  <c r="O10" i="132"/>
  <c r="S9" i="132"/>
  <c r="Q9" i="132"/>
  <c r="O9" i="132"/>
  <c r="S8" i="132"/>
  <c r="Q8" i="132"/>
  <c r="O8" i="132"/>
  <c r="S7" i="132"/>
  <c r="Q7" i="132"/>
  <c r="O7" i="132"/>
  <c r="S6" i="132"/>
  <c r="Q6" i="132"/>
  <c r="O6" i="132"/>
  <c r="P57" i="135"/>
  <c r="P56" i="135"/>
  <c r="P55" i="135"/>
  <c r="N55" i="135"/>
  <c r="M55" i="135"/>
  <c r="P54" i="135"/>
  <c r="O54" i="135"/>
  <c r="L54" i="135"/>
  <c r="K54" i="135"/>
  <c r="J54" i="135"/>
  <c r="I54" i="135"/>
  <c r="H54" i="135"/>
  <c r="G54" i="135"/>
  <c r="P53" i="135"/>
  <c r="O53" i="135"/>
  <c r="L53" i="135"/>
  <c r="K53" i="135"/>
  <c r="I53" i="135"/>
  <c r="H53" i="135"/>
  <c r="G53" i="135"/>
  <c r="P52" i="135"/>
  <c r="O52" i="135"/>
  <c r="L52" i="135"/>
  <c r="K52" i="135"/>
  <c r="J52" i="135"/>
  <c r="I52" i="135"/>
  <c r="H52" i="135"/>
  <c r="G52" i="135"/>
  <c r="P51" i="135"/>
  <c r="O51" i="135"/>
  <c r="L51" i="135"/>
  <c r="K51" i="135"/>
  <c r="J51" i="135"/>
  <c r="I51" i="135"/>
  <c r="H51" i="135"/>
  <c r="G51" i="135"/>
  <c r="P50" i="135"/>
  <c r="O50" i="135"/>
  <c r="L50" i="135"/>
  <c r="K50" i="135"/>
  <c r="J50" i="135"/>
  <c r="I50" i="135"/>
  <c r="H50" i="135"/>
  <c r="G50" i="135"/>
  <c r="P49" i="135"/>
  <c r="O49" i="135"/>
  <c r="L49" i="135"/>
  <c r="K49" i="135"/>
  <c r="J49" i="135"/>
  <c r="I49" i="135"/>
  <c r="H49" i="135"/>
  <c r="G49" i="135"/>
  <c r="P48" i="135"/>
  <c r="O48" i="135"/>
  <c r="L48" i="135"/>
  <c r="K48" i="135"/>
  <c r="J48" i="135"/>
  <c r="I48" i="135"/>
  <c r="H48" i="135"/>
  <c r="G48" i="135"/>
  <c r="P47" i="135"/>
  <c r="O47" i="135"/>
  <c r="L47" i="135"/>
  <c r="K47" i="135"/>
  <c r="J47" i="135"/>
  <c r="I47" i="135"/>
  <c r="H47" i="135"/>
  <c r="G47" i="135"/>
  <c r="P46" i="135"/>
  <c r="O46" i="135"/>
  <c r="L46" i="135"/>
  <c r="K46" i="135"/>
  <c r="J46" i="135"/>
  <c r="I46" i="135"/>
  <c r="H46" i="135"/>
  <c r="G46" i="135"/>
  <c r="P45" i="135"/>
  <c r="O45" i="135"/>
  <c r="L45" i="135"/>
  <c r="K45" i="135"/>
  <c r="J45" i="135"/>
  <c r="I45" i="135"/>
  <c r="H45" i="135"/>
  <c r="G45" i="135"/>
  <c r="P44" i="135"/>
  <c r="O44" i="135"/>
  <c r="L44" i="135"/>
  <c r="K44" i="135"/>
  <c r="J44" i="135"/>
  <c r="I44" i="135"/>
  <c r="H44" i="135"/>
  <c r="G44" i="135"/>
  <c r="P43" i="135"/>
  <c r="O43" i="135"/>
  <c r="L43" i="135"/>
  <c r="K43" i="135"/>
  <c r="J43" i="135"/>
  <c r="I43" i="135"/>
  <c r="H43" i="135"/>
  <c r="G43" i="135"/>
  <c r="P42" i="135"/>
  <c r="O42" i="135"/>
  <c r="L42" i="135"/>
  <c r="K42" i="135"/>
  <c r="J42" i="135"/>
  <c r="I42" i="135"/>
  <c r="H42" i="135"/>
  <c r="G42" i="135"/>
  <c r="P41" i="135"/>
  <c r="O41" i="135"/>
  <c r="L41" i="135"/>
  <c r="K41" i="135"/>
  <c r="J41" i="135"/>
  <c r="I41" i="135"/>
  <c r="H41" i="135"/>
  <c r="G41" i="135"/>
  <c r="P40" i="135"/>
  <c r="O40" i="135"/>
  <c r="L40" i="135"/>
  <c r="K40" i="135"/>
  <c r="J40" i="135"/>
  <c r="I40" i="135"/>
  <c r="H40" i="135"/>
  <c r="G40" i="135"/>
  <c r="P39" i="135"/>
  <c r="O39" i="135"/>
  <c r="L39" i="135"/>
  <c r="K39" i="135"/>
  <c r="J39" i="135"/>
  <c r="I39" i="135"/>
  <c r="H39" i="135"/>
  <c r="G39" i="135"/>
  <c r="P38" i="135"/>
  <c r="O38" i="135"/>
  <c r="L38" i="135"/>
  <c r="K38" i="135"/>
  <c r="J38" i="135"/>
  <c r="I38" i="135"/>
  <c r="H38" i="135"/>
  <c r="G38" i="135"/>
  <c r="P37" i="135"/>
  <c r="O37" i="135"/>
  <c r="L37" i="135"/>
  <c r="K37" i="135"/>
  <c r="J37" i="135"/>
  <c r="I37" i="135"/>
  <c r="H37" i="135"/>
  <c r="G37" i="135"/>
  <c r="P36" i="135"/>
  <c r="O36" i="135"/>
  <c r="L36" i="135"/>
  <c r="K36" i="135"/>
  <c r="J36" i="135"/>
  <c r="I36" i="135"/>
  <c r="H36" i="135"/>
  <c r="G36" i="135"/>
  <c r="P35" i="135"/>
  <c r="O35" i="135"/>
  <c r="L35" i="135"/>
  <c r="K35" i="135"/>
  <c r="J35" i="135"/>
  <c r="I35" i="135"/>
  <c r="H35" i="135"/>
  <c r="G35" i="135"/>
  <c r="P34" i="135"/>
  <c r="O34" i="135"/>
  <c r="L34" i="135"/>
  <c r="K34" i="135"/>
  <c r="J34" i="135"/>
  <c r="I34" i="135"/>
  <c r="H34" i="135"/>
  <c r="G34" i="135"/>
  <c r="P33" i="135"/>
  <c r="O33" i="135"/>
  <c r="L33" i="135"/>
  <c r="K33" i="135"/>
  <c r="J33" i="135"/>
  <c r="I33" i="135"/>
  <c r="H33" i="135"/>
  <c r="G33" i="135"/>
  <c r="P32" i="135"/>
  <c r="O32" i="135"/>
  <c r="L32" i="135"/>
  <c r="K32" i="135"/>
  <c r="J32" i="135"/>
  <c r="I32" i="135"/>
  <c r="H32" i="135"/>
  <c r="G32" i="135"/>
  <c r="P31" i="135"/>
  <c r="O31" i="135"/>
  <c r="L31" i="135"/>
  <c r="K31" i="135"/>
  <c r="J31" i="135"/>
  <c r="I31" i="135"/>
  <c r="H31" i="135"/>
  <c r="G31" i="135"/>
  <c r="P30" i="135"/>
  <c r="O30" i="135"/>
  <c r="L30" i="135"/>
  <c r="K30" i="135"/>
  <c r="J30" i="135"/>
  <c r="I30" i="135"/>
  <c r="H30" i="135"/>
  <c r="G30" i="135"/>
  <c r="P29" i="135"/>
  <c r="O29" i="135"/>
  <c r="L29" i="135"/>
  <c r="K29" i="135"/>
  <c r="J29" i="135"/>
  <c r="I29" i="135"/>
  <c r="H29" i="135"/>
  <c r="G29" i="135"/>
  <c r="P28" i="135"/>
  <c r="O28" i="135"/>
  <c r="L28" i="135"/>
  <c r="K28" i="135"/>
  <c r="J28" i="135"/>
  <c r="I28" i="135"/>
  <c r="H28" i="135"/>
  <c r="G28" i="135"/>
  <c r="P27" i="135"/>
  <c r="O27" i="135"/>
  <c r="L27" i="135"/>
  <c r="K27" i="135"/>
  <c r="J27" i="135"/>
  <c r="I27" i="135"/>
  <c r="H27" i="135"/>
  <c r="G27" i="135"/>
  <c r="P26" i="135"/>
  <c r="O26" i="135"/>
  <c r="L26" i="135"/>
  <c r="K26" i="135"/>
  <c r="J26" i="135"/>
  <c r="I26" i="135"/>
  <c r="H26" i="135"/>
  <c r="G26" i="135"/>
  <c r="P25" i="135"/>
  <c r="O25" i="135"/>
  <c r="L25" i="135"/>
  <c r="K25" i="135"/>
  <c r="J25" i="135"/>
  <c r="I25" i="135"/>
  <c r="H25" i="135"/>
  <c r="G25" i="135"/>
  <c r="P24" i="135"/>
  <c r="O24" i="135"/>
  <c r="L24" i="135"/>
  <c r="K24" i="135"/>
  <c r="J24" i="135"/>
  <c r="I24" i="135"/>
  <c r="H24" i="135"/>
  <c r="G24" i="135"/>
  <c r="P23" i="135"/>
  <c r="O23" i="135"/>
  <c r="L23" i="135"/>
  <c r="K23" i="135"/>
  <c r="J23" i="135"/>
  <c r="I23" i="135"/>
  <c r="H23" i="135"/>
  <c r="G23" i="135"/>
  <c r="P22" i="135"/>
  <c r="O22" i="135"/>
  <c r="L22" i="135"/>
  <c r="K22" i="135"/>
  <c r="I22" i="135"/>
  <c r="H22" i="135"/>
  <c r="G22" i="135"/>
  <c r="P21" i="135"/>
  <c r="O21" i="135"/>
  <c r="L21" i="135"/>
  <c r="K21" i="135"/>
  <c r="J21" i="135"/>
  <c r="I21" i="135"/>
  <c r="H21" i="135"/>
  <c r="G21" i="135"/>
  <c r="P20" i="135"/>
  <c r="O20" i="135"/>
  <c r="L20" i="135"/>
  <c r="K20" i="135"/>
  <c r="J20" i="135"/>
  <c r="I20" i="135"/>
  <c r="H20" i="135"/>
  <c r="G20" i="135"/>
  <c r="P19" i="135"/>
  <c r="O19" i="135"/>
  <c r="L19" i="135"/>
  <c r="K19" i="135"/>
  <c r="J19" i="135"/>
  <c r="I19" i="135"/>
  <c r="H19" i="135"/>
  <c r="G19" i="135"/>
  <c r="P18" i="135"/>
  <c r="O18" i="135"/>
  <c r="L18" i="135"/>
  <c r="K18" i="135"/>
  <c r="J18" i="135"/>
  <c r="I18" i="135"/>
  <c r="H18" i="135"/>
  <c r="G18" i="135"/>
  <c r="P17" i="135"/>
  <c r="O17" i="135"/>
  <c r="L17" i="135"/>
  <c r="K17" i="135"/>
  <c r="J17" i="135"/>
  <c r="I17" i="135"/>
  <c r="H17" i="135"/>
  <c r="G17" i="135"/>
  <c r="P16" i="135"/>
  <c r="O16" i="135"/>
  <c r="L16" i="135"/>
  <c r="K16" i="135"/>
  <c r="J16" i="135"/>
  <c r="I16" i="135"/>
  <c r="H16" i="135"/>
  <c r="G16" i="135"/>
  <c r="P15" i="135"/>
  <c r="O15" i="135"/>
  <c r="L15" i="135"/>
  <c r="K15" i="135"/>
  <c r="J15" i="135"/>
  <c r="I15" i="135"/>
  <c r="H15" i="135"/>
  <c r="G15" i="135"/>
  <c r="P14" i="135"/>
  <c r="O14" i="135"/>
  <c r="L14" i="135"/>
  <c r="K14" i="135"/>
  <c r="J14" i="135"/>
  <c r="I14" i="135"/>
  <c r="H14" i="135"/>
  <c r="G14" i="135"/>
  <c r="P13" i="135"/>
  <c r="O13" i="135"/>
  <c r="L13" i="135"/>
  <c r="K13" i="135"/>
  <c r="J13" i="135"/>
  <c r="I13" i="135"/>
  <c r="H13" i="135"/>
  <c r="G13" i="135"/>
  <c r="P12" i="135"/>
  <c r="O12" i="135"/>
  <c r="L12" i="135"/>
  <c r="K12" i="135"/>
  <c r="J12" i="135"/>
  <c r="I12" i="135"/>
  <c r="H12" i="135"/>
  <c r="G12" i="135"/>
  <c r="P11" i="135"/>
  <c r="O11" i="135"/>
  <c r="L11" i="135"/>
  <c r="K11" i="135"/>
  <c r="J11" i="135"/>
  <c r="I11" i="135"/>
  <c r="H11" i="135"/>
  <c r="G11" i="135"/>
  <c r="P9" i="135"/>
  <c r="B5" i="135"/>
  <c r="Q21" i="136"/>
  <c r="Q20" i="136"/>
  <c r="Q19" i="136"/>
  <c r="O19" i="136"/>
  <c r="N19" i="136"/>
  <c r="Q18" i="136"/>
  <c r="P18" i="136"/>
  <c r="L18" i="136"/>
  <c r="K18" i="136"/>
  <c r="J18" i="136"/>
  <c r="I18" i="136"/>
  <c r="H18" i="136"/>
  <c r="Q17" i="136"/>
  <c r="P17" i="136"/>
  <c r="L17" i="136"/>
  <c r="K17" i="136"/>
  <c r="J17" i="136"/>
  <c r="I17" i="136"/>
  <c r="H17" i="136"/>
  <c r="Q16" i="136"/>
  <c r="L16" i="136"/>
  <c r="J16" i="136"/>
  <c r="I16" i="136"/>
  <c r="H16" i="136"/>
  <c r="Q15" i="136"/>
  <c r="P15" i="136"/>
  <c r="M15" i="136"/>
  <c r="L15" i="136"/>
  <c r="J15" i="136"/>
  <c r="I15" i="136"/>
  <c r="H15" i="136"/>
  <c r="Q14" i="136"/>
  <c r="P14" i="136"/>
  <c r="M14" i="136"/>
  <c r="L14" i="136"/>
  <c r="J14" i="136"/>
  <c r="I14" i="136"/>
  <c r="H14" i="136"/>
  <c r="Q13" i="136"/>
  <c r="P13" i="136"/>
  <c r="M13" i="136"/>
  <c r="L13" i="136"/>
  <c r="K13" i="136"/>
  <c r="J13" i="136"/>
  <c r="I13" i="136"/>
  <c r="H13" i="136"/>
  <c r="Q12" i="136"/>
  <c r="P12" i="136"/>
  <c r="M12" i="136"/>
  <c r="L12" i="136"/>
  <c r="J12" i="136"/>
  <c r="I12" i="136"/>
  <c r="H12" i="136"/>
  <c r="Q11" i="136"/>
  <c r="P11" i="136"/>
  <c r="M11" i="136"/>
  <c r="L11" i="136"/>
  <c r="K11" i="136"/>
  <c r="J11" i="136"/>
  <c r="I11" i="136"/>
  <c r="H11" i="136"/>
  <c r="Q10" i="136"/>
  <c r="P10" i="136"/>
  <c r="M10" i="136"/>
  <c r="L10" i="136"/>
  <c r="K10" i="136"/>
  <c r="J10" i="136"/>
  <c r="I10" i="136"/>
  <c r="H10" i="136"/>
  <c r="Q8" i="136"/>
  <c r="F103" i="96" l="1"/>
  <c r="F104" i="96" s="1"/>
  <c r="I1754" i="35"/>
  <c r="I1570" i="35"/>
  <c r="I239" i="35"/>
  <c r="I536" i="35"/>
  <c r="J1633" i="35"/>
  <c r="I1300" i="35"/>
  <c r="I1302" i="35" s="1"/>
  <c r="I1635" i="35"/>
  <c r="O20" i="35"/>
  <c r="I100" i="35"/>
  <c r="I110" i="35"/>
  <c r="I168" i="35"/>
  <c r="I173" i="35" s="1"/>
  <c r="I1141" i="35"/>
  <c r="I1464" i="35"/>
  <c r="I1465" i="35" s="1"/>
  <c r="I1634" i="35"/>
  <c r="I60" i="35"/>
  <c r="K59" i="56"/>
  <c r="I139" i="17"/>
  <c r="K173" i="17"/>
  <c r="I586" i="17"/>
  <c r="I601" i="17"/>
  <c r="P462" i="17"/>
  <c r="H462" i="17"/>
  <c r="P464" i="17"/>
  <c r="H464" i="17"/>
  <c r="P466" i="17"/>
  <c r="H466" i="17"/>
  <c r="P468" i="17"/>
  <c r="H468" i="17"/>
  <c r="I237" i="17"/>
  <c r="I254" i="17"/>
  <c r="K289" i="17"/>
  <c r="I329" i="17"/>
  <c r="P471" i="17"/>
  <c r="H471" i="17"/>
  <c r="K514" i="17"/>
  <c r="P297" i="17"/>
  <c r="G297" i="17" s="1"/>
  <c r="I297" i="17" s="1"/>
  <c r="P298" i="17"/>
  <c r="G298" i="17" s="1"/>
  <c r="I298" i="17" s="1"/>
  <c r="P307" i="17"/>
  <c r="G307" i="17" s="1"/>
  <c r="I307" i="17" s="1"/>
  <c r="P308" i="17"/>
  <c r="G308" i="17" s="1"/>
  <c r="I308" i="17" s="1"/>
  <c r="P309" i="17"/>
  <c r="G309" i="17" s="1"/>
  <c r="I309" i="17" s="1"/>
  <c r="L59" i="17"/>
  <c r="L61" i="17" s="1"/>
  <c r="K218" i="17"/>
  <c r="N255" i="17"/>
  <c r="N514" i="17"/>
  <c r="N289" i="17"/>
  <c r="P304" i="17"/>
  <c r="G304" i="17" s="1"/>
  <c r="I304" i="17" s="1"/>
  <c r="P305" i="17"/>
  <c r="G305" i="17" s="1"/>
  <c r="I305" i="17" s="1"/>
  <c r="I310" i="17" s="1"/>
  <c r="I364" i="17"/>
  <c r="Q43" i="17"/>
  <c r="K118" i="17"/>
  <c r="I163" i="17"/>
  <c r="V6" i="82"/>
  <c r="K18" i="110"/>
  <c r="O14" i="110"/>
  <c r="K13" i="110"/>
  <c r="N38" i="82"/>
  <c r="I36" i="82"/>
  <c r="M11" i="82"/>
  <c r="J11" i="82"/>
  <c r="P11" i="82"/>
  <c r="V7" i="82"/>
  <c r="G36" i="82"/>
  <c r="V4" i="82"/>
  <c r="Y18" i="82"/>
  <c r="V5" i="82"/>
  <c r="S11" i="82"/>
  <c r="U17" i="82"/>
  <c r="I30" i="4"/>
  <c r="I32" i="4"/>
  <c r="I33" i="4" s="1"/>
  <c r="H64" i="4"/>
  <c r="R42" i="4"/>
  <c r="R39" i="4"/>
  <c r="I31" i="4"/>
  <c r="P137" i="4"/>
  <c r="P143" i="4" s="1"/>
  <c r="Q145" i="4" s="1"/>
  <c r="R145" i="4" s="1"/>
  <c r="J19" i="119"/>
  <c r="J21" i="119" s="1"/>
  <c r="L88" i="17"/>
  <c r="L90" i="17" s="1"/>
  <c r="V77" i="17"/>
  <c r="G181" i="17"/>
  <c r="K181" i="17" s="1"/>
  <c r="G203" i="17"/>
  <c r="K203" i="17" s="1"/>
  <c r="G193" i="17"/>
  <c r="K193" i="17" s="1"/>
  <c r="G183" i="17"/>
  <c r="K183" i="17" s="1"/>
  <c r="G205" i="17"/>
  <c r="K205" i="17" s="1"/>
  <c r="Q255" i="17"/>
  <c r="Q266" i="17"/>
  <c r="Q268" i="17" s="1"/>
  <c r="L105" i="17"/>
  <c r="L107" i="17" s="1"/>
  <c r="V96" i="17"/>
  <c r="G182" i="17"/>
  <c r="K182" i="17" s="1"/>
  <c r="G204" i="17"/>
  <c r="K204" i="17" s="1"/>
  <c r="G194" i="17"/>
  <c r="K194" i="17" s="1"/>
  <c r="G184" i="17"/>
  <c r="K184" i="17" s="1"/>
  <c r="G206" i="17"/>
  <c r="K206" i="17" s="1"/>
  <c r="G195" i="17"/>
  <c r="K195" i="17" s="1"/>
  <c r="G186" i="17"/>
  <c r="K186" i="17" s="1"/>
  <c r="G196" i="17"/>
  <c r="K196" i="17" s="1"/>
  <c r="K208" i="17"/>
  <c r="I341" i="17"/>
  <c r="L151" i="17"/>
  <c r="L153" i="17" s="1"/>
  <c r="P458" i="17"/>
  <c r="I458" i="17"/>
  <c r="P460" i="17"/>
  <c r="I460" i="17"/>
  <c r="P463" i="17"/>
  <c r="I463" i="17"/>
  <c r="P467" i="17"/>
  <c r="I467" i="17"/>
  <c r="P470" i="17"/>
  <c r="I470" i="17"/>
  <c r="P459" i="17"/>
  <c r="I459" i="17"/>
  <c r="P461" i="17"/>
  <c r="I461" i="17"/>
  <c r="P465" i="17"/>
  <c r="I465" i="17"/>
  <c r="P469" i="17"/>
  <c r="I469" i="17"/>
  <c r="S457" i="17"/>
  <c r="I462" i="17"/>
  <c r="I464" i="17"/>
  <c r="I466" i="17"/>
  <c r="I468" i="17"/>
  <c r="I471" i="17"/>
  <c r="I1636" i="35" l="1"/>
  <c r="K198" i="17"/>
  <c r="K187" i="17"/>
  <c r="I34" i="4"/>
  <c r="L33" i="4" s="1"/>
  <c r="R147" i="4"/>
  <c r="S147" i="4" s="1"/>
  <c r="S14" i="82"/>
  <c r="AB18" i="82" s="1"/>
  <c r="X18" i="82" s="1"/>
  <c r="S19" i="82"/>
  <c r="S12" i="82"/>
  <c r="S13" i="82" s="1"/>
  <c r="Q20" i="82"/>
  <c r="L34" i="4"/>
  <c r="I472" i="17"/>
  <c r="R149" i="4" l="1"/>
  <c r="S15" i="82"/>
  <c r="Z18" i="82"/>
</calcChain>
</file>

<file path=xl/comments1.xml><?xml version="1.0" encoding="utf-8"?>
<comments xmlns="http://schemas.openxmlformats.org/spreadsheetml/2006/main">
  <authors>
    <author>Johann Duarte</author>
  </authors>
  <commentList>
    <comment ref="F58" authorId="0" shapeId="0">
      <text>
        <r>
          <rPr>
            <b/>
            <sz val="9"/>
            <color indexed="81"/>
            <rFont val="Tahoma"/>
            <family val="2"/>
          </rPr>
          <t>Johann Duarte:</t>
        </r>
        <r>
          <rPr>
            <sz val="9"/>
            <color indexed="81"/>
            <rFont val="Tahoma"/>
            <family val="2"/>
          </rPr>
          <t xml:space="preserve">
3 contenedores de 2mil cajas</t>
        </r>
      </text>
    </comment>
  </commentList>
</comments>
</file>

<file path=xl/comments2.xml><?xml version="1.0" encoding="utf-8"?>
<comments xmlns="http://schemas.openxmlformats.org/spreadsheetml/2006/main">
  <authors>
    <author>LIGIA</author>
  </authors>
  <commentList>
    <comment ref="M20" authorId="0" shapeId="0">
      <text>
        <r>
          <rPr>
            <b/>
            <sz val="9"/>
            <color indexed="81"/>
            <rFont val="Tahoma"/>
            <family val="2"/>
          </rPr>
          <t>LIGIA:</t>
        </r>
        <r>
          <rPr>
            <sz val="9"/>
            <color indexed="81"/>
            <rFont val="Tahoma"/>
            <family val="2"/>
          </rPr>
          <t xml:space="preserve">
YA SE LE ENTREGO ALIMARY PARA REBAJAR DE CUENTAS POR PAGAR O A SIDO DEVUELTO EL DOCUMENTO
</t>
        </r>
      </text>
    </comment>
  </commentList>
</comments>
</file>

<file path=xl/comments3.xml><?xml version="1.0" encoding="utf-8"?>
<comments xmlns="http://schemas.openxmlformats.org/spreadsheetml/2006/main">
  <authors>
    <author>LIGIA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</rPr>
          <t>LIGIA:</t>
        </r>
        <r>
          <rPr>
            <sz val="9"/>
            <color indexed="81"/>
            <rFont val="Tahoma"/>
            <family val="2"/>
          </rPr>
          <t xml:space="preserve">
182 caja de pilse q corresponde an mes de agosto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LIGIA:</t>
        </r>
        <r>
          <rPr>
            <sz val="9"/>
            <color indexed="81"/>
            <rFont val="Tahoma"/>
            <family val="2"/>
          </rPr>
          <t xml:space="preserve">
85 caja que ya corresponde al mes de septiembre
y sigue sumando
</t>
        </r>
      </text>
    </comment>
  </commentList>
</comments>
</file>

<file path=xl/comments4.xml><?xml version="1.0" encoding="utf-8"?>
<comments xmlns="http://schemas.openxmlformats.org/spreadsheetml/2006/main">
  <authors>
    <author>Samuel Carballo</author>
  </authors>
  <commentList>
    <comment ref="G17" authorId="0" shapeId="0">
      <text>
        <r>
          <rPr>
            <b/>
            <sz val="9"/>
            <color indexed="81"/>
            <rFont val="Tahoma"/>
            <family val="2"/>
          </rPr>
          <t>Samuel Carballo: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LIGIA</author>
  </authors>
  <commentList>
    <comment ref="H12" authorId="0" shapeId="0">
      <text>
        <r>
          <rPr>
            <b/>
            <sz val="9"/>
            <color indexed="81"/>
            <rFont val="Tahoma"/>
            <family val="2"/>
          </rPr>
          <t>LIGIA:</t>
        </r>
        <r>
          <rPr>
            <sz val="9"/>
            <color indexed="81"/>
            <rFont val="Tahoma"/>
            <family val="2"/>
          </rPr>
          <t xml:space="preserve">
margen 20 %
</t>
        </r>
      </text>
    </comment>
  </commentList>
</comments>
</file>

<file path=xl/comments6.xml><?xml version="1.0" encoding="utf-8"?>
<comments xmlns="http://schemas.openxmlformats.org/spreadsheetml/2006/main">
  <authors>
    <author>SISTEMA-5</author>
  </authors>
  <commentList>
    <comment ref="E83" authorId="0" shapeId="0">
      <text>
        <r>
          <rPr>
            <b/>
            <sz val="9"/>
            <color indexed="81"/>
            <rFont val="Tahoma"/>
            <family val="2"/>
          </rPr>
          <t>SISTEMA-5:</t>
        </r>
        <r>
          <rPr>
            <sz val="9"/>
            <color indexed="81"/>
            <rFont val="Tahoma"/>
            <family val="2"/>
          </rPr>
          <t xml:space="preserve">
Esto sale de dividir,el p recio sugerido entre el monto real de la factura, si no lo tengo porque cambia de precio uso el anterior y cuando rellegue la factura lo recalculo
</t>
        </r>
      </text>
    </comment>
  </commentList>
</comments>
</file>

<file path=xl/connections.xml><?xml version="1.0" encoding="utf-8"?>
<connections xmlns="http://schemas.openxmlformats.org/spreadsheetml/2006/main">
  <connection id="1" name="2" type="4" refreshedVersion="0" background="1">
    <webPr xml="1" sourceData="1" url="C:\Users\TESORERIA-15\Documents\2.xml" htmlTables="1" htmlFormat="all"/>
  </connection>
</connections>
</file>

<file path=xl/sharedStrings.xml><?xml version="1.0" encoding="utf-8"?>
<sst xmlns="http://schemas.openxmlformats.org/spreadsheetml/2006/main" count="13405" uniqueCount="6057">
  <si>
    <t>Articulo</t>
  </si>
  <si>
    <t>Descripcion</t>
  </si>
  <si>
    <t>CARAOTAS NEGRAS 500 GR PANTERA</t>
  </si>
  <si>
    <t>AVENA EN HOJUELAS 400GR PANTERA</t>
  </si>
  <si>
    <t>CARAOTA NEGRA 900GR PANTERA</t>
  </si>
  <si>
    <t>ARVEJA 500 GR AMARILLAS PARTIDAS PANTERA</t>
  </si>
  <si>
    <t>ARVEJA 500 GR VERDE PARTIDA PANTERA</t>
  </si>
  <si>
    <t>LENTEJAS 500 GR PANTERA</t>
  </si>
  <si>
    <t>GARBANZO 500GR PANTERA</t>
  </si>
  <si>
    <t>FRIJOL VERDE  500GR   PANTERA</t>
  </si>
  <si>
    <t>CARAOTAS BLANCAS 500 GR PANTERA</t>
  </si>
  <si>
    <t>MAIZ PARA COTUFA 500 GR AMARILLO PANTERA</t>
  </si>
  <si>
    <t>ARVEJA VERDE ENTERA 500GR PANTERA</t>
  </si>
  <si>
    <t>ARVEJA VERDE PARTIDA PANTERA 900 GR</t>
  </si>
  <si>
    <t>CARAOTAS ROJA 500 GR PANTERA</t>
  </si>
  <si>
    <t>LENTEJA BEBE 500 GR PANTERA</t>
  </si>
  <si>
    <t>LENTEJAS PANTERA 900GR</t>
  </si>
  <si>
    <t>AVENA EN HOJUELAS 800GR PANTERA</t>
  </si>
  <si>
    <t>AZUCAR MONTALBAN PLASTICO 1 KG</t>
  </si>
  <si>
    <t>AUTOMERCADO EXPRESS TIENDA PRINCIPAL</t>
  </si>
  <si>
    <t>EXQUISITECES MODELO</t>
  </si>
  <si>
    <t>HIPER MODELO</t>
  </si>
  <si>
    <t>CARRIZAL</t>
  </si>
  <si>
    <t>SAN ANTONIO</t>
  </si>
  <si>
    <t>PANADERIA ROMA</t>
  </si>
  <si>
    <t>QUESO MUNSTER PAISA KG.</t>
  </si>
  <si>
    <t>QUESO MOZZARELA PAISA KG</t>
  </si>
  <si>
    <t>QUESO GOUDA PAISA KG</t>
  </si>
  <si>
    <t>QUESO CHEDDAR PARAMO</t>
  </si>
  <si>
    <t>QUESO BLANCO ESPECIAL PAISA KG</t>
  </si>
  <si>
    <t>QUESO AMARILLO MARIBO PAISA KG.</t>
  </si>
  <si>
    <t>NATA DE AQUI 250GR</t>
  </si>
  <si>
    <t>DULCE DE LECHE AREQUIPE 250GR PAISA</t>
  </si>
  <si>
    <t>CREMA DE LECHE TACHIRA 500 GR PAISA</t>
  </si>
  <si>
    <t>CREMA DE LECHE TACHIRA 250GR PAISA</t>
  </si>
  <si>
    <t>AREQUIPE 500 GR PAISA</t>
  </si>
  <si>
    <t>QUESO PECORINO LUCERO KG</t>
  </si>
  <si>
    <t>QUESO PASTEURIZADO LUCERO KG</t>
  </si>
  <si>
    <t>QUESO AMARILLO LUCERO KG</t>
  </si>
  <si>
    <t>QUESO MOZZARELLA LUCERO KG</t>
  </si>
  <si>
    <t>BOTELLA (VACIO) POLAR</t>
  </si>
  <si>
    <t>SOLERA 0.222 LTS IPA POLAR</t>
  </si>
  <si>
    <t>SOLERA 222 ML KRIEK POLAR</t>
  </si>
  <si>
    <t>VACIO DE CERVEZA CON BOTELLA (POLAR)</t>
  </si>
  <si>
    <t>CERVEZA LIGHT 250 ML POLAR (LATA)</t>
  </si>
  <si>
    <t>CERVEZA PILSEN DE LATA 250ML POLAR</t>
  </si>
  <si>
    <t>MALTA LIGERA MALTIN LIGHT 250ML POLAR</t>
  </si>
  <si>
    <t>CERVEZA 222 ML RET SOLERA VERDE POLAR</t>
  </si>
  <si>
    <t>CERVEZA 222 ML RET LIGHT POLAR</t>
  </si>
  <si>
    <t>CERVEZA POLAR TIPO PILSEN 355ML</t>
  </si>
  <si>
    <t>CERVEZA LIGHT DESECHABLE 0.355 L POLAR</t>
  </si>
  <si>
    <t>MALTA POLAR (VIDRIO) RETORNABLE 222ML</t>
  </si>
  <si>
    <t>MALTA DESECHABLE SIN ALCOHOL MALTIN 250ML  POLAR</t>
  </si>
  <si>
    <t>SANGRIA ROSADA 1.75ML CAROREÑA</t>
  </si>
  <si>
    <t>SANGRIA BLANCO 1.75LT CAROREÑA</t>
  </si>
  <si>
    <t>CERVEZA 222 ML POLAR ICE RET</t>
  </si>
  <si>
    <t>SANGRIA VINO TINTO 1.75 LT CAROREÑA</t>
  </si>
  <si>
    <t>MALTIN LIGHT 1.5 LT POLAR</t>
  </si>
  <si>
    <t>MALTA 1.5 LT MALTIN POLAR</t>
  </si>
  <si>
    <t>CERVEZA 222 ML RET PILSEN POLAR</t>
  </si>
  <si>
    <t>COSTO SIN IVA</t>
  </si>
  <si>
    <t>IVA</t>
  </si>
  <si>
    <t>CALCULO DE FACTURA</t>
  </si>
  <si>
    <t>IVA/EX</t>
  </si>
  <si>
    <t>EX</t>
  </si>
  <si>
    <t xml:space="preserve"> </t>
  </si>
  <si>
    <t>UNIDADES X CAJA</t>
  </si>
  <si>
    <t>PRECIO UND</t>
  </si>
  <si>
    <t>PEDIDO</t>
  </si>
  <si>
    <t xml:space="preserve">TOTAL </t>
  </si>
  <si>
    <t>CERVEZA SOLERA AZUL 222 ML RETORNABLE POLAR</t>
  </si>
  <si>
    <t>SUB TOTAL</t>
  </si>
  <si>
    <t>EXENTO</t>
  </si>
  <si>
    <t>BASE IMPONIBLE PARA CALCULAR  IVA</t>
  </si>
  <si>
    <t>TOTAL A PAGAR</t>
  </si>
  <si>
    <t>CERVEZA DESECHABLE 250ML ZULIA</t>
  </si>
  <si>
    <t>REGIONAL LIGHT 222 ML RETORNABLE</t>
  </si>
  <si>
    <t>CERVEZA 300 ML ZULIA</t>
  </si>
  <si>
    <t>CERVEZA LATA 295 ML ZULIA</t>
  </si>
  <si>
    <t>CERVEZA 222 ML RET ZULIA</t>
  </si>
  <si>
    <t>CERVEZA 355 ML REGIONAL LIGHT</t>
  </si>
  <si>
    <t>CHICHA CON LECHE INSTANTANEA 500GR SAN SIMON</t>
  </si>
  <si>
    <t>CHOCO RICO 400 GR SAN SIMON</t>
  </si>
  <si>
    <t>CREMA DE LECHE 1LT LA PARISIENNE CARABOBO</t>
  </si>
  <si>
    <t>LACTOVIGOR 900 GR SAN SIMON</t>
  </si>
  <si>
    <t>LECHE COMPLETA UHT 1 LT PURISIMA</t>
  </si>
  <si>
    <t>LECHE COMPLETA UHT 1 LTR SAN SIMON</t>
  </si>
  <si>
    <t>LECHE DESCREMADA 1 LT UHT PURISIMA</t>
  </si>
  <si>
    <t>LECHE DESCREMADA LIGHT 1 LT SAN SIMON</t>
  </si>
  <si>
    <t>LECHE DESLACTOSADA UHT 1 LT PURISIMA</t>
  </si>
  <si>
    <t>LECHE EN POLVO 400 GR LA RENDIDORA</t>
  </si>
  <si>
    <t>LECHE EN POLVO 900 GR SAN SIMON</t>
  </si>
  <si>
    <t>LECHE EN POLVO COMPLETA 400GR SAN SIMON</t>
  </si>
  <si>
    <t>LECHE SEMIDESCREMADA DESLACTOSADA SAN SIMON 1LT</t>
  </si>
  <si>
    <t>MOZARELLA DOÑA SONIA KG</t>
  </si>
  <si>
    <t>MOZZARELLA BUFALINDA KG</t>
  </si>
  <si>
    <t>QUESO PAST.DOÑA SONIA KG</t>
  </si>
  <si>
    <t>ACEITE VEGETAL 828 ML LA MISERICORDIA</t>
  </si>
  <si>
    <t>MANTECA VEGETAL DE PALMA 500GR LA COJEDEÑA</t>
  </si>
  <si>
    <t>MARGARINA 250 GR LA MISERICORDIA</t>
  </si>
  <si>
    <t>MARGARINA 454 GR LA MISERICORDIA</t>
  </si>
  <si>
    <t>PASTA 500 GR VERMICELLI LA VENENCIANA</t>
  </si>
  <si>
    <t>PASTA PREMIUM 1 KG VERMICELLI VENECIANA.</t>
  </si>
  <si>
    <t>PASTA PREMIUM DEDAL Y PLUMITA 500 GR VENECIANA</t>
  </si>
  <si>
    <t>PASTA PREMIUM VERMICELLI LA SIRENA 1 KG</t>
  </si>
  <si>
    <t>VELON BLANCO 110 GR VASO CORTO STAR CANDLE</t>
  </si>
  <si>
    <t>VELONES VARIADOS 460GR LA MISERICORDIA</t>
  </si>
  <si>
    <t>DESCRIPCION</t>
  </si>
  <si>
    <t>CANTIDAD PEDIDA</t>
  </si>
  <si>
    <t>ARTICULOS</t>
  </si>
  <si>
    <t>VENTA</t>
  </si>
  <si>
    <t>INV</t>
  </si>
  <si>
    <t>NO HACE FALT</t>
  </si>
  <si>
    <t>NO HAY</t>
  </si>
  <si>
    <t>CERVEZA SOLERA 222 ML KRIEK POLAR</t>
  </si>
  <si>
    <t xml:space="preserve">CERVEZA SOLERA 0.222 LTS IPA POLAR </t>
  </si>
  <si>
    <t>CODIGO</t>
  </si>
  <si>
    <t>TOTAL UNIDADES</t>
  </si>
  <si>
    <t>TRANFORMADO EN CAJAS</t>
  </si>
  <si>
    <t>CODIGO INT</t>
  </si>
  <si>
    <t>RECEPCION</t>
  </si>
  <si>
    <t>AUTOMERCADO EXPRESS</t>
  </si>
  <si>
    <t>Cantidad</t>
  </si>
  <si>
    <t>ACEITE DE SOYA 500 ML KRAYS</t>
  </si>
  <si>
    <t>ACEITE DE SOYA 900 ML KRAYS</t>
  </si>
  <si>
    <t>GALLETA MARIA TRADICIONAL 200 GR KRAYS</t>
  </si>
  <si>
    <t>MAYONESA 445 GR KRAYS</t>
  </si>
  <si>
    <t>MOSTAZA 250 GR KRAYS</t>
  </si>
  <si>
    <t>PASTA PARA PASTICHO 250 GR KRAYS</t>
  </si>
  <si>
    <t>SALSA DE AJO 150 ML KRAYS</t>
  </si>
  <si>
    <t>SALSA DE SOYA 150 ML KRAYS</t>
  </si>
  <si>
    <t>SALSA INGLESA 150 ML KRAYS</t>
  </si>
  <si>
    <t>SALSA P/PASTA NAPOLITANA 490 GR KRAYS</t>
  </si>
  <si>
    <t>SALSA P/PASTA TRADICIONAL 490 GR KRAYS</t>
  </si>
  <si>
    <t>SALSA PARA PASTA 490 GR BOLOGNESA CON CARNE KRAYS</t>
  </si>
  <si>
    <t>SALSA PARA PIZZA 490 GR KRAYS</t>
  </si>
  <si>
    <t>UVAS PASAS 200 GR KRAYS</t>
  </si>
  <si>
    <t>VINAGRE 1 LT KRAYS</t>
  </si>
  <si>
    <t>VINAGRE 3.785 LT KRAYS</t>
  </si>
  <si>
    <t>VINAGRE 500 ML KRAYS</t>
  </si>
  <si>
    <t>DESGRASADOR 1 LT TAPA AMARILLA</t>
  </si>
  <si>
    <t>DETERGENTE JABON LIQUIDO 1 LT TAPA AMARILLA</t>
  </si>
  <si>
    <t>MULTIUSO AZUL 1 LT TAPA AMARILLA</t>
  </si>
  <si>
    <t>MULTIUSO ROSADO 1 LT TAPA AMARILLA</t>
  </si>
  <si>
    <t>DESMANCHADOR TODO COLOR 1LT TAPA AMARILLA</t>
  </si>
  <si>
    <t>CERA NEUTRA 1LT TAPA AMARILLA</t>
  </si>
  <si>
    <t>CLORO NATURAL 1LT TAPA AMARILLA</t>
  </si>
  <si>
    <t>DESENGRASANTE 1LT TAPA AMARILLA</t>
  </si>
  <si>
    <t>CLORO NATURAL 500ML TAPA AMARILLA</t>
  </si>
  <si>
    <t>CLORO LAVANDA 1LT TAPA AMARILLA</t>
  </si>
  <si>
    <t>CLORO FLORAL 1LT TAPA AMARILLA</t>
  </si>
  <si>
    <t>LAVAPLATOS LIMON Y SABILA 1LT TAPA AMARILLA</t>
  </si>
  <si>
    <t>LAVAPLATOS LIMON Y SABILA 500ML TAPA AMARILLA</t>
  </si>
  <si>
    <t>PASTEL GUAYANES LISOL 12UND</t>
  </si>
  <si>
    <t>TEQUEÑO COMERCIAL 10 UNID LISOL</t>
  </si>
  <si>
    <t>TEQUEÑO FIESTERO 50UND LISOL</t>
  </si>
  <si>
    <t>TEQUEÑOS 25 UND FIESTA LISOL</t>
  </si>
  <si>
    <t>TEQUEÑOS 25 UND FIESTERO LISOL</t>
  </si>
  <si>
    <t>TEQUEÑOS COMERCIAL 20 UNID LISOL</t>
  </si>
  <si>
    <t>TEQUEÑOS COMERCIAL DE 30 UNID LISOL</t>
  </si>
  <si>
    <t>TEQUEÑOS JUMBO DE 18 UNID LISOL</t>
  </si>
  <si>
    <t>TEQUEÑOS JUMBO DE 4 UNID LISOL</t>
  </si>
  <si>
    <t>AZUCARADAS 500 GR MAIZORITOS</t>
  </si>
  <si>
    <t>CEREAL 500 GR CRONCH FLAKES MAIZORITOS</t>
  </si>
  <si>
    <t>CEREAL ABECITOS 240 GR  MAIZORITOS</t>
  </si>
  <si>
    <t>CEREAL AZUCARADAS 240GR MAIZORITOS</t>
  </si>
  <si>
    <t>CEREAL DE MAIZ NATURAL MIX GRANOLA Y ALMENDRA 270GR MAIZORITOS</t>
  </si>
  <si>
    <t>CEREAL FLIPS 220GR CHOCOLATE</t>
  </si>
  <si>
    <t>CEREAL FLIPS 220GR DULCE DE LECHE</t>
  </si>
  <si>
    <t>CEREAL FLIPS CHOCOAVELLANAS 220GR ALFONZO RIVAS</t>
  </si>
  <si>
    <t>CEREAL FRUTY AROS 240GR MAIZORITOS</t>
  </si>
  <si>
    <t>CEREAL POP CRONCH 240GR   MAIZORITOS</t>
  </si>
  <si>
    <t>CHOCO AZUCARADAS 240 GR MAIZORITOS</t>
  </si>
  <si>
    <t>CHOCO SAFARI 240 GR MAIZORITOS</t>
  </si>
  <si>
    <t>CRONCH FLAKES 300GR MAIZORITOS</t>
  </si>
  <si>
    <t>FLIPS  DULCE DE  LECHE  120 GR  ALFONZO RIVAS</t>
  </si>
  <si>
    <t>FLIPS CHOCOAVELLANAS 120GR ALFONZO RIVAS</t>
  </si>
  <si>
    <t>FLIPS CHOCOLATE 120GR   ALFONZO RIVAS</t>
  </si>
  <si>
    <t>GELATINA FRUTOS CITRICOS 12GR YELIGHT</t>
  </si>
  <si>
    <t>GELATINA FRUTOS ROJOS 12GR YELIGHT</t>
  </si>
  <si>
    <t>GELATINA SABOR A CEREZA 12G YELIGHT</t>
  </si>
  <si>
    <t>GELATINA SABOR A FRESA 12GR  YELIGHT</t>
  </si>
  <si>
    <t>HOJAS DE MALOJILLO 20 UNIDADES MACCORMICK</t>
  </si>
  <si>
    <t>HONEY MUSTARD VOLTEADA 310 GR MC CORMICK</t>
  </si>
  <si>
    <t>INFUCION ROSA JAMAICA 10 UND MC CORMICK</t>
  </si>
  <si>
    <t>INFUSION 20 UND HERBAL RELAX MC CORMICK</t>
  </si>
  <si>
    <t>INFUSION AROMATICA DE ROSA JAMAICA 30GR MACCORMICK</t>
  </si>
  <si>
    <t>INFUSION FRUTOS ROJOS 20 B MC CORMICK</t>
  </si>
  <si>
    <t>MAIZENA AMERICANA 800 GR ALFONZO RIVAS</t>
  </si>
  <si>
    <t>MAIZINA AMERICANA 2 KG ALFONZO RIVAS</t>
  </si>
  <si>
    <t>MAIZINA AMERICANA 200 GR ALFONZO RIVAS</t>
  </si>
  <si>
    <t>MAIZINA AMERICANA 400 GR ALFONZO RIVAS</t>
  </si>
  <si>
    <t>MAIZINA AMERICANA 90 GR ALFONSO RIVAS</t>
  </si>
  <si>
    <t>MEZCLA P/TORTA DE VAINILLA 520GR MAIZINA AMERICANA</t>
  </si>
  <si>
    <t>MOSTAZA PICANTE 278 GR MC CORMICK</t>
  </si>
  <si>
    <t>MOSTAZA PREPARADA 260 GR MC CORMICK</t>
  </si>
  <si>
    <t>MOSTAZA SPICY BROWN 290 GR MC CORMICK</t>
  </si>
  <si>
    <t>OVOMALTINA INDUSTRIAL 1KG ALFONZO RIVAS</t>
  </si>
  <si>
    <t>OVOMALTINA MAXI 100GR ALFONZO</t>
  </si>
  <si>
    <t>OVOMALTINA TUBO 35 GR ALFONZO</t>
  </si>
  <si>
    <t>POP CRONCH CHOCOLATE 240GR MAIZORITOS</t>
  </si>
  <si>
    <t>SALSA 230GR TERIYAKI MC CORMICK</t>
  </si>
  <si>
    <t>SALSA BBQ 307 GR PICANTE MC CORMICK</t>
  </si>
  <si>
    <t>SALSA BBQ HONEY MUSTAR 295 GR MC CORMICK</t>
  </si>
  <si>
    <t>SALSA BBQ ORIGINAL 230 ML MC CORMICK</t>
  </si>
  <si>
    <t>SALSA DE AJO  150ML  MC CORMICK</t>
  </si>
  <si>
    <t>SALSA DE AJO 300ML   MC CORMICK</t>
  </si>
  <si>
    <t>SALSA DE SOYA 150ML MC CORMICK</t>
  </si>
  <si>
    <t>SALSA DE SOYA 300ML MC CORMICK</t>
  </si>
  <si>
    <t>SALSA INGLESA 150 ML  MC CORMICK</t>
  </si>
  <si>
    <t>SALSA INGLESA 300 ML  MC CORMICK</t>
  </si>
  <si>
    <t>SIROPE DE CHOCOLATE 360 GR MC CORMICK</t>
  </si>
  <si>
    <t>SIROPE SABOR A MAPLE 375 GR MC CORMICK</t>
  </si>
  <si>
    <t>TE DE FLORES DE MANZANILLA 10UNID MC CORMICK</t>
  </si>
  <si>
    <t>TE DE FLORES DE MANZANILLA 20GR MACCORMICK</t>
  </si>
  <si>
    <t>TE EN SOBRE  HOJAS DE TORONJIL 20GR MACCORMICK</t>
  </si>
  <si>
    <t>TE MANZANILLA LIMON Y MIEL 20GR MACCORMICK</t>
  </si>
  <si>
    <t>TE NEGRO 10 BOL 18 GR  MC CORMICK</t>
  </si>
  <si>
    <t>TE NEGRO 36GR MASTER BLEND MACCORMICK</t>
  </si>
  <si>
    <t>TE TILO 15 GR 10 BOL MC CORMICK</t>
  </si>
  <si>
    <t>TE VERDE 20 UNIDADES MACCORMICK</t>
  </si>
  <si>
    <t>TELISTO EN POLVO SABOR A LIMON 400G MCCORMICK</t>
  </si>
  <si>
    <t>TELISTO EN POLVO SABOR DURAZNO 400 GR MC CORMICK</t>
  </si>
  <si>
    <t>TOOST-AVENA 300 GR CANELA</t>
  </si>
  <si>
    <t>TOOST-AVENA 300 GR ORIGINAL</t>
  </si>
  <si>
    <t>PAPEL 1 ROLLO 300 HOJAS JAZMIN SUPER</t>
  </si>
  <si>
    <t>PAPEL SANITARIO ECOLOGICO 150 HOJAS 4ROLLOS SUTIL</t>
  </si>
  <si>
    <t>PAPEL SUTIL CLASSIC 200HOJAS SUTIL</t>
  </si>
  <si>
    <t>PAPEL SUTIL PREMIUM 4ROLLOS 400HOJAS MANPA</t>
  </si>
  <si>
    <t>PAPEL SUTIL PREMIUM 4ROLLOS 500HOJAS MANPA</t>
  </si>
  <si>
    <t>SERVILLETA 160UND PEQUEÑA MARACAY</t>
  </si>
  <si>
    <t>TOALLAS INDUSTRIALES (180) HOJAS MARACAY</t>
  </si>
  <si>
    <t>DAMASCU</t>
  </si>
  <si>
    <t>PAN ARABE 5 UND EL ARABITO</t>
  </si>
  <si>
    <t>PAN ARABE INTEGRAL ARABITO 5UND</t>
  </si>
  <si>
    <t>PAN ARABE PITABURGER ARABITO 12UND</t>
  </si>
  <si>
    <t>30 PAQ</t>
  </si>
  <si>
    <t>20 PAQ</t>
  </si>
  <si>
    <t>10 PAQ</t>
  </si>
  <si>
    <t>ARTICULO</t>
  </si>
  <si>
    <t>MASA FACIL DISACAMI 1 KG NUMERO 5</t>
  </si>
  <si>
    <t xml:space="preserve">TEQUEÑO 25 UND DICASAMI </t>
  </si>
  <si>
    <t>BULTOS</t>
  </si>
  <si>
    <t>10 CAJA</t>
  </si>
  <si>
    <t>5 CAJA</t>
  </si>
  <si>
    <t>$</t>
  </si>
  <si>
    <t>UND</t>
  </si>
  <si>
    <t>HISTORIAL DE PRODUCTOS NAVIDAD</t>
  </si>
  <si>
    <t>17/09/2020</t>
  </si>
  <si>
    <t>ACEITUNA RELLENA KG</t>
  </si>
  <si>
    <t>19/09/2020</t>
  </si>
  <si>
    <t>TOBO DE ACEITUNA VERDE RELLENAS 15KG</t>
  </si>
  <si>
    <t>16/11/2020</t>
  </si>
  <si>
    <t>ALCAPARRA KG</t>
  </si>
  <si>
    <t>Fecha</t>
  </si>
  <si>
    <t>13/11/2020</t>
  </si>
  <si>
    <t>FRUTAS CONFITADAS CAJA DE 5 KG</t>
  </si>
  <si>
    <t>27/11/2020</t>
  </si>
  <si>
    <t>FRUTAS CONFITADAS KG</t>
  </si>
  <si>
    <t>22/01/2021</t>
  </si>
  <si>
    <t>GLOBAL PACK</t>
  </si>
  <si>
    <t>SAO VICENTE</t>
  </si>
  <si>
    <t>Fecha2</t>
  </si>
  <si>
    <t>23/09/2020</t>
  </si>
  <si>
    <t>ONOTO  ENTERO POR  KG</t>
  </si>
  <si>
    <t>30/09/2020</t>
  </si>
  <si>
    <t>SUMIPAN</t>
  </si>
  <si>
    <t>5 KG</t>
  </si>
  <si>
    <t>3 CAJA</t>
  </si>
  <si>
    <t>GALLETAS MODELO 500G EN BANDEJA HIPER MODELO</t>
  </si>
  <si>
    <t>TURRON  IMPERIAL 100GR LA MARCONA</t>
  </si>
  <si>
    <t>BEBIDA ESPUMANTE 0.75ML TENTACION</t>
  </si>
  <si>
    <t>ACONDICIONADOR  PH 4.5 ALOE STRAK SLIK</t>
  </si>
  <si>
    <t>ACONDICIONADOR 240 ML ANTICAIDA ALOE STRAK SLIK</t>
  </si>
  <si>
    <t>AGUA 60 CC VOL 20 SLIK</t>
  </si>
  <si>
    <t>AGUA 800 ML VOLUMENES 10  MAGICOLOR SLIK</t>
  </si>
  <si>
    <t>AGUA 800 ML VOLUMENES 20 MAGICOLOR SLIK</t>
  </si>
  <si>
    <t>AGUA 800 ML VOLUMENES 40 MAGICOLOR SLIK</t>
  </si>
  <si>
    <t>AGUA OXIGENADA 30VOL 800C SLIK</t>
  </si>
  <si>
    <t>AMPOLLA NUTRITIVA 30ML FORLLED ARGAN</t>
  </si>
  <si>
    <t>AQUA WAX EVOLUTION 140 GR SLIK</t>
  </si>
  <si>
    <t>BAÑO DE CREMA 200 GR CHOCO ALMENDRA  SLIK</t>
  </si>
  <si>
    <t>BAÑO DE CREMA 400 GR VITALITE SLIK</t>
  </si>
  <si>
    <t>BAÑO DE CREMA 500 GR CHOCO ALMENDRA  VAINILLA SLIK</t>
  </si>
  <si>
    <t>CERA DEFINICION 100 GR ALOE STRAK SLIK</t>
  </si>
  <si>
    <t>CERA STYLING CREAM WAX 60 GR SLIK</t>
  </si>
  <si>
    <t>CERA STYLING FIBER WAX 60 GR SLIK</t>
  </si>
  <si>
    <t>CREMA CORPORAL 360 ML MILK NUTRITIVA  SLIK</t>
  </si>
  <si>
    <t>CREMA CORPORAL 360 ML SOFT MILK SLIK</t>
  </si>
  <si>
    <t>CREMA CORPORAL OLEO ARGAN 360 ML SLIK</t>
  </si>
  <si>
    <t>CREMA DE PEINAR 300 GR ETNIK SLIK</t>
  </si>
  <si>
    <t>CREMA DE PEINAR RIZOS DEF.150ML FORLLED</t>
  </si>
  <si>
    <t>CREMA NUTRITIVA ACTIVACION 380ML BRIZNA</t>
  </si>
  <si>
    <t>CREMA NUTRITIVA ELASTICIDAD 380ML BRIZNA</t>
  </si>
  <si>
    <t>CREMA NUTRITIVA HIDRATACION 380ML BRIZNA</t>
  </si>
  <si>
    <t>CREMA NUTRITIVA PROTECCION 380ML BRIZNA</t>
  </si>
  <si>
    <t>ESPUMA FIJADORA 180 GR MOUSSE ALOE STRAK SLIK</t>
  </si>
  <si>
    <t>GEL DE BAÑO 350 ML MANGO SLIK</t>
  </si>
  <si>
    <t>GEL DE BAÑO 350CM SLIK</t>
  </si>
  <si>
    <t>GEL LIMPIADOR ANTIGRASA 240ML FORLLE GOLD LISS</t>
  </si>
  <si>
    <t>KIT BORGOÑA INTENSE NRO 4.6 SLIK</t>
  </si>
  <si>
    <t>KIT CASTAÑO OSCURO NRO 3 SLIK</t>
  </si>
  <si>
    <t>KIT CHOCOLATE INTENSE NRO 6.7 SLIK</t>
  </si>
  <si>
    <t>KIT NEGRO NRO 1 INTENSEVE SLIK</t>
  </si>
  <si>
    <t>LIMPIADOR CAPILAR 240ML PASO 1 BIOKER</t>
  </si>
  <si>
    <t>LIMPIADOR CAPILAR SOBRE 10ML BIOKER</t>
  </si>
  <si>
    <t>MASCARA 180 GR ALOE STRAK SLIK</t>
  </si>
  <si>
    <t>MASCARILLA 240 ML CAPILAR DESENREDANTE BIOKER</t>
  </si>
  <si>
    <t>MASCARILLA DE VISON P/CABELLOS 200ML GELLY</t>
  </si>
  <si>
    <t>POLVO DECOLORANTE FIBRA HAIR 28 GR SLIK</t>
  </si>
  <si>
    <t>POMADA 100 GR STYLE MANDARINA SLIK</t>
  </si>
  <si>
    <t>SHAMPO 350 ML SLIK PAPAYA Y MELON SIN SAL</t>
  </si>
  <si>
    <t>SHAMPOO 240 ML ANTICAIDA SLIK</t>
  </si>
  <si>
    <t>SHAMPOO 240 ML ANTICASPA ALOE STRAK SLIK</t>
  </si>
  <si>
    <t>SHAMPOO 240 ML BRILLO DE PLATA ALOE STRAK</t>
  </si>
  <si>
    <t>SHAMPOO 240 ML CREMOSO ALOE STRAK</t>
  </si>
  <si>
    <t>SHAMPOO 240 ML PH 4.5 ALOE STRAK</t>
  </si>
  <si>
    <t>SHAMPOO LIQUIDO 240 ML ALOE STARK SLIK</t>
  </si>
  <si>
    <t>SHAMPOO SENSITIVE ALOE STRAK 240 ML</t>
  </si>
  <si>
    <t>SOLUCION CAPILAR 65 ML ACEITE DE ARGAN  SLIK</t>
  </si>
  <si>
    <t>TINTE # 3 CASTAÑO OSCURO 60 GR MAGICOLOR PRO SLIK</t>
  </si>
  <si>
    <t>TINTE # 4 CASTAÑO 60 GR MAGICOLOR PRO SLIK</t>
  </si>
  <si>
    <t>TINTE # 5 CASTAÑO CLARO 60 GR MAGICOLOR PRO SLIK</t>
  </si>
  <si>
    <t>TINTE # 6 RUBIO OSCURO 60 GR MAGICOLOR SLIK CAJA ROJA</t>
  </si>
  <si>
    <t>TINTE # 6.1 RUBIO OSCURO CENIZA 60 GR MAGICOLOR</t>
  </si>
  <si>
    <t>TINTE # 6.76 CHOCOLATE CLARO 60 GR MAGICOLOR PRO SLIK</t>
  </si>
  <si>
    <t>TINTE # 7.75 RUBIO MARRON CAOBA 60 GR MAGICOLOR PRO SLIK</t>
  </si>
  <si>
    <t>TINTE # 9.1 RUBIO MUY CLARO CENIZA 60 GR MAGICOLOR</t>
  </si>
  <si>
    <t>TINTE # 9.1 RUBIO MUY CLARO CENIZA 60 GR MAGICOLOR PRO SLIK</t>
  </si>
  <si>
    <t>TINTE # 9.2 RUBIO MUY CLARO 60 GR MAGICOLOR PRO SLIK</t>
  </si>
  <si>
    <t>TINTE #0.00 SUPERACLARANTE ESPECIAL 60GR MAGICOLOR SLIK</t>
  </si>
  <si>
    <t>TINTE #0.1 AZUL INTENSIFICADOR 60 GR MAGICOLOR CAJA ROJA</t>
  </si>
  <si>
    <t>TINTE #0.2 VIOLETA INTENSIFICADOR 60GR MAGICOLOR SLIK C.ROJA</t>
  </si>
  <si>
    <t>TINTE #1 NEGRO 60 GR MAGICOLOR PRO SLIK</t>
  </si>
  <si>
    <t>TINTE #4.6 CASTAÑO ROJIZO 60GR MAGICOLOR SLIK CAJA ROJA</t>
  </si>
  <si>
    <t>TINTE #4.7 TABACO 60 GR MAGICOLOR CAJA ROJA</t>
  </si>
  <si>
    <t>TINTE #7.56 RUBIO CAOBA ROJIZO 60GR MAGICOLOR SLIK</t>
  </si>
  <si>
    <t>TINTE #7.62 RUBIO ROJIZO MALVA 60GR MAGICOLOR SLIK</t>
  </si>
  <si>
    <t>TINTE #7.7 RUBIO MARRON 60 GR MAGICOLOR PRO SLIK</t>
  </si>
  <si>
    <t>TINTE #8 RUBIO CLARO 60GR MAGICOLOR SLIK</t>
  </si>
  <si>
    <t>TINTE #8.45 RUBIO CLARO COBRIZO CAOBA 60GR MAGICOLOR SLIK C/ROJA</t>
  </si>
  <si>
    <t>TINTE #9.2 RUBIO MUY CLARO MALVA 60 GR MAGICOLOR CAJA ROJA</t>
  </si>
  <si>
    <t>TINTE 100 GR # 6.46 RUBIO OSCURO COBRIZO ROJIZO MAGICOLOR SLIK</t>
  </si>
  <si>
    <t>TINTE 100 GR CASTAÑO CLARO ROJIZO #5.6 MAGICOLOR SLIK</t>
  </si>
  <si>
    <t>TINTE 100 GR CHOCOLATE  # 6.7 MAGICOLOR SLIK</t>
  </si>
  <si>
    <t>TINTE 6.3 RUBIO OSCURO DORADO 60 G MAGICOLOR</t>
  </si>
  <si>
    <t>TINTE 60 G NEGRO #1 MAGICOLOR SLIK CAJA ROJA</t>
  </si>
  <si>
    <t>TINTE 60 GR CASTAÑO MEDIUM NRO 4 MAGICOLOR SLIK CAJA ROJA</t>
  </si>
  <si>
    <t>TINTE 60 GR CHOC CLARO #6.76  MAGICOLOR SLIK CAJA ROJA</t>
  </si>
  <si>
    <t>TINTE 60 GR CHOCOLATE # 6.7 SLIK</t>
  </si>
  <si>
    <t>TINTE 60 GR MAGICOLOR 0.2 VIOLETA INTENSIFICADOR SLIK</t>
  </si>
  <si>
    <t>TINTE 60 GR MAGICOLOR PRO 5.6 CASTAÑO CLARO ROJIZO SLIK</t>
  </si>
  <si>
    <t>TINTE 60 GR PLATA #0.9 SLIK MAGICOLOR CAJA ROJA</t>
  </si>
  <si>
    <t>TINTE 60 GR PLATA INTENSIFICADOR #0.9 MAGICOLOR SLIK C.AZUL</t>
  </si>
  <si>
    <t>TINTE 60 GR RUBIO CENIZA #7.1 MAGICOLOR SLIK</t>
  </si>
  <si>
    <t>TINTE 60 GR RUBIO CLARO CENIZA # 8.1 MAGICOLOR SLIK</t>
  </si>
  <si>
    <t>TINTE 60 GR RUBIO CLARO NRO 8 MAGICOLOR SLIK CAJA AZUL</t>
  </si>
  <si>
    <t>TINTE 60 GR RUBIO COBRIZO DORADO # 7.43 MAGICOLOR SLIK C.AZUL</t>
  </si>
  <si>
    <t>TINTE 60 GR RUBIO DORADO # 7.3 SLIK</t>
  </si>
  <si>
    <t>TINTE 60 GR RUBIO EXTRA CLARO #10 SLIK</t>
  </si>
  <si>
    <t>TINTE 60 GR RUBIO OSCURO NRO 6 MAGICOLOR SLIK CAJA ZUL</t>
  </si>
  <si>
    <t>TINTE CASTAÑO 60 GR #3 SLIK CAJA ROJA</t>
  </si>
  <si>
    <t>TINTE CASTAÑO CLARO 60 GR # 5 SLIK CAJA ROJA</t>
  </si>
  <si>
    <t>TINTE CHOCOLATE 6.7 COLOR EFECT</t>
  </si>
  <si>
    <t>TINTE COLOR EFECT SLIK 7 RUBIO NATURAL</t>
  </si>
  <si>
    <t>TINTE COLOR EFECT SLIK 7.7 CHOCOLATE CLARO</t>
  </si>
  <si>
    <t>TINTE COLOR EFECT SLIK 8.1 RUBIO CENIZA CLARO</t>
  </si>
  <si>
    <t>TINTE MAGICOLOR 100 GR 1 NEGRO BLACK</t>
  </si>
  <si>
    <t>TINTE MAGICOLOR 100 GR 6.6 RUBIO OSCURO ROJIZO</t>
  </si>
  <si>
    <t>TINTE MAGICOLOR 100 GR 7.45 RUBIO COBRIZO CAOBA</t>
  </si>
  <si>
    <t>TINTE MAGICOLOR 60 GR 6.7 CHOCOLATE SLIK</t>
  </si>
  <si>
    <t>TINTE MAGICOLOR 8.1 RUBIO CLARO CENIZA 60 GR SLIK</t>
  </si>
  <si>
    <t>TINTE NEGRO AZULADO # 1.8 SLIK CAJA ROJA</t>
  </si>
  <si>
    <t>TINTE RUBIO CAOBA 60 GR # 7.75 SLIK</t>
  </si>
  <si>
    <t>TINTE RUBIO CLARO DORADO 60 GR #8.3 SLIK</t>
  </si>
  <si>
    <t>TINTE RUBIO MARRON 60 GR # 7.7 SLIK CAJA ROJA</t>
  </si>
  <si>
    <t>TINTE RUBIO MUY CLARO  60 GR MAGICOLOR # 9 SLIK CAJA ROJA</t>
  </si>
  <si>
    <t>TINTE RUBIO NATURAL #7 60 GR SLIK CAJA ROJA</t>
  </si>
  <si>
    <t>TINTE TABACO 4.7 COLOR EFECT</t>
  </si>
  <si>
    <t>TINTE#5.37 CARAMELO TOSTADO 60GR MAGICOLOR SLIK C.ROJA</t>
  </si>
  <si>
    <t>TRATAMIENTO 240 ML PARA CABELLO BRILLO DE PERLA SLIK</t>
  </si>
  <si>
    <t>TRATAMIENTO 240 ML PARA CABELLO BRILLO DE PLATA SLIK</t>
  </si>
  <si>
    <t>TRATAMIENTO ANTIGRASA 350 ML FRUTAL SLIK</t>
  </si>
  <si>
    <t>ACOND. DRENE EXTRA LISO 350ML FISA</t>
  </si>
  <si>
    <t>ACOND. DRENE SECO MALTRATADO 350ML FISA</t>
  </si>
  <si>
    <t>ACOND. EVERY NIGHT RIZADO/ONDULADI.350ML FRUTAS FISA</t>
  </si>
  <si>
    <t>ACOND.EVERY NIGHT EXTR/FRUT SEC/MALT 350ML FISA</t>
  </si>
  <si>
    <t>ACONDICIONADOR EXTRATOS DE FRUTAS EVERY NIGHT 200CC</t>
  </si>
  <si>
    <t>AXION LIQUIDO LIMON 400ML</t>
  </si>
  <si>
    <t>BRISOL LIQUIDO 1LT MULTIUSO</t>
  </si>
  <si>
    <t>CHAMPU  DRENE ANTICAIDA 350ML FISA</t>
  </si>
  <si>
    <t>CHAMPU BIO CACAO Y FRUTS 210ML EVERY NIGHT</t>
  </si>
  <si>
    <t>CHAMPU BIO CEREAL MULTV.365ML EVERY NIGHT</t>
  </si>
  <si>
    <t>CHAMPU BIO COCO 210ML EVERY NIGHT</t>
  </si>
  <si>
    <t>CHAMPU BIO EXTRACTOS DE FRUTA 365 ML EVERY NIGHT</t>
  </si>
  <si>
    <t>CHAMPU BIO NUTR. COCO 365ML EVERY NIGHT</t>
  </si>
  <si>
    <t>CHAMPU DRENE ANTICASPA GRASO 350ML FISA DRENE</t>
  </si>
  <si>
    <t>CHAMPU DRENE ANTICASPA SECO 350ML FISA DRENE</t>
  </si>
  <si>
    <t>CHAMPU DRENE ANTICASPA/ANTICAIDA 350ML FISA</t>
  </si>
  <si>
    <t>CHAMPU DRENE EXTRA LISO 200ML FISA</t>
  </si>
  <si>
    <t>CHAMPU DRENE EXTRA LISO 350ML FISA</t>
  </si>
  <si>
    <t>CHAMPU DRENE SECO MALTRATADO 200ML FISA</t>
  </si>
  <si>
    <t>CHAMPU DRENE SECO MALTRATADO 350ML FISA</t>
  </si>
  <si>
    <t>CHAMPU EVERY NIGHT DE NIÑOS 200ML FISA</t>
  </si>
  <si>
    <t>CHAMPU EVERY NIGHT EXT.D FRUT SEC/MALT 350ML FISA</t>
  </si>
  <si>
    <t>CHAMPU EVERY NIGHT EXT.DE FRUT RIZ/OND 350ML FISA</t>
  </si>
  <si>
    <t>CHAMPU EVERY NIGHT MANZANILLA P/NIÑOS 350ML FISA</t>
  </si>
  <si>
    <t>CHAMPU EVERY NIGHT P/ NIÑOS 350ML FISA</t>
  </si>
  <si>
    <t>CHAMPU EVERY NIGHT SECO/DAÑADO 350ML FISA</t>
  </si>
  <si>
    <t>CHAMPU EVERY NIGHT SECO/REBELDE 350ML FISA</t>
  </si>
  <si>
    <t>CHAMPU P/CABELLO SECO 400ML EVERY DAY</t>
  </si>
  <si>
    <t>COLGATE CEPILLO TWSTER WHITE 2X1 MED</t>
  </si>
  <si>
    <t>COLGATE ENJ/BUC PLAX ICE INFINITY</t>
  </si>
  <si>
    <t>COLONIA FRESCA EVERY NIGHT P/NIÑOS 200ML FISA</t>
  </si>
  <si>
    <t>COLONIA SUAVE EVERY NIGHT P/NIÑOS 200ML FISA</t>
  </si>
  <si>
    <t>CREMA CORPORAL HIDRA/MAX/PROTEC 365ML COCO&amp;AV</t>
  </si>
  <si>
    <t>CREMA CORPORAL HIDRA/PROF/REPAR 365ML MIEL&amp;TRIG</t>
  </si>
  <si>
    <t>CREMA CORPORAL HIDRAT/SUAVE 365ML MILK</t>
  </si>
  <si>
    <t>CREMA CORPORAL OLE VERA  EVERY NIGHT 200ML</t>
  </si>
  <si>
    <t>CREMA CORPORAL/HIDRA/ULTRA/ANTIOX 365ML CACAO&amp;FRT</t>
  </si>
  <si>
    <t>CREMA DENTAL  105GR TRIPLE ACCION  COLGATE</t>
  </si>
  <si>
    <t>CREMA DENTAL  PLAX 100ML COLGATE</t>
  </si>
  <si>
    <t>CREMA DENTAL 100ML  TRIPLE ACCION MENTA ORIGINAL 123 COLGATE</t>
  </si>
  <si>
    <t>CREMA DENTAL 100ML MAXIMA PROTECCION COLGATE</t>
  </si>
  <si>
    <t>CREMA DENTAL 50 ML KIDS COLGATE</t>
  </si>
  <si>
    <t>CREMA DENTAL 75 ML MENTA COLGATE</t>
  </si>
  <si>
    <t>CREMA DENTAL MAXIMA PROTECCION 50ML COLGATE</t>
  </si>
  <si>
    <t>CREMA DENTAL SENSITIVE 110 GR PRO-ALIVIO COLGATE</t>
  </si>
  <si>
    <t>CREMA DENTAL TRIPLE ACCION 75ML COLGATE</t>
  </si>
  <si>
    <t>CREMA DRENE P/ PEINAR EXTRA LISO 240ML FISA</t>
  </si>
  <si>
    <t>CREMA LUMINOUS WHITE BRILLIANT 75ML COLGATE</t>
  </si>
  <si>
    <t>CREMA MULTIUSO 500GR AXION</t>
  </si>
  <si>
    <t>CREMA P/ PEINAR DRENE SECO MALT/ 240ML FISA</t>
  </si>
  <si>
    <t>CREMA P/PEINAR 300ML HIDRAT.MAXIMA SECO/MALT.EVERY NIGHT</t>
  </si>
  <si>
    <t>CREMA P/PEINAR 300ML HIDRAT.PROFUNDA RIZ/OND. EVERY NIGHT</t>
  </si>
  <si>
    <t>CREMA P/PEINAR DRENE ANTICAIDA 240ML FISA</t>
  </si>
  <si>
    <t>CREMA P/PEINAR NIÑOS 240ML EVERY NIGHT</t>
  </si>
  <si>
    <t>DESENGRASANTE 1 LT MULTISUPERFICIE AJAX</t>
  </si>
  <si>
    <t>DESENGRASANTE 550 GR POLVO AJAX</t>
  </si>
  <si>
    <t>DESENGRASANTE MULTISUPERFICIE 500ML AJAX</t>
  </si>
  <si>
    <t>DESKARO BLUE DESODORANTE BOLITA 75G</t>
  </si>
  <si>
    <t>DESODORANTE BIO BABY PING 90GR EVERY NIGHT</t>
  </si>
  <si>
    <t>DESODORANTE BIO NATURELLE  90GR EVERY NIGHT</t>
  </si>
  <si>
    <t>DESODORANTE BIO POWDER 90GR  EVERY NIGHT</t>
  </si>
  <si>
    <t>DESODORANTE BIO SPRING FRESH 90GR EVERY NIGHT</t>
  </si>
  <si>
    <t>DETERGENTE ABC 1KG LIMON</t>
  </si>
  <si>
    <t>DETERGENTE ABC DURAZNO 1KG</t>
  </si>
  <si>
    <t>DETERGENTE ABC DURAZNO 400G</t>
  </si>
  <si>
    <t>DETERGENTE LIQUIDO 500 ML VEL ROSA</t>
  </si>
  <si>
    <t>DETERGENTE VEL ROSA DELICADA 1LT</t>
  </si>
  <si>
    <t>DRENE ACONDICIONADOR 200 ML EXTRA LISO</t>
  </si>
  <si>
    <t>DRENE ACONDICIONADOR 200 ML SECO MALTRATADO</t>
  </si>
  <si>
    <t>ENJUAGUE BUCAL PERIOGARD 250ML COLGATE</t>
  </si>
  <si>
    <t>ENJUAGUE BUCAL PLAX ICE 250ML COLGATE</t>
  </si>
  <si>
    <t>ENJUAGUE BUCAL PLAX ICE INFINITY 250ML COLGATE</t>
  </si>
  <si>
    <t>FIJADOR CREMA TUBO MOLDEADO Y CONTROL 45 GR EVERY NIGHT</t>
  </si>
  <si>
    <t>GEL ANTIBACTERIAL ALOE VERA 200ML EVERY NIHT</t>
  </si>
  <si>
    <t>GEL DENTAL KIDS FRESANTASTICO 50GR COLGATE</t>
  </si>
  <si>
    <t>GEL ESPUMOSO 3EN1 FOR MEN ACTIVE 350ML EVERY NIGHT</t>
  </si>
  <si>
    <t>GEL ESPUMOSO 3EN1 FOR MEN FRESH 350ML EVERY NIGHT</t>
  </si>
  <si>
    <t>GEL FIJADOR 250 GR FRESH EVERY NIGHT</t>
  </si>
  <si>
    <t>GEL FIJADOR 250 GR POWER EVERY NIGHT</t>
  </si>
  <si>
    <t>GEL FIJADOR 250 GR STRONG EVERY NIGHT</t>
  </si>
  <si>
    <t>GEL REFRESCANTE BUCAL PLAX 75ML COLGATE</t>
  </si>
  <si>
    <t>JABON 221 ML LIQUIDO AVENA PROTEX</t>
  </si>
  <si>
    <t>JABON ALOE &amp; OLIVA 3 X 75 GR PALMOLIVE</t>
  </si>
  <si>
    <t>JABON DE AVENA EVERY NIGHT 110GR</t>
  </si>
  <si>
    <t>JABON EXPLOSION TROPICAL EVERY NIGHT 110GR</t>
  </si>
  <si>
    <t>JABON MANZANA VERDE EVERY NIGHT 110GR</t>
  </si>
  <si>
    <t>JABON PALMOLIVE SENSACION HUMECTANTE X 3 375 GR</t>
  </si>
  <si>
    <t>JABON PROTEX ALOE X 3 270 GR</t>
  </si>
  <si>
    <t>KEROSENE 1000ML ARCA</t>
  </si>
  <si>
    <t>KEROSENE 500ML ARCA</t>
  </si>
  <si>
    <t>KEROSENE HIUK</t>
  </si>
  <si>
    <t>LAVAPLATOS EN CREMA AXION LIMON 450G</t>
  </si>
  <si>
    <t>LAVAPLATOS MULTIUSO 500ML BRISOL</t>
  </si>
  <si>
    <t>LAVAPLATOS MULTIUSO EN CREMA 230 GR AXION</t>
  </si>
  <si>
    <t>MATAVOLADOR 235 ML  FLYTOX</t>
  </si>
  <si>
    <t>PAUL GRINE DESODORANTE AEROSOL POUR HOME 200 ML</t>
  </si>
  <si>
    <t>PINO PINEX ANTI-BACTERIAL JABONOSO 830ML HIUK</t>
  </si>
  <si>
    <t>ROLL-ON 24H FOR MEN FRESH 90GR EVERY NIGHT</t>
  </si>
  <si>
    <t>ROLL-ON 24H FOR MEN SPORT 90GR EVERY NIGHT</t>
  </si>
  <si>
    <t>SHAMPOO 365 ML TE VERDE Y ALOE EVERY NIGHT</t>
  </si>
  <si>
    <t>SHAMPOO BIONUTRIENTES 210 ML EXTRATOS FRUTAS EVERY NIGHT</t>
  </si>
  <si>
    <t>SUAVITEL ACOND. 1LT  FRESCA PRIMAVERA</t>
  </si>
  <si>
    <t>SUAVIZANTE 1 LT SUAVITEL FRESCA PRIMAVERA</t>
  </si>
  <si>
    <t>SUAVIZANTE BESS"Q CARICIA FLORAL 1LT HIUK</t>
  </si>
  <si>
    <t>SUAVIZANTE FRESCA PRIMAVERA 500 C SUAVITEL</t>
  </si>
  <si>
    <t>VENSOL  500ML ARCA</t>
  </si>
  <si>
    <t>VENSOL 1000ML ARCA</t>
  </si>
  <si>
    <t>ACE BLANCOS DIAMANTE 400GR P&amp;G</t>
  </si>
  <si>
    <t>DESODORANTE ROLL ON  COLONIA 90GR MUM</t>
  </si>
  <si>
    <t>DETERGENTE ACE MAXI LIMPIEZA  800GR</t>
  </si>
  <si>
    <t>DETERGENTE ACE MAXI LIMPIEZA 500GR</t>
  </si>
  <si>
    <t>DETERGENTE ARIEL DOBLE PODER 850GR</t>
  </si>
  <si>
    <t>DETERGENTE ARIEL TOQUE DOWNY 750GR</t>
  </si>
  <si>
    <t>DOWNY 800ML ENJUAGUE CONCENTRADO AROMA FLORAL</t>
  </si>
  <si>
    <t>ENJUAGUE DOWNY OCEANO BREEZE  800ML</t>
  </si>
  <si>
    <t>ENJUAGUE DOWNY SUAVE Y GENTIL 800ML</t>
  </si>
  <si>
    <t>ESPONJA ACERO INOXIDABLE 1UNID IZY CLEAN</t>
  </si>
  <si>
    <t>ESPONJA DOBLE USO 1UNID IZY CLEAN</t>
  </si>
  <si>
    <t>ESPONJA JABONOSA  1 UND IZY CLEAN</t>
  </si>
  <si>
    <t>ESPONJA MULTIUSO IZY CLEAN</t>
  </si>
  <si>
    <t>ESPONJA SALVA UÑAS  IZY CLEAN</t>
  </si>
  <si>
    <t>ESPONJA TODO TERRENO YZICLEAN</t>
  </si>
  <si>
    <t>JABON AROMA CITRICO ROPA 200GR SUPREMO</t>
  </si>
  <si>
    <t>JABON AROMA FLORAL ROPA 200GR SUPREMO</t>
  </si>
  <si>
    <t>JABON AVENA Y ARGAN 90GR MONCLER</t>
  </si>
  <si>
    <t>JABON DE TOCADOR 75GR PURE SUAVISA/REV  MONCLER</t>
  </si>
  <si>
    <t>JABON EN BARRA 200 GR LIMON SUPREMO</t>
  </si>
  <si>
    <t>JABON ENERGIA AMARILLO 90GR MONCLER</t>
  </si>
  <si>
    <t>JABON HUMECTANTE BLANCO 90GR MONCLER</t>
  </si>
  <si>
    <t>JABON MICELAR HIDRATANTE 90GR MONCLER</t>
  </si>
  <si>
    <t>JABON MULTIUSO LIMON 100GR SUPREMO</t>
  </si>
  <si>
    <t>JABON NUTRI-CARE 90GR MONCLER</t>
  </si>
  <si>
    <t>JABON RADIANTE 90GR MONCLER</t>
  </si>
  <si>
    <t>JABON REFRESCANTE AZUL 90GR MONCLER</t>
  </si>
  <si>
    <t>JABON TOCADOR 125 GR ALOE VERA MIMLOT</t>
  </si>
  <si>
    <t>JABON TOCADOR 125 GR LIMON MIMLOT</t>
  </si>
  <si>
    <t>JABON TOCADOR 125 GR MANZANA MIMLOT</t>
  </si>
  <si>
    <t>JABON TOCADOR 90 GR ALMENDRA MIMLOT</t>
  </si>
  <si>
    <t>JABON TOCADOR 90 GR FRESA MIMLOT</t>
  </si>
  <si>
    <t>LAVALOZA 400 ML LIQUIDO SUPREMO</t>
  </si>
  <si>
    <t>LAVALOZA 720 ML LIQUIDO ARRASA C/ GRASA SUPREMO</t>
  </si>
  <si>
    <t>PANTENE PRO-V 3 MINUTOS MIRACLE 170 ML RESTAURACION</t>
  </si>
  <si>
    <t>PAÑAL ( P) CONFORT SEC 28 UND PAMPERS</t>
  </si>
  <si>
    <t>PAÑAL CONFORT SEC M 24 UND PAMPERS</t>
  </si>
  <si>
    <t>PAÑAL CONFORT SEC TALLA G 20 UND PAMPERS</t>
  </si>
  <si>
    <t>PAÑAL CONFORT SEC XG 18 UND PAMPERS</t>
  </si>
  <si>
    <t>PAÑAL CONFORT SEC XXG 16 UND PAMPERS</t>
  </si>
  <si>
    <t>PAÑAL PAMPERS JUEGOS Y SUEÑOS (M)</t>
  </si>
  <si>
    <t>PAÑAL XGDE 32 UND PAMPERS SUEÑOS</t>
  </si>
  <si>
    <t>PROTECTORES DIARIOS 40 UND SIN PERFUME FRIENDS</t>
  </si>
  <si>
    <t>QUITA GRASA 500 ML ROCIADOR SUPREMO</t>
  </si>
  <si>
    <t>ROLL-ON 60 GR POWER RUSH GILLETTE</t>
  </si>
  <si>
    <t>ROLL-ON 60 ML POWDER PROTECT SECRET</t>
  </si>
  <si>
    <t>ROLL-ON COOL WAVE 60/57 ML GR GILLETTE</t>
  </si>
  <si>
    <t>ROLL-ON POWDER FRESH 60 GR SECRET ULTRA</t>
  </si>
  <si>
    <t>SHAMPOO 200ml RESTAURACION ORIGINAL PANTENE</t>
  </si>
  <si>
    <t>SHAMPOO 2EN1 HEAD &amp; SHOLDERS 375 ML LIMPIEZA RENOVADA</t>
  </si>
  <si>
    <t>SHAMPOO 375 ML HEAD &amp; SHOLDERS LIMPIEZA RENOVADORA</t>
  </si>
  <si>
    <t>SHAMPOO 400 ML LISO EXTREMO PANTENE.</t>
  </si>
  <si>
    <t>SHAMPOO HEAD &amp; SHOLDERS 375 ML PROTECCION CAIDA</t>
  </si>
  <si>
    <t>TOALLAS HIGIENICAS 8UND. SUAVE  FLEXI ALAS ALWAYS</t>
  </si>
  <si>
    <t>TOALLAS HUMEDAS CREMA 72PCS MIMLOT</t>
  </si>
  <si>
    <t>TOALLAS HUMEDAS-ALOE VERA 72PCS MIMLOT</t>
  </si>
  <si>
    <t>3 BULTOS</t>
  </si>
  <si>
    <t>Costo</t>
  </si>
  <si>
    <t>TURRON  DE MANI DURO 100 GR.LA MARCONA</t>
  </si>
  <si>
    <t>TURRON MANI CON CHOCOLATE 150 GR. LA MARCONA</t>
  </si>
  <si>
    <t>TURRON IMPERIAL 150 GR CHOCOLATE LA MARCONA</t>
  </si>
  <si>
    <t>TURRON IMPERIAL 100GR</t>
  </si>
  <si>
    <t>PRECIO X CAJA</t>
  </si>
  <si>
    <t>PEDIDO AUTOMERCADO EXPRESS 2707</t>
  </si>
  <si>
    <t>CAJA</t>
  </si>
  <si>
    <t>2 BULTOS</t>
  </si>
  <si>
    <t>2 CAJA</t>
  </si>
  <si>
    <t>1 CAJA</t>
  </si>
  <si>
    <t>5 BULTOS</t>
  </si>
  <si>
    <t>COSTO</t>
  </si>
  <si>
    <t>TOTAL</t>
  </si>
  <si>
    <t>RIKESA QUESO CHEDDAR ORIGINAL 300GR RIKESA</t>
  </si>
  <si>
    <t xml:space="preserve">MERCANCIA </t>
  </si>
  <si>
    <t>DESPACHOSADELANTOS  NAVIDEÑOS</t>
  </si>
  <si>
    <t>UVAS PASAS</t>
  </si>
  <si>
    <t>CODIGO DE BARRA</t>
  </si>
  <si>
    <t>FECHA</t>
  </si>
  <si>
    <t>CEPILLO CLASSIC MEDIO GALACTIC</t>
  </si>
  <si>
    <t>CEPILLO CLASSIC SUAVE GALACTIC</t>
  </si>
  <si>
    <t>CREMA DENTAL 100 GR NIÑAS TUTI KIDS GALACTIC</t>
  </si>
  <si>
    <t>CREMA DENTAL 100 GR NIÑO TUTI KIDS GALACTIC</t>
  </si>
  <si>
    <t>CREMA DENTAL 100 GR ULTRA MENTA ICE GALACTIC</t>
  </si>
  <si>
    <t>CREMA DENTAL 120 GR DIAMOND WHITE GALACTIC.</t>
  </si>
  <si>
    <t>CREMA DENTAL 120 GR ULTRA MINT GALACTIC.</t>
  </si>
  <si>
    <t>CREMA DENTAL CLASSIC 180 GR GALACTIC</t>
  </si>
  <si>
    <t>CREMA DENTAL CLASSIC 63 GR GALACTIC</t>
  </si>
  <si>
    <t>CREMA DENTAL CLASSSIC 100 GR GALACTIC</t>
  </si>
  <si>
    <t>PASTA LARGA VERMICELLI  1KG PREMIUM  LA ESPECIAL</t>
  </si>
  <si>
    <t>PASTA PREMIUM 1 KG DEDAL LA ESPECIAL</t>
  </si>
  <si>
    <t>PASTA PREMIUM 1 KG PLUMA LA ESPECIAL</t>
  </si>
  <si>
    <t>PASTA PREMIUM 500 GR PLUMA COLLEZIONE</t>
  </si>
  <si>
    <t>PASTA PREMIUM 500 GR RIGATONE COLLEZIONE</t>
  </si>
  <si>
    <t>PASTA PREMIUM 500 GR VERMICELLI COLLEZIONE</t>
  </si>
  <si>
    <t>TALCO MEDICADO 283 GR CARE STUDIO</t>
  </si>
  <si>
    <t>TALCO P/PIES 142 GR CARE STUDIO</t>
  </si>
  <si>
    <t>24 UND</t>
  </si>
  <si>
    <t>4 DISPLEY</t>
  </si>
  <si>
    <t>1 DISPLEY</t>
  </si>
  <si>
    <t>3 DISPLEY</t>
  </si>
  <si>
    <t>30 BULTOS</t>
  </si>
  <si>
    <t>10 BULTOS</t>
  </si>
  <si>
    <t>NO</t>
  </si>
  <si>
    <t>PEDIDO GRUPO PRINCIPAL CAPITAL</t>
  </si>
  <si>
    <t>POLLO ENTERO</t>
  </si>
  <si>
    <t>ALAS</t>
  </si>
  <si>
    <t>ALAS PARRILLERAS</t>
  </si>
  <si>
    <t xml:space="preserve">MUSLOS DE POLLO </t>
  </si>
  <si>
    <t>PATAS DE POLLO</t>
  </si>
  <si>
    <t>MILANESA DE POLLO</t>
  </si>
  <si>
    <t>MOLLEJA</t>
  </si>
  <si>
    <t>HIGADO DE POLLO</t>
  </si>
  <si>
    <t>ASADURA</t>
  </si>
  <si>
    <t xml:space="preserve">CHORIZO AHUMADO </t>
  </si>
  <si>
    <t>CHORIZO AJO</t>
  </si>
  <si>
    <t>MORCILLA</t>
  </si>
  <si>
    <t>CHULETA AHUMADA</t>
  </si>
  <si>
    <t>CHULETA FRESCA</t>
  </si>
  <si>
    <t>HUESO AHUMADO</t>
  </si>
  <si>
    <t xml:space="preserve">PRECIO </t>
  </si>
  <si>
    <t>MAELLA</t>
  </si>
  <si>
    <t>PRODALVA</t>
  </si>
  <si>
    <t>CARNICO</t>
  </si>
  <si>
    <t>COSTILLA DE COCHINO   FRESCA</t>
  </si>
  <si>
    <t>PATA DE COCHINO</t>
  </si>
  <si>
    <t>TOCINO SIN PIEL</t>
  </si>
  <si>
    <t>TOCINO CON PIEL</t>
  </si>
  <si>
    <t xml:space="preserve">CODIGO </t>
  </si>
  <si>
    <t xml:space="preserve">DESCRIPCION </t>
  </si>
  <si>
    <t>QUESO DURO X KG</t>
  </si>
  <si>
    <t>RICCOTTE X KG</t>
  </si>
  <si>
    <t>GUAYANES X KG</t>
  </si>
  <si>
    <t>TELITA X KG</t>
  </si>
  <si>
    <t>QUESO POTE AREPERO</t>
  </si>
  <si>
    <t>MASA FACIL DOÑA CUSTODIA</t>
  </si>
  <si>
    <t>ROMA</t>
  </si>
  <si>
    <t>ALCAPARA</t>
  </si>
  <si>
    <t>ACEITUNA RELLENA</t>
  </si>
  <si>
    <t>ONOTO</t>
  </si>
  <si>
    <t>CIRUELAS PASA</t>
  </si>
  <si>
    <t>OREJONES DE MANZANA</t>
  </si>
  <si>
    <t>AUTO</t>
  </si>
  <si>
    <t>EXQ</t>
  </si>
  <si>
    <t>MOD</t>
  </si>
  <si>
    <t>SAN ANT</t>
  </si>
  <si>
    <t>HOYADA</t>
  </si>
  <si>
    <t>ANALIZIS</t>
  </si>
  <si>
    <t xml:space="preserve">AUTOMERCADO EXPRESS 2707 </t>
  </si>
  <si>
    <t xml:space="preserve">EXQUISITECES  MODELO </t>
  </si>
  <si>
    <t xml:space="preserve"> HIPER MODE</t>
  </si>
  <si>
    <t>SAN ANTONIO EXPRERSS</t>
  </si>
  <si>
    <t xml:space="preserve">ROMA EXPRES  </t>
  </si>
  <si>
    <t>HOYADA  EXPRESS</t>
  </si>
  <si>
    <t>MI PAN BERMUPAN</t>
  </si>
  <si>
    <t xml:space="preserve">SAN PEDRO  </t>
  </si>
  <si>
    <t>REFRESCO 7UP 2 LT PEPSI COLA</t>
  </si>
  <si>
    <t>REFRESCO KOLITA 2 LTS GOLDEN PEPSI COLA</t>
  </si>
  <si>
    <t>REFRESCO PEPSI 2 LTS PEPSI COLA</t>
  </si>
  <si>
    <t>REFRESCO PEPSI LIGHT  2 LTS PEPSI COLA</t>
  </si>
  <si>
    <t>TOTAL UNID</t>
  </si>
  <si>
    <t xml:space="preserve">TOTAL CAJAS </t>
  </si>
  <si>
    <t>REFRESCO 2 LT</t>
  </si>
  <si>
    <t>DESCUENTO</t>
  </si>
  <si>
    <t xml:space="preserve"> COSTO 2 LT PRECIO UND</t>
  </si>
  <si>
    <t>5 % POR CIENTO</t>
  </si>
  <si>
    <t>CANTIDAD DE UND VENDIDAS</t>
  </si>
  <si>
    <t>marge</t>
  </si>
  <si>
    <t>PRECIO MAS IVA</t>
  </si>
  <si>
    <t>TOTAL DE LA NOTA</t>
  </si>
  <si>
    <t>PRECIO PROMO</t>
  </si>
  <si>
    <t>SIN IVA</t>
  </si>
  <si>
    <t>MAS IVA</t>
  </si>
  <si>
    <r>
      <rPr>
        <b/>
        <sz val="11"/>
        <color theme="1"/>
        <rFont val="Calibri"/>
        <family val="2"/>
        <scheme val="minor"/>
      </rPr>
      <t>NOTA IMPORTANTE</t>
    </r>
    <r>
      <rPr>
        <sz val="11"/>
        <color theme="1"/>
        <rFont val="Calibri"/>
        <family val="2"/>
        <scheme val="minor"/>
      </rPr>
      <t xml:space="preserve"> POR FAVOR RECALCULAR SEGÚN LA TASA DEL BCV DEL DIA DE LA NOTA DE CREDITO PARA SU  EXPRECION EN BsF </t>
    </r>
  </si>
  <si>
    <t>CODIGOS INTERNO</t>
  </si>
  <si>
    <t>CAFÉ AMANECER</t>
  </si>
  <si>
    <t>KALDY</t>
  </si>
  <si>
    <t>VERO CAFÉ</t>
  </si>
  <si>
    <t>CAFE MOLIDO GOURMET 200G  CAFE AMANECER ( 24 UND)</t>
  </si>
  <si>
    <t>CAFE 200 GR GOURMET DELLA NONNA (24 UND)</t>
  </si>
  <si>
    <t>CAFE 250 GR GOURMET KALDI (24 UND)</t>
  </si>
  <si>
    <t>CAFE 500 GR GOURMET KALDI (12 UND)</t>
  </si>
  <si>
    <t>CAFE GOURMET 500GR SANTA FE (NO PEDIR)</t>
  </si>
  <si>
    <t>CAFE GOURMET 250GR SANTA FE (NO PEDIR)</t>
  </si>
  <si>
    <t>CAFÉ KALDY 1 KG DE GRAMO (</t>
  </si>
  <si>
    <t>CAFE 500 GR GOURMET DELLA NONNA (10 UND)</t>
  </si>
  <si>
    <t>CAFE 500 GR AMANECER GOURMET (10 UND)</t>
  </si>
  <si>
    <t>20 BULTOS</t>
  </si>
  <si>
    <t>15 BULTOS</t>
  </si>
  <si>
    <t>1 BULTO</t>
  </si>
  <si>
    <t>DISTRIBUIDORA EVORA</t>
  </si>
  <si>
    <t>30 tobo 35 kg</t>
  </si>
  <si>
    <t>QUESO MOZZARLLA NAPOLITANI (CAJA 5 X2.5KG)</t>
  </si>
  <si>
    <t>QUESO MOZZARELLA NAPOLITANA PORC (CAJA 24X 0,400GR)</t>
  </si>
  <si>
    <t>QUESO PALMI BUFALA (CAJA  24 X 0.400GR)</t>
  </si>
  <si>
    <t>QUESO BLANCO DURO PARA RALLAR (CAJA 24 X0.400GR)</t>
  </si>
  <si>
    <t>QUESO PIRINEO (CAJ 9X 1, 1 KG APROX)</t>
  </si>
  <si>
    <t>QUESO PECORINO TOSCANO S/P (CAJA 6X1.6 KG APROX)</t>
  </si>
  <si>
    <t>QUESO PECORINO TOSCANO C/P (CAJA 6X1.6 KG APROX)</t>
  </si>
  <si>
    <t>QUESO PECORINO TOSCANO (CAJA 24 X 0.150GR )</t>
  </si>
  <si>
    <t>QUESO PECORINO TOSCANO (CAJA 12 X 0.200GR )</t>
  </si>
  <si>
    <t>QUESO PECORINO TOSCANO (CAJA 12 X 0.100GR )</t>
  </si>
  <si>
    <t>AUTOMERCADO EXPRESS SUCURSAL DE SAN ANTONIO</t>
  </si>
  <si>
    <t>PIZZA DE PAN DE PITA AMESA 6 UND</t>
  </si>
  <si>
    <t>PAN ARABE 380 GR 6 UNIDADES  EL FAMOSO</t>
  </si>
  <si>
    <t>PAN ARABE 6UNID MEDIO ORIENTE</t>
  </si>
  <si>
    <t>ARABE</t>
  </si>
  <si>
    <t>15 PAQ</t>
  </si>
  <si>
    <t>NO NO</t>
  </si>
  <si>
    <t>50 CAJA</t>
  </si>
  <si>
    <t>ACEITE BONNA SOYA  CUÑETE 18LT</t>
  </si>
  <si>
    <t>ACEITE COMESTIBLE 1LT NATUROIL</t>
  </si>
  <si>
    <t>ACEITE VEGETAL 1 LT FRITO LISTO</t>
  </si>
  <si>
    <t>ACEITE VEGETAL 1LT COPOSA</t>
  </si>
  <si>
    <t>ACEITE VEGETAL 850 ML FRITO LISTO</t>
  </si>
  <si>
    <t>ACEITE VEGETAL 850 ML NATUROIL</t>
  </si>
  <si>
    <t>ACEITE VEGETAL 850ML COPOSA</t>
  </si>
  <si>
    <t>MANTECA 15 KG (PRODUCCION)    COPOSA</t>
  </si>
  <si>
    <t>MANTECA COPOSA 400 GR</t>
  </si>
  <si>
    <t>MANTEQUILLA 500 GR MIRASOL</t>
  </si>
  <si>
    <t>MANTEQUILLA MIRASOL 250GR</t>
  </si>
  <si>
    <t>MARGARINA 454 GR MIRASOL</t>
  </si>
  <si>
    <t>MARGARINA CON SAL DE 5KG (PRODUCCION)</t>
  </si>
  <si>
    <t>MARGARINA LIGHT 500 GR MIRASOL</t>
  </si>
  <si>
    <t>MARGARINA MIRASOL 227 GR</t>
  </si>
  <si>
    <t>MAYONESA MIRASOL  445GR</t>
  </si>
  <si>
    <t>AUTOMERCADO EXPRESS 2707</t>
  </si>
  <si>
    <t xml:space="preserve">                                                  </t>
  </si>
  <si>
    <t>CODIGO DEL PRODUCTO</t>
  </si>
  <si>
    <t>DESCRIPCION DEL PRODUCTO</t>
  </si>
  <si>
    <t>PRESENTACION</t>
  </si>
  <si>
    <t>PESO DE LA CAJA</t>
  </si>
  <si>
    <t>CAJAS POR PALETA</t>
  </si>
  <si>
    <t>7591202201096</t>
  </si>
  <si>
    <t>PASTA DE TOMATE D/C</t>
  </si>
  <si>
    <t>24 x 200 grs.</t>
  </si>
  <si>
    <t>9.0 KGS.</t>
  </si>
  <si>
    <t>130 CAJAS</t>
  </si>
  <si>
    <t>7591202201119</t>
  </si>
  <si>
    <t>12 x 500 grs.</t>
  </si>
  <si>
    <t>9.2 KGS.</t>
  </si>
  <si>
    <t>104 CAJAS</t>
  </si>
  <si>
    <t>75916367</t>
  </si>
  <si>
    <t>SALSA DE TOMATE KETCHUP</t>
  </si>
  <si>
    <t>24 x 397 grs.</t>
  </si>
  <si>
    <t>14.8 KGS.</t>
  </si>
  <si>
    <t>78 CAJAS</t>
  </si>
  <si>
    <t>7591202201058</t>
  </si>
  <si>
    <t>VINAGRE</t>
  </si>
  <si>
    <t>24 x 500 cc.</t>
  </si>
  <si>
    <t>13.2 KGS.</t>
  </si>
  <si>
    <t>60 CAJAS</t>
  </si>
  <si>
    <t>12 x 1.000 cc.</t>
  </si>
  <si>
    <t>13.0 KGS.</t>
  </si>
  <si>
    <t>56 CAJAS</t>
  </si>
  <si>
    <t>7591202201072</t>
  </si>
  <si>
    <t>4 x 3.900 cc.</t>
  </si>
  <si>
    <t>16.4 KGS.</t>
  </si>
  <si>
    <t>36 CAJAS</t>
  </si>
  <si>
    <t>7591202101013</t>
  </si>
  <si>
    <t>MOSTAZA DE VIDRIO</t>
  </si>
  <si>
    <t>24 x 190 grs.</t>
  </si>
  <si>
    <t>8.8 KGS.</t>
  </si>
  <si>
    <t>759120211011167</t>
  </si>
  <si>
    <t>MOSTAZA DE PLASTICO</t>
  </si>
  <si>
    <t>24 x 285 grs.</t>
  </si>
  <si>
    <t>7.7 KGS.</t>
  </si>
  <si>
    <t>91 CAJAS</t>
  </si>
  <si>
    <t>7591202101020</t>
  </si>
  <si>
    <t>12 x 480 grs.</t>
  </si>
  <si>
    <t>7591202101228</t>
  </si>
  <si>
    <t>SALSA DE SOYA</t>
  </si>
  <si>
    <t>24 x 150 cc.</t>
  </si>
  <si>
    <t>6.9 KGS.</t>
  </si>
  <si>
    <t>140 CAJAS</t>
  </si>
  <si>
    <t>7591202101266</t>
  </si>
  <si>
    <t>SALSA DE AJO</t>
  </si>
  <si>
    <t>7591202101181</t>
  </si>
  <si>
    <t>SALSA INGLESA</t>
  </si>
  <si>
    <t>7591202101297</t>
  </si>
  <si>
    <t>SALSA PICANTE</t>
  </si>
  <si>
    <t>7591202101075</t>
  </si>
  <si>
    <t>ADOBO</t>
  </si>
  <si>
    <t>7.4 KGS.</t>
  </si>
  <si>
    <t>160 CAJAS</t>
  </si>
  <si>
    <t>7591202200754</t>
  </si>
  <si>
    <t>7591202200761</t>
  </si>
  <si>
    <t>12 x 1000 grs.</t>
  </si>
  <si>
    <t>14.4 KGS</t>
  </si>
  <si>
    <t>7591202200778</t>
  </si>
  <si>
    <t>4 x 4000 grs.</t>
  </si>
  <si>
    <t>17.4 KGS</t>
  </si>
  <si>
    <t>7591202200822</t>
  </si>
  <si>
    <t>7591202200891</t>
  </si>
  <si>
    <t>9.2 KGS</t>
  </si>
  <si>
    <t>7591202200952</t>
  </si>
  <si>
    <t xml:space="preserve">                                         LOS PRECIOS EN DIVISAS ESTAN CALCULADOS SEGÚN LA TASA DEL BANCO CENTRAL DE VENEZUELA AL 18-08-2021</t>
  </si>
  <si>
    <t>SAMUEL E. CARBALLO,</t>
  </si>
  <si>
    <t>GERENTE DE VENTAS</t>
  </si>
  <si>
    <t xml:space="preserve">                                                                                                          Calle Principal, Parcela: 1, 2, 3,5 y 9, Urb. Industrial  El Paraíso  del Tuy.</t>
  </si>
  <si>
    <t xml:space="preserve">                                                                                                          Santa Teresa del Tuy, Edo. Miranda – Venezuela. Telf.: (0239) 231.11.93 </t>
  </si>
  <si>
    <t xml:space="preserve">                                                                                                                         231.15.84- 231.14.24- 231.86.14. Fax: (0239) 231.14.10. </t>
  </si>
  <si>
    <r>
      <t xml:space="preserve">                                                                                                         </t>
    </r>
    <r>
      <rPr>
        <i/>
        <sz val="10"/>
        <color rgb="FFC00000"/>
        <rFont val="Calibri"/>
        <family val="2"/>
        <scheme val="minor"/>
      </rPr>
      <t>Web-Site: www.prodalic.com.</t>
    </r>
  </si>
  <si>
    <t>VIGENCIA: A PARTIR DEL DÍA 10 DE SEPTIEMBRE DE 2021.</t>
  </si>
  <si>
    <t>CLIENTES DE INDUSTRIAS MAROS, CADENAS</t>
  </si>
  <si>
    <t>PRODUCTO</t>
  </si>
  <si>
    <t>TIPO DE PRODUCTO</t>
  </si>
  <si>
    <t>PRESENTACIÓN</t>
  </si>
  <si>
    <t xml:space="preserve">COD BARRAS </t>
  </si>
  <si>
    <t>EMPAQUE</t>
  </si>
  <si>
    <t>CANT X CAJA</t>
  </si>
  <si>
    <t>PRECIO FACTURACIÓN SIN IVA ($/Caja)</t>
  </si>
  <si>
    <t>PRECIO FACTURACIÓN                     CON IVA ($/Caja)</t>
  </si>
  <si>
    <t>PRECIO UNITARIO        SIN IVA                    ($/Unidad)</t>
  </si>
  <si>
    <t>PRECIO UNITARIO       CON IVA              ($/Unidad)</t>
  </si>
  <si>
    <t>NÉCTAR</t>
  </si>
  <si>
    <t>ALUMINIO (340 cm3)</t>
  </si>
  <si>
    <t>Nectar de Durazno Aluminio 340cc</t>
  </si>
  <si>
    <t>24 x 340 cm3</t>
  </si>
  <si>
    <t>Nectar de Pera Aluminio 340cc</t>
  </si>
  <si>
    <t>Nectar de Manzana Aluminio 340cc</t>
  </si>
  <si>
    <t>Nectar de Coctel de Frutas Aluminio 340cc</t>
  </si>
  <si>
    <t>Nectar de Mango Aluminio 340cc</t>
  </si>
  <si>
    <t>Nectar de Guayaba Aluminio 340cc</t>
  </si>
  <si>
    <t>Nectar de Tamarindo Aluminio 340cc</t>
  </si>
  <si>
    <t>Nectar de Naranjada Aluminio 340cc</t>
  </si>
  <si>
    <t>VIDRIO (250 cm3)</t>
  </si>
  <si>
    <t>Nectar de Durazno Vidrio 250cc</t>
  </si>
  <si>
    <t>24 x 250 cm3</t>
  </si>
  <si>
    <t>Nectar de Pera Vidrio 250cc</t>
  </si>
  <si>
    <t>Nectar de Manzana Vidrio 250cc</t>
  </si>
  <si>
    <t>Nectar de Coctel de frutas Vidrio 250cc</t>
  </si>
  <si>
    <t>Nectar de Mango Vidrio 250cc</t>
  </si>
  <si>
    <t>Nectar de Guayaba Vidrio 250cc</t>
  </si>
  <si>
    <t>Nectar de Tamarindo Vidrio 250cc</t>
  </si>
  <si>
    <t>Nectar de Naranjada Vidrio 250cc</t>
  </si>
  <si>
    <t>VIDRIO (1000 cm3)</t>
  </si>
  <si>
    <t xml:space="preserve">Nectar de Durazno Vidrio 1000 </t>
  </si>
  <si>
    <t>12 x 1000 cm3</t>
  </si>
  <si>
    <t xml:space="preserve">Nectar de Pera Vidrio 1000 </t>
  </si>
  <si>
    <t xml:space="preserve">Nectar de Manzana Vidrio 1000 </t>
  </si>
  <si>
    <t xml:space="preserve">Nectar de Coctel de frutas Vidrio 1000 </t>
  </si>
  <si>
    <t xml:space="preserve">Nectar de Mango Vidrio 1000 </t>
  </si>
  <si>
    <t xml:space="preserve">Nectar de Guayaba Vidrio 1000 </t>
  </si>
  <si>
    <t xml:space="preserve">Nectar de Tamarindo Vidrio 1000 </t>
  </si>
  <si>
    <t xml:space="preserve">Nectar de Naranjada Vidrio 1000 </t>
  </si>
  <si>
    <t>TETRA PAK (TETRA CLASIC)</t>
  </si>
  <si>
    <t>Nectar de Durazno TC 150 cc</t>
  </si>
  <si>
    <t>24 x 150 cm3</t>
  </si>
  <si>
    <t>Nectar de Pera TC 150 cc</t>
  </si>
  <si>
    <t>Nectar de Manzana TC 150 cc</t>
  </si>
  <si>
    <t>TETRA CLASSIC SIX PACK</t>
  </si>
  <si>
    <t>Nectar de Durazno TC 150 cc Six Pack</t>
  </si>
  <si>
    <t>6 x 6 x 150 cm3</t>
  </si>
  <si>
    <t>Nectar de Pera TC 150 cc Six Pack</t>
  </si>
  <si>
    <t>Nectar de Manzana TC 150 cc Six Pack</t>
  </si>
  <si>
    <t>TETRA PAK (TETRA PRISMA)</t>
  </si>
  <si>
    <t>Nectar de Durazno TP 250cc</t>
  </si>
  <si>
    <t>8 x 3 x 250 cm3</t>
  </si>
  <si>
    <t>Nectar de Pera TP 250cc</t>
  </si>
  <si>
    <t>Nectar de Manzana TP 250cc</t>
  </si>
  <si>
    <t>Nectar de Naranajada TP 250cc</t>
  </si>
  <si>
    <t>TETRA PAK (TETRA BRICK)</t>
  </si>
  <si>
    <t>Nectar de Durazno TBA 1000</t>
  </si>
  <si>
    <t>12 x 1 L</t>
  </si>
  <si>
    <t>Nectar de Pera TBA 1000</t>
  </si>
  <si>
    <t>Nectar de Manzana TBA 1000</t>
  </si>
  <si>
    <t>Nectar de Coctel de Frutas TBA 1000</t>
  </si>
  <si>
    <t>Nectar de Mango TBA 1000</t>
  </si>
  <si>
    <t>Nectar de Naranja TBA 1000</t>
  </si>
  <si>
    <t>COLADO</t>
  </si>
  <si>
    <t>VIDRIO (113 g)</t>
  </si>
  <si>
    <t>Colado de Durazno Vidrio 113g</t>
  </si>
  <si>
    <t>24 x 113 g</t>
  </si>
  <si>
    <t>Colado de Pera Vidrio 113g</t>
  </si>
  <si>
    <t>Colado de Manzana Vidrio 113g</t>
  </si>
  <si>
    <t>VIDRIO (186 g)</t>
  </si>
  <si>
    <t>COLADO DE PERA VIDRIO 186GR</t>
  </si>
  <si>
    <t>24 x 186 g</t>
  </si>
  <si>
    <t>COLADO DE MANZANA VIDRIO 186GR</t>
  </si>
  <si>
    <t>COLADO DE DURAZNO VIDRIO 186GR</t>
  </si>
  <si>
    <t>LECHE CONDENSADA AZUCARADA (LCA)</t>
  </si>
  <si>
    <t>HOJALATA</t>
  </si>
  <si>
    <t>Leche Condensada Lata 397 gr</t>
  </si>
  <si>
    <t>24 x 397 g</t>
  </si>
  <si>
    <t>TETRA 340 g</t>
  </si>
  <si>
    <t>Leche Condensada UHT 340 gr</t>
  </si>
  <si>
    <t>24 x 340 g</t>
  </si>
  <si>
    <t>TETRA SLIM</t>
  </si>
  <si>
    <t>Leche Condensada UHT 100 gr</t>
  </si>
  <si>
    <t>24 x 100g</t>
  </si>
  <si>
    <t>TUBO COLAPSIBLE</t>
  </si>
  <si>
    <t>Tubito Leche Condensada 50 gr</t>
  </si>
  <si>
    <t>6 x 24 x 50 g</t>
  </si>
  <si>
    <t>BOLSA ASEPTICA</t>
  </si>
  <si>
    <t>Leche Condensada Bolsa 5 Kg</t>
  </si>
  <si>
    <t>2 x 5 Kg</t>
  </si>
  <si>
    <t>LPO</t>
  </si>
  <si>
    <t>LECHE EN POLVO</t>
  </si>
  <si>
    <t>Leche en polvo completa 125gr</t>
  </si>
  <si>
    <t>16 x 125 g</t>
  </si>
  <si>
    <t>Leche en polvo completa 900gr</t>
  </si>
  <si>
    <t>12 x 900 g</t>
  </si>
  <si>
    <t>DULCE DE LECHE (AREQUIPE)</t>
  </si>
  <si>
    <t>Dulce de leche 40 gr</t>
  </si>
  <si>
    <t>6 x 24 x 40 gr</t>
  </si>
  <si>
    <t>Dulce de leche Lata 380 gr</t>
  </si>
  <si>
    <t>24 x 380 gr</t>
  </si>
  <si>
    <t>Dulce de leche Bolsa 5 Kg</t>
  </si>
  <si>
    <t>BOLSA TRANSPARENTE 1KG SIN ASA MILLAR</t>
  </si>
  <si>
    <t>BOLSA TRANSPARENTE 2KG SIN ASA MILLAR</t>
  </si>
  <si>
    <t>BOLSAS DE 2KG CON ASAS MILLAR</t>
  </si>
  <si>
    <t>BOLSAS PLASTICAS DE 10KG X UND</t>
  </si>
  <si>
    <t>FACTURA 9426 Y FACTURA 9428</t>
  </si>
  <si>
    <t>INVERSIONES A.V.168.C.A.</t>
  </si>
  <si>
    <t>PRECIO X BULTO</t>
  </si>
  <si>
    <t>LECHE CONDENSADA 270GR ITALAC (24 UND)</t>
  </si>
  <si>
    <t>MARGARINA CON SAL 250GR  SADIA DELINE (24 UND)</t>
  </si>
  <si>
    <t>MARGARINA CON SAL 500GR DELINE SADIA (12 UND)</t>
  </si>
  <si>
    <t>BOMBILLO 100 WATT GAMME LUXE (100 UND )</t>
  </si>
  <si>
    <t>DETERGENTE EN POLVO 500GR  ALIVE (24 UND)</t>
  </si>
  <si>
    <t>DETERGENTE EN POLVO 900 GR LAVANDA  (12 UND)</t>
  </si>
  <si>
    <t>DETERGENTE EN POLVO LIMON 900 GR ZERO (12 UNS)</t>
  </si>
  <si>
    <t>DETERGENTE POLVO 400 GR LAVANDA ZERO (24 UND)</t>
  </si>
  <si>
    <t>GEL DENTAL TANS FRESA 2-6 AÑOS (72 UND)</t>
  </si>
  <si>
    <t>PEGA LOKA 3 GR LA ORIGINAL (252 UND)</t>
  </si>
  <si>
    <t>TOALLAS DIARIAS 20 UND ALUAYASS (100 UND)</t>
  </si>
  <si>
    <t>TOALLAS SANITARIAS VERDE 10UNID ALLUAYS (48 UND)</t>
  </si>
  <si>
    <t>UND POR EMPAQUE</t>
  </si>
  <si>
    <t>TOTAL DE FACTURA</t>
  </si>
  <si>
    <t>ACEITE COAMO 900ML</t>
  </si>
  <si>
    <t xml:space="preserve">ACEITE CONCORVADO 900ML </t>
  </si>
  <si>
    <t>HOJAS DE HALLACAS</t>
  </si>
  <si>
    <t>HARINA DOÑA MARIA 1 KG</t>
  </si>
  <si>
    <t>LECHE CONDENSADA ITALAC</t>
  </si>
  <si>
    <t>CREMA ALIDENT AZUL</t>
  </si>
  <si>
    <t>CREMA ALIDENT VERDE</t>
  </si>
  <si>
    <t xml:space="preserve">ALIVE ROSA 500GR </t>
  </si>
  <si>
    <t>ALIVE ROSA 1 KG</t>
  </si>
  <si>
    <t>ALIVE AZUL 1 KG</t>
  </si>
  <si>
    <t>ACESS 800GR</t>
  </si>
  <si>
    <t>CERE3 LIMON 400GR</t>
  </si>
  <si>
    <t>CERE3 LIMON 900GR</t>
  </si>
  <si>
    <t>ZERO 400GR LIMON</t>
  </si>
  <si>
    <t>ZERO 900GR LIMON</t>
  </si>
  <si>
    <t>ZERO 3 400GR LAVANDA</t>
  </si>
  <si>
    <t>ZERO 900GR LAVANDA</t>
  </si>
  <si>
    <t>HARMONI 75 GR</t>
  </si>
  <si>
    <t>JABON AV LIMON 170GR</t>
  </si>
  <si>
    <t>TOALLAS SANITARIAS VERDE ALLUYAS</t>
  </si>
  <si>
    <t>TOALLAS SANITARIAS AZULES  ALUYAZ</t>
  </si>
  <si>
    <t xml:space="preserve">NUTRIBELA REPOLARIZACION </t>
  </si>
  <si>
    <t>.</t>
  </si>
  <si>
    <t>LACTEO EN POLVO VILLA LACTEA LA CAMPESTRE 900GR</t>
  </si>
  <si>
    <t>LECHE CONDENSADA AZUCARADA 395 GR VILLA LACTEA CAMPESTRE</t>
  </si>
  <si>
    <t>LECHE CONDENSADA AZUCARADA CAMPESTRE 395GR LATA</t>
  </si>
  <si>
    <t>LECHE EN POLVO COMPLETA 1KG CAMPESTRE</t>
  </si>
  <si>
    <t>LECHE EN POLVO COMPLETA 500GR CAMPESTRE</t>
  </si>
  <si>
    <t>LECHE LIQ/DESCREMADA 1LT CAMPESTRE</t>
  </si>
  <si>
    <t>QUESO FUND PARA UNTAR 300GM DALVITO</t>
  </si>
  <si>
    <t>QUESO FUNDIDO DALVITO 200GR</t>
  </si>
  <si>
    <t>Sobre 1 Kg</t>
  </si>
  <si>
    <t>( E )</t>
  </si>
  <si>
    <t>Sobre 500 g</t>
  </si>
  <si>
    <t>Sobre 125 g</t>
  </si>
  <si>
    <t>LECHE EN POLVO SEMIDESCREMADA</t>
  </si>
  <si>
    <t>Sobre 900 g</t>
  </si>
  <si>
    <t>Sobre de 450 g</t>
  </si>
  <si>
    <t>Sobre de 115 g</t>
  </si>
  <si>
    <t>LECHE EN POLVO DESCREMADA</t>
  </si>
  <si>
    <t>Sobre de 900 g</t>
  </si>
  <si>
    <t>ALIMENTO LÁCTEO EN POLVO VILLA LÁCTEA</t>
  </si>
  <si>
    <t>Sobre 400 g</t>
  </si>
  <si>
    <t>LECHE CONDENSADA AZUCARADA CAMPESTRE</t>
  </si>
  <si>
    <t>Hojalata 395 g</t>
  </si>
  <si>
    <t>MANTEQUILLA CON SAL</t>
  </si>
  <si>
    <t>Lata de 360 g</t>
  </si>
  <si>
    <t>Barra de 200g</t>
  </si>
  <si>
    <t>DULCE DE LECHE INDUSTRIAL</t>
  </si>
  <si>
    <t>Galón de 5 Kg</t>
  </si>
  <si>
    <t>CHICHA INSTANTÁNEA</t>
  </si>
  <si>
    <t>Sobre de 400 g</t>
  </si>
  <si>
    <t>Sobre de 200 g</t>
  </si>
  <si>
    <t>BEBIDA ACHOCOLATADA GENICA PROFESIONAL</t>
  </si>
  <si>
    <t>Sobre de 1 Kg</t>
  </si>
  <si>
    <t>CHOCO COOL</t>
  </si>
  <si>
    <t>LACTOVISOY</t>
  </si>
  <si>
    <t>Sobre de 500 g</t>
  </si>
  <si>
    <t>QUESOS FUNDIDOS UNTABLES</t>
  </si>
  <si>
    <t>Q. FUNDIDO P/ UNTAR DALVITO</t>
  </si>
  <si>
    <t>Frasco de 200 g</t>
  </si>
  <si>
    <t>Frasco de 300 g</t>
  </si>
  <si>
    <t>TWISTIKESO A BASE DE QUESO</t>
  </si>
  <si>
    <t>TWISTIKESO GALÓN</t>
  </si>
  <si>
    <t>Galón de 3,85 Kg</t>
  </si>
  <si>
    <t>QUESOS NATURALES</t>
  </si>
  <si>
    <t>QUESO PRATO</t>
  </si>
  <si>
    <t>1 Kg</t>
  </si>
  <si>
    <t>QUESO FUNDIDO TIPO AMERICANO</t>
  </si>
  <si>
    <t>QUESO CREMA GALÓN</t>
  </si>
  <si>
    <t>4 kg</t>
  </si>
  <si>
    <t>QUESO MOZZARELLA</t>
  </si>
  <si>
    <t>1kg</t>
  </si>
  <si>
    <t>QUESO CHEDDYS</t>
  </si>
  <si>
    <t>QUESO ZULIDALVI</t>
  </si>
  <si>
    <t>500g</t>
  </si>
  <si>
    <t>SEASONS TEA LIMON DOYPACK 12x450g</t>
  </si>
  <si>
    <t>Sobre de 450g</t>
  </si>
  <si>
    <t>SEASONS TEA DURAZNO DOYPACK 12x450g</t>
  </si>
  <si>
    <t>SEASONS TEA DURAZNO SACHET 12x6x90g</t>
  </si>
  <si>
    <t>Sobre de 90g</t>
  </si>
  <si>
    <t>SEASONS TEA LIMON SACHET 12x6x90g</t>
  </si>
  <si>
    <t>Sobre de 30g</t>
  </si>
  <si>
    <t>BEBIDAS UHT</t>
  </si>
  <si>
    <t>LECHE ENTERA BOLSA UHT 3X6L</t>
  </si>
  <si>
    <t>Bolsa UHT 1L</t>
  </si>
  <si>
    <t>LECHE DESCREMADA BOLSA UHT 3X6L</t>
  </si>
  <si>
    <t>LECHE SEMIDESCREMADA BOLSA UHT 3X6L</t>
  </si>
  <si>
    <t>LECHE SEMIDESCREMADA BOLSA UHT 18x1L</t>
  </si>
  <si>
    <t>BEBIDA LÁCTEA VILLA LÁCTEA BOLSA UHT 3X6L</t>
  </si>
  <si>
    <t>BEBIDA LACTEA VILLA LACTEA BOLSA UHT18X1L</t>
  </si>
  <si>
    <r>
      <rPr>
        <b/>
        <sz val="13"/>
        <color rgb="FFFFFFFF"/>
        <rFont val="Verdana"/>
        <family val="2"/>
      </rPr>
      <t>INDUSTRIALES</t>
    </r>
  </si>
  <si>
    <t>MANTEQUILLA INDUSTRIAL</t>
  </si>
  <si>
    <r>
      <rPr>
        <sz val="13"/>
        <rFont val="Arial Black"/>
        <family val="2"/>
      </rPr>
      <t xml:space="preserve">MANTEQUILLA INDUSTRIAL 5 KILOS </t>
    </r>
    <r>
      <rPr>
        <b/>
        <sz val="13"/>
        <color rgb="FFFF0000"/>
        <rFont val="Verdana"/>
        <family val="2"/>
      </rPr>
      <t>(NUEVA)</t>
    </r>
  </si>
  <si>
    <t>5kg</t>
  </si>
  <si>
    <t>LECHE EN POLVO 1%</t>
  </si>
  <si>
    <t>LECHE EN POLVO 21%</t>
  </si>
  <si>
    <t>LECHE EN POLVO 26%</t>
  </si>
  <si>
    <t>LECHE EN POLVO COMPLETA CAMPESTRE</t>
  </si>
  <si>
    <t>LECHE EN POLVO COMPLETA EXTRA CALCIO CAMPESTRE</t>
  </si>
  <si>
    <t>6 CAJA</t>
  </si>
  <si>
    <t>3 CJA</t>
  </si>
  <si>
    <t>5 CJA</t>
  </si>
  <si>
    <t>LECHE ENTERA BOLSA UHT 18X1L LA CAMPESTRE</t>
  </si>
  <si>
    <t>LECHE DESCREMADA BOLSA UHT 18x1L LA CAMPESTRE</t>
  </si>
  <si>
    <t>2 CAJ</t>
  </si>
  <si>
    <r>
      <t xml:space="preserve">                           </t>
    </r>
    <r>
      <rPr>
        <b/>
        <sz val="13"/>
        <rFont val="Times New Roman"/>
        <family val="1"/>
      </rPr>
      <t xml:space="preserve">LISTA DE PRECIOS             </t>
    </r>
    <r>
      <rPr>
        <b/>
        <vertAlign val="superscript"/>
        <sz val="13"/>
        <rFont val="Times New Roman"/>
        <family val="1"/>
      </rPr>
      <t xml:space="preserve">30 DE AGOSTO DE 2021                                                      </t>
    </r>
    <r>
      <rPr>
        <vertAlign val="subscript"/>
        <sz val="13"/>
        <rFont val="Times New Roman"/>
        <family val="1"/>
      </rPr>
      <t xml:space="preserve">                                </t>
    </r>
  </si>
  <si>
    <r>
      <rPr>
        <b/>
        <sz val="13"/>
        <color rgb="FFFFFFFF"/>
        <rFont val="Times New Roman"/>
        <family val="1"/>
      </rPr>
      <t>LECHES Y ALIMENTOS LÁCTEOS EN POLVO</t>
    </r>
  </si>
  <si>
    <r>
      <rPr>
        <b/>
        <sz val="13"/>
        <color rgb="FFFFFFFF"/>
        <rFont val="Times New Roman"/>
        <family val="1"/>
      </rPr>
      <t>CÓD. INTERNO</t>
    </r>
  </si>
  <si>
    <r>
      <rPr>
        <b/>
        <sz val="13"/>
        <color rgb="FFFFFFFF"/>
        <rFont val="Times New Roman"/>
        <family val="1"/>
      </rPr>
      <t>CÓDIGO DE BARRA</t>
    </r>
  </si>
  <si>
    <r>
      <rPr>
        <b/>
        <sz val="13"/>
        <color rgb="FFFFFFFF"/>
        <rFont val="Times New Roman"/>
        <family val="1"/>
      </rPr>
      <t>PRESENTACIÓN</t>
    </r>
  </si>
  <si>
    <r>
      <rPr>
        <b/>
        <sz val="13"/>
        <color rgb="FFFFFFFF"/>
        <rFont val="Times New Roman"/>
        <family val="1"/>
      </rPr>
      <t>UNIDAD DE DESPACHO</t>
    </r>
  </si>
  <si>
    <r>
      <rPr>
        <b/>
        <sz val="13"/>
        <rFont val="Times New Roman"/>
        <family val="1"/>
      </rPr>
      <t>DIVISAS DIST-
MAYORISTAS</t>
    </r>
  </si>
  <si>
    <r>
      <rPr>
        <b/>
        <sz val="13"/>
        <color rgb="FFFFFFFF"/>
        <rFont val="Times New Roman"/>
        <family val="1"/>
      </rPr>
      <t>CAJA (CORRUGADO)</t>
    </r>
  </si>
  <si>
    <r>
      <rPr>
        <b/>
        <sz val="13"/>
        <color rgb="FFFFFFFF"/>
        <rFont val="Times New Roman"/>
        <family val="1"/>
      </rPr>
      <t>PV JUSTO ACTUAL S/IVA</t>
    </r>
  </si>
  <si>
    <r>
      <rPr>
        <b/>
        <sz val="13"/>
        <color rgb="FFFFFFFF"/>
        <rFont val="Times New Roman"/>
        <family val="1"/>
      </rPr>
      <t>IVA (16%)</t>
    </r>
  </si>
  <si>
    <r>
      <rPr>
        <b/>
        <sz val="13"/>
        <color rgb="FFFFFFFF"/>
        <rFont val="Times New Roman"/>
        <family val="1"/>
      </rPr>
      <t>PMVP</t>
    </r>
  </si>
  <si>
    <r>
      <rPr>
        <b/>
        <sz val="13"/>
        <color rgb="FFFFFFFF"/>
        <rFont val="Times New Roman"/>
        <family val="1"/>
      </rPr>
      <t>LECHES CONDENSADAS</t>
    </r>
  </si>
  <si>
    <r>
      <rPr>
        <sz val="13"/>
        <rFont val="Times New Roman"/>
        <family val="1"/>
      </rPr>
      <t xml:space="preserve">LECHE CONDENSADA AZUCARADA VILLA LÁCTEA </t>
    </r>
    <r>
      <rPr>
        <b/>
        <sz val="13"/>
        <color rgb="FFFF0000"/>
        <rFont val="Times New Roman"/>
        <family val="1"/>
      </rPr>
      <t>(NUEVO)</t>
    </r>
  </si>
  <si>
    <r>
      <rPr>
        <b/>
        <sz val="13"/>
        <color rgb="FFFFFFFF"/>
        <rFont val="Times New Roman"/>
        <family val="1"/>
      </rPr>
      <t>MANTEQUILLA CAMPESTRE</t>
    </r>
  </si>
  <si>
    <r>
      <rPr>
        <b/>
        <sz val="13"/>
        <color rgb="FFFFFFFF"/>
        <rFont val="Times New Roman"/>
        <family val="1"/>
      </rPr>
      <t>DULCE DE LECHE CAMPESTRE</t>
    </r>
  </si>
  <si>
    <r>
      <rPr>
        <b/>
        <sz val="13"/>
        <color rgb="FFFFFFFF"/>
        <rFont val="Times New Roman"/>
        <family val="1"/>
      </rPr>
      <t>MODIFICADORES LÁCTEOS</t>
    </r>
  </si>
  <si>
    <r>
      <rPr>
        <sz val="13"/>
        <rFont val="Times New Roman"/>
        <family val="1"/>
      </rPr>
      <t xml:space="preserve">DALVI EDAM PORCIONADO 12X500G </t>
    </r>
    <r>
      <rPr>
        <b/>
        <sz val="13"/>
        <color rgb="FFFF0000"/>
        <rFont val="Times New Roman"/>
        <family val="1"/>
      </rPr>
      <t>(NUEVO)</t>
    </r>
  </si>
  <si>
    <r>
      <rPr>
        <sz val="13"/>
        <rFont val="Times New Roman"/>
        <family val="1"/>
      </rPr>
      <t xml:space="preserve">DALVI CHEDDAR PORCIONADO 12X500G </t>
    </r>
    <r>
      <rPr>
        <b/>
        <sz val="13"/>
        <color rgb="FFFF0000"/>
        <rFont val="Times New Roman"/>
        <family val="1"/>
      </rPr>
      <t>(NUEVO)</t>
    </r>
  </si>
  <si>
    <r>
      <rPr>
        <sz val="13"/>
        <rFont val="Times New Roman"/>
        <family val="1"/>
      </rPr>
      <t xml:space="preserve">DALVI PEPPERJACK PORCIONADO 12X500G </t>
    </r>
    <r>
      <rPr>
        <b/>
        <sz val="13"/>
        <color rgb="FFFF0000"/>
        <rFont val="Times New Roman"/>
        <family val="1"/>
      </rPr>
      <t>(NUEVO)</t>
    </r>
  </si>
  <si>
    <r>
      <rPr>
        <b/>
        <sz val="13"/>
        <color rgb="FFFFFFFF"/>
        <rFont val="Times New Roman"/>
        <family val="1"/>
      </rPr>
      <t>BEBIDAS INSTANTÁNEAS</t>
    </r>
  </si>
  <si>
    <r>
      <rPr>
        <sz val="13"/>
        <rFont val="Times New Roman"/>
        <family val="1"/>
      </rPr>
      <t xml:space="preserve">SEASONS FRUIT NARANJA SACHET 12x6x30g </t>
    </r>
    <r>
      <rPr>
        <b/>
        <sz val="13"/>
        <color rgb="FFFF0000"/>
        <rFont val="Times New Roman"/>
        <family val="1"/>
      </rPr>
      <t>(NUEVO)</t>
    </r>
  </si>
  <si>
    <r>
      <rPr>
        <sz val="13"/>
        <rFont val="Times New Roman"/>
        <family val="1"/>
      </rPr>
      <t xml:space="preserve">SEASONS FRUIT FRESA SACHET 12x6x30g </t>
    </r>
    <r>
      <rPr>
        <b/>
        <sz val="13"/>
        <color rgb="FFFF0000"/>
        <rFont val="Times New Roman"/>
        <family val="1"/>
      </rPr>
      <t>(NUEVO)</t>
    </r>
  </si>
  <si>
    <r>
      <rPr>
        <sz val="13"/>
        <rFont val="Times New Roman"/>
        <family val="1"/>
      </rPr>
      <t xml:space="preserve">SEASONS FRUIT MANDARINA SACHET 12x6x30g </t>
    </r>
    <r>
      <rPr>
        <b/>
        <sz val="13"/>
        <color rgb="FFFF0000"/>
        <rFont val="Times New Roman"/>
        <family val="1"/>
      </rPr>
      <t>(NUEVO)</t>
    </r>
  </si>
  <si>
    <t>SALCHICHA ALEMANA 420 GR TOVAR</t>
  </si>
  <si>
    <t>SALCHICHA POLACA 420 GR TOVAR</t>
  </si>
  <si>
    <t>SALCHICHA FRANKFURT 400 GR TOVAR</t>
  </si>
  <si>
    <t>SALCHICHA 6UND FRANKFURT TOVAR</t>
  </si>
  <si>
    <t>SALCHICHA POLACA SUPERIOR 5UNID TOVAR</t>
  </si>
  <si>
    <t>LECHE EN POLVO SEMIDESCREMADO 900GR TORONDOY</t>
  </si>
  <si>
    <t>MANTEQUILLA CON SAL 200 GR TORONDOY</t>
  </si>
  <si>
    <t>PARMESANO AÑEJO TORONDOY KG</t>
  </si>
  <si>
    <t>PARMESANO TORONDOY KG</t>
  </si>
  <si>
    <t>PECORINO TORONDOY KG</t>
  </si>
  <si>
    <t>QUESO BOLA TORONDOY KG</t>
  </si>
  <si>
    <t>QUESO GOUDA MLEKOVITA KG</t>
  </si>
  <si>
    <t>QUESO MUNSTER TORONDOY KG</t>
  </si>
  <si>
    <t>QUESO PASTEURIZADO TORONDOY KG</t>
  </si>
  <si>
    <t>QUESO VENMENTAL TORONDOY KG</t>
  </si>
  <si>
    <t>PEDIDO HECHO 8 DE SEPTI</t>
  </si>
  <si>
    <t>ANTERIOR</t>
  </si>
  <si>
    <t>6 DIAS</t>
  </si>
  <si>
    <t>8 DIAS</t>
  </si>
  <si>
    <t>SUGERIDO</t>
  </si>
  <si>
    <t>QUEDA</t>
  </si>
  <si>
    <t>BELMONT GRANDE</t>
  </si>
  <si>
    <t>BELMONT PEQUEÑO</t>
  </si>
  <si>
    <t>LUCKY MORADO 20 UND</t>
  </si>
  <si>
    <t>LUCKY STRIKE AZUL</t>
  </si>
  <si>
    <t>LUCKY STRIKE ROJO</t>
  </si>
  <si>
    <t>LUCKY STRIKE WILD</t>
  </si>
  <si>
    <t>PALL MALL GRANDE</t>
  </si>
  <si>
    <t>PALL MALL PEQUEÑO</t>
  </si>
  <si>
    <t>VICEROY</t>
  </si>
  <si>
    <t>UNIVERSAL</t>
  </si>
  <si>
    <t>CHESTERFILD AZUL</t>
  </si>
  <si>
    <t xml:space="preserve">CHESTERFIELD ROJO </t>
  </si>
  <si>
    <t>CHESTERFIELD BLANCO</t>
  </si>
  <si>
    <t>MARLBORO ROJO</t>
  </si>
  <si>
    <t>MARLBORO AZUL</t>
  </si>
  <si>
    <t>MARLBORO VERDE</t>
  </si>
  <si>
    <t xml:space="preserve">MARLBORO GOL </t>
  </si>
  <si>
    <t>NUEVA FACTURA</t>
  </si>
  <si>
    <t xml:space="preserve">LUCKY MORADO </t>
  </si>
  <si>
    <t>COD</t>
  </si>
  <si>
    <t>SUGERIDO DE BIGGOT</t>
  </si>
  <si>
    <t>PRECIO DEL SUGERIDO POR PAQUETE</t>
  </si>
  <si>
    <t>COSTO REAL DE FACTURA</t>
  </si>
  <si>
    <t xml:space="preserve">COSTO DE FACTURA </t>
  </si>
  <si>
    <t xml:space="preserve">PRECIO CON EL      8 %  </t>
  </si>
  <si>
    <t xml:space="preserve">PRECIO DE VENTA  </t>
  </si>
  <si>
    <t>TODAY</t>
  </si>
  <si>
    <t>8 DE SEPTIEMBRE</t>
  </si>
  <si>
    <t>LECHE EN POLVO COMPLETA  1 KG  TORONDOY</t>
  </si>
  <si>
    <t>SHAMPOO 340 ML CERAMIDAS SEDAL</t>
  </si>
  <si>
    <t>PAÑAL  M 30 UND ACTIVE SEC HUGGIES</t>
  </si>
  <si>
    <t>ACONDICIONADOR RESCONST COMPLETA 400 ML CABELLO DAÑADO DOVE</t>
  </si>
  <si>
    <t>ACONDICIONADOR 400 ML OLEO NUT CABELLO SECO DOVE</t>
  </si>
  <si>
    <t>ACONDICIONADOR 340 ML RIZOS DEFINIDOS SEDAL</t>
  </si>
  <si>
    <t>SHAMPOO 340 ML DUO 2 EN 1 SEDAL</t>
  </si>
  <si>
    <t>SHAMPOO 400 ML RECONTRUCCION COMPLETA DOVE</t>
  </si>
  <si>
    <t>SHAMPOO 400 ML OLEO NUTRICION DOVE</t>
  </si>
  <si>
    <t>SHAMPOO 340 ML RIZOS DEFINIDOS SEDAL</t>
  </si>
  <si>
    <t>JABON TOCADOR 125 GR JAZMIN LUX</t>
  </si>
  <si>
    <t>JABON TOCADOR 125 GR FLOR VAINILLA LUX</t>
  </si>
  <si>
    <t>JABON TOCADOR 120 GR BAMBOO REXONA</t>
  </si>
  <si>
    <t>JABON TOCADOR 120 GR FRESH REXONA</t>
  </si>
  <si>
    <t>DESODORANTE 50 GR COTTON DRY REXONA</t>
  </si>
  <si>
    <t>DESODORANTE MEN 50 GR BARRA INVISIBLE REXONA</t>
  </si>
  <si>
    <t>DESODORANTE PARA PIES 153 ML ORIGINAL REXONA</t>
  </si>
  <si>
    <t>ROLLON 50 ML INVISIBLE MEN REXONA</t>
  </si>
  <si>
    <t>ROLLON 50 ML MEN SPORTFAN REXONA</t>
  </si>
  <si>
    <t>PROTECTORES DIARIOS X 50 KOTEX MEGA PACK</t>
  </si>
  <si>
    <t>TOALLAS SANITARIAS 8 UND NOCTURNAS KOTEX</t>
  </si>
  <si>
    <t>PAÑAL ACTIVE SEC TALLA G/3 30 UND HUGGIES</t>
  </si>
  <si>
    <t>TOALLAS SANITARIA 10 UND NORMAL KOTEX</t>
  </si>
  <si>
    <t>PROTECTORES DIARIOS 50 UND KOTEX</t>
  </si>
  <si>
    <t>TOALLAS HUMEDAS 48 UND HUGGIES</t>
  </si>
  <si>
    <t>PAPEL HIGIENICO RINDEMAX 4ROLLOS SCOTT</t>
  </si>
  <si>
    <t>PAÑAL ACTIVE SEC 20 UND XG HUGGIES</t>
  </si>
  <si>
    <t>PAÑAL ACTIVE SEC XXG 20 UND HUGGIES</t>
  </si>
  <si>
    <t>PAÑAL ACTIVE SEC 20 UND TALLA G HUGGIES</t>
  </si>
  <si>
    <t>PAÑAL NATURAL CARE (M) HUGGIES</t>
  </si>
  <si>
    <t>PAÑAL NATURAL CARE (G) HUGGIES</t>
  </si>
  <si>
    <t>PAÑAL NATURAL CARE (XG) HUGGIES</t>
  </si>
  <si>
    <t>SHAMPOO 340ML CONTROL CASPA SEDAL</t>
  </si>
  <si>
    <t>DESODORANTE 50 GR MEN+CARE DOVE</t>
  </si>
  <si>
    <t>40 BULTOS</t>
  </si>
  <si>
    <t>48 UND</t>
  </si>
  <si>
    <t>HIPER  MODELO</t>
  </si>
  <si>
    <t>3 BULTO</t>
  </si>
  <si>
    <t>KOTEX TOALLA FEMENINA DISCRETA 10 UND</t>
  </si>
  <si>
    <t xml:space="preserve">TOALLAS HUMEDAS HUGGIES LIMP COTIDIANA (AMARILLOS) 80 UND </t>
  </si>
  <si>
    <t>7896018700628</t>
  </si>
  <si>
    <t>TOALLAS HUMEDAS HUGGIES LIMP EFECTIVA (VERDES) 48 UND CON TAPA NUEVO</t>
  </si>
  <si>
    <t>ADOBO COMPLETO 200 GR LA COMADRE</t>
  </si>
  <si>
    <t>AVENA EN HOJUELAS 400GR  LASSIE</t>
  </si>
  <si>
    <t>AVENA EN HOJUELAS 800GR LASSIE</t>
  </si>
  <si>
    <t>HARINA DE MAIZ CLASICA 1KG JUANA</t>
  </si>
  <si>
    <t>HARINA DE MAIZ INTEGRAL 1KG  LIGERINA  DEMASA</t>
  </si>
  <si>
    <t>HARINA DE TRIGO 1KG LEUDANTE    ROBIN HOOD</t>
  </si>
  <si>
    <t>HARINA JUANA NUEVA IMAGEN 1KG AMARILLA</t>
  </si>
  <si>
    <t>HARINA TRIGO TODO USO ROBIN HOOD 1KG</t>
  </si>
  <si>
    <t>JUANA CACHAPA MEZCLA LISTA 500G</t>
  </si>
  <si>
    <t>MEZCLA AREPITAS DULCE 500 GR JUANA</t>
  </si>
  <si>
    <t>TORTILLAS DE TRIGO ORIGINAL 330GR ROBIN HOOD</t>
  </si>
  <si>
    <t>LUCKY STRIKE NOVA</t>
  </si>
  <si>
    <t>G</t>
  </si>
  <si>
    <r>
      <t xml:space="preserve">CODIGO </t>
    </r>
    <r>
      <rPr>
        <b/>
        <i/>
        <sz val="11"/>
        <color theme="1"/>
        <rFont val="Calibri"/>
        <family val="2"/>
        <scheme val="minor"/>
      </rPr>
      <t>INT</t>
    </r>
  </si>
  <si>
    <t>CASABITO NATURAL 30 UND SOL DE CARABOBO</t>
  </si>
  <si>
    <t>CASABITO CON CEBOLLA 30 UND SOL DE CARABOBO</t>
  </si>
  <si>
    <t>CASABE 4 UND SOL DE CARABOBO</t>
  </si>
  <si>
    <t>CASABITO CON AJO 30 UND SOL DE CARABOBO</t>
  </si>
  <si>
    <t>CASABITO CON AJI PICANTE 30 UND SOL DE CARABOBO</t>
  </si>
  <si>
    <t>20 UND</t>
  </si>
  <si>
    <t>ACONDICIONADOR HUMECTANTE 360 ML DIGI</t>
  </si>
  <si>
    <t>AGUA OXIGENADA 20 VOL 500 CC ROLDA</t>
  </si>
  <si>
    <t>AGUA OXIGENADA 500 CC VOL 30 ROLDA</t>
  </si>
  <si>
    <t>AGUA OXIGENADA CON FRAGANCIA 20VOL.120CM ROLDA</t>
  </si>
  <si>
    <t>AGUA OXIGENDA VOLUMEN 30.120CC  ROLDA</t>
  </si>
  <si>
    <t>BRILLANTINA PROFESIONAL 100GR  ROLDA</t>
  </si>
  <si>
    <t>CHAMPU ALGAS MARINA LINEA FAMILIAR 1100ML ROLDA</t>
  </si>
  <si>
    <t>CREMA P/PEINAR 300CM CERA D/ABEJAS ROLDA</t>
  </si>
  <si>
    <t>CREMA P/PEINAR CON PLACENTA 300ML ROLDA</t>
  </si>
  <si>
    <t>CREMA P/PEINAR MAYOLIVA TERMO 5FIVE 180ML ROLDA</t>
  </si>
  <si>
    <t>CREMA P/PEINAR THERMO 5FIVE CHOCOLATE 180ML ROLDA</t>
  </si>
  <si>
    <t>CREMA PARA PEINAR  KARITE &amp; QUERAT THERMO 5FIVE 180ML ROLDA</t>
  </si>
  <si>
    <t>CREMA PARA PEINAR ACEITE DE VISON 300ML ROLDA</t>
  </si>
  <si>
    <t>CREMA PARA PEINAR COLAGENO 300ML ROLDA</t>
  </si>
  <si>
    <t>CREMA PARA PEINAR YOGURT THERMO 5FIVE 180ML ROLDA</t>
  </si>
  <si>
    <t>DESCOLORANTE EN POLVO CON PROTEINAS DE SEDA 25GR ROLDA</t>
  </si>
  <si>
    <t>GEL ANTIBACTERIAL CLASICA TRADICIONAL 85GR DIGI ROLDA</t>
  </si>
  <si>
    <t>GEL DE DUCHA POWER FIX 3EN1 400ML ROLDA</t>
  </si>
  <si>
    <t>GEL DE DUCHA SPORT LOOK 3EN1 400ML ROLDA</t>
  </si>
  <si>
    <t>GEL DIGI 120 GR BLANCO EFFECT ROLDA</t>
  </si>
  <si>
    <t>GEL DIGI 120GR AZUL CASCO EFFECT ROLDA</t>
  </si>
  <si>
    <t>GEL DIGI 250 GR BLANCO ROLDA</t>
  </si>
  <si>
    <t>GEL DIGI 250 GR FIJADOR AZUL ROLDA</t>
  </si>
  <si>
    <t>GEL FIJADOR 120 GR EXTRACTOS BOTANICOS BLANCO ROLDA</t>
  </si>
  <si>
    <t>GEL FIJADOR 120 GR EXTRATOS BOTANICOS MORADO ROLDA</t>
  </si>
  <si>
    <t>GEL FIJADOR 120 GR ROJO ROLDA</t>
  </si>
  <si>
    <t>GEL FIJADOR 250 GR AGUA MARINA ROLDA</t>
  </si>
  <si>
    <t>GEL FIJADOR 250 GR ANTICAIDA BLANCO ROLDA</t>
  </si>
  <si>
    <t>GEL FIJADOR 250 GR ANTICASPA AZUL ROLDA</t>
  </si>
  <si>
    <t>GEL FIJADOR 250 GR ROJO ROLDA</t>
  </si>
  <si>
    <t>GEL FIJADOR 500 GR EXTRACTOS BOTANICOS BLANCO ROLDA</t>
  </si>
  <si>
    <t>GEL FIJADOR 500 GR EXTRACTOS BOTANICOS MORADO ROLDA</t>
  </si>
  <si>
    <t>GEL FIJADOR 500 GR VERDE ROLDA</t>
  </si>
  <si>
    <t>GEL FIJADOR AGUA MARINA 120GR ROLDA</t>
  </si>
  <si>
    <t>GEL FIJADOR AZUL 250GR ROLDA</t>
  </si>
  <si>
    <t>GEL FIJADOR AZUL 500GR ROLDA</t>
  </si>
  <si>
    <t>GEL FIJADOR BLACK 120GR ROLDA</t>
  </si>
  <si>
    <t>GEL FIJADOR BLACK STYLING 250GR ROLDA</t>
  </si>
  <si>
    <t>GEL FIJADOR BLANCO  500GR ROLDA</t>
  </si>
  <si>
    <t>GEL FIJADOR BLANCO 1000 GR ROLDA</t>
  </si>
  <si>
    <t>GEL FIJADOR BLANCO 120GR  ROLDA</t>
  </si>
  <si>
    <t>GEL FIJADOR BLANCO 250GR ROLDA</t>
  </si>
  <si>
    <t>GEL FIJADOR MORADO 250GR ROLDA</t>
  </si>
  <si>
    <t>GEL FIJADOR MORADO 500GR ROLDA</t>
  </si>
  <si>
    <t>GEL FIJADOR POWER FIX 120GR ROLDA</t>
  </si>
  <si>
    <t>GEL FIJADOR POWER FIX 250GR ROLDA</t>
  </si>
  <si>
    <t>GEL FIJADOR SPORT LOOK 120GR ROLDA</t>
  </si>
  <si>
    <t>GEL FIJADOR SPORT STYLING 250GR ROLDA</t>
  </si>
  <si>
    <t>GEL FIJADOR TRADICIONAL AGUA MARINA 500GR ROLDA</t>
  </si>
  <si>
    <t>GEL FIJADOR TRADICIONAL AZUL 120GR ROLDA</t>
  </si>
  <si>
    <t>GEL FIJADOR TRADICIONAL MORADO 120GR ROLDA</t>
  </si>
  <si>
    <t>GEL FIJADOR TRADICIONAL ROJO 1000GR ROLDA</t>
  </si>
  <si>
    <t>GEL FIJADOR TRADICIONAL ROJO 500GR ROLDA</t>
  </si>
  <si>
    <t>GEL FIJADOR VERDE 250GR  ROLDA</t>
  </si>
  <si>
    <t>LINEA FAMILIAR ACONDICIONADOR CON PROTEINAS 1100CC</t>
  </si>
  <si>
    <t>LINEA FAMILIAR CHAMPU PLUS AMARILLO 1100CC ROLDA</t>
  </si>
  <si>
    <t>LINEA FAMILIAR CHAMPU PLUS NARANJA 1100CC ROLDA</t>
  </si>
  <si>
    <t>LINEA FAMILIAR CHAMPU PLUS VERDE 1100CC ROLDA</t>
  </si>
  <si>
    <t>MASCARILLA CAPILAR ACEITE DE VISON 225GR ROLDA</t>
  </si>
  <si>
    <t>MASCARILLA CAPILAR ACEITE DE VISON 450GR ROLDA</t>
  </si>
  <si>
    <t>MASCARILLA CAPILAR CERA DE ABEJA 225GR ROLDA</t>
  </si>
  <si>
    <t>MASCARILLA CAPILAR CERA DE ABEJAS 450GR  ROLDA</t>
  </si>
  <si>
    <t>MASCARILLA CAPILAR COLAGENO 225GR ROLDA</t>
  </si>
  <si>
    <t>MASCARILLA CAPILAR COLAGENO 450GR ROLDA</t>
  </si>
  <si>
    <t>REMOVEDOR D/ESMALTE ULTRA FUERTE 120ML ROLDA</t>
  </si>
  <si>
    <t>REMOVEDOR DE ESMALTE BLANQUEADOR 120ML RLDA</t>
  </si>
  <si>
    <t>REMOVEDOR DE ESMALTE ENDURECEDOR 120ML ROLDA</t>
  </si>
  <si>
    <t>REMOVEDOR DE ESMALTE HUMECTANTE 120ML ROLDA</t>
  </si>
  <si>
    <t>RESTRUCTURANTE SILICON PROFESIONAL 70CC ROLDA</t>
  </si>
  <si>
    <t>SHAMPOO PLUS 360 ML AMBAR COCO DIGI</t>
  </si>
  <si>
    <t>SHAMPOO PLUS 360 ML AZUL ALGAS MARINAS DIGI</t>
  </si>
  <si>
    <t>SHAMPOO THERMO FIVE CHOCOLATE 400ML ROLDA</t>
  </si>
  <si>
    <t>SHAMPOO THERMO FIVE KARITE&amp;QUERATINA 400ML ROLDA</t>
  </si>
  <si>
    <t>SHAMPOO THERMO FIVE MAYOLIVA 400ML ROLDA</t>
  </si>
  <si>
    <t>SHAMPOO THERMO FIVE YOGURT 400ML ROLDA</t>
  </si>
  <si>
    <t>TRAT.CAPILAR CON PLACENTA 470GR ROLDA</t>
  </si>
  <si>
    <t>TRATAMIENTO CAPILAR CON PLACENTA 240GR ROLDA</t>
  </si>
  <si>
    <t>TRATAMIENTO TERMO 5FIVE YOGURT 240GR ROLDA</t>
  </si>
  <si>
    <t>TRATAMIENTO THERMO 5FIVE CHOCOLATE 240 GR ROLDA</t>
  </si>
  <si>
    <t>TRATAMIENTO THERMO 5FIVE KARITE &amp; QUERATINA 240 GR ROLDA</t>
  </si>
  <si>
    <t>TRATAMIENTO THERMO 5FIVE MAYOLIVA 240 GR ROLDA</t>
  </si>
  <si>
    <t>VASELINA SABILA Y VITAMINA E 100GR   ROLDA</t>
  </si>
  <si>
    <t>WOMEN ACTIVE LOCION LIMPIADORA ANTI-CASPA 400CM ROLDA</t>
  </si>
  <si>
    <t>PEDIDO HECHO 9 DE SEPTIEMBRE</t>
  </si>
  <si>
    <t xml:space="preserve">PEDIDO HECHO </t>
  </si>
  <si>
    <t>AFTER SHAVE BALSAMO 100ML MALIZIA</t>
  </si>
  <si>
    <t>AFTER SHAVE LOCION TONICA 100ML MALIZIA</t>
  </si>
  <si>
    <t>COMBO NRO 10 MALIZIA</t>
  </si>
  <si>
    <t>COMBO NRO 11 MALIZIA</t>
  </si>
  <si>
    <t>COMBO NRO 3 INTENSA</t>
  </si>
  <si>
    <t>COMBO NRO 4 INTENSA</t>
  </si>
  <si>
    <t>COMBO NRO 5 INTENSA</t>
  </si>
  <si>
    <t>COMBO NRO 6 INTENSA</t>
  </si>
  <si>
    <t>COMBO NRO 9 MALIZIA</t>
  </si>
  <si>
    <t>DEODORANT BODYSPRAY  VITACELL 150ML INTESA</t>
  </si>
  <si>
    <t>DEODORANT BODYSPRAY AMBER 150ML MALIZIA</t>
  </si>
  <si>
    <t>DEODORANT BODYSPRAY AQUA 150ML MALIZIA</t>
  </si>
  <si>
    <t>DEODORANT BODYSPRAY BLACK&amp;WILD 150ML MALIZIA</t>
  </si>
  <si>
    <t>DEODORANT BODYSPRAY ENERGY 150ML MALIZIA</t>
  </si>
  <si>
    <t>DEODORANT BODYSPRAY GOLD 150ML MALIZIA</t>
  </si>
  <si>
    <t>DEODORANT BODYSPRAY MUSK 150ML MALIZIA</t>
  </si>
  <si>
    <t>DEODORANT BODYSPRAY NO ALCOOL 150ML MALIZIA</t>
  </si>
  <si>
    <t>DEODORANT BODYSPRAY SILVER 150ML MALIZIA</t>
  </si>
  <si>
    <t>DEODORANT BODYSPRAY SKYLINE 150ML MALIZIA</t>
  </si>
  <si>
    <t>DEODORANT BODYSPRAY URBAN LIFE 150ML MALIZIA</t>
  </si>
  <si>
    <t>DEODORANT BODYSPRAY VETYVER 150ML MALIZIA</t>
  </si>
  <si>
    <t>DEODORANT ENERGY POWER 150ML INTESA</t>
  </si>
  <si>
    <t>DEODORANT SEXTREME UNISEX 125ML INTESA</t>
  </si>
  <si>
    <t>DEODORANT SUPER SEX UNISEX 125ML INTESA</t>
  </si>
  <si>
    <t>DEODORANT TATTOO UNISEX 125ML INTESA</t>
  </si>
  <si>
    <t>DESOD. CORPORAL MIRAGE D AMOUR 100ML MALIZIA</t>
  </si>
  <si>
    <t>DESOD.CORPORAL SENSUAL BLUE 100ML MALIZIA</t>
  </si>
  <si>
    <t>DESODORANT CORPORAL ANIMALIER 100ML MALIZIA</t>
  </si>
  <si>
    <t>DESODORANT CORPORAL BRIVIDO 100ML MALIZIA</t>
  </si>
  <si>
    <t>DESODORANT CORPORAL BURLESQUE 100ML MALIZIA</t>
  </si>
  <si>
    <t>DESODORANT CORPORAL GREEN T 100ML MALIZIA</t>
  </si>
  <si>
    <t>DESODORANT CORPORAL INTENSE 100ML MALIZIA</t>
  </si>
  <si>
    <t>DESODORANT CORPORAL LOLITA 100ML MALIZIA</t>
  </si>
  <si>
    <t>DESODORANT CORPORAL PASSION 100ML MALIZIA</t>
  </si>
  <si>
    <t>DESODORANT CORPORAL PURPLE 100ML MALIZIA</t>
  </si>
  <si>
    <t>DESODORANT CORPORAL SECRET MUSK 100ML MALIZIA</t>
  </si>
  <si>
    <t>DESODORANT CORPORAL TOUJOURS 100ML MALIZIA</t>
  </si>
  <si>
    <t>DESODORANT CORPORAL VAINILLA 100ML MALIZIA</t>
  </si>
  <si>
    <t>DESODORANT SPRAY  ORIGINAL 150ML MALIZIA</t>
  </si>
  <si>
    <t>DESODORANT SPRAY TALC 150ML MALIZIA</t>
  </si>
  <si>
    <t>DESORORANT CORPORAL CERTEZZA 100ML MALIZIA</t>
  </si>
  <si>
    <t>ESPUMA DE AFEITAR VITA- E WOODY 300ML INTESA</t>
  </si>
  <si>
    <t>ESPUMA DE AFEITAR VITACELL 300ML INTESA</t>
  </si>
  <si>
    <t>ESPUMA DE BARBA ARGAN &amp; KARITE 300ML MALIZIA</t>
  </si>
  <si>
    <t>ESPUMA DE BARBA ENERGY POWER 300ML INTESA</t>
  </si>
  <si>
    <t>ESPUMA DE BARBA VETYVER 300ML MALIZIA</t>
  </si>
  <si>
    <t>ESPUMA P/CABELLO ECOLOGICA 200ML MALIZIA</t>
  </si>
  <si>
    <t>INTENSA DEO AMBRA DARABIA 125 ML UNI SEX</t>
  </si>
  <si>
    <t>JABON LIQ.ARGAN/VAINILLA 1LT MALIZIA</t>
  </si>
  <si>
    <t>JABON LIQ.ARGAN/VAINILLA 300ML MALIZIA</t>
  </si>
  <si>
    <t>JABON LIQ.CREMA DE LECHE 1LT MALIZIA</t>
  </si>
  <si>
    <t>JABON LIQ.CREMA DE LECHE 300ML MALIZIA</t>
  </si>
  <si>
    <t>JABON LIQ.MUSCHIO BIANCO 300ML MALIZIA</t>
  </si>
  <si>
    <t>JABON LIQ.TE VERDE/MENTA 1LT MALIZIA</t>
  </si>
  <si>
    <t>JABON LIQ.TE VERDE/MENTA 300ML MALIZIA</t>
  </si>
  <si>
    <t>MALIZIA E LACCA EXTRA FORTE 300 ML ECOFIX</t>
  </si>
  <si>
    <t>MALIZIA E LACCA FORTE ECOFIX 300 ML</t>
  </si>
  <si>
    <t>MALIZIA F JABON INTIMO 200 ML CALENDULA</t>
  </si>
  <si>
    <t>MALIZIA F JABON INTIMO 200 ML CAMOMILA</t>
  </si>
  <si>
    <t>MALIZIA F JABON INTIMO 200 ML TE VERDE</t>
  </si>
  <si>
    <t>TOALLITAS HUMECTANTES INTIMA 20PZ MALIZIA</t>
  </si>
  <si>
    <t>6 UNDADES</t>
  </si>
  <si>
    <t>6 UNIDADES</t>
  </si>
  <si>
    <t>UVAS PASAS (PASITAS)</t>
  </si>
  <si>
    <t>COMPRADAS</t>
  </si>
  <si>
    <t>PLATOS PLASTICO P5     ZUPLA</t>
  </si>
  <si>
    <t>PLATOS PLASTICOS P 7 ZUPLA</t>
  </si>
  <si>
    <t>VASOS PLASTICO 27 ZUPLA</t>
  </si>
  <si>
    <t>VASOS PLASTICOS 107 ZUPLA</t>
  </si>
  <si>
    <t>VASOS PLASTICOS 57 ZUPLA</t>
  </si>
  <si>
    <t>VASOS PLASTICOS 77 S ZUPLA</t>
  </si>
  <si>
    <t>VASOS ZUPLA #67 SS 100 UND</t>
  </si>
  <si>
    <t xml:space="preserve">PITILLO ZUPLA </t>
  </si>
  <si>
    <t xml:space="preserve">PLATOS PLASTICO P 6 ZUPLA </t>
  </si>
  <si>
    <t>Cantidad POR EMPAQUE</t>
  </si>
  <si>
    <t>4 CAJA</t>
  </si>
  <si>
    <t>4CAJA</t>
  </si>
  <si>
    <t>pedido pendiente por pasar</t>
  </si>
  <si>
    <t>20 CAJA</t>
  </si>
  <si>
    <t>CERVEZA 222 ML RET SOLERA RETORNABLE VERDE POLAR</t>
  </si>
  <si>
    <t>SACO SAL 25KG CELESTIAL</t>
  </si>
  <si>
    <t>FAMA DE AMERICA 200GR PREMIUM</t>
  </si>
  <si>
    <t>TANS SHAMPOO 3 EN 1 TAPA ROSADA 405ML</t>
  </si>
  <si>
    <t>TANS SHAMPOO 3 EN 1 TAPA NEGRA 405ML</t>
  </si>
  <si>
    <t>ACEITE DE SOYA 900ML DOÑA ALICIA</t>
  </si>
  <si>
    <t>ARROZ BLANCO TIPO I 1KG DOÑA ALICIA</t>
  </si>
  <si>
    <t>ARROZ BLANCO TIPO A 1KG PLATINUM</t>
  </si>
  <si>
    <t>ACEITE DE GIRASOL 900ML DOÑA ALICIA</t>
  </si>
  <si>
    <t>ARROZ ESPIGA DORADA TIPO III 1KG.</t>
  </si>
  <si>
    <t>CARAOTAS NEGRAS 500GR DOÑA ALICIA</t>
  </si>
  <si>
    <t>ARROZ EXCELENTE 1KG SANTONI</t>
  </si>
  <si>
    <t>ARROZ PREMIUM 1KG SANTONI</t>
  </si>
  <si>
    <t>ARROZ SAFIRO 1KG SANTONI</t>
  </si>
  <si>
    <t>CHICHA TONI INTANTANEA 400GR SANTONI</t>
  </si>
  <si>
    <t>CHOCO TONI INSTANTANEA 400GR SANTONI</t>
  </si>
  <si>
    <t>CREMA DE ARROZ 400GR SANTONI</t>
  </si>
  <si>
    <t>NUTRI TONI INSTANTANEA 450GR SANTONI</t>
  </si>
  <si>
    <t>PEDIDO HECHO 14 DE SEPTIEMBRE</t>
  </si>
  <si>
    <t>SR MIGUEL   14 DE SEPTIEMBRE</t>
  </si>
  <si>
    <t>AVENA EN HOJUELAS 800GR LA LUCHA</t>
  </si>
  <si>
    <t>CARAOTAS NEGRAS 500GR</t>
  </si>
  <si>
    <t>CREMA DE ARROZ LA LUCHA 450G</t>
  </si>
  <si>
    <t>FORORO 900 GR ENDULZADO TOSTADO LA LUCHA</t>
  </si>
  <si>
    <t>FORORO 900GR SIMPLE HARINA DE MAIZ TOSTADO  LA LUCHA</t>
  </si>
  <si>
    <t>GOFIO HARINA DE TOSTADO 900 GR LA LUCHA</t>
  </si>
  <si>
    <t>HARINA DE MAIZ BLANCO LUCHAREPA 1KG LA LUCHA</t>
  </si>
  <si>
    <t>HARINA DE TRIGO LEUDANTE 1KG LA LUCHA</t>
  </si>
  <si>
    <t>HARINA DE TRIGO TODO USO 1KG LA LUCHA</t>
  </si>
  <si>
    <t>HARINA DE TRIGO TOSTADO GOFIO 450GR LA LUCHA</t>
  </si>
  <si>
    <t>MAIZ PARA COTUFA 500GR LA LUCHA</t>
  </si>
  <si>
    <t>PABILO</t>
  </si>
  <si>
    <t>60 PAQ</t>
  </si>
  <si>
    <t>AJI DULCE 150 GR EL ANDINITO</t>
  </si>
  <si>
    <t>AJO PELADO 150 GR EL ANDINITO</t>
  </si>
  <si>
    <t>HELADO 2 LT CHOCOLATE EFE</t>
  </si>
  <si>
    <t>HELADO 2 LT MANTECADO EFE</t>
  </si>
  <si>
    <t>HELADO DE CAFE 920 ML EFE</t>
  </si>
  <si>
    <t>HELADO DE COCO 920 ML EFE</t>
  </si>
  <si>
    <t>HELADO DE FRESA  920 ML EFE</t>
  </si>
  <si>
    <t>HELADO DUO CHOCO/MANTECADO 2L EFE</t>
  </si>
  <si>
    <t>HELADO DUO MANTECADO FRESA 2L EFE</t>
  </si>
  <si>
    <t>HELADO DUO MANTECADO Y CHOCOLATE 2 LT EFE</t>
  </si>
  <si>
    <t>HELADO MANTECADO 920 ML EFE</t>
  </si>
  <si>
    <t>HELADO NAPOLITANO  2 LT EFE</t>
  </si>
  <si>
    <t>HELADO RON PASAS 920 ML EFE</t>
  </si>
  <si>
    <t>HELADO TODDY 920 ML EFE</t>
  </si>
  <si>
    <t>HELADO CHOCOLATE 920ML EFE</t>
  </si>
  <si>
    <t>PEDDIDO  14 DE SEPTIEMBRE</t>
  </si>
  <si>
    <t xml:space="preserve">VENTAS PEPSI, DESDE 10 AL 13  DE SEPTIEMBRE 2021 </t>
  </si>
  <si>
    <t>BCV HOY 13 DE SEPTIEMBRE DEL 2021 ( 4057528.65)</t>
  </si>
  <si>
    <t>REFRESCO PEPSI 2 LTS PEPSI COLA.</t>
  </si>
  <si>
    <t>HARINA DE TRIGO DOÑA MARIA 1KG.</t>
  </si>
  <si>
    <t>MANTECA TODO USO TRESCO LTE 15 KG (CARGILL)</t>
  </si>
  <si>
    <t>ACEITE VEGETAL 1 LT VATEL</t>
  </si>
  <si>
    <t>PASTA PLUMA 1 KG MIMESA</t>
  </si>
  <si>
    <t>HARINA DE TRIGO LEUDANTE 1 KG BLANCAFLOR</t>
  </si>
  <si>
    <t>HARINA DE TRIGO TODO USO 1 KG BLANCAFLOR</t>
  </si>
  <si>
    <t>HARINA DE TRIGO 1 KG TODO USO SAN AGUSTIN</t>
  </si>
  <si>
    <t>ACEITE SOYA 500GR VATEL</t>
  </si>
  <si>
    <t>ACEITE DE SOYA 900 ML LIZA</t>
  </si>
  <si>
    <t>PASTA VERMICELLI JET 500 GR RONCO</t>
  </si>
  <si>
    <t>PASTA PREMIUM 1 KG LINGUINI RONCO</t>
  </si>
  <si>
    <t>PASTA PREMIUM 1 KG TORNILLO RONCO</t>
  </si>
  <si>
    <t>PASTA PREMIUM PLUMA 500GR RONCO</t>
  </si>
  <si>
    <t>HARINA DE TRIGO 45 KG REY DEL NORTE (CARGILL)</t>
  </si>
  <si>
    <t>ACEITE 1 LT VATEL SOYA</t>
  </si>
  <si>
    <t>BCV</t>
  </si>
  <si>
    <t>COSTO $ SIN IVA</t>
  </si>
  <si>
    <t>SE DEVUELVE 48 UND EN MAL ESTADO</t>
  </si>
  <si>
    <t>FALTANTE</t>
  </si>
  <si>
    <t>14 DE SEPTIEMBRE</t>
  </si>
  <si>
    <t>SALSA DE TOMATE  KETCHUP 397 GR EUREKA</t>
  </si>
  <si>
    <t>Código SKU</t>
  </si>
  <si>
    <t>Nombre SKU</t>
  </si>
  <si>
    <t>Precio  Por Unidad $</t>
  </si>
  <si>
    <t>PTPRO21</t>
  </si>
  <si>
    <t>RONCO C JET PLUMA 500G        ALMOHADA</t>
  </si>
  <si>
    <t>G201</t>
  </si>
  <si>
    <t>RONCO VERMICELLI JET 24x1/2 KG</t>
  </si>
  <si>
    <t>PTPRO25</t>
  </si>
  <si>
    <t>RONCO PREMIUM VERMICELLI 1KG12</t>
  </si>
  <si>
    <t>PTPRO26</t>
  </si>
  <si>
    <t>RONCO PREMIUM PLUMA 1 KG B10KG</t>
  </si>
  <si>
    <t>PTPRO33</t>
  </si>
  <si>
    <t>RONCO PREMIUM LINGUINI 12KG   RONCO PREMIUM LINGUINI 12KG</t>
  </si>
  <si>
    <t>PTPRO36</t>
  </si>
  <si>
    <t>RONCO PREMIUM TORNILLO 10X1KG</t>
  </si>
  <si>
    <t>PTPRO34</t>
  </si>
  <si>
    <t>RONCO PREMIUM DEDAL 10X1KG</t>
  </si>
  <si>
    <t>G156</t>
  </si>
  <si>
    <t>HARINA BLANCA FLOR TODO USO 20X1 KILO</t>
  </si>
  <si>
    <t>G155</t>
  </si>
  <si>
    <t>HARINA BLANCA FLOR LEUDANTE 20X1 KILO</t>
  </si>
  <si>
    <t>VATEL ACEITE VEGETAL 12X1L</t>
  </si>
  <si>
    <t>VATEL ACEITE SOYA 12X1L</t>
  </si>
  <si>
    <t>VATEL ACEITE SOYA 24X1/2 LT</t>
  </si>
  <si>
    <t>VATEL 5VF ACEITE SOYA 20X900 ML</t>
  </si>
  <si>
    <t xml:space="preserve">BULTOS </t>
  </si>
  <si>
    <t>15 DIAS</t>
  </si>
  <si>
    <t>ACONDICIONADOR 400 ML CAIDA RESISTENTE X3 ELVIVE</t>
  </si>
  <si>
    <t>ACONDICIONADOR 400 ML COLOR-VIVE ELVIVE</t>
  </si>
  <si>
    <t>ACONDICIONADOR 400 ML OLEO EXTRAORDINARIO ELVIVE</t>
  </si>
  <si>
    <t>ACONDICIONADOR 400 ML REP TOTAL 5 ELVIVE</t>
  </si>
  <si>
    <t>ACONDICIONADOR SUPER LISS 400 ML DREAM LONG ELVIVE</t>
  </si>
  <si>
    <t>ALCOHOL 950 CC ALNA</t>
  </si>
  <si>
    <t>BAÑO DE CREMA 300 GR LOREAL COLOR VIVE</t>
  </si>
  <si>
    <t>BAÑO DE CREMA 300 GR LOREAL KERA LISO</t>
  </si>
  <si>
    <t>BOROCANFORD 35 GR ORIGINAL</t>
  </si>
  <si>
    <t>COLONIA 220 ML PARA NIÑOS CHICCO</t>
  </si>
  <si>
    <t>COLONIA PARA NIÑOS 200ML CHICCO</t>
  </si>
  <si>
    <t>COLONIA ROSADA 100ML MELODY</t>
  </si>
  <si>
    <t>COTONCITOS PURO ALGODON 60UNID CHICCO</t>
  </si>
  <si>
    <t>CREMA CORPORAL 400 ML REAFIRMANTE Q10 NIVEA</t>
  </si>
  <si>
    <t>CREMA CORPORAL 400ML EXPRESS HYDRATION 48H NIVEA</t>
  </si>
  <si>
    <t>CREMA CORPORAL EXPRESS HYDRATION 48H 250ML NIVEA</t>
  </si>
  <si>
    <t>CREMA CORPORAL MILK NUTRITIVA 48H 250ML NIVEA</t>
  </si>
  <si>
    <t>CREMA CORPORAL MILK NUTRITIVA 48H 400ML NIVEA</t>
  </si>
  <si>
    <t>CREMA CORPORAL SOFT MILK 48H 250ML NIVEA</t>
  </si>
  <si>
    <t>CREMA CORPORAL SOFT MILK 48H 400ML NIVEA</t>
  </si>
  <si>
    <t>CREMA DE PEINAR 300 ML ELVIVE REPARACION TOTAL</t>
  </si>
  <si>
    <t>KOTEX PROTECTORES DIARIOS 15 UND</t>
  </si>
  <si>
    <t>MAGIC RETOUCH 75 ML NEGRO LOREAL</t>
  </si>
  <si>
    <t>MAGIC RETOUCH 75 ML RUBIO CLARO LOREAL</t>
  </si>
  <si>
    <t>MAGIC RETOUCH 75 ML RUBIO MEDIO LOREAL</t>
  </si>
  <si>
    <t>MELODY 200 ML CHAMPOO</t>
  </si>
  <si>
    <t>MELODY CHAMPOO 100 ML</t>
  </si>
  <si>
    <t>NIVEA 50 ML EN CREMA</t>
  </si>
  <si>
    <t>OFF AEROSOL REPELENTE DE INSECTOS 172ML JOHNSON</t>
  </si>
  <si>
    <t>PROTECTOR SOLAR HIDRATANTE 125ML PFS50 ALTO NIVEA</t>
  </si>
  <si>
    <t>ROLL-ON 50 ML ACLARADO NATURAL CLASSIC TOUCH NIVEA</t>
  </si>
  <si>
    <t>ROLL-ON 50 ML PEARL &amp; BEAUTY NIVEA</t>
  </si>
  <si>
    <t>ROLL-ON 50 ML PROTECCION Y CUIDADO NIVEA</t>
  </si>
  <si>
    <t>SHAMPOO 200 ML OLEO EXTRAORDINARIO ELVIVE</t>
  </si>
  <si>
    <t>SHAMPOO CAIDA RESIST X3  400 ML ELVIVE LOREAL</t>
  </si>
  <si>
    <t>SHAMPOO COLOR- VIVE  PROTECTOR 400 ML ELVIVE LOREAL</t>
  </si>
  <si>
    <t>SHAMPOO DREAM LONG  LISS 400 ML ELVIVE</t>
  </si>
  <si>
    <t>SHAMPOO DREAM LONG 400 ML RECONSTRUCTOR ELVIVE</t>
  </si>
  <si>
    <t>SHAMPOO KERA LISO MQ 400 ML ELVIVE LOREAL</t>
  </si>
  <si>
    <t>SHAMPOO NUTR/ EXTRAORDINARIO OLEO  400 ML ELVIVE LOREAL</t>
  </si>
  <si>
    <t>SHAMPOO REP.TOTAL5 ELVIVE 400ML LOREAL PARIS</t>
  </si>
  <si>
    <t>SUPER ACONDICIONADOR 400 ML DREAM LONG ELVIVE</t>
  </si>
  <si>
    <t>TALCO 100 GR MELODY</t>
  </si>
  <si>
    <t>TALCO 120 GR BOROCANFOR COOL</t>
  </si>
  <si>
    <t>TALCO 120 GR BOROCANFOR ORIGINAL</t>
  </si>
  <si>
    <t>TALCO 200 GR PARA NIÑO MELODY</t>
  </si>
  <si>
    <t>TALCO 60 GR BOROCANFOR COOL</t>
  </si>
  <si>
    <t>TALCO 60GR BOROCANFOR ORIGINAL</t>
  </si>
  <si>
    <t>TINTE 50 ML #  4.45 CAST COBRE CAOBA DRENE COLOR</t>
  </si>
  <si>
    <t>TINTE 50 ML # 1.0 NEGRO DRENE COLOR</t>
  </si>
  <si>
    <t>TINTE 50 ML # 10.0 RUBIO EXT CLARO DRENE COLOR</t>
  </si>
  <si>
    <t>TINTE 50 ML # 3.0 CASTAÑO OSCURO DRENE COLOR</t>
  </si>
  <si>
    <t>TINTE 50 ML # 5.3 CASTAÑO OSCURO DORADO DRENE COLOR</t>
  </si>
  <si>
    <t>TINTE 50 ML # 5.5 CASTAÑO CL CAOBA DRENE COLOR</t>
  </si>
  <si>
    <t>TINTE 50 ML # 7.0 RUBIO MEDIANO DRENE COLOR</t>
  </si>
  <si>
    <t>TINTE 50 ML # 7.3 RUBIO AVELLANA DRENE COLOR</t>
  </si>
  <si>
    <t>TINTE 50 ML # 7.53 RUBIO MEDIO CHOC DRENE COLOR</t>
  </si>
  <si>
    <t>TINTE 50 ML # 8.0 RUBIO CLARO DRENE COLOR</t>
  </si>
  <si>
    <t>TINTE 50 ML # 8.1 RUBIO CLARO CENIZA DRENE COLOR</t>
  </si>
  <si>
    <t>TINTE 50 ML # 8.31 RUBIO CL DOR CENIZA DRENE COLOR</t>
  </si>
  <si>
    <t>TINTE 50 ML # 9.0 RUBIO MUY CLARO DRENE COLOR</t>
  </si>
  <si>
    <t>TINTE 50 ML #5.0 CASTAÑO CLARO DRENE COLOR</t>
  </si>
  <si>
    <t>TINTE 50 ML #6.53 RUBIO OSCURO CHOCO DRENE COLOR</t>
  </si>
  <si>
    <t>TOALLA HUMEDAS 72 UND AMY CON EXTRATO DE MANZANILLA</t>
  </si>
  <si>
    <t>TOALLAS SANITARIAS 10 UND FRIENDS</t>
  </si>
  <si>
    <t>MILANESA EMPAMIZADA</t>
  </si>
  <si>
    <t>NUGGUER</t>
  </si>
  <si>
    <t>QUESO CREMA GABY 250 GR QUENACA</t>
  </si>
  <si>
    <t>CREMA DE LECHE  250 GR QUENACA</t>
  </si>
  <si>
    <t>LECHE EN POLVO LA CAMPIÑA 900GR PARMALAT</t>
  </si>
  <si>
    <t>SANTAL LIGHT DE PERA 1.5LT PARMALAT</t>
  </si>
  <si>
    <t>SANTAL LIGHT DE MANZANA 1.5LT PARMALAT</t>
  </si>
  <si>
    <t>JUGO NARANJA Y ZANAHORIA 1.5 LT SANTAL ACTIVE</t>
  </si>
  <si>
    <t>SANTAL ACTIVE NARANJA/ZANAHORIA 500ML PARMALAT</t>
  </si>
  <si>
    <t>LECHE EN POLVO 500 GR LA CAMPIÑA.</t>
  </si>
  <si>
    <t>UND X CESTA</t>
  </si>
  <si>
    <r>
      <t xml:space="preserve">MASA  FACIL 1 KG </t>
    </r>
    <r>
      <rPr>
        <sz val="11"/>
        <color rgb="FFFF0000"/>
        <rFont val="Calibri"/>
        <family val="2"/>
        <scheme val="minor"/>
      </rPr>
      <t># 4</t>
    </r>
    <r>
      <rPr>
        <sz val="11"/>
        <color theme="1"/>
        <rFont val="Calibri"/>
        <family val="2"/>
        <scheme val="minor"/>
      </rPr>
      <t xml:space="preserve"> LISOL</t>
    </r>
  </si>
  <si>
    <r>
      <t xml:space="preserve">MASA FACIL  </t>
    </r>
    <r>
      <rPr>
        <sz val="11"/>
        <color rgb="FFFF0000"/>
        <rFont val="Calibri"/>
        <family val="2"/>
        <scheme val="minor"/>
      </rPr>
      <t>#3</t>
    </r>
    <r>
      <rPr>
        <sz val="11"/>
        <color theme="1"/>
        <rFont val="Calibri"/>
        <family val="2"/>
        <scheme val="minor"/>
      </rPr>
      <t xml:space="preserve">  C/S 500GM LISOL</t>
    </r>
  </si>
  <si>
    <r>
      <t xml:space="preserve">MASA FACIL  1 KG  </t>
    </r>
    <r>
      <rPr>
        <sz val="11"/>
        <color rgb="FFFF0000"/>
        <rFont val="Calibri"/>
        <family val="2"/>
        <scheme val="minor"/>
      </rPr>
      <t>#3</t>
    </r>
    <r>
      <rPr>
        <sz val="11"/>
        <color theme="1"/>
        <rFont val="Calibri"/>
        <family val="2"/>
        <scheme val="minor"/>
      </rPr>
      <t xml:space="preserve">  LISOL</t>
    </r>
  </si>
  <si>
    <r>
      <t>MASA FACIL  NRO</t>
    </r>
    <r>
      <rPr>
        <sz val="11"/>
        <color rgb="FFFF0000"/>
        <rFont val="Calibri"/>
        <family val="2"/>
        <scheme val="minor"/>
      </rPr>
      <t>.#2</t>
    </r>
    <r>
      <rPr>
        <sz val="11"/>
        <color theme="1"/>
        <rFont val="Calibri"/>
        <family val="2"/>
        <scheme val="minor"/>
      </rPr>
      <t xml:space="preserve">  LISOL 1 KG</t>
    </r>
  </si>
  <si>
    <r>
      <t xml:space="preserve">MASA FACIL </t>
    </r>
    <r>
      <rPr>
        <sz val="11"/>
        <color rgb="FFFF0000"/>
        <rFont val="Calibri"/>
        <family val="2"/>
        <scheme val="minor"/>
      </rPr>
      <t>#1</t>
    </r>
    <r>
      <rPr>
        <sz val="11"/>
        <color theme="1"/>
        <rFont val="Calibri"/>
        <family val="2"/>
        <scheme val="minor"/>
      </rPr>
      <t xml:space="preserve"> 500 GR LISOL</t>
    </r>
  </si>
  <si>
    <r>
      <t xml:space="preserve">MASA FACIL 1KG  LISOL </t>
    </r>
    <r>
      <rPr>
        <sz val="11"/>
        <color rgb="FFFF0000"/>
        <rFont val="Calibri"/>
        <family val="2"/>
        <scheme val="minor"/>
      </rPr>
      <t>N°1</t>
    </r>
    <r>
      <rPr>
        <sz val="11"/>
        <color theme="1"/>
        <rFont val="Calibri"/>
        <family val="2"/>
        <scheme val="minor"/>
      </rPr>
      <t xml:space="preserve">  LISOL</t>
    </r>
  </si>
  <si>
    <r>
      <t xml:space="preserve">MASA FACIL 500 GR </t>
    </r>
    <r>
      <rPr>
        <sz val="11"/>
        <color rgb="FFFF0000"/>
        <rFont val="Calibri"/>
        <family val="2"/>
        <scheme val="minor"/>
      </rPr>
      <t xml:space="preserve"> #4</t>
    </r>
    <r>
      <rPr>
        <sz val="11"/>
        <color theme="1"/>
        <rFont val="Calibri"/>
        <family val="2"/>
        <scheme val="minor"/>
      </rPr>
      <t xml:space="preserve">  LISOL</t>
    </r>
  </si>
  <si>
    <t>20 DE SEPTIEMBRE</t>
  </si>
  <si>
    <t xml:space="preserve">TOALLAS DIARIAS 20 UND ALIVE </t>
  </si>
  <si>
    <t>FRUCTUS 15 GR</t>
  </si>
  <si>
    <t>BOMBILLO 100 WATT GAMME LUXE</t>
  </si>
  <si>
    <t>TOALLAS SANITARIAS VERDE 10UNID ALLUAYS</t>
  </si>
  <si>
    <t>CER03 LIMON 400GR</t>
  </si>
  <si>
    <t>CERO3 LIMON 900GR</t>
  </si>
  <si>
    <t>HARMONI 75 GR SURTIDO</t>
  </si>
  <si>
    <t>COPROAL</t>
  </si>
  <si>
    <t>SAN TONI</t>
  </si>
  <si>
    <t>SUAVIZANTE CONCENTRADO PARA ROPA 1 LT ROSAS UNO</t>
  </si>
  <si>
    <t>SUAVIZANTE CONCENTRADO PARA ROPA 1 LT OCEANO UNO</t>
  </si>
  <si>
    <t>SUAVIZANTE CONCENTRADO PARA ROPA 1 LT LAVANDA UNO</t>
  </si>
  <si>
    <t>LAVAPLATOS LIQUIDO 750 ML VERDE UNO</t>
  </si>
  <si>
    <t>LAVAPLATOS LIQUIDO 500 ML VERDE UNO</t>
  </si>
  <si>
    <t>DETERGENTE LIQUIDO 1 LT ROPA NEGRA UNO</t>
  </si>
  <si>
    <t>DETERGENTE LIQUIDO 1 LT ROPA BLANCA UNO</t>
  </si>
  <si>
    <t>DETERGENTE LIQUIDO 1 LT ROPA COLOR UNO</t>
  </si>
  <si>
    <t>ALMOHADILLAS DE ALGODON  100 UND UNO</t>
  </si>
  <si>
    <t>HISOPOS 300 UND UNO</t>
  </si>
  <si>
    <t>HISOPOS 100 UND UNO</t>
  </si>
  <si>
    <t>SHAMPOO PARA BEBE ROSADO 300 ML UNO</t>
  </si>
  <si>
    <t>SHAMPOO PARA BEBE AZUL 300 ML UNO</t>
  </si>
  <si>
    <t>SHAMPOO PARA BEBE AMARILLO 300 ML UNO</t>
  </si>
  <si>
    <t>ACONDICIONADOR MIEL Y LECHE 750 ML UNO</t>
  </si>
  <si>
    <t>SHAMPOO MANZANILLA 300 ML UNO</t>
  </si>
  <si>
    <t>SHAMPOO DE COCO 300 ML UNO</t>
  </si>
  <si>
    <t>SHAMPOO ACEITE ARGAN 300 ML UNO</t>
  </si>
  <si>
    <t>JABON LIQUIDO PARA MANOS LIMON FRESCO UNO</t>
  </si>
  <si>
    <t>12 UND</t>
  </si>
  <si>
    <t>5 UND</t>
  </si>
  <si>
    <t>10 UND</t>
  </si>
  <si>
    <t xml:space="preserve">AUTOMERCADO EXPRESS </t>
  </si>
  <si>
    <t>CARBON VERGETAL 4 KG LARA</t>
  </si>
  <si>
    <t>CARBON VEGETAL 1.5 KG LARA</t>
  </si>
  <si>
    <t>CARBON VEGETAL INSTANTANEO 1.5 KG LARA</t>
  </si>
  <si>
    <t>PREFORMAS SOLICITADA</t>
  </si>
  <si>
    <t xml:space="preserve">GEL DE BAÑO DE FRESA 330 ML UNO </t>
  </si>
  <si>
    <t xml:space="preserve">GEL DE BAÑO DE COCO 330 ML UNO </t>
  </si>
  <si>
    <t xml:space="preserve">JABON LIQUIDO DE MANO 500 ML LAVANDA UNO </t>
  </si>
  <si>
    <t xml:space="preserve"> TOALLAS HUMEDAS PARA BEBE 72 PCS AZUL UNO </t>
  </si>
  <si>
    <t xml:space="preserve">TOALLAS HUMEDAS PARA BEBE  ROSADA 72PCS UNO </t>
  </si>
  <si>
    <t xml:space="preserve">TOALLAS HUMEDAS PARA BEBE VERDE 72 PCS UNO </t>
  </si>
  <si>
    <t>UNIDADES POR CAJA</t>
  </si>
  <si>
    <t>6 PIEZAS</t>
  </si>
  <si>
    <t>4 PIEZAS</t>
  </si>
  <si>
    <t>8 PIEZAS</t>
  </si>
  <si>
    <t>12 PIEZAS</t>
  </si>
  <si>
    <t>48 PIEZAS</t>
  </si>
  <si>
    <t>18 piezas</t>
  </si>
  <si>
    <t>12 piezas</t>
  </si>
  <si>
    <t>precio $ bulto</t>
  </si>
  <si>
    <t>costo und</t>
  </si>
  <si>
    <t>TOTAL PEDIDO</t>
  </si>
  <si>
    <t xml:space="preserve">MARGARINA DE PANELON SIN SAL 5KG </t>
  </si>
  <si>
    <t>COSTO $</t>
  </si>
  <si>
    <t>BULTO $</t>
  </si>
  <si>
    <t>UND X EMPAQUE</t>
  </si>
  <si>
    <t>UND/ KG</t>
  </si>
  <si>
    <t>PEDIDO 20 DE SEPTIEMBRE</t>
  </si>
  <si>
    <t>ENDULZANTE "O"CALORIAS  112 SOBRES MONTALBAN</t>
  </si>
  <si>
    <t>ENDULZANTE SACAROSA CON STEVIA 500GR MONTALBAN</t>
  </si>
  <si>
    <t>PAPELON EN POLVO 500GR SABOR A LIMON  MONTALBA</t>
  </si>
  <si>
    <t>PAPELON NATURAL 500GR MONTALBAN</t>
  </si>
  <si>
    <t>PAPELON LIMON 115 GR MONTALBAN</t>
  </si>
  <si>
    <t>AZUCAR GLASS MONTALBAN 500GR.</t>
  </si>
  <si>
    <t>PUDIN CHOCOLATE 90GR MONTALBAN</t>
  </si>
  <si>
    <t>AZUCAR GLASS 1KG</t>
  </si>
  <si>
    <t>UNID X EMPAQUE</t>
  </si>
  <si>
    <t>23 DE SEPTIEMBRE</t>
  </si>
  <si>
    <t>ATUN EN ACEITE 170GR DIPLOMATICO</t>
  </si>
  <si>
    <t>SARDINAS EN SALSA ITALIANA 170GR PEÑERO</t>
  </si>
  <si>
    <t>AZUCAR REFINADA 900GR MELAO</t>
  </si>
  <si>
    <t>SARDINAS EN ACEITE VEGETAL 170GR PEÑERO</t>
  </si>
  <si>
    <t>SARDINAS EN SALSA DE TOMATE 170GR PEÑERO</t>
  </si>
  <si>
    <t>VASOS PLASTICOS 100UNID #57 LOS LLANOS</t>
  </si>
  <si>
    <t>VASOS PLASTICOS 100UNID #77 LOS LLANOS</t>
  </si>
  <si>
    <t>VASOS PLASTICOS 100UNID #27 LOS LLANOS</t>
  </si>
  <si>
    <t>VASOS PLASTICOS 50UNID #107 LOS LLANOS</t>
  </si>
  <si>
    <t xml:space="preserve">ATUN EN SALSA DE TOMATE 170GR PEÑERO </t>
  </si>
  <si>
    <t>PRECIO $ UND</t>
  </si>
  <si>
    <t>ACEITUNA 500GR (EMPACADO EN BOLSITAS)</t>
  </si>
  <si>
    <t>COSTO MAS IVA $</t>
  </si>
  <si>
    <t>NO BORRAR</t>
  </si>
  <si>
    <t>MANI SALADO 250GR (EMPACADO EN BOLSITAS)</t>
  </si>
  <si>
    <t>NUTELLA 900GR ORIGINAL</t>
  </si>
  <si>
    <t>LIMPIADOR DE POCETAS 360 ML MAS</t>
  </si>
  <si>
    <t>LIMPIADOR DE POCETAS 710ML MAS</t>
  </si>
  <si>
    <t>LIMPIADOR DE POCETAS 1 LT MAS</t>
  </si>
  <si>
    <t>LIMPIADOR DE HORNOS CON APLICADOR 250GR  MAS</t>
  </si>
  <si>
    <t>KG COMPRADOS</t>
  </si>
  <si>
    <t>MANTEQUILLA CON SAL 200 GR HACIENDA EL TUNAL</t>
  </si>
  <si>
    <t>HUEVOS 1/2 CARTON</t>
  </si>
  <si>
    <t>CREMA DE LECHE 500 GR PURISIMA</t>
  </si>
  <si>
    <t>CREMA DE LECHE 250 GR PURISIMA</t>
  </si>
  <si>
    <t>CEBOLLA BLANCA KG</t>
  </si>
  <si>
    <t>SALCHICHA DE POLLO 450 GR EL TUNAL</t>
  </si>
  <si>
    <t>JAMON DE PIERNA ITALICO KG</t>
  </si>
  <si>
    <t>JAMON DE PIERNA ALIMEX KG</t>
  </si>
  <si>
    <t>SALCHICHA 450GR VIENA ALIMEX</t>
  </si>
  <si>
    <t>SALCHICHA 800 GR VIENA ALIMEX</t>
  </si>
  <si>
    <t>SALCHICHA 490 GR COCTEL ALIMEX</t>
  </si>
  <si>
    <t>JAMON AHUMADO ALIMEX KG</t>
  </si>
  <si>
    <t>SALCH DETALLADA ALIMEX KG</t>
  </si>
  <si>
    <t>SALCHICHA TIPO WIENERS 450 GR ALIMEX</t>
  </si>
  <si>
    <t xml:space="preserve">JAMON DE ESPALDA ALIMEX </t>
  </si>
  <si>
    <t>5 caja</t>
  </si>
  <si>
    <t>REFRESCO FRESCOLITA 1.5 LTS SIN CALORIAS COCA COLA</t>
  </si>
  <si>
    <t>REFRESCO FRESCOLITA 2 LT COCA COLA</t>
  </si>
  <si>
    <t>REFRESCO NARANJA HIT 2 LT COCA COLA</t>
  </si>
  <si>
    <t>REFRESCO CHINOTO 2 LT COCA COLA</t>
  </si>
  <si>
    <t>REFRESCO 1.5 LT UVA COCA COLA</t>
  </si>
  <si>
    <t>REFRESCO COLA COLA 2LT SABOR ORIGINAL</t>
  </si>
  <si>
    <t>REFRESCO COCA COLA 1.5 LT SABOR ORIGINAL</t>
  </si>
  <si>
    <t>REFRESCO COCA COLA 1LT SABOR ORIGINAL</t>
  </si>
  <si>
    <t>REFRESCO CHINOTTO 1.5LT COCA COLA</t>
  </si>
  <si>
    <t>COCA COLA 355 ML LATA ORIGINAL</t>
  </si>
  <si>
    <t>COCACOLA 1.25ML VIDRIO VENTA CON BOTELLA.</t>
  </si>
  <si>
    <t>RECARGA COCA COLA 1.25ML</t>
  </si>
  <si>
    <t>REFRESCO CHINOTTO 1LT COCA-COLA</t>
  </si>
  <si>
    <t>FRESCOLITA 1 LT (COCA COLA)</t>
  </si>
  <si>
    <t>FRESCOLITA LATA 355CC COCA-COLA</t>
  </si>
  <si>
    <t>Factura</t>
  </si>
  <si>
    <t>19/08/2021</t>
  </si>
  <si>
    <t>CERVEZA 222 ML RET PILSEN POLAR.</t>
  </si>
  <si>
    <t>20/08/2021</t>
  </si>
  <si>
    <t>31/08/2021</t>
  </si>
  <si>
    <t>HIPER MODEO</t>
  </si>
  <si>
    <t>04/08/2021</t>
  </si>
  <si>
    <t>06/08/2021</t>
  </si>
  <si>
    <t>MERCANCIA ENTREGADa</t>
  </si>
  <si>
    <t>total</t>
  </si>
  <si>
    <t>07/07/2021</t>
  </si>
  <si>
    <t>09/07/2021</t>
  </si>
  <si>
    <t>21/07/2021</t>
  </si>
  <si>
    <t>23/07/2021</t>
  </si>
  <si>
    <t>MES DE JULIO</t>
  </si>
  <si>
    <t>05773</t>
  </si>
  <si>
    <t>05786</t>
  </si>
  <si>
    <t>006796</t>
  </si>
  <si>
    <t>MES DE JUNIO</t>
  </si>
  <si>
    <t>09/06/2021</t>
  </si>
  <si>
    <t>03/06/2021</t>
  </si>
  <si>
    <t>16/06/2021</t>
  </si>
  <si>
    <t>17/06/2021</t>
  </si>
  <si>
    <t>23/06/2021</t>
  </si>
  <si>
    <t>25/06/2021</t>
  </si>
  <si>
    <t>05729</t>
  </si>
  <si>
    <t>057290</t>
  </si>
  <si>
    <t>006236</t>
  </si>
  <si>
    <t>006755</t>
  </si>
  <si>
    <t>05757</t>
  </si>
  <si>
    <t>QUESO AMARILLO CALICANTO KG</t>
  </si>
  <si>
    <t>MOZZARELLA CALICANTO KG</t>
  </si>
  <si>
    <t>29/09/2021</t>
  </si>
  <si>
    <t>CODOGO INT</t>
  </si>
  <si>
    <t>NUM FACTURA</t>
  </si>
  <si>
    <t>KG</t>
  </si>
  <si>
    <t>venta</t>
  </si>
  <si>
    <t>inv</t>
  </si>
  <si>
    <t>venta en bulto</t>
  </si>
  <si>
    <t>01/09/2021</t>
  </si>
  <si>
    <t>03/09/2021</t>
  </si>
  <si>
    <t>15/09/2021</t>
  </si>
  <si>
    <t>17/09/2021</t>
  </si>
  <si>
    <t>30/09/2021</t>
  </si>
  <si>
    <t>05839</t>
  </si>
  <si>
    <t>05842</t>
  </si>
  <si>
    <t>16/09/2021</t>
  </si>
  <si>
    <t>0398</t>
  </si>
  <si>
    <t>05856</t>
  </si>
  <si>
    <t>05861</t>
  </si>
  <si>
    <t>AUTOMERCADO EXPRES 2707</t>
  </si>
  <si>
    <t>TOTAL UND</t>
  </si>
  <si>
    <t>TRANFORMACION EN CAJA</t>
  </si>
  <si>
    <t>006840</t>
  </si>
  <si>
    <t>0400</t>
  </si>
  <si>
    <t>DEMPRECA DISTRIBUIDORA DE EMPAQUES PREMIUM C.A</t>
  </si>
  <si>
    <t>08/06/2020</t>
  </si>
  <si>
    <t>BOLSAS ECOLOGICA 200 LT 5 UND ECO</t>
  </si>
  <si>
    <t>BOLSA ECOLOGICA 60 LT 20 UND ECO</t>
  </si>
  <si>
    <t>BOLSA ECOLOGICA 30 LT 12 UND ECO</t>
  </si>
  <si>
    <t>BOLSA ECOLOGICA 15 LT 15 UND ECO</t>
  </si>
  <si>
    <t>BOLSA ECOLOGICA 150 LT 10 UND ECO</t>
  </si>
  <si>
    <t>29/07/2020</t>
  </si>
  <si>
    <t>27/08/2020</t>
  </si>
  <si>
    <t>13/01/2021</t>
  </si>
  <si>
    <t>BOLSA ECOLOGICA 200LT 5 UND ECO</t>
  </si>
  <si>
    <t>11/05/2021</t>
  </si>
  <si>
    <t>VEN</t>
  </si>
  <si>
    <t xml:space="preserve">  </t>
  </si>
  <si>
    <t>80 BULTOS</t>
  </si>
  <si>
    <t xml:space="preserve">CEPILLO TIPO POPULAR CON PALO </t>
  </si>
  <si>
    <t>COSTO $ X BULTO</t>
  </si>
  <si>
    <t>COSTO $ UND</t>
  </si>
  <si>
    <t>CEPILLO SUP BICOLOR CON PALO</t>
  </si>
  <si>
    <t>CEPILLO SUP NEGRO CON PALO</t>
  </si>
  <si>
    <t xml:space="preserve">CEPILLO LAVAR PLANCHITA </t>
  </si>
  <si>
    <t>CEPILLO LAVAR S/ASA</t>
  </si>
  <si>
    <t>CEPILLO SANITARIO CON BASE</t>
  </si>
  <si>
    <t>PALAS PLASTICA GRANDE C/ PALO</t>
  </si>
  <si>
    <t>Señores:
Presente.</t>
  </si>
  <si>
    <t>Caracas 27 de agosto del 2021</t>
  </si>
  <si>
    <t>Sirva el presente para notificar cambio de precios en los productos que detallamos a continuacion:</t>
  </si>
  <si>
    <t>Cod JDE</t>
  </si>
  <si>
    <t>Cod.  Barra</t>
  </si>
  <si>
    <t>Unid.</t>
  </si>
  <si>
    <t>Nuevo Precio de Lista S/ IVA</t>
  </si>
  <si>
    <t>Nuevo Precio de Lista C/ IVA</t>
  </si>
  <si>
    <t>Precio Liquidación Unitario
S/ IVA</t>
  </si>
  <si>
    <t>Precio Liquidación Unitario
C/ IVA</t>
  </si>
  <si>
    <t>PMVP (S/ IVA)</t>
  </si>
  <si>
    <t>PMVP (C/ IVA)</t>
  </si>
  <si>
    <t>KETCHUP</t>
  </si>
  <si>
    <t>KETCHUP 198 G</t>
  </si>
  <si>
    <t>KETCHUP 397 G</t>
  </si>
  <si>
    <t>KETCHUP TQF 198 G</t>
  </si>
  <si>
    <t>KETCHUP TQF 397 G</t>
  </si>
  <si>
    <t>KETCHUP PICANTE198 G</t>
  </si>
  <si>
    <t>KETCHUP PICANTE397 G</t>
  </si>
  <si>
    <t>SALSASA BASE DETOMATE</t>
  </si>
  <si>
    <t>SALSA A BASEDETOMATECON BBK 198 G</t>
  </si>
  <si>
    <t>SALSA A BASEDETOMATECON BBK 397 G</t>
  </si>
  <si>
    <t>SALSA A BASEDETOMATELA CUMBRE380 G</t>
  </si>
  <si>
    <t>SALSA 57</t>
  </si>
  <si>
    <t>SALSA 57 194 G</t>
  </si>
  <si>
    <t>SALSA 57 378 G</t>
  </si>
  <si>
    <t>MOSTAZA</t>
  </si>
  <si>
    <t>MOSTAZA 113 G</t>
  </si>
  <si>
    <t>MOSTAZA HEINZ 195 G</t>
  </si>
  <si>
    <t>MOSTAZA HEINZ 490 G</t>
  </si>
  <si>
    <t>MOSTAZA TQF 490 G</t>
  </si>
  <si>
    <t>MOSTAZA HEINZ 3824 G</t>
  </si>
  <si>
    <t>SALSA PICANTE150CC</t>
  </si>
  <si>
    <t>SALSA EXTRAPICANTEPICANTE150CC</t>
  </si>
  <si>
    <t>LESA</t>
  </si>
  <si>
    <t>SALSA INGLESA HEINZ 150CC</t>
  </si>
  <si>
    <t>SALSA INGLESA HEINZ 300CC</t>
  </si>
  <si>
    <t>SALSA INGLESA HEINZ 4000CC</t>
  </si>
  <si>
    <t>SALSA ING</t>
  </si>
  <si>
    <t>SALSA INGLESA TQF 150CC</t>
  </si>
  <si>
    <t>SALSA INGLESA TQF 300CC</t>
  </si>
  <si>
    <t>SALSA INGLESA LA CUMBRE150CC</t>
  </si>
  <si>
    <t>SALSA INGLESA LA CUMBRE4000CC</t>
  </si>
  <si>
    <t>SALSA SOYA</t>
  </si>
  <si>
    <t>SALSA SOYA HEINZ 150CC</t>
  </si>
  <si>
    <t>SALSA SOYA HEINZ 300CC</t>
  </si>
  <si>
    <t>SALSA SOYA HEINZ 4000 CC</t>
  </si>
  <si>
    <t>SALSA SOYA TQF 150CC</t>
  </si>
  <si>
    <t>SALSA SOYA TQF 300CC</t>
  </si>
  <si>
    <t>SALSA SOYA LA CUMBRE150CC</t>
  </si>
  <si>
    <t>TERI YAKI</t>
  </si>
  <si>
    <t>SALSA TERIYAKI 150CC</t>
  </si>
  <si>
    <t>SALSA DEAJO</t>
  </si>
  <si>
    <t>SALSA AJO HEINZ 150CC</t>
  </si>
  <si>
    <t>SALSA AJO HEINZ 300CC</t>
  </si>
  <si>
    <t>SALSA DEAJO 4000 CC</t>
  </si>
  <si>
    <t>SALSA DEAJO TQF 150 CC</t>
  </si>
  <si>
    <t>SALSA DEAJO LA CUMBRE150 CC</t>
  </si>
  <si>
    <t>SALSA DEAJO LA CUMBRE4000CC</t>
  </si>
  <si>
    <t>PASTA DEAJO</t>
  </si>
  <si>
    <t>PASTA DEAJO HEINZ 195G</t>
  </si>
  <si>
    <t>VINAGRE500cc</t>
  </si>
  <si>
    <t>VINAGRE1000cc</t>
  </si>
  <si>
    <t>VINAGRE4000cc</t>
  </si>
  <si>
    <t>VINAGRETQF 500cc</t>
  </si>
  <si>
    <t>VINAGRETQF 1000cc</t>
  </si>
  <si>
    <t>SPP BOLOGNESA VID 195G</t>
  </si>
  <si>
    <t>SALSA PARA PASTA</t>
  </si>
  <si>
    <t>SPP BOLOGNESA VID 495G</t>
  </si>
  <si>
    <t>SPP COMPLETA VID 195G</t>
  </si>
  <si>
    <t>SPP COMPLETA VID 495G</t>
  </si>
  <si>
    <t>SPP NAPOLITANA VID 195G</t>
  </si>
  <si>
    <t>SPP NAPOLITANA VID 495G</t>
  </si>
  <si>
    <t>SPP SPAGHERONI 495G</t>
  </si>
  <si>
    <t>SALSA PARA PASTA PRONTO</t>
  </si>
  <si>
    <t>SPP PRONTO BOLOGNESA 388G</t>
  </si>
  <si>
    <t>SPP PRONTO COMPLETA 388G</t>
  </si>
  <si>
    <t>SPP PRONTO NAPOLITANA 388G</t>
  </si>
  <si>
    <t>SALSA
PARA PIZZA</t>
  </si>
  <si>
    <t>SALSA PARA PIZZA TRADICIONAL 480 G</t>
  </si>
  <si>
    <t>SALSA
PARA GUISO</t>
  </si>
  <si>
    <t>SALSA PARA GUISO TQF 190G</t>
  </si>
  <si>
    <t>SALSA PARA GUISO TQF 480G</t>
  </si>
  <si>
    <t>PASS ATA</t>
  </si>
  <si>
    <t>PURÉDE TOMATE</t>
  </si>
  <si>
    <t>PUREDETOMATE190G</t>
  </si>
  <si>
    <t>PASTA DETOMATE</t>
  </si>
  <si>
    <t>PASTA DETOMATEHEINZ 210G</t>
  </si>
  <si>
    <t>PASTA DETOMATEHEINZ 511G</t>
  </si>
  <si>
    <t>PASTA DETOMATETQF 200G</t>
  </si>
  <si>
    <t>PASTA DETOMATETQF 505G</t>
  </si>
  <si>
    <t>COLADOS</t>
  </si>
  <si>
    <t>COL. MANZANA 113G</t>
  </si>
  <si>
    <t>COL. MANZANA 186G</t>
  </si>
  <si>
    <t>COL. PERA 113G</t>
  </si>
  <si>
    <t>COL. PERA 186G</t>
  </si>
  <si>
    <t>COL. FRUTASMIXTAS113G</t>
  </si>
  <si>
    <t>COL. FRUTASMIXTAS186G</t>
  </si>
  <si>
    <t>COL MELOCOTÓN 113G</t>
  </si>
  <si>
    <t>COL MELOCOTÓN 186G</t>
  </si>
  <si>
    <t>COL MANGO 113G</t>
  </si>
  <si>
    <t>COL. FRUTASTROPICALES113G</t>
  </si>
  <si>
    <t>COL. FRUTASTROPICALES186G</t>
  </si>
  <si>
    <t>COL. BANANA 113G</t>
  </si>
  <si>
    <t>COL. BANANA 186G</t>
  </si>
  <si>
    <t>COL. POSTREDEFRUTAS113G</t>
  </si>
  <si>
    <t>COL. POSTREDEFRUTAS186G</t>
  </si>
  <si>
    <t>COLADOS 100%</t>
  </si>
  <si>
    <t>COL 100% MANZANA</t>
  </si>
  <si>
    <t>COL. 100% PERA</t>
  </si>
  <si>
    <t>COLADOS POUCH</t>
  </si>
  <si>
    <t>COL. POUCH MANZANA 24 UND</t>
  </si>
  <si>
    <t>COL. POUCH PERA 24 UND</t>
  </si>
  <si>
    <t>POLLYBOLSA 12X450 g.</t>
  </si>
  <si>
    <t>POLLYBOLSA 12X900 g.</t>
  </si>
  <si>
    <t>POLLYBOLSA 4X2000 g.</t>
  </si>
  <si>
    <t>HA POLL</t>
  </si>
  <si>
    <t>MI CHICHA POLLYBOLSA 12X450 g.</t>
  </si>
  <si>
    <t>MER
ENG ADA</t>
  </si>
  <si>
    <t>MERENGADA CHOCOLATE12X450 g.</t>
  </si>
  <si>
    <t>GELATINA</t>
  </si>
  <si>
    <t>GEL. UVA 66 g.</t>
  </si>
  <si>
    <t>GEL. FRAMBUESA 66 g.</t>
  </si>
  <si>
    <t>GEL. FRESA 66 g.</t>
  </si>
  <si>
    <t>GEL. TUTTI FRUTTI 66 g.</t>
  </si>
  <si>
    <t>GEL. PIÑA 66 g.</t>
  </si>
  <si>
    <t>GEL. CEREZA 66 g.</t>
  </si>
  <si>
    <t>GEL. LIMON 66 g.</t>
  </si>
  <si>
    <t>GEL. PIÑA 132 g.</t>
  </si>
  <si>
    <t>GEL. LIMON 132 g.</t>
  </si>
  <si>
    <t>GEL. UVA 132 g.</t>
  </si>
  <si>
    <t>GEL. FRAMBUESA 132 g.</t>
  </si>
  <si>
    <t>GEL. FRESA 132 g.</t>
  </si>
  <si>
    <t>GEL. SIN SABOR33 g.</t>
  </si>
  <si>
    <t>PUDIN VAINILLA 58 g.</t>
  </si>
  <si>
    <t>PUDIN CHOCOLATE72 g.</t>
  </si>
  <si>
    <t>PUDIN FRESA 63 g.</t>
  </si>
  <si>
    <t>FLAN</t>
  </si>
  <si>
    <t>FLAN 46 g.</t>
  </si>
  <si>
    <t>FLAN 92 g.</t>
  </si>
  <si>
    <t>2 caja</t>
  </si>
  <si>
    <t>AJI 200 GR JALAPEÑO EL ANDINITO</t>
  </si>
  <si>
    <t>BERRO ATADO 400GR EL ANDINITO</t>
  </si>
  <si>
    <t>PAÑAL HUGGIES XXG ACTIVE SEC 30 UND</t>
  </si>
  <si>
    <t>ACONDICIONADOR 340 ML CERAMIDAS SEDAL</t>
  </si>
  <si>
    <t>UND COMPRADAS</t>
  </si>
  <si>
    <t>PRODUCTOS</t>
  </si>
  <si>
    <t>TOALLAS HUM.D/BOLSILLO ADENIUM 15UND UNO</t>
  </si>
  <si>
    <t>TOALLAS HUM.D/BOLSILLO MAGNOLIA 15UNID UNO</t>
  </si>
  <si>
    <t>TOALLAS HUM.D/BOLSILLO LIRIO 15UNID UNO</t>
  </si>
  <si>
    <t>TOALLAS HUM.DESMAQUILLANTES 25UNID UNO</t>
  </si>
  <si>
    <t>ADOBO 185 GR PESCADO OLYMPIA</t>
  </si>
  <si>
    <t>BICARBONATO DE SODIO 155GR OLIMPIA</t>
  </si>
  <si>
    <t>DETERGENTE ABC 400GR LIMON</t>
  </si>
  <si>
    <t>ESENCIA DE VAINILLA 150ML   OLYMPIA</t>
  </si>
  <si>
    <t>SALSA 150 ML CHIRELITO OLIMPIA</t>
  </si>
  <si>
    <t>SALSA CHIRELITO 300 ML OLYMPIA</t>
  </si>
  <si>
    <t>HIP</t>
  </si>
  <si>
    <t>CREMA DE PEINAR 300 ML LISO FRAGANCIA ACT PANTENE</t>
  </si>
  <si>
    <t>SHAMPOO 180 ML PROTECCION CAIDA HEAD &amp; SHOLDERS</t>
  </si>
  <si>
    <t>CHICKEN TENDERS 9 UND DE 35 GR LA GRANJA</t>
  </si>
  <si>
    <t>HAMB DE RES LA GRANJA KG</t>
  </si>
  <si>
    <t>HAMB POLLO EMP LA GRANJA KG</t>
  </si>
  <si>
    <t>MILANESA DE POLLO 516 GR SKY CHEES</t>
  </si>
  <si>
    <t>NUGGEST DE POLLO 12UNID 276GR LA GRANJA</t>
  </si>
  <si>
    <t>NUGGETS POLLO 38/15GR SKYCHEES</t>
  </si>
  <si>
    <t>NUGGETS POLLO 45 UND 23 GR LA GRANJA</t>
  </si>
  <si>
    <t>PAPAS FRITAS CONGELADAS 1KG LA GRANJA</t>
  </si>
  <si>
    <t>PURE LISTO 100 GR LA GRANJA</t>
  </si>
  <si>
    <t>TACO BEBIDA ACHOC BOLSA 200GR</t>
  </si>
  <si>
    <t>MILANESA DE POLLO EMPANIZADA AGRANEL KG</t>
  </si>
  <si>
    <t>NUGGETS DE POLLO A GRANEL KG</t>
  </si>
  <si>
    <t>SOLICITUD DE PREFORMA</t>
  </si>
  <si>
    <t>QUESO GOUDA 1 KG CUADRADO calicanto</t>
  </si>
  <si>
    <t>PANETON 1 KG HIPER MODELO (PAPEL CELOFAN)</t>
  </si>
  <si>
    <t>UND $</t>
  </si>
  <si>
    <t>TOTAL $</t>
  </si>
  <si>
    <t xml:space="preserve">PRODUCTO </t>
  </si>
  <si>
    <t>ACEITE 900 ML BELLISIMO DE SOYA</t>
  </si>
  <si>
    <t>BOLSA 2 KG CON ASA (PRODUCCION)  BIOGRADABLE</t>
  </si>
  <si>
    <t>CAFE 200 GR FAMA DE AMERICA</t>
  </si>
  <si>
    <t>DETERGENTE EN POLVO 900 GR LAVANDA ZERO</t>
  </si>
  <si>
    <t>DETERGENTE EN POLVO LIMON 900 GR ZERO</t>
  </si>
  <si>
    <t>DETERGENTE POLVO 400 GR LAVANDA ZERO</t>
  </si>
  <si>
    <t>JABON HARMONY SURTIDO 35GR</t>
  </si>
  <si>
    <t>LECHE CONDENSADA 270GR ITALAC</t>
  </si>
  <si>
    <t>LECHE CONDENSADA 395GR   MOCOCA</t>
  </si>
  <si>
    <t>LECHE CONDENSADA DEMIDESNATADO 395GR. TIROL</t>
  </si>
  <si>
    <t>LECHE EN POLVO 400GR DO BON</t>
  </si>
  <si>
    <t>MAIZ DE COTUFA DONA DE 500GR</t>
  </si>
  <si>
    <t>MAIZ DE COTUFA PIPOCA 500GR</t>
  </si>
  <si>
    <t>MARGARINA CON SAL 250GR  SADIA DELINE</t>
  </si>
  <si>
    <t>MARGARINA CON SAL 500GR DELINE SADIA</t>
  </si>
  <si>
    <t>PEGA LOKA 3 GR LA ORIGINAL</t>
  </si>
  <si>
    <t>DETERGENTE EN POLVO 500GR  ALIVE ROSA</t>
  </si>
  <si>
    <t>DETERGENTE EN POLVO 1KG  ALIVE ROSA</t>
  </si>
  <si>
    <t>DETERGENTE EN POLVO 1KG  ALIVE LIMON</t>
  </si>
  <si>
    <t>DETERGENTE EN POLVO 500GR  ALIVE LIMON</t>
  </si>
  <si>
    <t>DETERGENTE EN POLVO 400 GR LIMON ZERO</t>
  </si>
  <si>
    <t>DETERGENTE EN POLVO 400 GR LIMON CERO3</t>
  </si>
  <si>
    <t>DETERGENTE EN POLVO 800 GR BLANCOS DIAMANTES ACESS</t>
  </si>
  <si>
    <t>DETERGENTE POLVO LIMON 900 GR CERO</t>
  </si>
  <si>
    <t>LEVADURA 500 GR INSTANTANEA MAGEST ROJO</t>
  </si>
  <si>
    <t>MAYONESA 445GR KRAFT ORIGINAL</t>
  </si>
  <si>
    <t>BONICE VEN SURTIDO</t>
  </si>
  <si>
    <t>AZUCAR HERLUZ 1 KG</t>
  </si>
  <si>
    <t xml:space="preserve">BOMBILLOS LIDA 9W </t>
  </si>
  <si>
    <t>VELAS BLANCAS 30 GR  DETALLADAS</t>
  </si>
  <si>
    <t>COLADORES DE CAFÉ</t>
  </si>
  <si>
    <t>COD-0028 CONSERVADOR 2 LT</t>
  </si>
  <si>
    <t>COD-0012 TAZA MEDIANA 18CM</t>
  </si>
  <si>
    <t>COD-0027 TAZA ACANALADA GRANDE 20CM</t>
  </si>
  <si>
    <t>COD-0079 TAZA ACANALADA EXTRA GRANDE  22CM</t>
  </si>
  <si>
    <t>COD 0093 PORTA CUBIERTOS</t>
  </si>
  <si>
    <t>COD-0116 SANDWICHERA N°1</t>
  </si>
  <si>
    <t>COLETO GRANDE</t>
  </si>
  <si>
    <t>PRECIO $</t>
  </si>
  <si>
    <t>2 CESTAS</t>
  </si>
  <si>
    <t>PEDIDO HECHO 6 DE OCTUBRE</t>
  </si>
  <si>
    <t>ENPARALELO</t>
  </si>
  <si>
    <t>PROTICAN HUSITO 2 KG</t>
  </si>
  <si>
    <t>PROTICAN HUSITO 4 KG</t>
  </si>
  <si>
    <t>UNIDADES</t>
  </si>
  <si>
    <t>venta und</t>
  </si>
  <si>
    <t>inv und</t>
  </si>
  <si>
    <t>inv en bulto</t>
  </si>
  <si>
    <t xml:space="preserve">PEDIDO </t>
  </si>
  <si>
    <t xml:space="preserve">10 BULTOS </t>
  </si>
  <si>
    <t>PEPITONA PICANTE 140 GR MARGARITA</t>
  </si>
  <si>
    <t>SARDINA 170 GR EN ACEITE MARGARITA</t>
  </si>
  <si>
    <t>SARDINA EN SALSA TOMATE 170GR MARGARITA</t>
  </si>
  <si>
    <t>MEZCLA PARA CACHAPAS 500 GR PAN</t>
  </si>
  <si>
    <t>ACEITE DE MAIZ 1 LT MAZEITE</t>
  </si>
  <si>
    <t>ARROZ PRIMOR 1 KG CLASICO</t>
  </si>
  <si>
    <t>PASTA DEDAL 1 KG PRIMOR</t>
  </si>
  <si>
    <t>PASTA VERMECELLI 1KG PRIMOR</t>
  </si>
  <si>
    <t>PASTA LARGA 1 KG ESPAGUETTI PRIMOR</t>
  </si>
  <si>
    <t>KONGA 30 GR SABOR A LIMON</t>
  </si>
  <si>
    <t>KONGA SABOR PARCHITA 30 GR</t>
  </si>
  <si>
    <t>MAYONESA 910G MAVESA</t>
  </si>
  <si>
    <t>VINAGRE MAVESA 500 CM</t>
  </si>
  <si>
    <t>MAVESA MARGARINA 500GR</t>
  </si>
  <si>
    <t>MAYONESA 445G MAVESA</t>
  </si>
  <si>
    <t>MAYONESA ADEREZO 3.6 KG MAVESA</t>
  </si>
  <si>
    <t>RIKESA QUESO CHEDDAR ORIGINAL 200 GR RIKESA</t>
  </si>
  <si>
    <t>RIKESA TOCINETA 300 GR</t>
  </si>
  <si>
    <t>MANTEQUILLA 250GR MAVESA</t>
  </si>
  <si>
    <t>MARGARINA NELLYCIOSA 250GR NELLY</t>
  </si>
  <si>
    <t>MARGARINA NELLYCIOSA 500GR NELLY</t>
  </si>
  <si>
    <t>DETERGENTE EN POLVO FLORAL 400GR LAS LLAVES</t>
  </si>
  <si>
    <t>LAS LLAVES 900 GR POLVO FLORAL</t>
  </si>
  <si>
    <t>DETERGENTE LAS LLAVES BEBE 900 GR</t>
  </si>
  <si>
    <t>MARGARINA 454 GR CHIFFON MAVESA</t>
  </si>
  <si>
    <t>YOGURT 750 GR MI GURT FRESA</t>
  </si>
  <si>
    <t>KETCHUP PAMPERO 198 GR</t>
  </si>
  <si>
    <t>KETCHUP PAMPERO 397 GR</t>
  </si>
  <si>
    <t>KONGA SABOR A NARANJA 30G UND</t>
  </si>
  <si>
    <t>PERRARINA CARNE PARRILLA DOGOURMET 1 KG</t>
  </si>
  <si>
    <t>AVENA EN HOJUELA FORTIFICADA 400 GR QUAKER</t>
  </si>
  <si>
    <t>AVENA EN HOJUELAS FORTIFICADA 800G QUAKER</t>
  </si>
  <si>
    <t>HARINA DE MAIZ 1 KG PAN</t>
  </si>
  <si>
    <t>HARINA DE MAIZ AMARILLO 1 KG PAN</t>
  </si>
  <si>
    <t>HARINA DE MAIZ BLANCO Y ARROZ 1KG PAN</t>
  </si>
  <si>
    <t>PASTA 1 KG LARGA LINGUINI PRIMOR</t>
  </si>
  <si>
    <t>CREMA DE ARROZ BOLSA 450 GR PRIMOR</t>
  </si>
  <si>
    <t>PASTA CORTA TORNILLO 1KG PRIMOR</t>
  </si>
  <si>
    <t>PASTA DEDALES 500 GR PRIMOR</t>
  </si>
  <si>
    <t>PASTA VERMICELLI 500 GR PRIMOR</t>
  </si>
  <si>
    <t>MAYONESA 175GR MAVESA</t>
  </si>
  <si>
    <t>LAS LLAVES DETERGENTE LIQ. ROPA DELI 510CC</t>
  </si>
  <si>
    <t>LAVAPLATOS 500 GR LAS LLAVES MULTIUSO CREMA</t>
  </si>
  <si>
    <t>ATUN 140 GR MARGARITA EN ACEITE</t>
  </si>
  <si>
    <t>PASTA 1 KG PLUMITA PRIMOR</t>
  </si>
  <si>
    <t>MERMELADA DE FRESA 240GR LA VIENESA</t>
  </si>
  <si>
    <t>TODDY ENVASE 200 GR</t>
  </si>
  <si>
    <t>BULTO B  DIGITAL</t>
  </si>
  <si>
    <t>UND B DIGITAL</t>
  </si>
  <si>
    <t>UND EN $</t>
  </si>
  <si>
    <t>VENTA UND</t>
  </si>
  <si>
    <t>VENTA EN BULTO</t>
  </si>
  <si>
    <t>INV EN UND</t>
  </si>
  <si>
    <t>INV EN BULTO</t>
  </si>
  <si>
    <t>PRECIO $ X BULTO</t>
  </si>
  <si>
    <t>$ X UND</t>
  </si>
  <si>
    <t>INPRODELCA</t>
  </si>
  <si>
    <t>Valor $ dia (05/04/2021; 1:00 pm)=</t>
  </si>
  <si>
    <t>CAJA S/IVA</t>
  </si>
  <si>
    <t>UNIDAD S/IVA</t>
  </si>
  <si>
    <t>CAJA C/IVA</t>
  </si>
  <si>
    <t>UNIDAD C/IVA</t>
  </si>
  <si>
    <t>INTERNO</t>
  </si>
  <si>
    <t>DE BARRA</t>
  </si>
  <si>
    <t>UNID</t>
  </si>
  <si>
    <t>REF</t>
  </si>
  <si>
    <t>1X24</t>
  </si>
  <si>
    <t>24</t>
  </si>
  <si>
    <t>12</t>
  </si>
  <si>
    <t>BOLSAS PARA BASURA PLASTKING</t>
  </si>
  <si>
    <t>010101</t>
  </si>
  <si>
    <t>P.KING BOLSA 15 LITROS 24X6</t>
  </si>
  <si>
    <t>1X24X6</t>
  </si>
  <si>
    <t>010102</t>
  </si>
  <si>
    <t>P.KING BOLSA 30 LITROS 24X6</t>
  </si>
  <si>
    <t>010103</t>
  </si>
  <si>
    <t>P.KING BOLSA 60 LITROS 24X6</t>
  </si>
  <si>
    <t>010104</t>
  </si>
  <si>
    <t>P.KING BOLSA TIPO A 30 KG 24X5</t>
  </si>
  <si>
    <t>1X24X5</t>
  </si>
  <si>
    <t>010105</t>
  </si>
  <si>
    <t>P.KING BOLSA TIPO B 40 KG 24X3</t>
  </si>
  <si>
    <t>1X24X3</t>
  </si>
  <si>
    <t>BOLSAS PARA BASURA ECONOPLAST</t>
  </si>
  <si>
    <t>010405</t>
  </si>
  <si>
    <t>ECONOP.BOLSA B 40 KG ALTA 24X3</t>
  </si>
  <si>
    <t>228001</t>
  </si>
  <si>
    <t>PABILO CRUDO 4 Kg APROX X100</t>
  </si>
  <si>
    <t>1X100</t>
  </si>
  <si>
    <t>GUANTE HOGAR PK</t>
  </si>
  <si>
    <t>160101</t>
  </si>
  <si>
    <t>P.KING USO HOGAR S X12</t>
  </si>
  <si>
    <t>1X12</t>
  </si>
  <si>
    <t>160102</t>
  </si>
  <si>
    <t>P.KING USO HOGAR M X12</t>
  </si>
  <si>
    <t>160103</t>
  </si>
  <si>
    <t>P.KING USO HOGAR L X12</t>
  </si>
  <si>
    <t>COLETOS</t>
  </si>
  <si>
    <t>100804</t>
  </si>
  <si>
    <t>ADICORA COLETO MARRON MED X60</t>
  </si>
  <si>
    <t>1X60</t>
  </si>
  <si>
    <t>60</t>
  </si>
  <si>
    <t>100801</t>
  </si>
  <si>
    <t>ADICORA COLETO AZUL GRANDE X60</t>
  </si>
  <si>
    <t>100802</t>
  </si>
  <si>
    <t>ADICORA COLETO MARRON GRANDE X60</t>
  </si>
  <si>
    <t>LANILLAS</t>
  </si>
  <si>
    <t>120801</t>
  </si>
  <si>
    <t>ADICORA LANILLA AMAR.MEDIANO X60</t>
  </si>
  <si>
    <t>120802</t>
  </si>
  <si>
    <t>ADICORA LANILLA AMAR.GRANDE X60</t>
  </si>
  <si>
    <t>120803</t>
  </si>
  <si>
    <t>ADICORA LANILLA AMAR.SUPER X60</t>
  </si>
  <si>
    <t>MOPAS INDUSTRIAL</t>
  </si>
  <si>
    <t>110801</t>
  </si>
  <si>
    <t>ADICORA MOPA INDUSTRIAL #32 X12</t>
  </si>
  <si>
    <t>110802</t>
  </si>
  <si>
    <t>ADICORA MOPA INDUSTRIAL #36 X12</t>
  </si>
  <si>
    <t>MOPAS ALGODON</t>
  </si>
  <si>
    <t>110805</t>
  </si>
  <si>
    <t>ADICORA MOPA DE ALGODON #32 X12</t>
  </si>
  <si>
    <t>110806</t>
  </si>
  <si>
    <t>ADICORA MOPA DE ALGODON #36 X12</t>
  </si>
  <si>
    <t xml:space="preserve">CEPILLOS DE BARRER </t>
  </si>
  <si>
    <t>141701</t>
  </si>
  <si>
    <t>CEPILLO CEPIVEN  X12</t>
  </si>
  <si>
    <t>141501</t>
  </si>
  <si>
    <t>INDESSA ARAUCA X12</t>
  </si>
  <si>
    <t>141503</t>
  </si>
  <si>
    <t>INDESSA EXTRA X12</t>
  </si>
  <si>
    <t>141509</t>
  </si>
  <si>
    <t>INDESSA CARONI X12</t>
  </si>
  <si>
    <t>141504</t>
  </si>
  <si>
    <t>INDESSA POPULAR X12</t>
  </si>
  <si>
    <t>141506</t>
  </si>
  <si>
    <t>INDESSA RUSTICO X12</t>
  </si>
  <si>
    <t>141505</t>
  </si>
  <si>
    <t>INDESSA SUPERIOR X6</t>
  </si>
  <si>
    <t>1X6</t>
  </si>
  <si>
    <t>6</t>
  </si>
  <si>
    <t>141502</t>
  </si>
  <si>
    <t>INDESSA FLORIDA X12</t>
  </si>
  <si>
    <t>141508</t>
  </si>
  <si>
    <t>INDESSA ACOSTADO SUAVE X12</t>
  </si>
  <si>
    <t>141507</t>
  </si>
  <si>
    <t>INDESSA ACOSTADO RUSTICO X12</t>
  </si>
  <si>
    <t>141520</t>
  </si>
  <si>
    <t>INDESSA ZAPATO X24</t>
  </si>
  <si>
    <t>141518</t>
  </si>
  <si>
    <t>INDESSA LAVAR PLANCHITA X24</t>
  </si>
  <si>
    <t>141517</t>
  </si>
  <si>
    <t>INDESSA LAVAR SIN ASA 1X24</t>
  </si>
  <si>
    <t>141515</t>
  </si>
  <si>
    <t>INDESSA CHUPONES W-C X24</t>
  </si>
  <si>
    <t>141526</t>
  </si>
  <si>
    <t>INDESSA SANITARIO X36</t>
  </si>
  <si>
    <t>1X36</t>
  </si>
  <si>
    <t>36</t>
  </si>
  <si>
    <t>141527</t>
  </si>
  <si>
    <t>INDESSA SANITARIO CON BASE X24</t>
  </si>
  <si>
    <t>141525</t>
  </si>
  <si>
    <t>INDESSA RASTRILLO PLASTICO X24</t>
  </si>
  <si>
    <t>141516</t>
  </si>
  <si>
    <t>INDESSA HARAGAN PLAST SUPERIOR X48</t>
  </si>
  <si>
    <t>1X48</t>
  </si>
  <si>
    <t>48</t>
  </si>
  <si>
    <t>141522</t>
  </si>
  <si>
    <t>INDESSA PALA P.PEQUE¥A X24</t>
  </si>
  <si>
    <t>141521</t>
  </si>
  <si>
    <t>INDESSA PALA P.GRANDE X12</t>
  </si>
  <si>
    <t>218001</t>
  </si>
  <si>
    <t>PALO CON ROSCA X12</t>
  </si>
  <si>
    <t>PLATOS DE CARTON</t>
  </si>
  <si>
    <t>040101</t>
  </si>
  <si>
    <t>P.KING PLATO CARTON #5 50X18</t>
  </si>
  <si>
    <t>1X50X18</t>
  </si>
  <si>
    <t>50</t>
  </si>
  <si>
    <t>040102</t>
  </si>
  <si>
    <t>P.KING PLATO CARTON #6 50X18</t>
  </si>
  <si>
    <t>040103</t>
  </si>
  <si>
    <t>P.KING PLATO CARTON #7 50X18</t>
  </si>
  <si>
    <t>040104</t>
  </si>
  <si>
    <t>P.KING PLATO CARTON #8 50X18</t>
  </si>
  <si>
    <t>040105</t>
  </si>
  <si>
    <t>P.KING PLATO CARTON #9 50X18</t>
  </si>
  <si>
    <t>PLATOS DESECHABLES PK</t>
  </si>
  <si>
    <t>050101</t>
  </si>
  <si>
    <t>P.KING PLATO DESECHABLE #5 50X10</t>
  </si>
  <si>
    <t>1X50X10</t>
  </si>
  <si>
    <t>050102</t>
  </si>
  <si>
    <t>P.KING PLATO DESECHABLE #6 50X10</t>
  </si>
  <si>
    <t>050103</t>
  </si>
  <si>
    <t>P.KING PLATO DESECHABLE #7 50X10</t>
  </si>
  <si>
    <t>050104</t>
  </si>
  <si>
    <t>P.KING PLATO DESECHABLE #8 50X10</t>
  </si>
  <si>
    <t>050105</t>
  </si>
  <si>
    <t>P.KING PLATO DESECHABLE #9 50X10</t>
  </si>
  <si>
    <t>CUBIERTOS PLASTICOS PLASTKING</t>
  </si>
  <si>
    <t>090101</t>
  </si>
  <si>
    <t>P.KING CUCHARA FIESTA 50X24</t>
  </si>
  <si>
    <t>1X50X24</t>
  </si>
  <si>
    <t>090104</t>
  </si>
  <si>
    <t>P.KING CUCHARA PICNIC 40X24</t>
  </si>
  <si>
    <t>1X40X24</t>
  </si>
  <si>
    <t>40</t>
  </si>
  <si>
    <t>090103</t>
  </si>
  <si>
    <t>P.KING TENEDOR PICNIC 40X24</t>
  </si>
  <si>
    <t>090105</t>
  </si>
  <si>
    <t>P.KING CUCHILLO PICNIC 40X24</t>
  </si>
  <si>
    <t>PITILLOS PLASTICOS</t>
  </si>
  <si>
    <t>200101</t>
  </si>
  <si>
    <t>P.KING PITILLO EN BOLSA 40X150</t>
  </si>
  <si>
    <t>1X40X150</t>
  </si>
  <si>
    <t>RECIPIENTES MULTIUSO CON TAPA</t>
  </si>
  <si>
    <t>190101</t>
  </si>
  <si>
    <t>P.KING RECIPIENTE 12 OZ 350CC 18X5</t>
  </si>
  <si>
    <t>1X18X5</t>
  </si>
  <si>
    <t>190102</t>
  </si>
  <si>
    <t>P.KING RECIPIENTE 16 OZ 500CC 18X5</t>
  </si>
  <si>
    <t>190103</t>
  </si>
  <si>
    <t>P.KING RECIPIENTE 26 OZ 15X5</t>
  </si>
  <si>
    <t>1X15X5</t>
  </si>
  <si>
    <t>190104</t>
  </si>
  <si>
    <t>P.KING RECIPIENTE 32 OZ 15X5</t>
  </si>
  <si>
    <t>CONTEN. ALUMINIO EMPACADOS PLASTKING</t>
  </si>
  <si>
    <t>130102</t>
  </si>
  <si>
    <t>P.KING CONT.ALUM. 705-450CC 24X10</t>
  </si>
  <si>
    <t>1X24X10</t>
  </si>
  <si>
    <t>130103</t>
  </si>
  <si>
    <t>P.KING CONT.ALUM. 747-700CC 20X10</t>
  </si>
  <si>
    <t>1X20X10</t>
  </si>
  <si>
    <t>130104</t>
  </si>
  <si>
    <t>P.KING CONT.ALUM. 788-966CC 20X10</t>
  </si>
  <si>
    <t>COLADOR DE TELA GRANDE</t>
  </si>
  <si>
    <t>230101</t>
  </si>
  <si>
    <t>COLADOR DE TELA GRANDE X12</t>
  </si>
  <si>
    <t>AUTOMERCADO EXPRESS 2707 TIENDA PRINCIPAL</t>
  </si>
  <si>
    <t>SUPERMERCADOS</t>
  </si>
  <si>
    <t>Precio Facturación UNIDAD</t>
  </si>
  <si>
    <t>Precio Facturación CAJA</t>
  </si>
  <si>
    <t>CODIGO DE</t>
  </si>
  <si>
    <t>Precio de Venta</t>
  </si>
  <si>
    <t>SAP</t>
  </si>
  <si>
    <t>BARRA</t>
  </si>
  <si>
    <t>Sin IVA</t>
  </si>
  <si>
    <t>Con IVA</t>
  </si>
  <si>
    <t>TANG</t>
  </si>
  <si>
    <t>TANG GUANABANA SP 6X12X30GR</t>
  </si>
  <si>
    <t>TANG NARANJA SP 6X12X30GR</t>
  </si>
  <si>
    <t>TANG MORA SP 6X12X30GR</t>
  </si>
  <si>
    <t>TANG PARCHITA SP 6X12X30GR</t>
  </si>
  <si>
    <t>TANG LIMON SP 6X12X30GR</t>
  </si>
  <si>
    <t>CLUB SOCIAL</t>
  </si>
  <si>
    <t>CLUB SOCIAL INTEGRAL 6S (156G)</t>
  </si>
  <si>
    <t>CLUB SOCIAL 6S 20 OWX156 GR NVA IMAGEN</t>
  </si>
  <si>
    <t>BELVITA</t>
  </si>
  <si>
    <t>BELVITA KRAKER 9S 14X234 GRS</t>
  </si>
  <si>
    <t>BELVITA HONY 9S 14OWx252 G</t>
  </si>
  <si>
    <t>SODA</t>
  </si>
  <si>
    <t>SODA PREMIUM 6S 18 OW X156GR</t>
  </si>
  <si>
    <t>OREO</t>
  </si>
  <si>
    <t>OREO VAINILLA OW 6´S (216G)</t>
  </si>
  <si>
    <t>OREO VAINILLA TUBO 48X108G</t>
  </si>
  <si>
    <t>OREO CHOCOLATE OW 6´S (216G)</t>
  </si>
  <si>
    <t>OREO CHOCOLATE TUBO 48X108GRS</t>
  </si>
  <si>
    <t>OREO AMERICANO OW 6´S (216G)</t>
  </si>
  <si>
    <t>OREO AMERICANO TUBO 48X108G</t>
  </si>
  <si>
    <t>OREO FRESA OW 6´S (216G)</t>
  </si>
  <si>
    <t>OREO FRESA TUBO 48X108G</t>
  </si>
  <si>
    <t>OREO CAFE OW 6´S (216G)</t>
  </si>
  <si>
    <t>OREO CAFÉ TUBO 48X108G</t>
  </si>
  <si>
    <t>CHIPS AHOY</t>
  </si>
  <si>
    <t>CHIPS AHOY 6S OW 32X168 GRS 150D VU</t>
  </si>
  <si>
    <t>MINI CHIPS</t>
  </si>
  <si>
    <t>MINI CHIPS VAINILLA 180GRS</t>
  </si>
  <si>
    <t>SORBETICOS</t>
  </si>
  <si>
    <t>SORBETICOS VAINILLA 4S</t>
  </si>
  <si>
    <t>SORBETICOS FRESA 4S</t>
  </si>
  <si>
    <t>SORBETICOS AREQUIPE 4S</t>
  </si>
  <si>
    <t>BOLIVAR DIGITAL</t>
  </si>
  <si>
    <r>
      <rPr>
        <b/>
        <sz val="12"/>
        <rFont val="TeXGyreAdventor"/>
      </rPr>
      <t>MAYONESA</t>
    </r>
  </si>
  <si>
    <r>
      <rPr>
        <sz val="11"/>
        <rFont val="Gothic Uralic"/>
      </rPr>
      <t>MAYONESA REG 12X445GR</t>
    </r>
  </si>
  <si>
    <r>
      <rPr>
        <sz val="11"/>
        <rFont val="Gothic Uralic"/>
      </rPr>
      <t>MAYONESA REG 24X175 GR</t>
    </r>
  </si>
  <si>
    <r>
      <rPr>
        <b/>
        <sz val="10"/>
        <rFont val="TeXGyreAdventor"/>
      </rPr>
      <t>CODIGO</t>
    </r>
  </si>
  <si>
    <r>
      <rPr>
        <b/>
        <sz val="10"/>
        <rFont val="TeXGyreAdventor"/>
      </rPr>
      <t>CODIGO DE</t>
    </r>
  </si>
  <si>
    <r>
      <rPr>
        <b/>
        <sz val="10"/>
        <rFont val="TeXGyreAdventor"/>
      </rPr>
      <t>DESCRIPCION</t>
    </r>
  </si>
  <si>
    <r>
      <rPr>
        <b/>
        <sz val="10"/>
        <rFont val="TeXGyreAdventor"/>
      </rPr>
      <t>Precio de Venta</t>
    </r>
  </si>
  <si>
    <r>
      <rPr>
        <b/>
        <sz val="10"/>
        <rFont val="TeXGyreAdventor"/>
      </rPr>
      <t>SAP</t>
    </r>
  </si>
  <si>
    <r>
      <rPr>
        <b/>
        <sz val="10"/>
        <rFont val="TeXGyreAdventor"/>
      </rPr>
      <t>BARRA</t>
    </r>
  </si>
  <si>
    <r>
      <rPr>
        <b/>
        <sz val="10"/>
        <rFont val="TeXGyreAdventor"/>
      </rPr>
      <t>Sin IVA</t>
    </r>
  </si>
  <si>
    <r>
      <rPr>
        <b/>
        <sz val="10"/>
        <rFont val="TeXGyreAdventor"/>
      </rPr>
      <t>Con IVA</t>
    </r>
  </si>
  <si>
    <t>PRECIO $ Sin IVA X BULTO</t>
  </si>
  <si>
    <t xml:space="preserve">PRECIO $ UND Sin IVA </t>
  </si>
  <si>
    <t>ACEITE DE OLIVA 500ML EXTRA VIRGEN       CAPRI</t>
  </si>
  <si>
    <t>CAPRI CANNELLONE 250 GR DIRECTO AL HORNO ESPECIALIDADES</t>
  </si>
  <si>
    <t>PASTA 1 KG RIGATONI CAPRI</t>
  </si>
  <si>
    <t>PASTA 1 KG TORNILLO EXTRA ESPECIAL CAPRI</t>
  </si>
  <si>
    <t>PASTA 500 GR LINGUINI   CAPRI</t>
  </si>
  <si>
    <t>PASTA CON ESPINACA 250 GR CANELLONE CAPRI</t>
  </si>
  <si>
    <t>PASTA ESPECIALIDAD LINGUINI 1KG CAPRI</t>
  </si>
  <si>
    <t>PASTA EXTRA 1 KG ESPECIAL DEDAL CAPRI</t>
  </si>
  <si>
    <t>PASTA EXTRA 1 KG ESPECIAL VERMICELLI CAPRI</t>
  </si>
  <si>
    <t>PASTA EXTRA 1 KG PLUMA CAPRI</t>
  </si>
  <si>
    <t>PASTA EXTRA ESPECIAL VERMICELLI 500 GR CAPRI</t>
  </si>
  <si>
    <t>PASTA FIDEO 250 GR CAPRI</t>
  </si>
  <si>
    <t>PASTA FIGURITAS JUEGA Y APRENDE 250GR   CAPRI</t>
  </si>
  <si>
    <t>PASTA PREMIUM 500 GR VERMICELLI CAPRI</t>
  </si>
  <si>
    <t>PASTA PREMIUM CARACOL GRANDE 500GR CAPRI</t>
  </si>
  <si>
    <t>PASTA PREMIUM PLUMA 1KG CAPRI</t>
  </si>
  <si>
    <t>PASTA TORNILLO 1KG CAPRI</t>
  </si>
  <si>
    <t>PASTICHO 250 GR DIRECTO AL HORNO CAPRI</t>
  </si>
  <si>
    <t>PASTICHO 250GR ESPECIALIDADES CAPRI</t>
  </si>
  <si>
    <t>PASTINA ESP. ESTRELLITAS BEBE 250 GR CAPRI</t>
  </si>
  <si>
    <t>PASTINA ESP.ARROCITO BEBES 250GR CAPRI</t>
  </si>
  <si>
    <t>SALSA 490 GR BOLOGNA CAPRI</t>
  </si>
  <si>
    <t>SALSA NAPOLI 490 GR RAPIDISIMO   CAPRI</t>
  </si>
  <si>
    <t>TALLARINES ESPECIAL 500 GR CORTOS CAPRI</t>
  </si>
  <si>
    <t>PASTA PREMIUM CODITO  500 GR CAPRI</t>
  </si>
  <si>
    <t>PASTA PREMIUM PLUMITA  500 GR CAPRI</t>
  </si>
  <si>
    <t>PASTA PREMIUM VERMICELLI 1 KG CAPRI</t>
  </si>
  <si>
    <t>PASTA EXTRA ESPECIAL DEDALITO 1 KGCAPRI</t>
  </si>
  <si>
    <t>PASTA EXTRA CORTA DEDAL ESPECIAL 500 GR CAPRI</t>
  </si>
  <si>
    <t>ESTUDIO DE UN MES</t>
  </si>
  <si>
    <t>MANZANAS ROJA</t>
  </si>
  <si>
    <t xml:space="preserve">MANZANAS VERDES </t>
  </si>
  <si>
    <t>MANZANAS AMARILLA</t>
  </si>
  <si>
    <t>PERAS</t>
  </si>
  <si>
    <t>NUMERO</t>
  </si>
  <si>
    <t>UND X CAJA</t>
  </si>
  <si>
    <t>PRECIOS $</t>
  </si>
  <si>
    <t>JEAN CARLOS HIELO</t>
  </si>
  <si>
    <t>FRUTAS IMP ALL FRESH</t>
  </si>
  <si>
    <t>QUINTA CREPO</t>
  </si>
  <si>
    <t>JOSVI BARRIOS NUENO VENDEDOR</t>
  </si>
  <si>
    <t>002079  MANZANA ROJA/VERDE /PERA KG</t>
  </si>
  <si>
    <t>CERVEZA POLAR TIPO PILSEN 355ML NR</t>
  </si>
  <si>
    <t>COSTO CON IVA</t>
  </si>
  <si>
    <t>SUB</t>
  </si>
  <si>
    <t>C</t>
  </si>
  <si>
    <t>CHILENAS</t>
  </si>
  <si>
    <t>DETERGENTE EN POLVO ROSA 500GR ALIVE</t>
  </si>
  <si>
    <t>GEL DENTAL TANS FRESA 2-6 AÑOS</t>
  </si>
  <si>
    <t>TOALLAS DIARIAS 20 UND ALUAYASS</t>
  </si>
  <si>
    <t>SHAMPOO 405 ML 3EN1 TAPA ROSADA Y DORADA TANS</t>
  </si>
  <si>
    <t>DETERGENTE EN POLVO 800 GR ACESS</t>
  </si>
  <si>
    <t>DETERGENTE 400 GR LIMON CERO3</t>
  </si>
  <si>
    <t>DETERGENTE EN POLVO LIMON 900 GR CERO3</t>
  </si>
  <si>
    <t>JABON EN POLVO 400 GR LIMON ZERO</t>
  </si>
  <si>
    <t>NUTRIBELA10 REPOLARIZACION EN FRIO 27 ML</t>
  </si>
  <si>
    <t>CREMA ALIDENT 100GR GEL VERDE ALIENTO FRESCO</t>
  </si>
  <si>
    <t>CREMA ALIDENT 100GR GEL AZUL ALIENTO FRESCO</t>
  </si>
  <si>
    <t>FRUTUS 15 GR SABORES VARIOS</t>
  </si>
  <si>
    <t>BOMBILLO 9W LIDA</t>
  </si>
  <si>
    <t>DETERGENTE EN POLVO 500 GR LIMON ALIVE</t>
  </si>
  <si>
    <t>VELA DETALLADA PERLA 30GR  (AV)</t>
  </si>
  <si>
    <t>CONSERVADOR 2 LT N°4 C-0028 DURAPLAS</t>
  </si>
  <si>
    <t>TAZA MEDIANA C-0012 18CM DURAPLAS</t>
  </si>
  <si>
    <t>TAZA ACAN EXT GRANDE C-0079 22 CM DURAPLAS</t>
  </si>
  <si>
    <t>TAZA ACANALADA GRANDE C-0027 20CM DURAPLAS</t>
  </si>
  <si>
    <t>PORTA CUBIERTOS C-0093 DURAPLAS</t>
  </si>
  <si>
    <t>SANDUCHERA NRO 1 C-0116 DURAPLAS</t>
  </si>
  <si>
    <t>LEVADURA INSTANTANEA 500 GR MAGEST.</t>
  </si>
  <si>
    <t>MAYONESA 445GR KRAFT</t>
  </si>
  <si>
    <t>COLADOR DE CAFE EN TELA</t>
  </si>
  <si>
    <t>AZUCAR 1 KG HERLUZ</t>
  </si>
  <si>
    <t>ACEITE CORCOVADO 900ML</t>
  </si>
  <si>
    <t>DETERGENTE AZ 400GR</t>
  </si>
  <si>
    <t>DETERGENTE AXIAO 400 GR</t>
  </si>
  <si>
    <t>TOALLA SANITARIA DIA AXIAO</t>
  </si>
  <si>
    <t>TOALLA SANITARIA NOCHE AXIAO</t>
  </si>
  <si>
    <t xml:space="preserve">NUTIBELA ENZIMO TERAPIA </t>
  </si>
  <si>
    <t>NUTIBELA CAUTERIZADOR</t>
  </si>
  <si>
    <t>CERVEZA LIGHT DESECHABLE 0.355 L POLAR NR</t>
  </si>
  <si>
    <t>COLETOS GRANDES</t>
  </si>
  <si>
    <t>AGUA 600 ML LOS ALPES</t>
  </si>
  <si>
    <t>AGUA 1.5 LT LOS ALPES</t>
  </si>
  <si>
    <t>AGUA 5 LT LOS ALPES</t>
  </si>
  <si>
    <t>Columna1</t>
  </si>
  <si>
    <t>Columna2</t>
  </si>
  <si>
    <t>7 DIAS</t>
  </si>
  <si>
    <t>Proveedor</t>
  </si>
  <si>
    <t>28/10/2020</t>
  </si>
  <si>
    <t>PLUMROSE LATINOAMERICANA, C.A.</t>
  </si>
  <si>
    <t>JAMON AHUMADO PLUMROSE KG</t>
  </si>
  <si>
    <t>09/11/2020</t>
  </si>
  <si>
    <t>09/08/2021</t>
  </si>
  <si>
    <t>09/09/2021</t>
  </si>
  <si>
    <t>06/10/2021</t>
  </si>
  <si>
    <t>19/10/2020</t>
  </si>
  <si>
    <t>HIPER MODELO, C.A.</t>
  </si>
  <si>
    <t>EXQUISITECES MODELO, C.A.</t>
  </si>
  <si>
    <t>BAYGON 360 ML VERDE CONTRA CUCARACHAS</t>
  </si>
  <si>
    <t>BAYGON 6 DOBLE ESPIRALES ANTI-MOSQUITOS</t>
  </si>
  <si>
    <t>BAYGON DOBLE ACCION 235ML CONTRA ZANCUDOS</t>
  </si>
  <si>
    <t>BAYGON MATA INSECTOS VOLADORES 235ML  JOHNSON</t>
  </si>
  <si>
    <t>BAYGON MATA VOLADORES 360 ML</t>
  </si>
  <si>
    <t>BAYGON VERDE CONTRA CUCARACHA 235ML JOHNSON</t>
  </si>
  <si>
    <t>DESINFECTANTE MR MUSCULO FLORAL 900ML JOHNSON</t>
  </si>
  <si>
    <t>DESINFECTANTE MR MUSCULO LAVANDA 900ML JOHNSON</t>
  </si>
  <si>
    <t>DESINFECTANTE MR.MUSCULO CARICIA BEBE 900ML</t>
  </si>
  <si>
    <t>GLADE AEROSOL 235 ML 5 EN 1 CAMPOS DE LAVANDA</t>
  </si>
  <si>
    <t>GLADE AEROSOL 235 ML 5 EN 1 MANZANA Y CANELA</t>
  </si>
  <si>
    <t>GLADE CAMPOS DE LAVANDA 360ML JOHNSON</t>
  </si>
  <si>
    <t>GLADE MANZANA Y CANELA 360ML JOHNSON</t>
  </si>
  <si>
    <t>LIMPIADOR COCINA 500ML CITRUS  MR MUSCULO</t>
  </si>
  <si>
    <t>MATA CUCARACHAS 235 ML RAID GOLD</t>
  </si>
  <si>
    <t>MR MUSCULO 5 EN 1 500 ML LIMPIADOR INODOROS MARINA</t>
  </si>
  <si>
    <t>MR MUSCULO 500 ML 5 EN 1 PARA INODOROS NATURALEZA</t>
  </si>
  <si>
    <t>MR MUSCULO 500 ML ANTIGRASA SPRAY JOHNSON</t>
  </si>
  <si>
    <t>MR MUSCULO AUTOBRILLANTE CERA FLORAL 900ML</t>
  </si>
  <si>
    <t>MR MUSCULO AUTOBRILLANTE CERA LAVANDA 900ML</t>
  </si>
  <si>
    <t>MR MUSCULO BRILLOSITA CERA LAVANDA 900ML</t>
  </si>
  <si>
    <t>MR MUSCULO GLADE CARICIA BEBE 500ML JOHNSON</t>
  </si>
  <si>
    <t>MR MUSCULO GLADE FLORAL 500ML JOHNSON</t>
  </si>
  <si>
    <t>MR MUSCULO GLADE LAVANDA 500ML JOHNSON</t>
  </si>
  <si>
    <t>MR. MUSCULO VERDE ANTIGRASA 500ML JOHNSON</t>
  </si>
  <si>
    <t>MR.MUSCULO COCINA ACCION NARANJA 500ML</t>
  </si>
  <si>
    <t>MR.MUSCULO GATILLO 5EN1 BAÑO 500ML JOHNSON</t>
  </si>
  <si>
    <t>MR.MUSCULO MULTI-ACCION OXI POWER 500ML JONHSON</t>
  </si>
  <si>
    <t>MR.MUSCULO MULTIUSO LIMON 900 ML JOHNSON</t>
  </si>
  <si>
    <t>MR.MUSCULO VIDRIO Y MULTIUSO FRESCA 500ML JOHNSON</t>
  </si>
  <si>
    <t>MR.MUSCULO VIDRIOS Y MULTIUSO LAVANDA 500ML JOHNSON</t>
  </si>
  <si>
    <t>PRIDE 500 ML MULTI SUPERFICIE JOHNSON</t>
  </si>
  <si>
    <t>PRIDE NARANJA 360ML JONHSON</t>
  </si>
  <si>
    <t>PRIDE NATURAL 360ML JOHNSON</t>
  </si>
  <si>
    <t>RAID 235 ML MATA ZANCUDOS Y MOSCAS JOHNSON</t>
  </si>
  <si>
    <t>RAID GOLD MATA CUCARACHAS Y CHIRIPAS 360 ML</t>
  </si>
  <si>
    <t>RAID HOGAR 360 ML MATA INSECTOS CASA Y JARDIN JOHNSON</t>
  </si>
  <si>
    <t>RAID MATA ZANCUDOS 360 ML JOHNSON</t>
  </si>
  <si>
    <t>RAID MAX 360 ML MATA CUCARACHAS CHIRIPAS Y HORMIGAS</t>
  </si>
  <si>
    <t>RAID MAX MATA CUCARACHAS Y CHIRIPAS 235ML JOHNSON</t>
  </si>
  <si>
    <t>PRECIO SUJETO AL CALCULO DE LA TASA DEL BCV DEL DIA</t>
  </si>
  <si>
    <t>SUAVISANTE 500 GR ALIVE</t>
  </si>
  <si>
    <t>FACTURA</t>
  </si>
  <si>
    <t>01/10/2021</t>
  </si>
  <si>
    <t>20 AL 20 OCT</t>
  </si>
  <si>
    <t>S/ IVA</t>
  </si>
  <si>
    <t>PRECIO X UND</t>
  </si>
  <si>
    <t>SI QUEREMOS FACTURA CON IVA</t>
  </si>
  <si>
    <t>MARGEN 30 %</t>
  </si>
  <si>
    <t>IGUAL A COSTO YA CON DESCUENTO</t>
  </si>
  <si>
    <t>AUTOMERCADO</t>
  </si>
  <si>
    <t>ACEITE DE SOYA 900 ML VATEL</t>
  </si>
  <si>
    <t>DESODORANTE 40 GR BURST ONDEE DOVE</t>
  </si>
  <si>
    <t>DESODORANTE 40 GR FRESH DOVE</t>
  </si>
  <si>
    <t>DESODORANTE 40 GR INVISIBLE DRY DOVE</t>
  </si>
  <si>
    <t>DESODORANTE 40GR GO FRESH DOVE</t>
  </si>
  <si>
    <t>DESODORANTE DOVE SENSITIVE 40 ML</t>
  </si>
  <si>
    <t>DETERGENTE EN POLVO ROSA 1KG ALIVE</t>
  </si>
  <si>
    <t>LEVADURA 500 GR INSTANTANEA MAGEST</t>
  </si>
  <si>
    <t>LEVADURA 500 GR POLVO INSTAFERM</t>
  </si>
  <si>
    <t>TOALLA ALUYAZ FEXI ALAS 10 TOALLAS AZUL Y VERDE</t>
  </si>
  <si>
    <t>TOALLA SANITARIA ALUAYASS 10 UND</t>
  </si>
  <si>
    <t>TOALLA SANITARIA ALUAYZ 10 UND ULTRA FINA</t>
  </si>
  <si>
    <t>TOALLAS DIARIAS 20 UND (AZUL) ALVVEYSS</t>
  </si>
  <si>
    <t>TRATAMIENTO ENZIMOTERAPIA 27ML NUTRIBELA10</t>
  </si>
  <si>
    <t>TRATAMIENTO REPARACION INTENSIVA  27ML  NUTRIBELA10</t>
  </si>
  <si>
    <t>VELAS AV  EMPAQUE 8UND.</t>
  </si>
  <si>
    <t>REPELENTE MOSQUITO INCIENSO NEGRO LENGE  LANJU</t>
  </si>
  <si>
    <t>CREMA ALIDENT  100GR TRIPLE ACTION</t>
  </si>
  <si>
    <t>AFEITADORA DESECHABLE MAX 3 ROSADA</t>
  </si>
  <si>
    <t>VIKI-VIKI PARA TEÑIR ROPA 15GR NEGRO</t>
  </si>
  <si>
    <t>AFEITADORA TG 708N ROSADA 5UNID DORCO</t>
  </si>
  <si>
    <t>AFEITADORA TG 708N AZUL 5UND DORCO</t>
  </si>
  <si>
    <t>MASCARILLA KN95 BLANCO X UNIDAD</t>
  </si>
  <si>
    <t>TOALLAS  FEMENINAS NORMAL C/ALAS 8UND.ALIVE</t>
  </si>
  <si>
    <t>ACEITE DE SOYA 900 ML COAMO</t>
  </si>
  <si>
    <t>CREMA COLGATE PLAX</t>
  </si>
  <si>
    <t>CEPILLOS COLGATE EXTRA CLEAN</t>
  </si>
  <si>
    <t>CEPILLOS COLGATE PLUS</t>
  </si>
  <si>
    <t>CEPILLOS ORAL B</t>
  </si>
  <si>
    <t>CEPILLOS ORAL B 3D WHITE</t>
  </si>
  <si>
    <t>TRATAMIENTO/TERMOPROTECCION / 27ML NUTRIBELA10</t>
  </si>
  <si>
    <t>TRATAMIENTO REPARACION INTENSIVA 27ML NUTRIBELA10</t>
  </si>
  <si>
    <t>DESODORANTE 40 GR DOVE SURTIDO</t>
  </si>
  <si>
    <t>REFRESCO 1.50 LT NEGRO</t>
  </si>
  <si>
    <t>REFRESCO 2 LT NEGRO</t>
  </si>
  <si>
    <t>JUSTY NARANJA 1.50 ML</t>
  </si>
  <si>
    <t>Unid. X EMPAQUE</t>
  </si>
  <si>
    <t>MI MESA VERMICELLI 1 KG</t>
  </si>
  <si>
    <t>MI MESA DEDAL 1 KG</t>
  </si>
  <si>
    <t>PASTA MI MESA VERMICELLI 1 KG</t>
  </si>
  <si>
    <t>PASTA MI MESA DEDAL 1 KG</t>
  </si>
  <si>
    <t>PASTA MARY SUPERIOR VERMICELLI 12X1</t>
  </si>
  <si>
    <t>PASTA MARY SUPERIOR PLUMA 12X1</t>
  </si>
  <si>
    <t>PASTA MARY SUPERIOR TORNILLO 12X1</t>
  </si>
  <si>
    <t xml:space="preserve">AUTOMERCADO EXPRESS TIENDA PRINCIPAL </t>
  </si>
  <si>
    <t>COSTO SIN IVA EN DOLARES X UND</t>
  </si>
  <si>
    <t>PRECIO DE VENTA AL PUBLICO SIN PROMOCION</t>
  </si>
  <si>
    <t xml:space="preserve">REFRESCO PEPSI 1.5LT PEPSI-COLA </t>
  </si>
  <si>
    <t>SOBRAN 29</t>
  </si>
  <si>
    <t>SOBRAN 24</t>
  </si>
  <si>
    <t>13/10/2021</t>
  </si>
  <si>
    <t>27/10/2021</t>
  </si>
  <si>
    <t>82 CAJA</t>
  </si>
  <si>
    <t>95 Cja</t>
  </si>
  <si>
    <t>05867</t>
  </si>
  <si>
    <t>05893</t>
  </si>
  <si>
    <t>MES DE OCTUBRE 2021</t>
  </si>
  <si>
    <t>006892</t>
  </si>
  <si>
    <t>BONIFICACION  ENTREGADA</t>
  </si>
  <si>
    <t>arrastrando</t>
  </si>
  <si>
    <t>MES DE SEPTIEMBRE 2021</t>
  </si>
  <si>
    <t>SOBRANTE DEL JUNIO</t>
  </si>
  <si>
    <t>SOBRANTE DEL JULIO</t>
  </si>
  <si>
    <t>MES DE AGOSTO 2021</t>
  </si>
  <si>
    <t>SOLO BOTELLA</t>
  </si>
  <si>
    <t>RECARGA PEPSI COLA 1.25 LT 0.63 S/IVA</t>
  </si>
  <si>
    <t>PEPSI 1.25ML VIDRIO VENTA CON BOTELLA   0.63+0.40 S/IVA</t>
  </si>
  <si>
    <t>bcv</t>
  </si>
  <si>
    <t>bsd</t>
  </si>
  <si>
    <t>EXQUISITECES</t>
  </si>
  <si>
    <t>PEDIDO HECHO 02 DE NOVIEMBRE</t>
  </si>
  <si>
    <t>TRATAMIENTO REPARACION PROTECCION 27ML NUTRIBELA10</t>
  </si>
  <si>
    <t>TRATAMIENTO CAUTERIZADOR CAPILAR 27ML  NUTRIBELA10</t>
  </si>
  <si>
    <t>TRATAMIENT/TERMOPROTEC/ INTENSIVA 27ML NUTRIBELA10</t>
  </si>
  <si>
    <t>TOALLITA HUMEDA BABY WIPES SENSITIVE 78UND TANS</t>
  </si>
  <si>
    <t>TOALLAS SANITARIA ASGODESS  10 UND</t>
  </si>
  <si>
    <t>TOALLA SANITARIA MAXI THICK 10PADS ANIER</t>
  </si>
  <si>
    <t>SHAMPOO 305 ML 2EN1 TANS BABY</t>
  </si>
  <si>
    <t>PROTECTOR DIARIO 20UND   ALIVE</t>
  </si>
  <si>
    <t>MAYONESA MAYO 450 GR KRAFT</t>
  </si>
  <si>
    <t>KETCHUP BELLINI 340 GR</t>
  </si>
  <si>
    <t>JABON DE TOCADOR 90GR FRAGANCIAS VARIADO   PROTEX</t>
  </si>
  <si>
    <t>DETERGENTE EN POLVO 1KG  ALIVE</t>
  </si>
  <si>
    <t>DESODORANTE DOVE POWDER 40 GR</t>
  </si>
  <si>
    <t>DESODORANTE DOVE ORIGINAL 40 GR</t>
  </si>
  <si>
    <t>DESODORANTE DOVE GO FRESH 40 GR</t>
  </si>
  <si>
    <t>DESODORANTE BEAUTY FINISH DOVE 40 GR</t>
  </si>
  <si>
    <t>COMBO OFERTA 3 HARMONY</t>
  </si>
  <si>
    <t>COCODIVA GALLETA RELLENA COCO Y CUBIERTACHOCOLATE ALDIVA</t>
  </si>
  <si>
    <t>CHUPETAS BIG BOM XXL TA-TA MA SURTIDA</t>
  </si>
  <si>
    <t>CEPILLO DENTAL ORAL- B EXTRA SOFT SENSITIVE</t>
  </si>
  <si>
    <t>CEPILLO DENTAL COLGATE EXTRA CLEAN</t>
  </si>
  <si>
    <t>CEPILLO DE BARRER MARY CON PALO</t>
  </si>
  <si>
    <t>CAFE MOLIDO 250GR  FAMA DE AMERICA</t>
  </si>
  <si>
    <t>CAFE 500GR  FAMA DE AMERICA</t>
  </si>
  <si>
    <t>BOLSA TRANSPARENTE   1/2 KG MILLAR</t>
  </si>
  <si>
    <t>BOLSA POR MILLAR 10KG TRANSPANTE</t>
  </si>
  <si>
    <t>BOLSA BIOGRADABLE 3 KG ASA</t>
  </si>
  <si>
    <t>ACEITE 900 ML SOYA BUNGE.</t>
  </si>
  <si>
    <t>LEVADURA INSTANTANEA 500 GR MAGEST. ROJA</t>
  </si>
  <si>
    <t>PAPEL LUCIANO MORADO 4 ROLLO</t>
  </si>
  <si>
    <t>PAPEL LUCIANO VERDE 4 ROLLO</t>
  </si>
  <si>
    <t>VELA BLANCAS 30GR  (AV) PARA DETALLAR</t>
  </si>
  <si>
    <t>*COLADOR DE CAFE EN TELA</t>
  </si>
  <si>
    <t>*CONSERVADOR 2 LT N°4 C-0028 DURAPLAS</t>
  </si>
  <si>
    <t>*PORTA CUBIERTOS C-0093 DURAPLAS</t>
  </si>
  <si>
    <t>*SANDUCHERA NRO 1 C-0116 DURAPLAS</t>
  </si>
  <si>
    <t>*TAPA BOCA DESECHABLE  MASK Y NUT</t>
  </si>
  <si>
    <t>*TAZA ACAN EXT GRANDE C-0079 22 CM DURAPLAS</t>
  </si>
  <si>
    <t>*TAZA ACANALADA GRANDE C-0027 20CM DURAPLAS</t>
  </si>
  <si>
    <t>*TAZA MEDIANA C-0012 18CM DURAPLAS</t>
  </si>
  <si>
    <t>CONTENEDOR 5.5LT COD-0060</t>
  </si>
  <si>
    <t xml:space="preserve">TOALLA SANITARIAS DIA AXIAO </t>
  </si>
  <si>
    <t xml:space="preserve">MASCARILLAS ADULTO </t>
  </si>
  <si>
    <t xml:space="preserve">VASOS #57 </t>
  </si>
  <si>
    <t>VASOS # 77</t>
  </si>
  <si>
    <t>VASOS #127</t>
  </si>
  <si>
    <t>VASOS # 167</t>
  </si>
  <si>
    <t>AZUCAR 1 KG PAPEL MONTALBAN</t>
  </si>
  <si>
    <t>ATUN EVEBA 140 GR EN AGUA Y LIMON</t>
  </si>
  <si>
    <t>BOLOÑA DE POLLO PLUMROSE KG</t>
  </si>
  <si>
    <t>CHORIZO CHORIFRITO 5 UND PLUMROSE</t>
  </si>
  <si>
    <t>CHULETA AHUMADA PRAINT KG</t>
  </si>
  <si>
    <t>DIABLITO 115 GR FIESTA LATA</t>
  </si>
  <si>
    <t>ESPALDA COCIDA FIESTA KG</t>
  </si>
  <si>
    <t>FIAMBRE DE ESPALDA FIESTA KG</t>
  </si>
  <si>
    <t>JAMON AREPERO DON DIEGO KG</t>
  </si>
  <si>
    <t>JAMON DE ESPALDA PLUMROSE</t>
  </si>
  <si>
    <t>JAMON DE PIERNA DON DIEGO KG.</t>
  </si>
  <si>
    <t>JAMON DE PIERNA FIESTA KG.</t>
  </si>
  <si>
    <t>JAMON DE PIERNA PLUMROSE KG.</t>
  </si>
  <si>
    <t>JAMON DE PIERNA STANDAR PLUMROSE KG</t>
  </si>
  <si>
    <t>JAMON ENDIABLADO 110 GR PLUMROSE</t>
  </si>
  <si>
    <t>JAMON ENDIABLADO 115GR PLUMROSE</t>
  </si>
  <si>
    <t>JAMON ENDIABLADO 55GR PLUMROSE</t>
  </si>
  <si>
    <t>JAMON ENDIABLADO 60GR PLUMROSE</t>
  </si>
  <si>
    <t>JAMON FIAMBRE DON DIEGO KG</t>
  </si>
  <si>
    <t>MILANESA DE POLLO 500 GR 6 UND PLUMROSE</t>
  </si>
  <si>
    <t>MORTADELA  ESPECIAL 500 GR DON DIEGO</t>
  </si>
  <si>
    <t>MORTADELA 1 K ESP ITALSALUMI ENTERA</t>
  </si>
  <si>
    <t>MORTADELA ESPECIAL 1 KG PLUMROSE</t>
  </si>
  <si>
    <t>MORTADELA EXTRA 750 GR PLUMROSE</t>
  </si>
  <si>
    <t>MORTADELA EXTRA PLUMROSE KG</t>
  </si>
  <si>
    <t>MORTADELA POLLO ESPECIAL 1 KG PL</t>
  </si>
  <si>
    <t>MORTADELA TAPARA OSCAR MAYER  KG</t>
  </si>
  <si>
    <t>NUGGETS DE POLLO 350 GR PLUMROSE</t>
  </si>
  <si>
    <t>PASTA DE HIGADO 113 GR OSCAR MAYER</t>
  </si>
  <si>
    <t>PASTA DE HIGADO 225 GR OM</t>
  </si>
  <si>
    <t>PATAS DE COCHINO KG</t>
  </si>
  <si>
    <t>PECHUGA DE POLLO PLUMROSE KG</t>
  </si>
  <si>
    <t>PEPITONAS 140 GR AL NATURAL EVEBA</t>
  </si>
  <si>
    <t>QUESO CHEDDAR FUNDIDO DOÑA FLORA KG</t>
  </si>
  <si>
    <t>SALCHICHA DELI 6 UND BOKWURST PIMENTON DULCE PL</t>
  </si>
  <si>
    <t>SALCHICHA DELI POLACA 5 UND PLUMROSE</t>
  </si>
  <si>
    <t>SALCHICHA FRANKFURT DELI PLUMROSE</t>
  </si>
  <si>
    <t>SALCHICHA VIENA CORTA  X 12UNID FIESTA</t>
  </si>
  <si>
    <t>SALCHICHA WIENERS 12 UND CORTAS PLUMROSE</t>
  </si>
  <si>
    <t>SALCHICHA WIENERS CORTAS OM 10 UND</t>
  </si>
  <si>
    <t>SALCHICHA WIENERS JUMBO 5 UND OSCAR MAYER</t>
  </si>
  <si>
    <t>SALCHICHAS DE POLLO 12UNID FIESTA</t>
  </si>
  <si>
    <t>SALCHICHAS T/WIENERS 5UND. SABOR JALAPEÑO  OSCAR MAYER</t>
  </si>
  <si>
    <t>SALCHICHAS VIENA LARGA 12UNID FIESTA</t>
  </si>
  <si>
    <t>SALCHICHAS WIENERS COCTEL 220 GR PLUMROSE</t>
  </si>
  <si>
    <t>SALCHIQUESO 10 UNID OSCAR MAYER</t>
  </si>
  <si>
    <t>SARDINA AL PIMENTON EN ACEITE 125 GR EVEBA</t>
  </si>
  <si>
    <t>SARDINAS 270GR EN SALSA DE TOMATE   EVEBA</t>
  </si>
  <si>
    <t>NUECES PELADAS  250GR ((EMPACADO EN BOLSITAS)</t>
  </si>
  <si>
    <t>und x empaque</t>
  </si>
  <si>
    <t>und x emp</t>
  </si>
  <si>
    <t>menos 5 %</t>
  </si>
  <si>
    <t>CARNE TRONCHADA PARA HALLACAS</t>
  </si>
  <si>
    <t>PRECIO DE VENTA</t>
  </si>
  <si>
    <t>TOCINO SIN PIEL KG</t>
  </si>
  <si>
    <t>COCHINO TRONCHADO HALLACAS KG</t>
  </si>
  <si>
    <t>POLLO ENTERO CONGELADO</t>
  </si>
  <si>
    <t>ACEITUNA RELLENA KG.</t>
  </si>
  <si>
    <t>UVAS PASAS KG (PASITAS).</t>
  </si>
  <si>
    <t>ALCAPARRA KG.</t>
  </si>
  <si>
    <t>HARINA PAN TRADICIONAL 1 KG</t>
  </si>
  <si>
    <t>HOJA DE HALLACA 50 UND KATERYN YULIET</t>
  </si>
  <si>
    <t>TOTAL PRECIO FULL</t>
  </si>
  <si>
    <t>COMBO HALLAQUERO CODIGO 8568</t>
  </si>
  <si>
    <t>MARGEN DE VENTA PRECIO NORMAL</t>
  </si>
  <si>
    <t>PIMENTON KG</t>
  </si>
  <si>
    <t>AJI DULCE KG</t>
  </si>
  <si>
    <t>CEBOLLIN KG</t>
  </si>
  <si>
    <t>MINI COMBO HALLAQUERO CODIGO 1569</t>
  </si>
  <si>
    <t>DESCUENTO DEL 8 %</t>
  </si>
  <si>
    <t>COSTO X UND</t>
  </si>
  <si>
    <t>LAVALIN 400GR</t>
  </si>
  <si>
    <t>LAVALIN 800GR</t>
  </si>
  <si>
    <t>VENTA X CAJA</t>
  </si>
  <si>
    <t>INV X CAJA</t>
  </si>
  <si>
    <t>COSTO X CAJA</t>
  </si>
  <si>
    <t>TOTAL FACTURA</t>
  </si>
  <si>
    <t>CODIGO INTERNO</t>
  </si>
  <si>
    <t>INV X UND</t>
  </si>
  <si>
    <t>VENTA X UND</t>
  </si>
  <si>
    <t xml:space="preserve">PERNIL CON HUESO </t>
  </si>
  <si>
    <t>PALETA CON Y SIN HUESO</t>
  </si>
  <si>
    <t>COCHINO TROCHADO</t>
  </si>
  <si>
    <t>PULPA DE COCHINO</t>
  </si>
  <si>
    <t>3509-</t>
  </si>
  <si>
    <t>1931-5826-1789-5826-</t>
  </si>
  <si>
    <t>2013-5867-1930-</t>
  </si>
  <si>
    <t>COCHINO EN CANAL SIN CABEZA /PATA PIEL</t>
  </si>
  <si>
    <t>PALETA EN CANAL</t>
  </si>
  <si>
    <t>UNTABLE DE JAMON Y QUESO RICCI KG</t>
  </si>
  <si>
    <t>UNTABLE DE JAMON RICCI KG</t>
  </si>
  <si>
    <t>UNT JAMON TOCINETA RICCI KG</t>
  </si>
  <si>
    <t>SELVA NEGRA RICCI KG</t>
  </si>
  <si>
    <t>SALCHICHA POLACA RICCI KG</t>
  </si>
  <si>
    <t>SALCHICHA ALEMANA RICCI KG</t>
  </si>
  <si>
    <t>ROAST BEEF RICCI KG.</t>
  </si>
  <si>
    <t>PECHUGA DE PAVO RICCI KG</t>
  </si>
  <si>
    <t>PECHUGA DE PAVO AHUMADA RICCI KG</t>
  </si>
  <si>
    <t>PASTRAMI DE CERDO RICCI KG</t>
  </si>
  <si>
    <t>MORTADELA TIPO EXTRA RICCI KG</t>
  </si>
  <si>
    <t>MORTADELA T/TAPARA RICCI KG</t>
  </si>
  <si>
    <t>JAMON DE PIERNA RICCI KG</t>
  </si>
  <si>
    <t>JAMON DE ESPALDA RICCI KG</t>
  </si>
  <si>
    <t>JAMON AHUMADO SHOULDER RICCI KG</t>
  </si>
  <si>
    <t>ESPALDA AHUMADA AREPERO RICCI</t>
  </si>
  <si>
    <t>UBD X CAJA</t>
  </si>
  <si>
    <t>1 PIEZA 1.20</t>
  </si>
  <si>
    <t>15 UND</t>
  </si>
  <si>
    <t>18 UND</t>
  </si>
  <si>
    <t>YOGURT FIRME NATURAL 125 GR LOS ANDES</t>
  </si>
  <si>
    <t>YOGURT FIRME 125 GR PIÑA LOS ANDES</t>
  </si>
  <si>
    <t>YOGURT FIRME 125 GR FRESA LOS ANDES</t>
  </si>
  <si>
    <t>QUESO PAST LOS ANDES KG</t>
  </si>
  <si>
    <t>MANTEQUILLA EN BARRA 200 GR LOS ANDES</t>
  </si>
  <si>
    <t>LECHE PASTEURIZADA 1.8ML LOS ANDES</t>
  </si>
  <si>
    <t>LECHE ENTERA 900ML LOS ANDES</t>
  </si>
  <si>
    <t>LECHE EN POLVO COMPLETA 500 GR LOS ANDES</t>
  </si>
  <si>
    <t>LECHE EN POLVO COMPLETA 1 KG LOS ANDES</t>
  </si>
  <si>
    <t>JUGO NARANJA 1.8LT LOS ANDES</t>
  </si>
  <si>
    <t>JUGO DURAZNO 1.8 LT LOS ANDES</t>
  </si>
  <si>
    <t>JUGO DE GUAYABA 400 ML LOS ANDES</t>
  </si>
  <si>
    <t>JUGO 400 ML MANGO LOS ANDES</t>
  </si>
  <si>
    <t>JUGO 400 ML LIGHT MANZANA FRUTEL LOS ANDES</t>
  </si>
  <si>
    <t>JUGO 400 ML LIGHT FRUTEL PERA LOS ANDES</t>
  </si>
  <si>
    <t>JUGO 400 ML LIGHT DURAZNO FRUTEL LOS ANDES</t>
  </si>
  <si>
    <t>GELATINA BALLY SABOR FRESA 140 GR LOS ANDES</t>
  </si>
  <si>
    <t>GELATINA BALLY SABOR A UVA 140 GR ANDES</t>
  </si>
  <si>
    <t>GELATINA 125 GR FRESA LOS ANDES</t>
  </si>
  <si>
    <t>FRUIT PUNCH PASTEURIZADO 1.8 LT LOS ANDES</t>
  </si>
  <si>
    <t>CREMA DE LECHE 500 GR LOS ANDES</t>
  </si>
  <si>
    <t>CHICHA 400 CC LOS ANDES</t>
  </si>
  <si>
    <t>BEBIDA LACTEA FRESA 900ML BIO ANDES</t>
  </si>
  <si>
    <t>BEBIDA LACTEA FRESA 300ML BIO ANDES</t>
  </si>
  <si>
    <t>BEBIDA BIO ANDES 900 ML DURAZNO</t>
  </si>
  <si>
    <t>BEBIDA BIO ANDES 300 ML DURAZNO</t>
  </si>
  <si>
    <t>PECHUGA DE PAVO CHARVENCA KG</t>
  </si>
  <si>
    <t>PECHUGA DE POLLO CHARVENCA KG</t>
  </si>
  <si>
    <t>MORTD EXTRA CHARVENCA KG.</t>
  </si>
  <si>
    <t>MORT SUPERIOR C/PISTACHO CHARVENCA</t>
  </si>
  <si>
    <t>UND X CJA</t>
  </si>
  <si>
    <t>JAMON DE PIERNA CHARVENCA KG</t>
  </si>
  <si>
    <t>PECHUGA DE PAVO CON PIEL AHUMADA CHARVENCA KG</t>
  </si>
  <si>
    <t>JAMON DE ESPALDA CHARVENCA KG</t>
  </si>
  <si>
    <t>JAMON AHUMADO CHARVENCA KG</t>
  </si>
  <si>
    <t>QUESO PARMESANO DUCAL KG</t>
  </si>
  <si>
    <t>COMERCIALIZADORA GIGABI, C.A.</t>
  </si>
  <si>
    <t>QUESO PIRINEO (CAJ 5X 2.50KG APROX)  (FRAILES)</t>
  </si>
  <si>
    <t>QUESO PALMI BUFALA (CAJA 5 X2.50KG)  (PASTEHURIZADO)</t>
  </si>
  <si>
    <t>QUESO PIRINEO PORCION (CAJ 24X 0.40GR  APROX) REDONDO</t>
  </si>
  <si>
    <t>CAJA 3 PIEZA 2.50 APROX</t>
  </si>
  <si>
    <t>6 PIEZA DE 1.60 APROX</t>
  </si>
  <si>
    <t>24 PIEZA DE 0.400 APROX</t>
  </si>
  <si>
    <t>5 PIEZA DE 2.50 APROX</t>
  </si>
  <si>
    <t>UND X EMP</t>
  </si>
  <si>
    <t>CONOS PARA HELADOS 10 UNID SUGAR CONO</t>
  </si>
  <si>
    <t>HELADO  RON PASA TIO RICO 850 ML</t>
  </si>
  <si>
    <t>HELADO 435 ML FRESA CON LECHE TIO RICO</t>
  </si>
  <si>
    <t>HELADO 700 ML HEL SUPER BBON TIO RICO</t>
  </si>
  <si>
    <t>HELADO 700 ML SUPER SANDWICH TIO RICO</t>
  </si>
  <si>
    <t>HELADO BATI BATI EL ORIGINAL 83GR TIO RICO</t>
  </si>
  <si>
    <t>HELADO CHOCOLATE 850 ML CLASICO CON LECHE</t>
  </si>
  <si>
    <t>HELADO CORNETTO CLASICO VAINILLA 120ML TIO RICO</t>
  </si>
  <si>
    <t>HELADO CREMOSO CHOCOLATE 435ML TIO RICO</t>
  </si>
  <si>
    <t>HELADO CREMOSO MAGNUM ALMENDRAS 100ML TIO RICO</t>
  </si>
  <si>
    <t>HELADO CREMOSO TRISABOR CON LECHE 2LT TIO RICO</t>
  </si>
  <si>
    <t>HELADO DE  MANTECADO 850 ML TIO RICO</t>
  </si>
  <si>
    <t>HELADO FRESA 435 MLTIO RICO</t>
  </si>
  <si>
    <t>HELADO FRESA 850 ML TIO RICO</t>
  </si>
  <si>
    <t>HELADO HAAGEN DAZS BUTTER PECAN PINTS 414 ML TIO RICO</t>
  </si>
  <si>
    <t>HELADO HAAGEN DAZS CARA&amp;CHOCOLATE 414ML TIO RICO</t>
  </si>
  <si>
    <t>HELADO HAAGEN DAZS CARAMELO CONE PINTS 414 ML TIO RICO</t>
  </si>
  <si>
    <t>HELADO HAAGEN DAZS VAINILLA PINTS 414ML TIO RICO</t>
  </si>
  <si>
    <t>HELADO HAAGEN-DAZS COFFEE  414ML TIO RICO</t>
  </si>
  <si>
    <t>HELADO MAGNUM 100 ML CHOCOLATE INTENSO TIO RICO</t>
  </si>
  <si>
    <t>HELADO MAGNUM DE COCO 100ML TIO RICO</t>
  </si>
  <si>
    <t>HELADO MANTECADO 435 ML TIO RICO</t>
  </si>
  <si>
    <t>HELADO MANTECADO 435ML TIO RICO</t>
  </si>
  <si>
    <t>HELADO NUCITA 700ML TIO RICO</t>
  </si>
  <si>
    <t>HELADO OREO 700 CC TIO RICO</t>
  </si>
  <si>
    <t>HELADO PIRULIN 700 ML TIO RICO</t>
  </si>
  <si>
    <t>HELADO TIO RICO CHOCOLATE 435ML</t>
  </si>
  <si>
    <t>HELADO TRISABOR 850 GR TIO RICO</t>
  </si>
  <si>
    <t>HELADO TRISABOR CAPRICHO 2 LT TIO RICO</t>
  </si>
  <si>
    <t>HELADO VASITO  NUCITA 150ML TIO RICO</t>
  </si>
  <si>
    <t>SUPER SANDWICH 5 UND SABOR A MANTECADO TIO RICO</t>
  </si>
  <si>
    <t>TRIO TRIPLE CHOC.PINTS 414ML HAAGEN-DAZS</t>
  </si>
  <si>
    <t>INT</t>
  </si>
  <si>
    <t>COSTO BSD</t>
  </si>
  <si>
    <t>HELADO 160 ML VASITO JAZZ TIO RICO</t>
  </si>
  <si>
    <t>MERENGADA 150CM VASITO   TIO RICO</t>
  </si>
  <si>
    <t>1 UND</t>
  </si>
  <si>
    <t>22 UND</t>
  </si>
  <si>
    <t>27 UND</t>
  </si>
  <si>
    <t>18UND</t>
  </si>
  <si>
    <t>HELADO CORNETTO CHOCOLATE 115ML TIO RICO</t>
  </si>
  <si>
    <t>HELADO CORNETTO FRESA VAINILLA 120ML TIO RIO</t>
  </si>
  <si>
    <t>HELADO TRISABOR 2 L TIO RICO CON LECHE</t>
  </si>
  <si>
    <t>TIO RICO CHOCOLITO MAX 80 ML</t>
  </si>
  <si>
    <t>HELADO CREMOSO MAGNUM CLASICO 100ML TIO RICO</t>
  </si>
  <si>
    <t>SUPER SANDWICH MANTECADO/GALLETA 135ML TIO RICO.</t>
  </si>
  <si>
    <t>HELADO CREMA REAL PALETA 56ML NAR/VAIN</t>
  </si>
  <si>
    <t>BOM BOM FRESA+LECHE CONDESADA CUBIERTA DE CHOCOLATE 66 ML</t>
  </si>
  <si>
    <t>32 UND</t>
  </si>
  <si>
    <t>54  UND</t>
  </si>
  <si>
    <t>PEDIDO X UND</t>
  </si>
  <si>
    <t>PEDIDO X CAJA</t>
  </si>
  <si>
    <t>Código PCV</t>
  </si>
  <si>
    <t xml:space="preserve">DESCRIPCION DEL PRODUCTO </t>
  </si>
  <si>
    <t>Unid Por Caja</t>
  </si>
  <si>
    <t>CÓDIGO BARRAS</t>
  </si>
  <si>
    <t>Costo Caja S/IVA</t>
  </si>
  <si>
    <t>Costo Unit S/IVA</t>
  </si>
  <si>
    <t>PEPSI 2 LT 6 BOT. PET N/R</t>
  </si>
  <si>
    <t>PEPSI LIGHT 2 LT 6 BOT.PET N/R</t>
  </si>
  <si>
    <t>PEPSI 1 LT 6 BOT. PET</t>
  </si>
  <si>
    <t>PEPSI 1,5 LT 6 BOT PET NO RETORNABLE</t>
  </si>
  <si>
    <t>PEPSI RET 1,25Lx6UN</t>
  </si>
  <si>
    <t>PEPSI LATA 355 ML 24 UND.</t>
  </si>
  <si>
    <t>PEPSI LIGHT LATA 355 ML 24 UND.</t>
  </si>
  <si>
    <t>PEPSI LATA 320 ML 24 UND.</t>
  </si>
  <si>
    <t>PEPSI PSH 250MLx12UN</t>
  </si>
  <si>
    <t>7 UP 2 LT 6 BOT. PET N/R</t>
  </si>
  <si>
    <t>7 UP 1,5 LT 6 BOTELLA PET N/R</t>
  </si>
  <si>
    <t>7 UP LATA 355 ML 24 UND.</t>
  </si>
  <si>
    <t>7 UP PSH 250 ML N/R 24 UND.</t>
  </si>
  <si>
    <t>7UP RET 350MLx24UN</t>
  </si>
  <si>
    <t>KOLA 2 LT 6 BOT. PET N/R</t>
  </si>
  <si>
    <t>NARANJA 2 LT 6 BOT. PET N/R</t>
  </si>
  <si>
    <t>KOLA 1,5 LT 6 BOT PET NO RETORNABLE</t>
  </si>
  <si>
    <t>PIÐA 1,5 LT 6 BOT PET NR</t>
  </si>
  <si>
    <t>NARA PARCHITA 1,5 LT 6 BOT PET NR</t>
  </si>
  <si>
    <t>NARANJA 1.5 LT 6 BOT PET NR</t>
  </si>
  <si>
    <t>UVA 1,5 LT 6 BOT PET NR</t>
  </si>
  <si>
    <t>KOLA LATA 355 ML 24 UND.</t>
  </si>
  <si>
    <t>NARANJA LATA 355 ML 24 UND.</t>
  </si>
  <si>
    <t>PIÑA LATA 355 ML 24 UND</t>
  </si>
  <si>
    <t>NARA PARCHITA LATA 355 ML 24 UND</t>
  </si>
  <si>
    <t>UVA LATA 355 ML 24 UND.</t>
  </si>
  <si>
    <t>GOLDEN KOLA RET 350MLx24UN</t>
  </si>
  <si>
    <t>GOLDEN PIÑA RET 350MLx24UN</t>
  </si>
  <si>
    <t>GOLDEN MANZANA RET 350MLx24UN</t>
  </si>
  <si>
    <t>GOLDEN UVA RET 350MLx24UN</t>
  </si>
  <si>
    <t>GOLDEN NARANJA RET 350MLx24UN</t>
  </si>
  <si>
    <t>GOLDEN NARA PARCHITA RET 350MLx24UN</t>
  </si>
  <si>
    <t>NARA PARCHITA 1 LT 6 BOT. PET</t>
  </si>
  <si>
    <t>SODA EVERVESS LATA 355CC  24 UNID</t>
  </si>
  <si>
    <t>7591031000266</t>
  </si>
  <si>
    <t>EVERVESS SODA PSH 250MLx12UN</t>
  </si>
  <si>
    <t>7591031000273</t>
  </si>
  <si>
    <t>MINALBA AGUA PET 355MLx24UN</t>
  </si>
  <si>
    <t>7591031100232</t>
  </si>
  <si>
    <t>AGUA MINALBA S/G 1.5L 12 BOTELLAS NO RET</t>
  </si>
  <si>
    <t>7591031001959</t>
  </si>
  <si>
    <t>AGUA MINALBA S/G 5L 2 BOTELLAS NO RETORN</t>
  </si>
  <si>
    <t>7591031002017</t>
  </si>
  <si>
    <t>MINALBA SPARKLING C/G PET 500MLx12U</t>
  </si>
  <si>
    <t>MINALBA SPARKLING LIMÓN C/G PET500MLx12U</t>
  </si>
  <si>
    <t>MINALBA SPARKLING TORONJA C/G PET500MLx12U</t>
  </si>
  <si>
    <t>YUK. DURAZNO C.P. BOT 250MLX12UN</t>
  </si>
  <si>
    <t>YUK. MANGO C.P. BOT 250MLX12UN</t>
  </si>
  <si>
    <t>YUK. MANZANA C.P. BOT 250MLX12UN</t>
  </si>
  <si>
    <t>YUK. PERA C.P. BOT 250MLX12UN</t>
  </si>
  <si>
    <t>YUK. NARANJADA C.P. BOT 250MLX12UN</t>
  </si>
  <si>
    <t>YUKERY 24X335 DURAZNO LATA</t>
  </si>
  <si>
    <t>YUKERY  24x355 ML MANGO LATA</t>
  </si>
  <si>
    <t>YUKERY 24X335 MANZANA LATA</t>
  </si>
  <si>
    <t>YUKERY 24X335 PERA LATA</t>
  </si>
  <si>
    <t>YUKERY PET 500 DURAZNO 500MLx12U</t>
  </si>
  <si>
    <t>YUKERY PET 500 MANGO 500MLx12U</t>
  </si>
  <si>
    <t>YUKERY DURAZNO PET 1,5L x 6UN</t>
  </si>
  <si>
    <t>YUKERY PIÑA PET 1,5L x 6UN</t>
  </si>
  <si>
    <t>YUKERY NARANJADA PET 1,5L x 6UN</t>
  </si>
  <si>
    <t>YUKERY MANZANA PET 1,5L x 6UN</t>
  </si>
  <si>
    <t>YUKERY PERA PET 1,5L x 6UN</t>
  </si>
  <si>
    <t>YUKY-P 250 DURAZNO</t>
  </si>
  <si>
    <t>YUKY-P 250 MANZANA</t>
  </si>
  <si>
    <t>YUKY-P 250 NARANJA</t>
  </si>
  <si>
    <t>YUKY-P 250 UVA</t>
  </si>
  <si>
    <t>YUKY-P 250 MANGO</t>
  </si>
  <si>
    <t>YUKY-P 250 PERA</t>
  </si>
  <si>
    <t>GATORADE TROPICAL F PET 500MLx12UN</t>
  </si>
  <si>
    <t>GATORADE MORA PET 500MLx12UN</t>
  </si>
  <si>
    <t>GATORADE UVA PET 500MLx12UN</t>
  </si>
  <si>
    <t>GATORADE MELON PET 500MLx12UN</t>
  </si>
  <si>
    <t>GATORADE MANDARINA PET 500MLx12UN</t>
  </si>
  <si>
    <t>LIPTON PET 500 LIMON 500MLx12U</t>
  </si>
  <si>
    <t>LIPTON PET 500 DURAZNO 500MLx12U</t>
  </si>
  <si>
    <t>LIPTON PET 500 TE VERDE 500MLx12U</t>
  </si>
  <si>
    <t>YUKERY NARA MANGO PET 1,5L x 6UN</t>
  </si>
  <si>
    <t>GAVERA 1,25</t>
  </si>
  <si>
    <t>BOTELLA 1,25</t>
  </si>
  <si>
    <t xml:space="preserve">BOMBONA </t>
  </si>
  <si>
    <t xml:space="preserve">BIB PEPSI </t>
  </si>
  <si>
    <t>BIB KOLITA</t>
  </si>
  <si>
    <t>BOB 7 UP</t>
  </si>
  <si>
    <t>JAMON AHUMADO FIESTA KG</t>
  </si>
  <si>
    <t>USA</t>
  </si>
  <si>
    <t>INV UND</t>
  </si>
  <si>
    <t>PEDIDO HECHO 9 DE NOVIEMBRE</t>
  </si>
  <si>
    <t>PRECIO DE PROMOCION</t>
  </si>
  <si>
    <t>ACEITE DE SOYA 900 ML CORCOVADO</t>
  </si>
  <si>
    <t>ACEITE DE SOYA 900ML COAMO</t>
  </si>
  <si>
    <t>CAFE MOLIDO PREMIUM 250GR  FAMA DE AMERICA</t>
  </si>
  <si>
    <t>DETERGENTE  800 GR ACESS</t>
  </si>
  <si>
    <t>DETERGENTE 400 GR LIMON ZERO</t>
  </si>
  <si>
    <t>DETERGENTE AZ  400GR</t>
  </si>
  <si>
    <t>DETERGENTE SUAVIZANTE ROSA 500GR ALIVE</t>
  </si>
  <si>
    <t>MASCARILLAS TAPA BOCA DESECHABLE  MASK Y NUT</t>
  </si>
  <si>
    <t>PAPEL LUCIANO MORADO 215HOJAS 4 ROLLOS</t>
  </si>
  <si>
    <t>TOALLAS SANITARIAS DE DIA 10UND AXIAO ROSADA</t>
  </si>
  <si>
    <t>TOALLAS SANITARIAS NOCHE 8UND AXIAO MORADA</t>
  </si>
  <si>
    <t>VASOS  # 167 LOS LLANOS</t>
  </si>
  <si>
    <t>VASOS  #127 LOS LLANOS</t>
  </si>
  <si>
    <t>TOALLA SANITARIA ALLUAYAS 10 UND VERDE</t>
  </si>
  <si>
    <t>PAÑAL SOL TALLA L</t>
  </si>
  <si>
    <t>PAÑAL SOL TALLA M</t>
  </si>
  <si>
    <t>PAÑAL SOL TALLA XL</t>
  </si>
  <si>
    <t>VASOS  #57 LOS LLANOS</t>
  </si>
  <si>
    <t>VASOS  #147 LOS LLANOS</t>
  </si>
  <si>
    <t>PEGA LOCA</t>
  </si>
  <si>
    <t>CHOCOLATE CON LECHE NAVIDAD 70GR NESTLE SAVOY</t>
  </si>
  <si>
    <t>JAMON AHUMADO FIESTA</t>
  </si>
  <si>
    <t>TOTAL EN $</t>
  </si>
  <si>
    <t>VINO TINTO 0.70 L SAGRADA FAMILIA /SAGRADA CENA</t>
  </si>
  <si>
    <t>TOTAL DE FACT</t>
  </si>
  <si>
    <t>COSTO X BULTO</t>
  </si>
  <si>
    <t>HECHA 15 DE NOVIEMBRE</t>
  </si>
  <si>
    <t>TOTAL DE KG APROX</t>
  </si>
  <si>
    <t>QUESO RICOTTA SIN SAL KG</t>
  </si>
  <si>
    <t>QUESO PAST DIVINA PASTORA  KG</t>
  </si>
  <si>
    <t>QUESO PECORINO IMPERIAL KG (PASTORA)</t>
  </si>
  <si>
    <t>REQUEZON KG DIVINA PASTORA</t>
  </si>
  <si>
    <t>CUAJADA KG</t>
  </si>
  <si>
    <t>QUESO AMARILLO IMPERIAL KG (DIVINA PASTORA)</t>
  </si>
  <si>
    <t>QUESO MOZARELLA DIVINA PASTORA KG</t>
  </si>
  <si>
    <t>SUERO DE LECHE 910 GR CREMOSO LA DIVINA PASTORA</t>
  </si>
  <si>
    <t>UND X EMP APROX</t>
  </si>
  <si>
    <t>QUESO MOZZARELA DOÑA FLORA KG</t>
  </si>
  <si>
    <t>QUESO AMARILLO DOÑA FLORA KG</t>
  </si>
  <si>
    <t>PARMESANO DOÑA FLORA KG</t>
  </si>
  <si>
    <t>QUESO PAST DOÑA FLORA KG</t>
  </si>
  <si>
    <t>QUESO CREMA 250 GR DOÑA FLORA</t>
  </si>
  <si>
    <t>JAMON  ESPALDA SERVIPORK KG</t>
  </si>
  <si>
    <t>JAMON DE PIERNA SERVIPORK KG</t>
  </si>
  <si>
    <t>JAMON AHUM SERVIPORK KG</t>
  </si>
  <si>
    <t>MORTADELA TIPO EXTRA SERVIPORK KG</t>
  </si>
  <si>
    <t>TOTAL APROX</t>
  </si>
  <si>
    <t>UND X EMP CAJA APROX</t>
  </si>
  <si>
    <t>PIEZA</t>
  </si>
  <si>
    <t>KG APROX X CAJA</t>
  </si>
  <si>
    <t>QUESO AMARILLO REDONDO DOÑA FLORA KG</t>
  </si>
  <si>
    <t>QUESO PAST REDONDO DOÑA FLORA KG</t>
  </si>
  <si>
    <t xml:space="preserve">PECORINO </t>
  </si>
  <si>
    <t>TOTAL EN KG</t>
  </si>
  <si>
    <t>UNS X EMP APROX</t>
  </si>
  <si>
    <t>QUESO MOZZARELLA VICTORIA KG</t>
  </si>
  <si>
    <t>QUESO AMARILLO VICTORIA KG</t>
  </si>
  <si>
    <t>CAJA X EMP APROX</t>
  </si>
  <si>
    <t>PIEZAS X EMP APROX</t>
  </si>
  <si>
    <t>PIEZAS X CAJA</t>
  </si>
  <si>
    <t>PESO X PIEZA APROX</t>
  </si>
  <si>
    <t>PESO X CAJA A PROX</t>
  </si>
  <si>
    <t>PECHUGA DE PAVO ALPINO KG</t>
  </si>
  <si>
    <t>JAMON SERRANO ALPINO X KG</t>
  </si>
  <si>
    <t>PEPPERONI ALPINO KG</t>
  </si>
  <si>
    <t>SALCHICHON MILANO ALPINO KG.</t>
  </si>
  <si>
    <t>SALCHICHON NAPOLE ALPINO KG</t>
  </si>
  <si>
    <t>CHORIZO ESPAÑOL VELA ALPINO KG</t>
  </si>
  <si>
    <t>JAMON AHUMADO ALPINO KG</t>
  </si>
  <si>
    <t>JAMON DE PIERNA ALPINO KG</t>
  </si>
  <si>
    <t>JAMON DE PIERNA CORDILLERA KG</t>
  </si>
  <si>
    <t>PECHUGA DE PAVO CORDILLERA KG</t>
  </si>
  <si>
    <t>JAMON ESPALDA CORDILLERA KG</t>
  </si>
  <si>
    <t>PEDIDO X KG O UND</t>
  </si>
  <si>
    <t>PESO X PIEZA</t>
  </si>
  <si>
    <t>TOTAL DE PESO X CAJA</t>
  </si>
  <si>
    <t>PEDIDO X KG APROX</t>
  </si>
  <si>
    <t>QUESO PALMIZULIA PACOMELA KG</t>
  </si>
  <si>
    <t>QUESO SANTA BARBARA PACOMELA</t>
  </si>
  <si>
    <t>KG PEDIDO</t>
  </si>
  <si>
    <t>DORADO-0124</t>
  </si>
  <si>
    <t>ARROZ MARY DORADO 24X1</t>
  </si>
  <si>
    <t>DORADO-0130</t>
  </si>
  <si>
    <t>ARROZ MARY DORADO 30X800</t>
  </si>
  <si>
    <t>ESMERALDA-0124</t>
  </si>
  <si>
    <t>ARROZ MARY ESMERALDA 0.5% 24X1</t>
  </si>
  <si>
    <t>ESMERALDA-0924</t>
  </si>
  <si>
    <t>ARROZ ESMERALDA (24x900g)</t>
  </si>
  <si>
    <t>PREMIUM-0124</t>
  </si>
  <si>
    <t>ARROZ MARY PREMIUM 24X1</t>
  </si>
  <si>
    <t>PREMIUM-0924</t>
  </si>
  <si>
    <t>ARROZ MARY PREMIUM 24X900</t>
  </si>
  <si>
    <t>BLANCO-0124</t>
  </si>
  <si>
    <t>ARROZ MARY SUP. TIPO I 24X1</t>
  </si>
  <si>
    <t>BLANCO-0548</t>
  </si>
  <si>
    <t>ARROZ MARY SUP. TIPO I 48X500</t>
  </si>
  <si>
    <t>BLANCO-0524</t>
  </si>
  <si>
    <t>ARROZ MARY SUP. TIPO I 24X500</t>
  </si>
  <si>
    <t>INTEGRAL-0130</t>
  </si>
  <si>
    <t>ARROZ MARY INTEGRAL 30X800</t>
  </si>
  <si>
    <t>TRADICIONAL-0124</t>
  </si>
  <si>
    <t>ARROZ MARY TRADICIONAL TIPO I 24X1</t>
  </si>
  <si>
    <t>SABORIZADO-0224</t>
  </si>
  <si>
    <t>ARROZ EMY SABORIZADO AJO 24X1</t>
  </si>
  <si>
    <t>EMI-0124</t>
  </si>
  <si>
    <t>EMI-0130</t>
  </si>
  <si>
    <t>ARROZ EMI 30X800</t>
  </si>
  <si>
    <t>CREMA-0354</t>
  </si>
  <si>
    <t>CREMA DE ARROZ MARY ENR. 54X200</t>
  </si>
  <si>
    <t>CREMA-0527</t>
  </si>
  <si>
    <t>CREMA DE ARROZ MARY ENR. 27X200</t>
  </si>
  <si>
    <t>CREMA-0324</t>
  </si>
  <si>
    <t>CREMA DE ARROZ MARY ENR. 24X450</t>
  </si>
  <si>
    <t>CREMA-0112</t>
  </si>
  <si>
    <t>CREMA ARROZ MARY ENR.12X450</t>
  </si>
  <si>
    <t>CREMA-0201</t>
  </si>
  <si>
    <t>CREMA ARROZ MARY ENR.6X900</t>
  </si>
  <si>
    <t>HB-0145</t>
  </si>
  <si>
    <t>CREMA EN SACOS 1X45 KG</t>
  </si>
  <si>
    <t>MARIA-0312</t>
  </si>
  <si>
    <t>MARIA-0412</t>
  </si>
  <si>
    <t>GALLETAS MARIA 12X150</t>
  </si>
  <si>
    <t>MARIA-0624</t>
  </si>
  <si>
    <t>GALLETAS MARIA 24X140</t>
  </si>
  <si>
    <t>MARIA-0748</t>
  </si>
  <si>
    <t>GALLETAS MARIA 48X140</t>
  </si>
  <si>
    <t>CHARMY-03-0124</t>
  </si>
  <si>
    <t>GALLETAS CHARMY CHOCO 24X216</t>
  </si>
  <si>
    <t>CHARMY-03-0224</t>
  </si>
  <si>
    <t>GALLETAS CHARMY FRESA 24X216</t>
  </si>
  <si>
    <t>CHARMY-03-0324</t>
  </si>
  <si>
    <t>GALLETAS CHARMY VAINILLA 24X216</t>
  </si>
  <si>
    <t>D2SABORES-04-012</t>
  </si>
  <si>
    <t>GALLETAS D2 SABORES CHOC/VAIN 24X216</t>
  </si>
  <si>
    <t>D2SABORES-04-022</t>
  </si>
  <si>
    <t>GALLETAS D2 SABORES FRES/VAIN 24X216</t>
  </si>
  <si>
    <t>CHARMY-07-0424</t>
  </si>
  <si>
    <t>GALLETAS CHARMY CHOCO 24X192</t>
  </si>
  <si>
    <t>CHARMY-07-0524</t>
  </si>
  <si>
    <t>GALLETAS CHARMY FRESA 24X192</t>
  </si>
  <si>
    <t>CHARMY-07-0124</t>
  </si>
  <si>
    <t>GALLETAS CHARMY VAINILLA 24X192</t>
  </si>
  <si>
    <t>CHARMY-05-0316</t>
  </si>
  <si>
    <t>GALLETAS CHARMY CHOCO 16X12X26</t>
  </si>
  <si>
    <t>CHARMY-05-0216</t>
  </si>
  <si>
    <t>GALLETAS CHARMY FRESA 16X12X26</t>
  </si>
  <si>
    <t>CHARMY-05-0116</t>
  </si>
  <si>
    <t>GALLETAS CHARMY VAINILLA 16X12X26</t>
  </si>
  <si>
    <t>TIPTOP-03-0148</t>
  </si>
  <si>
    <t>GALLETAS TIPTOP CHOCO 48X80</t>
  </si>
  <si>
    <t>TIPTOP-03-0248</t>
  </si>
  <si>
    <t>GALLETAS TIPTOP COCO 48X80</t>
  </si>
  <si>
    <t>TIPTOP-03-0348</t>
  </si>
  <si>
    <t>GALLETAS TIPTOP MANI 48X80</t>
  </si>
  <si>
    <t>TIPTOP-03-0748</t>
  </si>
  <si>
    <t>GALLETAS TIPTOP CHOCO-MANI 48X80</t>
  </si>
  <si>
    <t>TIPTOP-03-0448</t>
  </si>
  <si>
    <t>GALLETAS TIPTOP VAINLLA 48X80</t>
  </si>
  <si>
    <t>TIPTOP-04-0108</t>
  </si>
  <si>
    <t>GALLETAS TIPTOP CHOCO 8X18X12</t>
  </si>
  <si>
    <t>TIPTOP-04-0208</t>
  </si>
  <si>
    <t>GALLETAS TIPTOP COCO 8X18X12</t>
  </si>
  <si>
    <t>TIPTOP-04-0308</t>
  </si>
  <si>
    <t>GALLETAS TIPTOP MANI 8X18X12</t>
  </si>
  <si>
    <t>TIPTOP-04-0408</t>
  </si>
  <si>
    <t>GALLETAS TIPTOP VAINILLA 8X18X12</t>
  </si>
  <si>
    <t>CHARMY-04-0112</t>
  </si>
  <si>
    <t>GALLETAS CHARMY CHOCOLATE 12X24X12</t>
  </si>
  <si>
    <t>CHARMY-04-0212</t>
  </si>
  <si>
    <t>GALLETAS CHARMY FRESA 12X24X12</t>
  </si>
  <si>
    <t>CHARMY-04-0312</t>
  </si>
  <si>
    <t>GALLETAS CHARMY VAINILLA 12X24X12</t>
  </si>
  <si>
    <t>CHARMY-06-0224</t>
  </si>
  <si>
    <t>GALLETAS CHARMY MOKA 24X192</t>
  </si>
  <si>
    <t>CLUB MAX-2436</t>
  </si>
  <si>
    <t>GALLETAS CLUB MAX 36g (24X9X36)</t>
  </si>
  <si>
    <t>WAFFLE-2024</t>
  </si>
  <si>
    <t>-</t>
  </si>
  <si>
    <t>GALLETAS WAFFLE 20g (24X12X20)</t>
  </si>
  <si>
    <t>SOPA-IN-0112</t>
  </si>
  <si>
    <t>O41789001925</t>
  </si>
  <si>
    <t>SOPA INSTANTANEA MARUCHAN SABOR A CARNE DE RES 12x64</t>
  </si>
  <si>
    <t>SOPA-IN-0212</t>
  </si>
  <si>
    <t>O41789001888</t>
  </si>
  <si>
    <t>SOPA INSTANTANEA MARUCHAN SABOR A CARNE ASADA 12x64</t>
  </si>
  <si>
    <t>SOPA-IN-0312</t>
  </si>
  <si>
    <t>O41789001918</t>
  </si>
  <si>
    <t>SOPA INSTANTANEA MARUCHAN SABOR A POLLO 12x64 gr.</t>
  </si>
  <si>
    <t>SOPA-IN-0412</t>
  </si>
  <si>
    <t>O41789901963</t>
  </si>
  <si>
    <t>SOPA INSTANTANEA MARUCHAN SABOR A TOMATE Y POLLO 12x</t>
  </si>
  <si>
    <t>SOPA-IN-0512</t>
  </si>
  <si>
    <t>O41789001956</t>
  </si>
  <si>
    <t>SOPA INSTANTANEA MARUCHAN SABOR A CAMARÓN 12x64 gr.</t>
  </si>
  <si>
    <t>SOPA-IN-0612</t>
  </si>
  <si>
    <t>O41789001833</t>
  </si>
  <si>
    <t>SOPA INSTANTANEA MARUCHAN SABOR A QUESO 12x64 g</t>
  </si>
  <si>
    <t>PASTA-01-0424</t>
  </si>
  <si>
    <t>PASTA-01-0124</t>
  </si>
  <si>
    <t>PASTA-01-0212</t>
  </si>
  <si>
    <t>PASTA-01-0312</t>
  </si>
  <si>
    <t>PASTA-01-0412</t>
  </si>
  <si>
    <t>PASTA-01-0512</t>
  </si>
  <si>
    <t>PASTA-01-0612</t>
  </si>
  <si>
    <t>PASTA-01-0712</t>
  </si>
  <si>
    <t>CARACOL (PREMIUM) 12X500</t>
  </si>
  <si>
    <t>PASTA-01-0812</t>
  </si>
  <si>
    <t>CODO (PREMIUM) 12X500</t>
  </si>
  <si>
    <t>PASTA-06-0112</t>
  </si>
  <si>
    <t>PASTA-06-0312</t>
  </si>
  <si>
    <t>PASTA-06-0212</t>
  </si>
  <si>
    <t>PASTA-05-1201</t>
  </si>
  <si>
    <t>PASTA TRADICIONAL PLUMA 12x1</t>
  </si>
  <si>
    <t>PASTA-05-1202</t>
  </si>
  <si>
    <t>PASTA TRADICIONAL VERMICELLI 12x1</t>
  </si>
  <si>
    <t>PASTA-04-1201</t>
  </si>
  <si>
    <t>PASTA EMI DEDAL 12X1</t>
  </si>
  <si>
    <t>PASTA-04-1202</t>
  </si>
  <si>
    <t>PASTA EMI VERMICELLI 12X1</t>
  </si>
  <si>
    <t>HTP-0345</t>
  </si>
  <si>
    <t>HARINA PANADERA MARY (SACO 45KG)</t>
  </si>
  <si>
    <t>HTP-0445</t>
  </si>
  <si>
    <t>HARINA PANADERA VENARINA (SACO 45KG)</t>
  </si>
  <si>
    <t>HTTUE-2090</t>
  </si>
  <si>
    <t>HARINA DE TRIGO TODO USO ENRIQUECIDA (20 x 900g)</t>
  </si>
  <si>
    <t>ACEITE-02-0212</t>
  </si>
  <si>
    <t>ACEITE DE OLIVA  EXTRA VIRGEN MARY 12x500 ml</t>
  </si>
  <si>
    <t>ACEITE-02-0312</t>
  </si>
  <si>
    <t>ACEITE DE OLIVA  EXTRA VIRGEN MARY 12x750 ml</t>
  </si>
  <si>
    <t>PASTADEMANI-9485</t>
  </si>
  <si>
    <t>PASTA DE MANI 485G (9X485)</t>
  </si>
  <si>
    <t>PASTADEMANI-1248</t>
  </si>
  <si>
    <t>PASTA DE MANI 485G (12X485)</t>
  </si>
  <si>
    <t>MANI-SSP-3116</t>
  </si>
  <si>
    <t>MANÍ SALADO SIN PIEL 16G (360X16)</t>
  </si>
  <si>
    <t>MANI-SSP-1012</t>
  </si>
  <si>
    <t>MANÍ SALADO SIN PIEL 120G (10X120)</t>
  </si>
  <si>
    <t>MANI-GRP-2080</t>
  </si>
  <si>
    <t>MANI GARRAPIÑADA 80G (20X80)</t>
  </si>
  <si>
    <t>MANI-GRP-28820</t>
  </si>
  <si>
    <t>MANI GARRAPIÑADA 20G (288X20)</t>
  </si>
  <si>
    <t>CUBITO-0880</t>
  </si>
  <si>
    <t>CUBITOS KNORR DE POLLO 6X24X8X10</t>
  </si>
  <si>
    <t>CUBITO-1212</t>
  </si>
  <si>
    <t>CUBITO KNORR DE POLLO 4X24X12X10</t>
  </si>
  <si>
    <t>CUBITO-12120</t>
  </si>
  <si>
    <t>CUBITO KNORR DE POLLO 12X120X10</t>
  </si>
  <si>
    <t>FIDEOSP-3075</t>
  </si>
  <si>
    <t>FIDEOS INSTANTANEOS KNORR POLLO 30X75</t>
  </si>
  <si>
    <t>FIDEOSC-3075</t>
  </si>
  <si>
    <t>FIDEOS INSTANTANEOS KNORR CARNE 30X75</t>
  </si>
  <si>
    <t>ARVEJAS-A-30X400</t>
  </si>
  <si>
    <t>ARVEJAS AMARILLAS MARY 30X400</t>
  </si>
  <si>
    <t>ARVEJAS-0124</t>
  </si>
  <si>
    <t>ARVEJAS AMARILLAS MARY 24X500</t>
  </si>
  <si>
    <t>ARVEJAS-01-0148</t>
  </si>
  <si>
    <t>ARVEJAS AMARILLAS MARY 48X250</t>
  </si>
  <si>
    <t>ARVEJAS-01-0104</t>
  </si>
  <si>
    <t>ARVEJAS AMARILLAS MARY 4X (12X250)</t>
  </si>
  <si>
    <t>ARVEJAS-V-30X400</t>
  </si>
  <si>
    <t>ARVEJAS VERDES PARTIDAS MARY 30X400</t>
  </si>
  <si>
    <t>ARVEJAS-0224</t>
  </si>
  <si>
    <t>ARVEJAS VERDES PARTIDAS MARY 24X500</t>
  </si>
  <si>
    <t>ARVEJAS-02-0248</t>
  </si>
  <si>
    <t>ARVEJAS VERDES PARTIDAS MARY 48X250</t>
  </si>
  <si>
    <t>ARVEJAS-02-0204</t>
  </si>
  <si>
    <t>ARVEJAS VERDES PARTIDAS MARY 4X (12X250)</t>
  </si>
  <si>
    <t>CARAOTAS-30X400</t>
  </si>
  <si>
    <t>CARAOTAS NEGRAS MARY 30X400</t>
  </si>
  <si>
    <t>CARAOTAS-0124</t>
  </si>
  <si>
    <t>CARAOTAS NEGRAS MARY 24X500</t>
  </si>
  <si>
    <t>CARAOTAS-01-0148</t>
  </si>
  <si>
    <t>CARAOTAS NEGRAS MARY 48X250</t>
  </si>
  <si>
    <t>CARAOTAS-0224</t>
  </si>
  <si>
    <t>CARAOTAS ROJAS MARY 24X500</t>
  </si>
  <si>
    <t>CARAOTAS-02-0248</t>
  </si>
  <si>
    <t>CARAOTAS ROJAS MARY 48X250</t>
  </si>
  <si>
    <t>CARAOTAS-0324</t>
  </si>
  <si>
    <t>CARAOTAS BLANCAS MARY 24X500</t>
  </si>
  <si>
    <t>CARAOTAS-03-0348</t>
  </si>
  <si>
    <t>CARAOTAS BLANCAS MARY 48X250</t>
  </si>
  <si>
    <t>FRIJOLES-0224</t>
  </si>
  <si>
    <t>FRIJOL PICO NEGRO MARY 24X500</t>
  </si>
  <si>
    <t>FRIJOLES-02-0248</t>
  </si>
  <si>
    <t>FRIJOLES PICO NEGRO 48X250</t>
  </si>
  <si>
    <t>FRIJOLES-0124</t>
  </si>
  <si>
    <t>FRIJOL BAYO MARY 24X500</t>
  </si>
  <si>
    <t>FRIJOLES-01-0148</t>
  </si>
  <si>
    <t>FRIJOLES BAYO 48X250</t>
  </si>
  <si>
    <t>GARBANZO-0124</t>
  </si>
  <si>
    <t>GARBANZOS 24X500</t>
  </si>
  <si>
    <t>GARBANZO-01-0148</t>
  </si>
  <si>
    <t>GARBANZOS 48X250</t>
  </si>
  <si>
    <t>LENTEJAS-30X400</t>
  </si>
  <si>
    <t>LENTEJAS MARY 30X400</t>
  </si>
  <si>
    <t>LENTEJAS-0124</t>
  </si>
  <si>
    <t>LENTEJAS MARY 24X500</t>
  </si>
  <si>
    <t>LENTEJAS-01-0148</t>
  </si>
  <si>
    <t>LENTEJAS MARY 48X250</t>
  </si>
  <si>
    <t>MAIZ-0124</t>
  </si>
  <si>
    <t>MAIZ PARA COTUFAS 24X500</t>
  </si>
  <si>
    <t>MAIZ-01-0148</t>
  </si>
  <si>
    <t>MAIZ PARA COTUFAS 48X250</t>
  </si>
  <si>
    <t>CARAOTAS-2024</t>
  </si>
  <si>
    <t>CARAOTAS NEGRAS EMY 24X500</t>
  </si>
  <si>
    <t>N/A</t>
  </si>
  <si>
    <t>CARAOTAS-2048</t>
  </si>
  <si>
    <t>CARAOTAS NEGRAS EMY 48X500</t>
  </si>
  <si>
    <t>PELADO-0106</t>
  </si>
  <si>
    <t>TOMATE PELADO MARY 6X2550</t>
  </si>
  <si>
    <t>PELADO-0212</t>
  </si>
  <si>
    <t>TOMATE PELADO MARY 12X800</t>
  </si>
  <si>
    <t>PELADO-0324</t>
  </si>
  <si>
    <t>TOMATE PELADO MARY 24X400</t>
  </si>
  <si>
    <t>PASSATA-0112</t>
  </si>
  <si>
    <t>PASSATA DE TOMATE MARY 12X700</t>
  </si>
  <si>
    <t>SALMAR-0225</t>
  </si>
  <si>
    <t>SAL MARINA EVAP.SALMAR 25X1</t>
  </si>
  <si>
    <t>SALNIEVES-0525</t>
  </si>
  <si>
    <t>SAL LAS NIEVES 25X1</t>
  </si>
  <si>
    <t>SALMAR-0325</t>
  </si>
  <si>
    <t>SAL REFINADA GRUESA SALMAR 25X1</t>
  </si>
  <si>
    <t>PALMITOS-0124</t>
  </si>
  <si>
    <t>PALMITOS ENTEROS AL NATURAL 24X400</t>
  </si>
  <si>
    <t>PALMITOS-0212</t>
  </si>
  <si>
    <t>PALMITOS ENTEROS AL NATURAL 12X800</t>
  </si>
  <si>
    <t>CAJA BSD</t>
  </si>
  <si>
    <t>UND X CAJ</t>
  </si>
  <si>
    <t>JAMON SUP.C/SABOR TOCINETA OSCAR MAYER KG</t>
  </si>
  <si>
    <t>TOCI-RICA SANDWICH FIESTA KG</t>
  </si>
  <si>
    <t>KG X BULTO</t>
  </si>
  <si>
    <t>CHORIZO CON CILANTRO DELI 6 UND PLUMROSE</t>
  </si>
  <si>
    <t>JAMON DE PIERNA 500 GR PLUMROSE</t>
  </si>
  <si>
    <t>JAMON MINI TENDER PLUMROSE KG</t>
  </si>
  <si>
    <t>MORTADELA ESPECIAL 500 GR PLUMROSE</t>
  </si>
  <si>
    <t>SALCHICHA DE VIENA KG</t>
  </si>
  <si>
    <t>SALCHICHAS DEBRECZINER 5UNID PLUMROSE DELI</t>
  </si>
  <si>
    <t>TOCINETA OM AL VACIO KG</t>
  </si>
  <si>
    <t>COSTO X KG</t>
  </si>
  <si>
    <t xml:space="preserve">SOLERA NR 300ML </t>
  </si>
  <si>
    <t>SOLERA LIGHT NR 300ML</t>
  </si>
  <si>
    <t>PRECIO EN $</t>
  </si>
  <si>
    <t>UND O KG X EMPAQ</t>
  </si>
  <si>
    <t>PEDIDO HECHO 17/11</t>
  </si>
  <si>
    <t>COMBO DE 5 PANES CAMPESINITO + FRUCTUS</t>
  </si>
  <si>
    <t>MES</t>
  </si>
  <si>
    <t>OCTUBRE</t>
  </si>
  <si>
    <t>UNIDADES VENDIDAS</t>
  </si>
  <si>
    <t xml:space="preserve">NOVIEMBRE </t>
  </si>
  <si>
    <t>DICIEMBRE</t>
  </si>
  <si>
    <t>ENERO</t>
  </si>
  <si>
    <t>FEBRERO</t>
  </si>
  <si>
    <t>SEPTIEMBRE</t>
  </si>
  <si>
    <t>ACEITE DE SOYA 900 ML VATEL o aceite coamo 900ml</t>
  </si>
  <si>
    <t>arrastro</t>
  </si>
  <si>
    <t>JABON POLVO 400 GR DELICADA FRAGANCIA LAVALIN</t>
  </si>
  <si>
    <t>JABON EN POLVO 800 GR DELICADA FRAGANCIA LAVALIN</t>
  </si>
  <si>
    <t xml:space="preserve">TOTAL DE PEDIDO </t>
  </si>
  <si>
    <t>PEDIDO HECHO 22 NOVIEMBRE</t>
  </si>
  <si>
    <t>SUMA DE CAJA NEGRA</t>
  </si>
  <si>
    <t>UVAS ROJA C SEMILLA</t>
  </si>
  <si>
    <t>UVAS VERDE S SEMILLA</t>
  </si>
  <si>
    <t>CEREZA</t>
  </si>
  <si>
    <t>CALCULO PRECIO DE LA MANZANAS</t>
  </si>
  <si>
    <t>PRECIO TOTAL</t>
  </si>
  <si>
    <t xml:space="preserve">PESO </t>
  </si>
  <si>
    <t xml:space="preserve">COSTO </t>
  </si>
  <si>
    <t>KG X CAJA APROX</t>
  </si>
  <si>
    <t>KG COMPRADOS APROX</t>
  </si>
  <si>
    <t>PRECIO COSTO APROX</t>
  </si>
  <si>
    <t>DISPONIBLE</t>
  </si>
  <si>
    <t>PAÑAL TALLA (L) SOL</t>
  </si>
  <si>
    <t>PAÑAL TALLA (M) SOL</t>
  </si>
  <si>
    <t>PAÑAL TALLA (XL) SOL</t>
  </si>
  <si>
    <t>PEDIDO FRUC TUS</t>
  </si>
  <si>
    <t>PAPELON 400 GR</t>
  </si>
  <si>
    <t>BOMBILLO 18W LIDA</t>
  </si>
  <si>
    <t>DETERGENTE BEM TI VE LAVANDA 500GR</t>
  </si>
  <si>
    <t>DETERGENTE BEM TI VE NATURALEZA 500GR</t>
  </si>
  <si>
    <t>PAPEL LUCIANO VERDE 280HOJAS 4 ROLLOS</t>
  </si>
  <si>
    <t>TOALLAS REINAS SUAVES</t>
  </si>
  <si>
    <t>HOJILLAS DE AFEITAR MAX</t>
  </si>
  <si>
    <t>SHAMPOO RAIN 500ML</t>
  </si>
  <si>
    <t>ACONDICIONADOR RAIN 500ML</t>
  </si>
  <si>
    <t>0031 JABON YPE FRESIA E PESSEGO 85GR</t>
  </si>
  <si>
    <t>0032 JABON YPE GARDENIA ARGAN 85GR</t>
  </si>
  <si>
    <t>0033 JABO YPE SUAVE ROSA 85GR</t>
  </si>
  <si>
    <t>0034 JABON YPE DAMASCO 85GR</t>
  </si>
  <si>
    <t>0035 JABON YPE SUAVE VERDE 85GR</t>
  </si>
  <si>
    <t>0036 JABON YPE SUAVE BLANCO 85 GR</t>
  </si>
  <si>
    <t>0037 JABON YPE BAUNILHA 85GR</t>
  </si>
  <si>
    <t>TRATAMIENTO TERMOPROTECCION 27ML NUTRIBELA10</t>
  </si>
  <si>
    <t>TRATAMIENTO CAUTERIZADOR 27ML  NUTRIBELA10</t>
  </si>
  <si>
    <t>TRATAMIENTO REPOLARIZACION 27ML NUTRIBELA10</t>
  </si>
  <si>
    <t>TRATAMIENTO REUTRICION 27ML NUTRIBELA10</t>
  </si>
  <si>
    <t>LADY SPEED STICK TALC 9G</t>
  </si>
  <si>
    <t>XTREME NIGHT 9GR</t>
  </si>
  <si>
    <t>SHAMPOO PANTENE PRO-V</t>
  </si>
  <si>
    <t xml:space="preserve">SHAMPOO H&amp;S SUAVE 18 ML </t>
  </si>
  <si>
    <t>SHAMPOO H&amp;S LIMPIEZA 18 ML</t>
  </si>
  <si>
    <t>SHAMPOO H&amp;S COCO 18 ML</t>
  </si>
  <si>
    <t>TANS DESODORANTE NEGRO 53 ML</t>
  </si>
  <si>
    <t>TANS DESODORANTE ROSADO 53 ML</t>
  </si>
  <si>
    <t>costo</t>
  </si>
  <si>
    <t>MORTADELA LO MIO DE POLLO REBANADA X KG</t>
  </si>
  <si>
    <t>MORTADELA LO MIO DE POLLO ENTERO X KG</t>
  </si>
  <si>
    <t>MORTADELA LO MIO MIXTA REBANADA X KG</t>
  </si>
  <si>
    <t>MORTADELA O MIO MIXTA ENTERA X KG</t>
  </si>
  <si>
    <t>SALCHICHA DE POLLO LO MIO X KG</t>
  </si>
  <si>
    <t>GALLINA KG ENTERA</t>
  </si>
  <si>
    <t>GALLINA PICADA</t>
  </si>
  <si>
    <t>POLLO PICADO</t>
  </si>
  <si>
    <t>LECHE CONDENSADA GLORIA 395GR</t>
  </si>
  <si>
    <t>SKALA AGUACATE 1 KG</t>
  </si>
  <si>
    <t>SKALA ACEITE DE ARGAN 1 KG</t>
  </si>
  <si>
    <t>SKALA BANHO DE CRISTAL 1 KG</t>
  </si>
  <si>
    <t>SKALA BOMBA DE VITAMINA S.O.S 1 KG</t>
  </si>
  <si>
    <t>SKALA MAIS LISOS 1 KG</t>
  </si>
  <si>
    <t>PAPEL SUTIL PREMIUM 4 ROLLOS 260HOJAS MANPA</t>
  </si>
  <si>
    <t>PAPEL SUTIL PREMIUM 2ROLLOS 300HOJAS MANPA</t>
  </si>
  <si>
    <t>SERVILLETAS GARDENIA  50UNID MANPA</t>
  </si>
  <si>
    <t>TOALLIN  ABSORBENTE 18M  BLANCA SUTIL</t>
  </si>
  <si>
    <t>INV - VENTA</t>
  </si>
  <si>
    <t>45 DIAS</t>
  </si>
  <si>
    <t>PAPEL PETALO 250 HOJAS PQ 4 ROLLO</t>
  </si>
  <si>
    <t>PAPEL PETALO 250 HOJAS UND ROLLO</t>
  </si>
  <si>
    <t>EXQUUND X EMP</t>
  </si>
  <si>
    <t>BULTO</t>
  </si>
  <si>
    <t>VEGETALES MIXTO 500 GR</t>
  </si>
  <si>
    <t xml:space="preserve">GUISANTE 500GR </t>
  </si>
  <si>
    <t>MAIZ CONGELADO 500GR</t>
  </si>
  <si>
    <t>Subtotal</t>
  </si>
  <si>
    <t>JAMON DE PAVO FIAMFORT KG</t>
  </si>
  <si>
    <t>JAMON PAVO TACO FIAMFORT KG</t>
  </si>
  <si>
    <t>PECHUGA POLLO FIAMFORT KG</t>
  </si>
  <si>
    <t>JAMON PIERNA SUPERIOR FIAMFORT X  KG</t>
  </si>
  <si>
    <t>JAMON AREPERO FIAMFORT KG.</t>
  </si>
  <si>
    <t>PECHUGA DE PAVO OVALADO MOVILLA KG</t>
  </si>
  <si>
    <t>PECHUGA DE POLLO MOVILLA KG</t>
  </si>
  <si>
    <t>JAMON DE PIERNA MOVILLA</t>
  </si>
  <si>
    <t>JAMON DE PIERNA MAURO KG</t>
  </si>
  <si>
    <t>PECHUGA DE PAVO MAURO KG</t>
  </si>
  <si>
    <t>CHORIZO GRUESO RIOJA LEONESA KG</t>
  </si>
  <si>
    <t>SALAMI TIPO GERONA KG</t>
  </si>
  <si>
    <t>SALCHICHON T/ESPAÑOL LEONESA KG</t>
  </si>
  <si>
    <t>PESO X CAJA</t>
  </si>
  <si>
    <t>2 CADA PIEZA</t>
  </si>
  <si>
    <t>CAJAS</t>
  </si>
  <si>
    <t>SALCHICHON MILANO GIACOMELO KG</t>
  </si>
  <si>
    <t>SALCHICHON CORRALITO KG</t>
  </si>
  <si>
    <t>JAMON PIERNA CORRALITO KG</t>
  </si>
  <si>
    <t>MORTADELA TAPARA GIACOMELO KG</t>
  </si>
  <si>
    <t>KG X CAJA</t>
  </si>
  <si>
    <t>MORTADELA EXTRA TAPARA HERMO KG</t>
  </si>
  <si>
    <t>SALCHICHA WIENER KIDS 225 GR HERMO</t>
  </si>
  <si>
    <t>SALCHICHA 450 GR WIENER KIDS HERMO</t>
  </si>
  <si>
    <t>JAMON DE ESPALDA KG HERMO</t>
  </si>
  <si>
    <t>MORTADELA  DE  POLLO  SUPERIOR 1KG HERMO</t>
  </si>
  <si>
    <t>JAMON DE PIERNA HERMO KG</t>
  </si>
  <si>
    <t>SALCHICHA TIPO VIENA 800 GR HERMO</t>
  </si>
  <si>
    <t>JAMON DE PIERNA DPALERMO KG.</t>
  </si>
  <si>
    <t>QUESO CREMA PAISA DE TOBO KG</t>
  </si>
  <si>
    <t>TOBO</t>
  </si>
  <si>
    <t>1 caja</t>
  </si>
  <si>
    <t>3 caja</t>
  </si>
  <si>
    <t>caja</t>
  </si>
  <si>
    <t>QUESO PECORINO MASPAR KG</t>
  </si>
  <si>
    <t>QUESO PARMESANO LACSA KG</t>
  </si>
  <si>
    <t>QUESO MOZARELLA MASPAR KG</t>
  </si>
  <si>
    <t>TOTAL DE KG PEDIDO</t>
  </si>
  <si>
    <t>7 CAJA</t>
  </si>
  <si>
    <t>ULTIMO ANALIZIZ 30 DE NOV</t>
  </si>
  <si>
    <t>PASTA PREMIUM 1 KG DEDALITO CAPRI</t>
  </si>
  <si>
    <t>PASTA CAPRI DEDAL PREMIUM 1KG</t>
  </si>
  <si>
    <t>PASTA LAZO ESPECIALIDAD 500GR CAPRI</t>
  </si>
  <si>
    <t>PASTA CODITO 1 KG NAPOLI (CAPRI)</t>
  </si>
  <si>
    <t>PASTA VERMICELLI FINO 1KG NAPOLI</t>
  </si>
  <si>
    <t>HARINA DE TRIGO LEUDANTE CAPRI 1 KG</t>
  </si>
  <si>
    <t>HARINA DE TRIGO TODO USO CAPRI 1 KG</t>
  </si>
  <si>
    <t>INVERSIONES TEUFFEL E HIJOS C.A</t>
  </si>
  <si>
    <t>25/11/2021</t>
  </si>
  <si>
    <t>24/11/2021</t>
  </si>
  <si>
    <t>18/11/2021</t>
  </si>
  <si>
    <t>10/11/2021</t>
  </si>
  <si>
    <t>MES DE noviembre 2021</t>
  </si>
  <si>
    <t>05902</t>
  </si>
  <si>
    <t>05931</t>
  </si>
  <si>
    <t>31608</t>
  </si>
  <si>
    <t>006903</t>
  </si>
  <si>
    <t>CAJA 26/11</t>
  </si>
  <si>
    <t xml:space="preserve">ARRASTO </t>
  </si>
  <si>
    <t xml:space="preserve">UND </t>
  </si>
  <si>
    <t>HUEVOS  TIPO B</t>
  </si>
  <si>
    <t>HARINA DE TRIGO 1 KG</t>
  </si>
  <si>
    <t>TOTAL X KG</t>
  </si>
  <si>
    <t>MODE</t>
  </si>
  <si>
    <t>47 TOBO  TOTAL  1385</t>
  </si>
  <si>
    <t>2/7/2020 al 31/12/2020</t>
  </si>
  <si>
    <t>INVENTARIO</t>
  </si>
  <si>
    <t>PAN DE JAMON DE PAVO TAMAÑO NORMAL</t>
  </si>
  <si>
    <t>PAN DE JAMON D POLLO TAMAÑO NORMAL</t>
  </si>
  <si>
    <t>PAN DE JAMON ESPECIAL</t>
  </si>
  <si>
    <t>PAN DE JAMON  ESPECIAL GRANDE</t>
  </si>
  <si>
    <t>PAN DE JAMON EXPRESS</t>
  </si>
  <si>
    <t>PAN DE JAMON HOJALDRE TRADICINAL</t>
  </si>
  <si>
    <t>PAN  D JAMON POPULAR</t>
  </si>
  <si>
    <t>PAN DE JAMON SUPER ESPECIAL CON QUESO CREMA</t>
  </si>
  <si>
    <t>2/7/2020 al 5/01/2021  VENTA</t>
  </si>
  <si>
    <t>JAMON AHUMADO</t>
  </si>
  <si>
    <t>ACEITUNA RELLENA promedio</t>
  </si>
  <si>
    <t>UVAS PASAS (PASITAS) promediado</t>
  </si>
  <si>
    <t>pernil brasil con hueso</t>
  </si>
  <si>
    <t>pechuga con piel</t>
  </si>
  <si>
    <t>TOCINETA praim</t>
  </si>
  <si>
    <t>TICINETA BRASILERA</t>
  </si>
  <si>
    <t>JAMON DE PIERNA ALEGRE PORKY KG</t>
  </si>
  <si>
    <t>JAMON DE PIERNA CASTELO BRANCO KG</t>
  </si>
  <si>
    <t>JAMON AHUMADO CASTELO BRANCO KG</t>
  </si>
  <si>
    <t>JAMON MINI TENDER CASTELO BRANCO KG.</t>
  </si>
  <si>
    <t>1 PIEZA</t>
  </si>
  <si>
    <t>mantequilla paisa con sal 200 gr</t>
  </si>
  <si>
    <t>MORTADELA TAPARA SERVIPORK</t>
  </si>
  <si>
    <t>SOLERA CLASSIC 222ML EDICION ESPECIAL NR</t>
  </si>
  <si>
    <t>SOLERA LIGHT 222ML EDICION ESPECIAL NR</t>
  </si>
  <si>
    <t>COD INT</t>
  </si>
  <si>
    <t xml:space="preserve">50 BULTOS </t>
  </si>
  <si>
    <t>VENTA X BULTO</t>
  </si>
  <si>
    <t>INV X BULTO</t>
  </si>
  <si>
    <t>MES DE DICIEMBRE 2021</t>
  </si>
  <si>
    <t>precio en $</t>
  </si>
  <si>
    <t>VINAGRE 1 LT EUREKA</t>
  </si>
  <si>
    <t>MOSTAZA TETERO 285GR EUREKA</t>
  </si>
  <si>
    <t>PASTA DE TOMATE 500 GR EUREKA</t>
  </si>
  <si>
    <t>ADOBO COMPLETO 185GR EUREKA</t>
  </si>
  <si>
    <t>DESPACHO PEDIENTE</t>
  </si>
  <si>
    <t>PEDIDO HECHO 8 DICIEMBRE</t>
  </si>
  <si>
    <t>PURE DE TOMATE 490G</t>
  </si>
  <si>
    <t>PASSATA DE TOMATE 480G</t>
  </si>
  <si>
    <t xml:space="preserve">VENTA X UND </t>
  </si>
  <si>
    <t>BSD</t>
  </si>
  <si>
    <t xml:space="preserve">BSD </t>
  </si>
  <si>
    <t>ARROZ MARRY TRADICIONAL 1 KG</t>
  </si>
  <si>
    <t>CARAOTAS NEGRAS 900GR PANTERA</t>
  </si>
  <si>
    <t>CAFÉ AMANECER 200 GR</t>
  </si>
  <si>
    <t>SARDINA 170GR ACEITE VEGETAL</t>
  </si>
  <si>
    <t>SARDINA 170GR SALSA DE TOMATE</t>
  </si>
  <si>
    <t xml:space="preserve">PASTA 500GR </t>
  </si>
  <si>
    <t>CALCULO DE MARGEN</t>
  </si>
  <si>
    <t>%</t>
  </si>
  <si>
    <t xml:space="preserve">TOTAL PRECIO </t>
  </si>
  <si>
    <t xml:space="preserve">ACEITE DE SOYA 900 ML </t>
  </si>
  <si>
    <t>CARTON DE HUEVO</t>
  </si>
  <si>
    <t>TOTAL BSD</t>
  </si>
  <si>
    <t>EN CASO DE QUE EL PAGO SEA EN $ EFECTIVO CONTACTARNOS</t>
  </si>
  <si>
    <t>AUTOMERCADO EXPRESS 2707,C.A</t>
  </si>
  <si>
    <t>RIF J-40670082-7</t>
  </si>
  <si>
    <t>PAGOS POR TRANSFERENCIAS</t>
  </si>
  <si>
    <t xml:space="preserve">BANCO PROVINCIAL </t>
  </si>
  <si>
    <t>CUENTA CORRIENTE</t>
  </si>
  <si>
    <t>N°0108-0025-19-0100165852</t>
  </si>
  <si>
    <t xml:space="preserve">BANCO BANESCO </t>
  </si>
  <si>
    <t>N°0134-0364-33-3641089084</t>
  </si>
  <si>
    <t>JABON EN POLVO 500 GR BEM-TE-VI SURTIDOS</t>
  </si>
  <si>
    <t>CREMA PARA PEINAR 1000 GR 2EN1 MAIS LISOS SKALA</t>
  </si>
  <si>
    <t>AFEITADORA CONFOR/3 AZUL RAZORMAX</t>
  </si>
  <si>
    <t>ACEITE 828 ML ORIENTAL</t>
  </si>
  <si>
    <t>DESPACHO DEL 8 DE DICIEMBRE</t>
  </si>
  <si>
    <t>PASTA PLUMA 1 KG FIORENTINA</t>
  </si>
  <si>
    <t>PASTA LARGA 1 KG VERMICELLI MIMESA</t>
  </si>
  <si>
    <t>PASTA CORTA DELAL 1 KG MIMESA</t>
  </si>
  <si>
    <t>FRESAS CONGELADAS 1KG EL ANDINITO</t>
  </si>
  <si>
    <t>DURAZNOS EN TROZOS CONGELADOS 1KG EL ANDINITO</t>
  </si>
  <si>
    <t>MORAS CONGELADAS 1KG EL ANDINITO</t>
  </si>
  <si>
    <t>TOMATE CHERRY 300GR EL ANDINITO</t>
  </si>
  <si>
    <t>RUGULA 80 GR EL ANDINITO</t>
  </si>
  <si>
    <t>VAINITA 400 GR CRIOLLA VELANDRIA</t>
  </si>
  <si>
    <t>CEBOLLIN 300 GR ATADO VELANDRIA</t>
  </si>
  <si>
    <t>ONOTO 200gr</t>
  </si>
  <si>
    <t>kg</t>
  </si>
  <si>
    <t>PRECIO APROX</t>
  </si>
  <si>
    <t>PERNIL</t>
  </si>
  <si>
    <t>VINO DE  COCINAR</t>
  </si>
  <si>
    <t>ACEITUNA RELLENA 0.250GR</t>
  </si>
  <si>
    <t>ALCAPARRA 0.250GR</t>
  </si>
  <si>
    <t>UVAS PASAS KG (PASITAS). 0.250 GR</t>
  </si>
  <si>
    <t>FASCINACION ESPUMANTE 750ML</t>
  </si>
  <si>
    <t>0.250gr</t>
  </si>
  <si>
    <t>1500 und preguntar</t>
  </si>
  <si>
    <t>JAMON DE PIERNA MONTSERRATINA</t>
  </si>
  <si>
    <t>JAMON ESPALDA MONTSERRATINA KG</t>
  </si>
  <si>
    <t>JAMON MINI TENDER MONTSERRATINA KG</t>
  </si>
  <si>
    <t>SALCHICHON TIPO VICH MONTSERRATINA</t>
  </si>
  <si>
    <t>CHISTORRA MONTSERRATINA KG AUTO  SERVI</t>
  </si>
  <si>
    <t>CHORI-QUESO JALAPEÑO MONTSERRATINA KG  AUTO  SERVI</t>
  </si>
  <si>
    <t>CHORIZO AHUMADO MONTSERRATINA KG AUTO  SERVI</t>
  </si>
  <si>
    <t>CHORIZO CARUPANERO MONTSERRATINA KG AUTO  SERVI</t>
  </si>
  <si>
    <t>CHORIZO CON AJO MONTSERRATINA KG. AUTO  SERVI</t>
  </si>
  <si>
    <t>CHORIZO PICANTE MONTSERRATINA  AUTO  SERVI</t>
  </si>
  <si>
    <t>MORCILLA ARROZ Y CEBOLLA MONTSERRATINA KG AUTO  SERVI</t>
  </si>
  <si>
    <t>MORCILLA CON CEBOLLA MONTSERRATINA KG AUTO  SERVI</t>
  </si>
  <si>
    <t>SALCH TIPO/ALEMANA MONTSERRATINA KG AUTO  SERVI</t>
  </si>
  <si>
    <t>SALCHICHA CRUDA BLANCA KG LA MONTSERRATINA AUTO  SERVI</t>
  </si>
  <si>
    <t>PEDIDO AUTOMERCADO EXPRESS TIENDA PRINCIPAL</t>
  </si>
  <si>
    <t>PEDIDO AUTOMERCADO EXPRESS SAN ANTONIO</t>
  </si>
  <si>
    <t>V71/INV 88</t>
  </si>
  <si>
    <t>33/ IN 0</t>
  </si>
  <si>
    <t>571/ INV 472</t>
  </si>
  <si>
    <t>V 39/ IN 2.50KG</t>
  </si>
  <si>
    <t>ATUN 140GR EVEBA EN ACEITE</t>
  </si>
  <si>
    <t>ACEITUNA RELLENA 0.150GR</t>
  </si>
  <si>
    <t>ALCAPARRA 0.100GR</t>
  </si>
  <si>
    <t>UVAS PASAS KG (PASITAS). 0.150 GR</t>
  </si>
  <si>
    <t xml:space="preserve">CARNE DE PRIMERA </t>
  </si>
  <si>
    <t>PRECIO DE VENTA $</t>
  </si>
  <si>
    <t>cartones</t>
  </si>
  <si>
    <t>cantidad de caja</t>
  </si>
  <si>
    <t>$ x caja</t>
  </si>
  <si>
    <t>PECHUGA DE POLLO</t>
  </si>
  <si>
    <t>TOCINO</t>
  </si>
  <si>
    <t>26$</t>
  </si>
  <si>
    <t>CANTIDAD</t>
  </si>
  <si>
    <t>MARGEN</t>
  </si>
  <si>
    <t>7.8 $</t>
  </si>
  <si>
    <t>PIMIENTA MOLIDA 20 GRAMOS</t>
  </si>
  <si>
    <t>ADOBO 50 GRAMOS</t>
  </si>
  <si>
    <t>BANDEJA DE COCHINO 2 KL</t>
  </si>
  <si>
    <t>BANDEJA DE CARNE 3 KL</t>
  </si>
  <si>
    <t>ONOTO EN GRANOS 30 GRAMOS</t>
  </si>
  <si>
    <t>ALCAPARRA 100 GRAMOS</t>
  </si>
  <si>
    <t>ACEITUNAS 150 GRAMOS</t>
  </si>
  <si>
    <t>PASITAS 150 GRAMOS</t>
  </si>
  <si>
    <t>PRESUPUESTO DESPACHO COMARCA 16 /12/2021</t>
  </si>
  <si>
    <t>3 CESTAS</t>
  </si>
  <si>
    <t xml:space="preserve">ARROZ 1 KG </t>
  </si>
  <si>
    <t>PASTA 1 KG</t>
  </si>
  <si>
    <t xml:space="preserve">HARINA DE MAIZ 1 KG  </t>
  </si>
  <si>
    <t>MARGARINA 200GR</t>
  </si>
  <si>
    <t>ACEITE 900ML</t>
  </si>
  <si>
    <t>SAL 1 KG</t>
  </si>
  <si>
    <t>CAFÉ 200GR</t>
  </si>
  <si>
    <t>LENTEJA 500 GR arveja</t>
  </si>
  <si>
    <t>Documento</t>
  </si>
  <si>
    <t>09/12/2021</t>
  </si>
  <si>
    <t>05962</t>
  </si>
  <si>
    <t>05960</t>
  </si>
  <si>
    <t>15/12/2021</t>
  </si>
  <si>
    <t>05969</t>
  </si>
  <si>
    <t>970</t>
  </si>
  <si>
    <t>05959</t>
  </si>
  <si>
    <t>08/12/2021</t>
  </si>
  <si>
    <t>05961</t>
  </si>
  <si>
    <t>AUTO EXPRESS</t>
  </si>
  <si>
    <t>ACONDICIONADOR 500 ML NATURAL &amp; NOURISHES RAIN</t>
  </si>
  <si>
    <t>DESODORANTE  SPEED STICK 9 GR X 2 EN CREMA</t>
  </si>
  <si>
    <t>DESODORANTE 53 ML TANS ORIGINAL ROSA Y NEGRO</t>
  </si>
  <si>
    <t>DESODORANTE CREMA 9GR X2 TALC LADY SPEED STICK</t>
  </si>
  <si>
    <t>JABON FLOR DE YPE 85 GR VARIADO</t>
  </si>
  <si>
    <t>LECHE CONDENSADA 395 GR GLORIA</t>
  </si>
  <si>
    <t>PAPELON PANELA 450 GR</t>
  </si>
  <si>
    <t>SHAMPOO 18 ML HEAD SHOULDERS LIMPIEZA RENOVADA</t>
  </si>
  <si>
    <t>SHAMPOO 18 ML HEAD SHOULDERS SUAVE Y MANEJABLE</t>
  </si>
  <si>
    <t>SHAMPOO ALOE VERA 500 ML RAIN</t>
  </si>
  <si>
    <t>TOALLAS SUAVES 10UND ULTRA RELAX REINAS</t>
  </si>
  <si>
    <t>VASO PLASTICO #147 LOS LLANOS 50 UND</t>
  </si>
  <si>
    <t>VASOS 100UNID #57 LOS LLANOS</t>
  </si>
  <si>
    <t>PAPEL LUCIANO AZUL 4 ROLLOS</t>
  </si>
  <si>
    <t>KIT SKALA 12 EN 1 325 ML</t>
  </si>
  <si>
    <t>MANZANA ROJA/VERDE /PERA KG</t>
  </si>
  <si>
    <t>CEREZAS  KG</t>
  </si>
  <si>
    <t>UVA IMPORTADA KG</t>
  </si>
  <si>
    <t>CEREZA 7763</t>
  </si>
  <si>
    <t>UVAS ROJA 2658</t>
  </si>
  <si>
    <t>UVAS VERDE 2658</t>
  </si>
  <si>
    <t>59.79 KG</t>
  </si>
  <si>
    <t>LLEGARON 3 CAJA DE 8 KG  29/12 31/12/2021 Y SE VENDIO TODO</t>
  </si>
  <si>
    <t>SE ACABO EL DIA 27/12/2021</t>
  </si>
  <si>
    <t>SOLO VENDIO DE PASARON  3 BANDEJITAS EN TODO UN MES 31/12</t>
  </si>
  <si>
    <t>0.465 GR</t>
  </si>
  <si>
    <t>24.86 KG</t>
  </si>
  <si>
    <t>PULPA DE COCHINO KG</t>
  </si>
  <si>
    <t xml:space="preserve">HOJA DE HALLACA </t>
  </si>
  <si>
    <t>UVAS PASAS KG (PASITAS)</t>
  </si>
  <si>
    <t>ALCAPARRA x kg</t>
  </si>
  <si>
    <t>ACEITUNA RELLENA x kg</t>
  </si>
  <si>
    <t>700 PAQ</t>
  </si>
  <si>
    <t>ACEITUNA RELLENA 0.200 gramos</t>
  </si>
  <si>
    <t>ALCAPARRA x kg 0.200 gramos</t>
  </si>
  <si>
    <t>UVAS PASAS KG (PASITAS) 0.200 gramos</t>
  </si>
  <si>
    <t xml:space="preserve">KIT SKAL 650 ML BANANA </t>
  </si>
  <si>
    <t>KIT SKALA 650 ML 2 EN 1</t>
  </si>
  <si>
    <t>KIT SKALA 650 ML BOMBA VITAMINAS S.O.S</t>
  </si>
  <si>
    <t xml:space="preserve">SUAVITEL FRESA Y CHOCO 200 ML </t>
  </si>
  <si>
    <t>SUAVITEL 180 ML LAVANDA</t>
  </si>
  <si>
    <t>SUAVITEL 200 ML ORQUIDEA LAVANDA</t>
  </si>
  <si>
    <t xml:space="preserve">30 Y 31 </t>
  </si>
  <si>
    <t>PAN DE JAMON MAS REFRESCO DE 2 LT</t>
  </si>
  <si>
    <t>150 PANES</t>
  </si>
  <si>
    <t>PAPEL PANLOO 200 HOJAS</t>
  </si>
  <si>
    <t>PAPEL PANLOO 250 HOJAS</t>
  </si>
  <si>
    <t>PANLOO TOALLIN 50 HOJAS</t>
  </si>
  <si>
    <t>JABON PURO AVENA 80GR</t>
  </si>
  <si>
    <t>MASCARILLAS KN95 NEGRAS</t>
  </si>
  <si>
    <t>MASCARILLAS KN95 BLACO</t>
  </si>
  <si>
    <t>MI PAN FAVORITO</t>
  </si>
  <si>
    <t>23122021KI</t>
  </si>
  <si>
    <t>MONTO</t>
  </si>
  <si>
    <t>23112021EE</t>
  </si>
  <si>
    <t>11122021DO</t>
  </si>
  <si>
    <t>23122021OL</t>
  </si>
  <si>
    <t>23122021HZ</t>
  </si>
  <si>
    <t>23122021DX</t>
  </si>
  <si>
    <t>11112021VF</t>
  </si>
  <si>
    <t>13112021BL</t>
  </si>
  <si>
    <t>27102021SN</t>
  </si>
  <si>
    <t>15112021TC</t>
  </si>
  <si>
    <t xml:space="preserve">ME MANDASTE </t>
  </si>
  <si>
    <t>BERMUPAN</t>
  </si>
  <si>
    <t xml:space="preserve">FECHA </t>
  </si>
  <si>
    <t>N# FACTURA</t>
  </si>
  <si>
    <t>PAGADO</t>
  </si>
  <si>
    <t>PENDIENTE</t>
  </si>
  <si>
    <t>RESTA</t>
  </si>
  <si>
    <t>PANA</t>
  </si>
  <si>
    <t>MONTO DE FACT $</t>
  </si>
  <si>
    <t>N# DE TRANSFERENCIA</t>
  </si>
  <si>
    <t>BANCO</t>
  </si>
  <si>
    <t>TASA DEL DIA</t>
  </si>
  <si>
    <t>MONTO PAGADO X TRANFERENCIA CONVERTIDO EN $</t>
  </si>
  <si>
    <t>MONTO PAGADO X TRANFERENCIA EN BOLIVAR DIGITAL</t>
  </si>
  <si>
    <t>ABONO</t>
  </si>
  <si>
    <t xml:space="preserve">VENTA </t>
  </si>
  <si>
    <t>ACONCIONADOR 370ML STRAWBERRIES ALBERTO VO5</t>
  </si>
  <si>
    <t>ACONDICIONADOR 370 ML BLACKBERRY SAGE TEA ALBERTO VO5</t>
  </si>
  <si>
    <t>ACONDICIONADOR 370ML BOOMING FREESIA ALBERTO VO5</t>
  </si>
  <si>
    <t>ACONDICIONADOR 370ML EXTRA BODY ALBERTO VO5</t>
  </si>
  <si>
    <t>ACONDICIONADOR KIWI LIME 370ML  ALBERTO VO5</t>
  </si>
  <si>
    <t>AGUA LIMPIADORA MICELAR TODO EN 1GARNIER 400CM</t>
  </si>
  <si>
    <t>CARAMELO 32 GR LIFESAVERS HARDS CANDY</t>
  </si>
  <si>
    <t>CHOCOLATE 38GR X 3  FERRERO ROCHER</t>
  </si>
  <si>
    <t>COFFE-MATE ORIGINAL 311GR NESTLE</t>
  </si>
  <si>
    <t>CREMA CORPORAL 250 ML MINNI DISNEY</t>
  </si>
  <si>
    <t>CREMA CORPORAL 250 ML MINNI MOUSE DISNEY</t>
  </si>
  <si>
    <t>CREMA CORPORAL 400 ML RITUAL DOVE</t>
  </si>
  <si>
    <t>CREMA CORPORAL PRO AGE 400 ML DOVE</t>
  </si>
  <si>
    <t>CREMA DENTAL 156 GR ORIGINAL COMPLETE CARE PEPSODENT</t>
  </si>
  <si>
    <t>CREMA DENTAL 156 GR WHITENING PEPSODENT COMPLETE CARE</t>
  </si>
  <si>
    <t>CREMA DENTAL COLGATE TRIPLE ACTION 226 GR</t>
  </si>
  <si>
    <t>CREMA DENTAL MAX FRESH 215G. WITH BREATH STRIPS COLGATE</t>
  </si>
  <si>
    <t>DESODORANTE 48GR SPORT MEN DEGREE</t>
  </si>
  <si>
    <t>DESODORANTE 74 GR SHEER POWDER DEGREE</t>
  </si>
  <si>
    <t>DESODORANTE BARRA 74 GR FRESH DEGREE</t>
  </si>
  <si>
    <t>DESODORANTE EN BARRA 45G  WOMAN DEGREE</t>
  </si>
  <si>
    <t>DESODORANTE EN BARRA 48G  MEN COOL RUSH  MEN  DEGREE</t>
  </si>
  <si>
    <t>DESODORANTE EN BARRA 76G  MEN COOL COMFORT MEN  DEGREE</t>
  </si>
  <si>
    <t>DESODORANTE EN BARRA 76G  MEN COOL RUSH  MEN  DEGREE</t>
  </si>
  <si>
    <t>DESODORANTE SPORT MEN 76GR DEGREE</t>
  </si>
  <si>
    <t>DESODORANTE WOMAN SHEER POWDER DEGREE 45 GR</t>
  </si>
  <si>
    <t>GUISANTES DULCES 425 GR PROMOS</t>
  </si>
  <si>
    <t>JABON DE BAÑO IRIS SPRING 113 GR ORIGINAL</t>
  </si>
  <si>
    <t>JABON DE BAÑO JOHNSON´S 100GR</t>
  </si>
  <si>
    <t>JABON DE TOCADOR UND 104.8 Gr. ALOE IRISH SPRING</t>
  </si>
  <si>
    <t>JABON DOVE EXFOLIACION SUAVE 135GR</t>
  </si>
  <si>
    <t>JABON DOVE GO FRESH 135 GR</t>
  </si>
  <si>
    <t>JABON DOVE ORIGINAL BAUTY BAR 135G</t>
  </si>
  <si>
    <t>JABON DOVE PINK/ROSA 135 GR</t>
  </si>
  <si>
    <t>JABON JOHNSONS 100 GR BLOSSOMS</t>
  </si>
  <si>
    <t>JAMON SERANO ESPAÑOL 850 GR LA PIEZA</t>
  </si>
  <si>
    <t>LIFESAVERS 32 GR  SALVAVIDAS</t>
  </si>
  <si>
    <t>LISTERINE 1.5 LT COOL MINT</t>
  </si>
  <si>
    <t>LISTERINE 1.5 LT ORIGINAL</t>
  </si>
  <si>
    <t>LISTERINE CAVITY PROTECCION 250 ML</t>
  </si>
  <si>
    <t>LISTERINE COOL MINT 250 ML</t>
  </si>
  <si>
    <t>LOCION BABY 300 ML JOHNSONS</t>
  </si>
  <si>
    <t>MAQUINA DE AFEITAR GILLETTE MACH 3HOJAS DURACOMFORT UND</t>
  </si>
  <si>
    <t>NUTELLA 750G POTE CREMA DE CHOCOLATE</t>
  </si>
  <si>
    <t>NUTELLA POTE  X UNIDAD   950Gr.  NUTELLA</t>
  </si>
  <si>
    <t>PAPEL ALUMINIO FOIL 75 SQ.FT 7 MTS PROMOS</t>
  </si>
  <si>
    <t>PASTILLAS X 3 PARA POCETA TOILET</t>
  </si>
  <si>
    <t>PERFUME 100 ML DISNEY YUNIOR AZUL MICKEY</t>
  </si>
  <si>
    <t>PERFUME 100 ML ROADSTER RACER MICKEY DISNEY</t>
  </si>
  <si>
    <t>PERFUME 100 ML TOY STORE4 KIDS DISNEY</t>
  </si>
  <si>
    <t>PRESTOBARBA3 X 2 UND ROSADA GILLETTE</t>
  </si>
  <si>
    <t>QUESO KRAFT 24 UND. FACILISTA 453G</t>
  </si>
  <si>
    <t>REPELENTE OFF ES SPRAY 4 PACK</t>
  </si>
  <si>
    <t>SHAMPO 370 ML ALBERTO VO5 HERBAL ESCAPES</t>
  </si>
  <si>
    <t>SHAMPO DETOX 370ML ALBERTO V05</t>
  </si>
  <si>
    <t>SHAMPOO  ALBERTO VO5 325ML  SPLIT ENDS</t>
  </si>
  <si>
    <t>SHAMPOO &amp; ACONDICIONADOR 2 EN 1 MINI MOUSE</t>
  </si>
  <si>
    <t>SHAMPOO &amp; ACONDICIONADOR FROZER DISNEY 473ml</t>
  </si>
  <si>
    <t>SHAMPOO &amp; CONDITIONER 2EN 1 SPIDER-MAN MARVEL 473ML</t>
  </si>
  <si>
    <t>SHAMPOO &amp; CONDITIONER 2EN 1AVENGERS MARVEL 473ML</t>
  </si>
  <si>
    <t>SHAMPOO + ACONDICIONADOR PRINCESA DISNEY 473ml</t>
  </si>
  <si>
    <t>SHAMPOO 250 ML INTENSIVE REPAIR DOVE.</t>
  </si>
  <si>
    <t>SHAMPOO 325ML ANTI-FRIZZ  ALBERTO V05</t>
  </si>
  <si>
    <t>SHAMPOO 370ML  NORMAL WITH BIOTIN DAILY  ALBERTO VO5</t>
  </si>
  <si>
    <t>SHAMPOO 370ML MEN 3EN1  ALBERTO VO5</t>
  </si>
  <si>
    <t>SHAMPOO 370ML POMEGRANATE BLISS  ALBERTO V05</t>
  </si>
  <si>
    <t>SHAMPOO 400 ML COLOUR CARE DOVE.</t>
  </si>
  <si>
    <t>SHAMPOO 400 ML DANDRUFF 2EN1 XTRACARE</t>
  </si>
  <si>
    <t>SHAMPOO 400 ML RESTORING RITUAL DOVE.</t>
  </si>
  <si>
    <t>SHAMPOO 400ML 2EN 1  ALBERTO VO5</t>
  </si>
  <si>
    <t>SHAMPOO 400ML CLASSIC CLEAN  HEAD&amp;SHOULDERS</t>
  </si>
  <si>
    <t>SHAMPOO 500 ML BABY JOHNSON</t>
  </si>
  <si>
    <t>SHAMPOO 828 ML DAMAGE PROTECT TRESEMME</t>
  </si>
  <si>
    <t>SHAMPOO 828 ML DEEP CLEAN TRESSEME</t>
  </si>
  <si>
    <t>SHAMPOO ANTI-HAIRFALL 400 ML HEAD &amp; SHOULDERS</t>
  </si>
  <si>
    <t>SHAMPOO BLOOMING FREESIA 370ML    ALBERTO V05</t>
  </si>
  <si>
    <t>SHAMPOO COLOR REVITALIZE 828 ML TRESEMME</t>
  </si>
  <si>
    <t>SHAMPOO EXTRA BODY&amp;BOUNCE 370ML ALBERTO V05</t>
  </si>
  <si>
    <t>SHAMPOO HERBAL ESCAPE OCEAN REFRESH 370ML ALBERTO V05</t>
  </si>
  <si>
    <t>SHAMPOO ISLAND COCONUT 370ML   ALVERTO VO5</t>
  </si>
  <si>
    <t>SHAMPOO KIWI LIME SQUEEZE 370ML   ALBERTO V05</t>
  </si>
  <si>
    <t>SHAMPOO STRAWBERRIES &amp; CREAM 370ML    ALBERTO VO5</t>
  </si>
  <si>
    <t>SHAMPOO VOLUME 24 HOUR 828 ML TRESEMME</t>
  </si>
  <si>
    <t>SHAMPOO Y ACOND 1 LT AVENGERS MARVEL</t>
  </si>
  <si>
    <t>SHAMPOO Y ACOND 1 LT FROZEN DISNEY</t>
  </si>
  <si>
    <t>SHAMPOO Y ACOND 1 LT PRINCESA DISNEY</t>
  </si>
  <si>
    <t>SHAMPOO Y ACOND 473 ML MICKEY ROADSTER RACER DISNEY YUNIOR</t>
  </si>
  <si>
    <t>SHAMPOO Y ACOND 473 ML TOY STORE 4 DISNEY PIXAR</t>
  </si>
  <si>
    <t>SHAMPOO Y ACONDICIONADOR 1 LT MINI MOUSE</t>
  </si>
  <si>
    <t>TALCO 300 GR BLOSSOMS JOHNSONS</t>
  </si>
  <si>
    <t>TAMPAX ABSORBENCIA REGULAR 10 UND</t>
  </si>
  <si>
    <t>TAMPAX SUPER X 10 UND</t>
  </si>
  <si>
    <t>TOALLA SANITARIA ALWAYS CLASSIC NORMAL 10 UND</t>
  </si>
  <si>
    <t>AZUCAR 50 KG INGENIO PICHICI</t>
  </si>
  <si>
    <t>KIT SKAL 650 ML BANANA</t>
  </si>
  <si>
    <t>KIT SKALA 650 ML AMIDO MILHO</t>
  </si>
  <si>
    <t>PAPEL 1ROLLO PANLOO</t>
  </si>
  <si>
    <t>SKALA 1000 GR ACEITE DE ARGAN</t>
  </si>
  <si>
    <t>SUAVITEL FRESA Y CHOCO 200 ML</t>
  </si>
  <si>
    <t>AZUCAR DOCE DIA 1 KG</t>
  </si>
  <si>
    <t>TRATAMIENTO NUTRIBELA10 REPOLARIZACION EN FRIO 27 ML</t>
  </si>
  <si>
    <t xml:space="preserve">SKALA 1000 GR </t>
  </si>
  <si>
    <t>COLADOR PARA JUGO COD-H0024</t>
  </si>
  <si>
    <t>TAPA BOCAS COLORES KN95. NEGRO</t>
  </si>
  <si>
    <t>TOALLAS FEMENINAS ABUNDANTE C/ALAS 8UND.ALIVE</t>
  </si>
  <si>
    <t>TOALLAS CLINICAS 10UN. MANZANILLA NALURE</t>
  </si>
  <si>
    <t>TOALLA SUAVE ALVVEYS 10 UND</t>
  </si>
  <si>
    <t>TOALLA POST PARTO DIURNO 10UND WANITA</t>
  </si>
  <si>
    <t>SHAMPOO RESTAURACION 400ML PANTENE PRO-V</t>
  </si>
  <si>
    <t>SHAMPOO PROTECCION CAIDA 400ML HEAD&amp;SHOULDERS</t>
  </si>
  <si>
    <t>SHAMPOO HUMECTA ALMENDRA 400ML  HEAD&amp;SHOULDERS</t>
  </si>
  <si>
    <t>SHAMPOO CONTROL CAIDA 400ML PANTENE PRO-V</t>
  </si>
  <si>
    <t>SHAMPOO BRILLO EXTREMO 400ML PANTENE PRO-V</t>
  </si>
  <si>
    <t>SHAMPOO 400 ML HEAD SHOLDER</t>
  </si>
  <si>
    <t>SHAMPOO 2EN1 SUAV/MANEJ 400ML HEAD&amp;SHOULDERS</t>
  </si>
  <si>
    <t>SHAMPOO 2EN1 LIMP/RENOV 400ML HEAD&amp;SHOULDER</t>
  </si>
  <si>
    <t>PROTECTOR DIARIO ALUAYS 20 UND CON AROMA</t>
  </si>
  <si>
    <t>PRESTOBARBA DORCO UNIDAD</t>
  </si>
  <si>
    <t>PAPEL SUAVECITO GOOD.</t>
  </si>
  <si>
    <t>NATURALLO 10 UND ULTRA FINA CON GEL</t>
  </si>
  <si>
    <t>LOMO DE ATUN EN AGUA PERFECT 142G</t>
  </si>
  <si>
    <t>LOMO DE ATUN AGUA Y ACEITE 142GR ATLANTICO</t>
  </si>
  <si>
    <t>DISPONOBLE</t>
  </si>
  <si>
    <t>CREMA ALIDENT 100GR FRESH MINT</t>
  </si>
  <si>
    <t>ATUN EN ACEITE 142GR PERFECT</t>
  </si>
  <si>
    <t>05985</t>
  </si>
  <si>
    <t>30/12/2021</t>
  </si>
  <si>
    <t>05983</t>
  </si>
  <si>
    <t>29/12/2021</t>
  </si>
  <si>
    <t>05977</t>
  </si>
  <si>
    <t>22/12/2021</t>
  </si>
  <si>
    <t>05976</t>
  </si>
  <si>
    <t>TEUFFEL E HIJOS C.A</t>
  </si>
  <si>
    <t>RIBEI</t>
  </si>
  <si>
    <t>14.40*15%</t>
  </si>
  <si>
    <t>30 CAJA</t>
  </si>
  <si>
    <t>CAJA DE 12</t>
  </si>
  <si>
    <t>FRIJOL BAYO 500 GR PANTERA</t>
  </si>
  <si>
    <t>FRIJOL BLANCO 500 GR PANTERA</t>
  </si>
  <si>
    <t>FRIJOL PICO NEGRO  500GR   PANTERA</t>
  </si>
  <si>
    <t>QUINCHONCHO 500 GR PANTERA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</si>
  <si>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</si>
  <si>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</si>
  <si>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</si>
  <si>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</si>
  <si>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</si>
  <si>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</si>
  <si>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</si>
  <si>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</si>
  <si>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</si>
  <si>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Columna12</t>
  </si>
  <si>
    <t>Columna13</t>
  </si>
  <si>
    <t>Columna14</t>
  </si>
  <si>
    <t>04012022P</t>
  </si>
  <si>
    <t>04012022G</t>
  </si>
  <si>
    <t>Columna22</t>
  </si>
  <si>
    <t xml:space="preserve">EXPRESS </t>
  </si>
  <si>
    <t>EMPRESA QUE DESPACHA</t>
  </si>
  <si>
    <t>EMPRESA QUE RECIBE</t>
  </si>
  <si>
    <t>28122021DD</t>
  </si>
  <si>
    <t>Columna15</t>
  </si>
  <si>
    <t>PANADERIA LA TEQUENSE</t>
  </si>
  <si>
    <t>6 de enero</t>
  </si>
  <si>
    <t>COMBO DE 13 KG</t>
  </si>
  <si>
    <t>ACEITE 1 LT</t>
  </si>
  <si>
    <t>AZUCAR 1 KG</t>
  </si>
  <si>
    <t>ARROZ BLANCO 1KG</t>
  </si>
  <si>
    <t>COMBO DE 9 KG Y 1/2</t>
  </si>
  <si>
    <t>COMBO DE 9 KG</t>
  </si>
  <si>
    <t xml:space="preserve">MARGEN </t>
  </si>
  <si>
    <t>TABLA DE COSTOS Y MARGEN</t>
  </si>
  <si>
    <t>LEGUMINOSAS  (ARVEJA 500GR PANTERA)</t>
  </si>
  <si>
    <t>HARINA DE TRIGO 1 KG(DOÑA MARIA)</t>
  </si>
  <si>
    <t>PASTA 1 KG (CAPRI)</t>
  </si>
  <si>
    <t xml:space="preserve"> (VATEL)ACEITE 900 ML</t>
  </si>
  <si>
    <t>ARROZ BLANCO 1KG TRADICIONAL MARY)</t>
  </si>
  <si>
    <t>SARDINA EN SALSA DE TOMATE 170GR INCOSA</t>
  </si>
  <si>
    <t>SARDINA EN LATA 170GR INCOSA</t>
  </si>
  <si>
    <t>CHORIZO COCIDO 6 UND ESPECIAL DELI CON ALBAHACA PL</t>
  </si>
  <si>
    <t>JAMON PLANCHADO PLUMROSE KG</t>
  </si>
  <si>
    <t>MORTADELA CARNE PERDIGAO KG.</t>
  </si>
  <si>
    <t>MORTADELA ESPECIAL PL KG</t>
  </si>
  <si>
    <t>QUESO AMARILLO PACOMELA KG</t>
  </si>
  <si>
    <t>RICARNE 750 GR DELICIA DE RES PLUMROSE</t>
  </si>
  <si>
    <t>SALCHICHA 6 UND DELI BRATWURST CON CEBOLLA PL</t>
  </si>
  <si>
    <t>SALCHICHA TIPO  BOLOGNA  PLUMROSE KG</t>
  </si>
  <si>
    <t>SALCHICHAS WIENERS  larga PLUMROSE 480GR</t>
  </si>
  <si>
    <t>SARDINAS AL LIMON 125GR EVEBA</t>
  </si>
  <si>
    <t>TOCINETA AL VACIO PLUMROSE KG</t>
  </si>
  <si>
    <t>TOCINETA PRAINT KG</t>
  </si>
  <si>
    <t>SARDINA EVEBA 170 GR SALSA DE TOMATE</t>
  </si>
  <si>
    <t>AZUCAR 1 KG ITAJA</t>
  </si>
  <si>
    <t>15 CAJA</t>
  </si>
  <si>
    <t>2 BULTO</t>
  </si>
  <si>
    <t>CAFE MOLIDO 250GR AL VACIO 100%  CAFE AMANECER (20 UND)</t>
  </si>
  <si>
    <t>BANESCO</t>
  </si>
  <si>
    <t>N</t>
  </si>
  <si>
    <t>AUTOMERCADO EXPRESS SAN ANTONIO OVEJA NEGRA</t>
  </si>
  <si>
    <t>QUESO CREMA 200GR PAISA</t>
  </si>
  <si>
    <t>6 PIEZAS/UNIDADES</t>
  </si>
  <si>
    <t>VAINITA 400 GR CRIOLLA ANDINITO</t>
  </si>
  <si>
    <t>300 CAJA</t>
  </si>
  <si>
    <t>1 BULTOS</t>
  </si>
  <si>
    <t>MASA FACIL 1 KG DOÑA CUSTODIA #5</t>
  </si>
  <si>
    <t>PRECIO $ CON IVA</t>
  </si>
  <si>
    <t>QUESO AMARILLO SONIA KG</t>
  </si>
  <si>
    <t>PRECIO 12 DE NERO</t>
  </si>
  <si>
    <t>CASABITOS 0.30$ CADA UND</t>
  </si>
  <si>
    <t>14$ EL BULTOS DE TORTA DE 50 UND = 0.280$</t>
  </si>
  <si>
    <t>10012022U</t>
  </si>
  <si>
    <t>SOLOMO PARRILLERO KG</t>
  </si>
  <si>
    <t>CHORIZO AHUMADO MONSSERRATINA KG</t>
  </si>
  <si>
    <t>PLUPA DE COCHINO KG</t>
  </si>
  <si>
    <t>REFRESCO DE 2 LT PEPSI COLA</t>
  </si>
  <si>
    <t>1 KG</t>
  </si>
  <si>
    <t>0.500GR</t>
  </si>
  <si>
    <t>30$</t>
  </si>
  <si>
    <t>COMBOS ALIMENTOS POLAR   30$</t>
  </si>
  <si>
    <t>5 TGORTAS</t>
  </si>
  <si>
    <t>12 PAQ</t>
  </si>
  <si>
    <t>35 PAQ</t>
  </si>
  <si>
    <t>25 PAQ</t>
  </si>
  <si>
    <t>CAFE 250 GR GOURMET VERO CAFÉ (20 UND)</t>
  </si>
  <si>
    <t>CAFE 500 GR GOURMET VERO CAFÉ ( 10 UND)</t>
  </si>
  <si>
    <t>café caffe molido 200gr 20 UND</t>
  </si>
  <si>
    <t xml:space="preserve">PLANET FRUIT 240GR </t>
  </si>
  <si>
    <t>MARY</t>
  </si>
  <si>
    <t>ARVEJAS VERDES DOÑA ALICIA 500GR</t>
  </si>
  <si>
    <t>LENTEJAS 500GR DOÑA ALICIA</t>
  </si>
  <si>
    <t>JUGO DE MANZANA 1.8 LT LOS ANDES</t>
  </si>
  <si>
    <t>NARANJADA 400ML LOS ANDES</t>
  </si>
  <si>
    <t>NECTAR DE DURAZNO 1 LT LOS ANDES</t>
  </si>
  <si>
    <t>NECTAR DE MANZANA BOTELLA 1LT LOS ANDES</t>
  </si>
  <si>
    <t>QUESO AMARILLO LOS ANDES KG</t>
  </si>
  <si>
    <t>QUESO PAST COGOYAL KG ANDES</t>
  </si>
  <si>
    <t>TE DE DURAZNO 1 LT LD LOS ANDES</t>
  </si>
  <si>
    <t>TE DE LIMON 1 LT LD LOS ANDES</t>
  </si>
  <si>
    <t>CAN PEDIDAS  UND</t>
  </si>
  <si>
    <t>SALSA DE TOMATE 397GR</t>
  </si>
  <si>
    <t>LECHE CONDENSADA 395GR LOS ANDES</t>
  </si>
  <si>
    <t>AZUCAR 1 KG SONORA ESPECIAL</t>
  </si>
  <si>
    <t>AZUCAR 500 GR DERCONDE</t>
  </si>
  <si>
    <t>BEBIDA SABOR A LECHE 200 GR DUMONTE</t>
  </si>
  <si>
    <t>BEBIDA SABOR A LECHE 400 GR DUMONTE</t>
  </si>
  <si>
    <t>CHORIZO REB CALAB/FRIMESA KG</t>
  </si>
  <si>
    <t>HARINA DE TRIDO 50 KG DOÑA MARIA</t>
  </si>
  <si>
    <t>MARGARINA 250 GR DELICATA</t>
  </si>
  <si>
    <t>MARGARINA 500 GR DELICATA</t>
  </si>
  <si>
    <t>MORT POLLO/CARNE LARANJAL KG</t>
  </si>
  <si>
    <t>MORTADELA 1 KG DE CARNE Y POLLO LARANJAL.</t>
  </si>
  <si>
    <t>MORTADELA 400 GR DE POLLO Y CARNE  LARANJAL</t>
  </si>
  <si>
    <t>MORTADELA DE CARNE 500 GR FRIMESA</t>
  </si>
  <si>
    <t>PERNIL CON HUESO SADIA KG.</t>
  </si>
  <si>
    <t>POLLO ENTERO KG</t>
  </si>
  <si>
    <t>QUESO MOZARELLA FRIMESA KG</t>
  </si>
  <si>
    <t>SACO AZUCAR SONORA DE 50KG</t>
  </si>
  <si>
    <t>SALCHICHA HOT DOG LARANJAL KG</t>
  </si>
  <si>
    <t>TOCINETA PERDIGAO KG.</t>
  </si>
  <si>
    <t>WAFER SURTIDO 78 GR BAUDUCO</t>
  </si>
  <si>
    <t>PASTA PREMIUM VERMIVELLI 500GR SINDONI</t>
  </si>
  <si>
    <t>PASTA PREMIUM ESPIRAL 1 KG SINDONI</t>
  </si>
  <si>
    <t>PASTA PREMIUM TORNILLO 1 KG SINDONI</t>
  </si>
  <si>
    <t>PASTA PREMIUM TORNILLO 500GR SINDONI</t>
  </si>
  <si>
    <t>PASTA ESPECIAL PLUMITA 500GR SINDONI</t>
  </si>
  <si>
    <t>PASTA ESPECIAL RIGATONI 500GR SINDONI</t>
  </si>
  <si>
    <t>PASTA ESPECIAL MACARRONES 500GR SINDONI</t>
  </si>
  <si>
    <t>PASTA ESPECIAL TALLARINES 500GR SINDONI</t>
  </si>
  <si>
    <t>PASTA ESPECIAL PASTICHO 250GR SINDONI (DIRECTO AL HORNO)</t>
  </si>
  <si>
    <t>PASSATA 480GR SINDONI</t>
  </si>
  <si>
    <t>SALSA NAPOLITANA 490GR SINDONI</t>
  </si>
  <si>
    <t>UND X EMPQ</t>
  </si>
  <si>
    <t>CALCULO DE VENTA A CESTAS</t>
  </si>
  <si>
    <t>UNV EN CESTA</t>
  </si>
  <si>
    <t>FRUCTUS 15GR SABORES VARIOS</t>
  </si>
  <si>
    <t>SKALA 1000 GR BOMBA DE VITAMINAS S.O.S</t>
  </si>
  <si>
    <t>TAPA BOCAS COLORES KN95.</t>
  </si>
  <si>
    <t xml:space="preserve">CAFÉ FLOR DE AMERICA GOURMET 200GR </t>
  </si>
  <si>
    <t xml:space="preserve">CAFÉ  SANTA ANA GOURMET 200GR </t>
  </si>
  <si>
    <t>PAPEL LUCIANO AZUL  4 ROLLOS</t>
  </si>
  <si>
    <t>PAPEL 4ROLLLOS 200 HOJAS PANLOO</t>
  </si>
  <si>
    <t>PAPEL 4ROLLLOS 450 HOJAS PANLOO</t>
  </si>
  <si>
    <t>JABON  80GR PURO AVENA</t>
  </si>
  <si>
    <t>COD-0116 SANDWICHERA CUADRADA 800ML</t>
  </si>
  <si>
    <t>HARINA RONCOTODO USO 20X1 KILO</t>
  </si>
  <si>
    <t>HARINA RONCO LEUDANTE 20X1 KILO</t>
  </si>
  <si>
    <t>MORTADELA NARAJAL ENTERA</t>
  </si>
  <si>
    <t>MORTADELA NARANJAL REBANADA</t>
  </si>
  <si>
    <t xml:space="preserve">CREMA DE LECHE 500GR LA PASTORA </t>
  </si>
  <si>
    <t>QUESO AHUMADO LEÑADOR CAJA 3 X 1.4 KG APROX</t>
  </si>
  <si>
    <t>QUESO TENTACION CAJ 3X1.4 KG APROX</t>
  </si>
  <si>
    <t>QUESO MANCHEGO CASTILLA CAJA 9 X 1,1 KG APROX</t>
  </si>
  <si>
    <t>QUESO MANCHEGO CASTILLA PORCION CAJA 48 X 200 GR APROX</t>
  </si>
  <si>
    <t>QUESO VENMENTAL BROSSO KG</t>
  </si>
  <si>
    <t xml:space="preserve">1 CAJA </t>
  </si>
  <si>
    <t xml:space="preserve"> PEDIDO 17 DE ENERO</t>
  </si>
  <si>
    <t>PEDIDO AUTOMERCADO EXPRESS TIENDA PRINCIAL</t>
  </si>
  <si>
    <t>3 PIEZAS</t>
  </si>
  <si>
    <t>PEDIDO X PIEZAS</t>
  </si>
  <si>
    <t>TOTAL APAGAR</t>
  </si>
  <si>
    <t>HIPER MODLEO</t>
  </si>
  <si>
    <t>44 KG</t>
  </si>
  <si>
    <t>7.44 KG</t>
  </si>
  <si>
    <t>24 KG</t>
  </si>
  <si>
    <t>3.29 KG</t>
  </si>
  <si>
    <t>85 KG</t>
  </si>
  <si>
    <t>2.54 KG</t>
  </si>
  <si>
    <t>9.132 KG</t>
  </si>
  <si>
    <t>17 DE ENERO INV</t>
  </si>
  <si>
    <t>10 caja</t>
  </si>
  <si>
    <t>costo x und SIN IVA $</t>
  </si>
  <si>
    <t xml:space="preserve">PEDIDO 18 DE ENERO </t>
  </si>
  <si>
    <r>
      <rPr>
        <sz val="10"/>
        <rFont val="Arial"/>
        <family val="2"/>
      </rPr>
      <t>TOALLITAS HUMEDAS 25 UND DESMAQUILLANTE</t>
    </r>
  </si>
  <si>
    <t>TOALLAS HUM. D/ BOLSILLO SURTIDO 15UNID UNO</t>
  </si>
  <si>
    <t>HISOPOS 200 UND UNO</t>
  </si>
  <si>
    <t xml:space="preserve">TOALLITAS HIGIENE INTIMA 25 UND ALOE VERA </t>
  </si>
  <si>
    <t>6 CJA</t>
  </si>
  <si>
    <t>10 CJA</t>
  </si>
  <si>
    <t>30 bultos</t>
  </si>
  <si>
    <t xml:space="preserve">4 BULTOS </t>
  </si>
  <si>
    <t>quedan</t>
  </si>
  <si>
    <t>3 dias</t>
  </si>
  <si>
    <t xml:space="preserve"> PRECIOS SIN IVA$.</t>
  </si>
  <si>
    <t>LIMPIADOR DE VIDRIOS 300ML MAS</t>
  </si>
  <si>
    <t>MULTIUSO REPUESTO 500ML MAS</t>
  </si>
  <si>
    <t>MULTIUSO PISTOLA 500ML MAS</t>
  </si>
  <si>
    <t>DESENGRASANTE PISTOLA 500ML MAS</t>
  </si>
  <si>
    <t>DESENGRASANTE REPUESTO 500ML MAS</t>
  </si>
  <si>
    <t>LIMPIADOR AMONIACAL 700ML MAS</t>
  </si>
  <si>
    <t>LIMPIADOR DE BALDOSAS CON PISTOLA 500ML MAS</t>
  </si>
  <si>
    <t>LIMPIADOR DE  BALDOSAS REPUESTO 500ML MAS</t>
  </si>
  <si>
    <t>CLORO NATURAL 500ML MAS</t>
  </si>
  <si>
    <t>CERA NATURAL 500ML MAS</t>
  </si>
  <si>
    <t>LIMPIADOR PROFUNDO BRISAS MARINA 830ML MAS</t>
  </si>
  <si>
    <t>LIMPIADOR PROFUNDO BOOSQUE DE MNDARINA  830ML MAS</t>
  </si>
  <si>
    <t>LIMPIADOR PROFUNDO FLORES Y FRUTAS 830ML MAS</t>
  </si>
  <si>
    <t>LIMPIADOR PROFUNDO BABY  830ML MAS</t>
  </si>
  <si>
    <t>LIDO EMBELLECEDOR DE PORCELANATO Y CERAMICA 800ML MAS</t>
  </si>
  <si>
    <t>LIDO EMBELLECEDOR DE PARQUET Y MADERA  800ML MAS</t>
  </si>
  <si>
    <t>LIDO EMBELECEDOR DE MARMOL Y GTANITO 800ML MAS</t>
  </si>
  <si>
    <t>2 CJA</t>
  </si>
  <si>
    <t>1  CAJA</t>
  </si>
  <si>
    <t>CLORO NATURAL 1 L T MAS</t>
  </si>
  <si>
    <t>CERA NARUTAL 1LT MAS</t>
  </si>
  <si>
    <t xml:space="preserve">PEDIDO HECHO 19 DE ENERO </t>
  </si>
  <si>
    <t xml:space="preserve"> CAJA</t>
  </si>
  <si>
    <t xml:space="preserve">50 UND </t>
  </si>
  <si>
    <t>45 UND</t>
  </si>
  <si>
    <t>2 CESTA</t>
  </si>
  <si>
    <t>35 UND</t>
  </si>
  <si>
    <t>CARBON EL LEÑADOR 1.50 VGETAL</t>
  </si>
  <si>
    <t>CON TODO</t>
  </si>
  <si>
    <t>GALLETAS DE SODA 240 GR PUIG</t>
  </si>
  <si>
    <t>GALLETA MARILU 216 GR VAINILLA PUIG</t>
  </si>
  <si>
    <t>MARILU DE CHOCOLATE 216GR GALLETAS  PUIG</t>
  </si>
  <si>
    <t>GALLETAS 216 GR MARILU FRESA PUIG</t>
  </si>
  <si>
    <t>GALLETA 250 GR MARIA SELECTA</t>
  </si>
  <si>
    <t>GALLETA MINI MARIA 200 GR GALLETAS PUIG</t>
  </si>
  <si>
    <t>GALLETAS ELITE VAINILLA 100GR GALLETAS PUIG</t>
  </si>
  <si>
    <t>GALLETAS ELITE CHOCOLATE 100GR PUIG</t>
  </si>
  <si>
    <t>GALLETAS FAMILY CLUB 300GR PUIG</t>
  </si>
  <si>
    <t>GALLETAS CHIQUILIN 200GR CINNAMON CANELA</t>
  </si>
  <si>
    <t>GALLETAS Q-KISS 200 GR GALLETAS PUIG</t>
  </si>
  <si>
    <t>GALLETAS DE SODA INTEGRAL 290 GR PUIG</t>
  </si>
  <si>
    <t>ALIMENTOS EVORA</t>
  </si>
  <si>
    <t>19012022HC</t>
  </si>
  <si>
    <t>PROYECCION</t>
  </si>
  <si>
    <t>ULTOMO DESPACHO</t>
  </si>
  <si>
    <t>20 DE ENERO</t>
  </si>
  <si>
    <t>SANGRIA CAROREÑA 222 ml verano</t>
  </si>
  <si>
    <t>ex</t>
  </si>
  <si>
    <t>POLTRONA CAMA 075*190 REGAL</t>
  </si>
  <si>
    <t>ALMOHADA DORMIPLUS TRANQUILITY 50x70</t>
  </si>
  <si>
    <t>ALMOHADA NATURAL RELAX AIR 40X60</t>
  </si>
  <si>
    <t>COJIN DE DESCANSO</t>
  </si>
  <si>
    <t>PATAS DE MADERA P/BOX UNIVERSAL REGAL</t>
  </si>
  <si>
    <t>ALMOHADA DELICATE 90X60 REGAL</t>
  </si>
  <si>
    <t>COLCHON MEMORY PLUS LEVITARE 160 X190 REGAL</t>
  </si>
  <si>
    <t>PIRAMIDE DE DESCANSO REGAL</t>
  </si>
  <si>
    <t>COLCHON STANDAR 100X190 DORMIPLUS</t>
  </si>
  <si>
    <t>BOX UNIVERSAL PREMIUM 140X190 (+7 patas)REGAL</t>
  </si>
  <si>
    <t>COLCHONETA XPLAYA-T PLEGLABLE ESTANDAR  REGAL</t>
  </si>
  <si>
    <t>ALMOHADON DE CUERPO TERAPEUTICO REGAL</t>
  </si>
  <si>
    <t>ALMOHADA DELICATE SOPORTE SUAVE 50X70CM REGAL</t>
  </si>
  <si>
    <t>ALMOHADA INTELLIGENCE SOPORTE SUAVE MEMORY 50X70CM REGAL</t>
  </si>
  <si>
    <t>ALMOHADA NATURAL RELAX AIR5070 REGAL</t>
  </si>
  <si>
    <t xml:space="preserve">TRAE 48 </t>
  </si>
  <si>
    <t>60 UND</t>
  </si>
  <si>
    <t>6 MESES</t>
  </si>
  <si>
    <t>UND X BULTO</t>
  </si>
  <si>
    <t>PASTA DE TOMATE DE GALON</t>
  </si>
  <si>
    <t>3.800 GRA</t>
  </si>
  <si>
    <t>MAIZ MOLIDO PARA HACER CACHAPA (4 KG)</t>
  </si>
  <si>
    <t>MAIZ MOLIDO PARA HACER CACHAPA (2 KG)</t>
  </si>
  <si>
    <t>MAIZ MOLIDO PARA HACER CACHAPA 1( KG)</t>
  </si>
  <si>
    <t>MAIZ MOLIDO PARA HACER CACHAPA (500GR)</t>
  </si>
  <si>
    <t xml:space="preserve">TOBO QUESO GUAYANES </t>
  </si>
  <si>
    <t>2.80 $ X KG</t>
  </si>
  <si>
    <t xml:space="preserve"> LATA QUESO DE MANO (12 RUEDAS)</t>
  </si>
  <si>
    <t xml:space="preserve">QUESO MERIDEÑO </t>
  </si>
  <si>
    <t>3.30$ X KG</t>
  </si>
  <si>
    <t>CAPRI</t>
  </si>
  <si>
    <t>TRAD MARY</t>
  </si>
  <si>
    <t>PAN</t>
  </si>
  <si>
    <t>ENVASE</t>
  </si>
  <si>
    <t>MERCANCIA</t>
  </si>
  <si>
    <t>POTE QUESO TELITA  10 RUEDAS</t>
  </si>
  <si>
    <t>X KG</t>
  </si>
  <si>
    <t>Columna42</t>
  </si>
  <si>
    <t>EN DIVISA</t>
  </si>
  <si>
    <t>VENDEDOR JOSE FERNADEZ</t>
  </si>
  <si>
    <t>PRECIO CON TODO Y ENVASE</t>
  </si>
  <si>
    <t>DELICATA</t>
  </si>
  <si>
    <t>CELESTIAL</t>
  </si>
  <si>
    <t>COSTOS</t>
  </si>
  <si>
    <t>LA MONTAÑA</t>
  </si>
  <si>
    <t>PANTERA</t>
  </si>
  <si>
    <t>INDOSA</t>
  </si>
  <si>
    <t>SARDINA 170GR</t>
  </si>
  <si>
    <t>CAMBO #1</t>
  </si>
  <si>
    <t>CAMBO #2</t>
  </si>
  <si>
    <t>14490-</t>
  </si>
  <si>
    <t>VATEL DE 1 LT</t>
  </si>
  <si>
    <t xml:space="preserve">ACEITE  900ML </t>
  </si>
  <si>
    <t>ACEITE COMESTIBLE 900 ML OLEO MIX</t>
  </si>
  <si>
    <t>2.07 VNTA 2.76</t>
  </si>
  <si>
    <t>20$</t>
  </si>
  <si>
    <t>PEDIDO 22 DE ENERO</t>
  </si>
  <si>
    <t>TASA</t>
  </si>
  <si>
    <t>JAMON PIERNA STANDAR FIAMFORT X  KG</t>
  </si>
  <si>
    <t>FACTURACIO DE LA TIENDA</t>
  </si>
  <si>
    <t xml:space="preserve">UND COMPRADAS </t>
  </si>
  <si>
    <t>PRECIO DE UND</t>
  </si>
  <si>
    <t>QUESO CREMA KG DE PANELON GABY</t>
  </si>
  <si>
    <t>CAFE 200GR   FLOR DE AMERICA</t>
  </si>
  <si>
    <t>CEPILLO TIPO EXTRA C/P INDESSA</t>
  </si>
  <si>
    <t>CEPILLO LAVAR CON ASA PALMA 168</t>
  </si>
  <si>
    <t>PALA PLASTICA GRANDE C/P INDESSA</t>
  </si>
  <si>
    <t>24012022TC</t>
  </si>
  <si>
    <t>PLAZA</t>
  </si>
  <si>
    <t>25012022FR</t>
  </si>
  <si>
    <t>21012022TT</t>
  </si>
  <si>
    <t>FECHA DE PAGO</t>
  </si>
  <si>
    <t>21/01/2022</t>
  </si>
  <si>
    <t>PEDIDO HECHO 26 DE ENERO</t>
  </si>
  <si>
    <t>ACEITE DE GIRASOL 900 ML LIZA</t>
  </si>
  <si>
    <t>HARINA DE TRIGO LEUDANTE 1 KG RONCO</t>
  </si>
  <si>
    <t>HARINA DE TRIGO TODO USO 1 KG RONCO</t>
  </si>
  <si>
    <t>PASTA LARGA 1 KG VERMICELLI RONCO</t>
  </si>
  <si>
    <t>TRUVIA NATURAL 40UND STEVIA LEAF</t>
  </si>
  <si>
    <t>PASTA  1 KG DEDAL RONCO</t>
  </si>
  <si>
    <t>SALDO A FAVOR O EN CONTRA</t>
  </si>
  <si>
    <t>JABON DERMOLIMPIADORA 80GR PURO AVENA</t>
  </si>
  <si>
    <t>LEVADURA INSTANTANEA 500 GR MAGEST</t>
  </si>
  <si>
    <t>UND POR EMP</t>
  </si>
  <si>
    <t>PASTA 1 KG PLUMITAS ALLEGRI</t>
  </si>
  <si>
    <t>PASTA PREMIUM 1 KG VERMICELLI ALLEGRI</t>
  </si>
  <si>
    <t>PASTA PREMIUM 1 KG CODO ALLEGRI</t>
  </si>
  <si>
    <t>HARINA DE TRIGO 1 KG LEUDANTE DULCE MAR</t>
  </si>
  <si>
    <t>PASTA PREMIUM 1 KG TORNILLOS ALLEGRI</t>
  </si>
  <si>
    <t>PASTA VERMICELLI 1 KG HORIZONTE</t>
  </si>
  <si>
    <t>PASTA CODITO 1KG  HORIZONTE</t>
  </si>
  <si>
    <t>PASTA TORNILLITO 1KG HORIZONTE</t>
  </si>
  <si>
    <t>PASTA PLUMITA 1KG HORIZONTE</t>
  </si>
  <si>
    <t>PASTA SEMOLA 1KG ESPIRALES   ALLEGRI</t>
  </si>
  <si>
    <t>PASTA SEMOLA 1KG TUBITO LISO Nr. 3 PREMIUM  ALLEGRI</t>
  </si>
  <si>
    <t>PASTA CORTA 1 KG RIGATONES ALLEGRI</t>
  </si>
  <si>
    <t>PASTA DEDAL 1 KG HORIZONTE</t>
  </si>
  <si>
    <t>HARINA DE TRIGO 1 KG TODO USO DULCE MAR</t>
  </si>
  <si>
    <t>UNS X EMP</t>
  </si>
  <si>
    <t>COS  X BULTO</t>
  </si>
  <si>
    <t>PRESENT</t>
  </si>
  <si>
    <t>30 UND</t>
  </si>
  <si>
    <t>10 BOLSAS</t>
  </si>
  <si>
    <t>1 BOLSA</t>
  </si>
  <si>
    <t xml:space="preserve">NO </t>
  </si>
  <si>
    <t xml:space="preserve"> HIPER MODELO</t>
  </si>
  <si>
    <t>4 BOLSAS</t>
  </si>
  <si>
    <t>MORTADELA  GIACOMELLO DE 750 GR</t>
  </si>
  <si>
    <t>MARY/ ROBIN</t>
  </si>
  <si>
    <t>TOTAL DE COSTO</t>
  </si>
  <si>
    <t>UTILIDAD</t>
  </si>
  <si>
    <t>28/01/2022</t>
  </si>
  <si>
    <t>TOMATE CHERY</t>
  </si>
  <si>
    <t>JEANCARLOS HIELO</t>
  </si>
  <si>
    <t>1 DE FEBRERO</t>
  </si>
  <si>
    <t>CALIBRE #88 USA</t>
  </si>
  <si>
    <t>CALIBRE #88 FRANCESA</t>
  </si>
  <si>
    <t>FOLLERE</t>
  </si>
  <si>
    <t>NARANJAS IMPORT</t>
  </si>
  <si>
    <t>PASTA PREMIUM Dedal 1 KG SINDONI</t>
  </si>
  <si>
    <t>SARDINA MARBONITA 170GR</t>
  </si>
  <si>
    <t>PAPEL LUCIANO AZUL   4 ROLLOS</t>
  </si>
  <si>
    <t>PAPEL 4ROLLLOS PANLOO 200 HOJAS</t>
  </si>
  <si>
    <t>PAÑO AMARILLO 38X48CM</t>
  </si>
  <si>
    <t xml:space="preserve">ESPONJA DE ALAMBRE EASY </t>
  </si>
  <si>
    <t xml:space="preserve">VIKI VIKI NEGRO </t>
  </si>
  <si>
    <t>COLADOR PARA JUGO 18 CM CODIGO -H0025</t>
  </si>
  <si>
    <t>PONCHERA SIN ASA CODIGO -0130</t>
  </si>
  <si>
    <t xml:space="preserve">BOLSAS TRANSPARENTE 35X45CM </t>
  </si>
  <si>
    <t xml:space="preserve">BOLSAS PLASTICAS  DE CANILLAS </t>
  </si>
  <si>
    <t xml:space="preserve">RESMA ALPES TIPO CARTA </t>
  </si>
  <si>
    <t xml:space="preserve">YESKERO LEXUS </t>
  </si>
  <si>
    <t xml:space="preserve">VASOS 100UNID #57 </t>
  </si>
  <si>
    <t>VASOS  #107</t>
  </si>
  <si>
    <t>VASOS  # 77</t>
  </si>
  <si>
    <t>VASOS  # 147</t>
  </si>
  <si>
    <t>VASOS  # 27</t>
  </si>
  <si>
    <t xml:space="preserve">MASCARA SOLAR NEGRA </t>
  </si>
  <si>
    <t>MASCARILLA KN95 DE COLORES VARIOS  X UNIDAD</t>
  </si>
  <si>
    <t>DOCENA</t>
  </si>
  <si>
    <t>KG MANZ /PERA</t>
  </si>
  <si>
    <t>PEDIDO HECHO 2 FEBRERO</t>
  </si>
  <si>
    <t>1 CESTA</t>
  </si>
  <si>
    <t>50 UND</t>
  </si>
  <si>
    <t>SAN PEDRO</t>
  </si>
  <si>
    <t>CERVEZA PILSE</t>
  </si>
  <si>
    <t xml:space="preserve">ATAGUALPA </t>
  </si>
  <si>
    <t>LAGUNETICA</t>
  </si>
  <si>
    <t>16.50/18/19</t>
  </si>
  <si>
    <t>SALDO A FAVOR</t>
  </si>
  <si>
    <t>SALDO</t>
  </si>
  <si>
    <t>Columna16</t>
  </si>
  <si>
    <t xml:space="preserve">BISTEK DE PRIMERA </t>
  </si>
  <si>
    <t>GUISAR</t>
  </si>
  <si>
    <t>KIPPER</t>
  </si>
  <si>
    <t>CARTON HUEVOS</t>
  </si>
  <si>
    <t>SALCHICHA BRAZILERA</t>
  </si>
  <si>
    <t>QUESO DURO</t>
  </si>
  <si>
    <t>MORTADELO LO MIO</t>
  </si>
  <si>
    <t>TOTAL COSTO</t>
  </si>
  <si>
    <t>UND DEL PRESUPUESTO PASADO</t>
  </si>
  <si>
    <t>PRECIO ESTABLECIDO DEL PRESUPUESTO $</t>
  </si>
  <si>
    <t>PRECIO EN BSD</t>
  </si>
  <si>
    <t>TOTAL EN BSD SEGÚN LA TASA DEL DIA</t>
  </si>
  <si>
    <t>METRO</t>
  </si>
  <si>
    <t>BASE IMPONIBLE</t>
  </si>
  <si>
    <t>IVA 16%</t>
  </si>
  <si>
    <t>AJO PORRO</t>
  </si>
  <si>
    <t>VAINITA 400 GR AMERICANA ANDINITO</t>
  </si>
  <si>
    <t>ALFALFA</t>
  </si>
  <si>
    <t>GERMINADO</t>
  </si>
  <si>
    <t>RUGULA 0.80 GR</t>
  </si>
  <si>
    <t>CAJA DE CERVEZA 222 ML RETORNABLE  LIGHT POLAR</t>
  </si>
  <si>
    <t>CAJA  DE CERVEZA 222 ML POLAR ICE RETORNABLE</t>
  </si>
  <si>
    <t>CAJA DE CERVEZA 222 ML RETORNABLE PILSEN POLAR</t>
  </si>
  <si>
    <t>16.56$</t>
  </si>
  <si>
    <t>CAMBIO DE PRECIO</t>
  </si>
  <si>
    <t>CASCO</t>
  </si>
  <si>
    <t>CASCO + BOTELLA</t>
  </si>
  <si>
    <t>BOTELLA</t>
  </si>
  <si>
    <t>BOTELLA 36 BOTELLAS</t>
  </si>
  <si>
    <t>PRECIO UND BSD  BOTELLAS</t>
  </si>
  <si>
    <t>TASA DEL DIA PARALELO</t>
  </si>
  <si>
    <t>PRECIO UND $  BOTELLAS</t>
  </si>
  <si>
    <t>BOTELLA 36 BOTELLAS $</t>
  </si>
  <si>
    <t>CASCO + BOTELLA $</t>
  </si>
  <si>
    <t>CASCO $</t>
  </si>
  <si>
    <t>LIQUIDO</t>
  </si>
  <si>
    <t>LIQUIDO + BOTELA</t>
  </si>
  <si>
    <t xml:space="preserve">SIPAK DE CAROREÑA VERANO </t>
  </si>
  <si>
    <t>PRECIO X BULTO$</t>
  </si>
  <si>
    <t>PRECIO X UND $</t>
  </si>
  <si>
    <t>2 DE FEBRERO</t>
  </si>
  <si>
    <t>25 BULTOS</t>
  </si>
  <si>
    <t>CARAOTAS PINTA 500 GR PANTERA</t>
  </si>
  <si>
    <t>CARAOTA ROSADA 500GR PANTERA</t>
  </si>
  <si>
    <t>ARVEJA AMARILLA ENTERA 500 GR  PANTERA</t>
  </si>
  <si>
    <t>LISTA DE PRECIO ACTUALIZADA 3 DE FEBRERO</t>
  </si>
  <si>
    <t>PRECIO ACTUALIZADO 3 DE FEBRERO CAFÉ AMANECES</t>
  </si>
  <si>
    <t>COSTO 6 SIPAK</t>
  </si>
  <si>
    <t>JOJOTOS HACIENDA EL CAUJARAL 3UND</t>
  </si>
  <si>
    <t xml:space="preserve">PEDIDO ANTERIO </t>
  </si>
  <si>
    <t>PEDIDO NUEVO</t>
  </si>
  <si>
    <t>PEDIDO AUTMERCADO EXPRESS TIENDA PRINCIPAL</t>
  </si>
  <si>
    <t>MILANESA DE POLLO TEMPURIZADAS 500GR MAELLA</t>
  </si>
  <si>
    <t>COTUFAS DE POLLO TEMPURIZADAS 500 GR MAELLA</t>
  </si>
  <si>
    <t>NUGGETS POLLO TEMPURIZADOS 500 GR MAELLA</t>
  </si>
  <si>
    <t>MARGEN 30%</t>
  </si>
  <si>
    <t>PRECIO FINAL</t>
  </si>
  <si>
    <t xml:space="preserve"> ESMERALDA 0.900GR 1.01$   </t>
  </si>
  <si>
    <t xml:space="preserve"> EMI 1 KG 0.81</t>
  </si>
  <si>
    <t xml:space="preserve"> CORINA 1 KG 0.84</t>
  </si>
  <si>
    <t xml:space="preserve">ARROZ PREMIUM 1KG SANTONI 0.94$ </t>
  </si>
  <si>
    <t>ARROZ PREMIUM 900 GR MARY 0.900$</t>
  </si>
  <si>
    <t xml:space="preserve">ARROZ SUPERIOR 1 KG MARY 0.87$ </t>
  </si>
  <si>
    <t>ARROZ TRADICIONAL 1 KG MARY0.83$</t>
  </si>
  <si>
    <t>COSTOSRONCO 1.25/</t>
  </si>
  <si>
    <t xml:space="preserve">FLORENRINA Y MIMESA1.03  </t>
  </si>
  <si>
    <t>PASTA MARY 1.25</t>
  </si>
  <si>
    <t xml:space="preserve"> PASTA CAPRI 1.20</t>
  </si>
  <si>
    <t>CAFE 200 GR GOURMET DELLA NONN 0.98$</t>
  </si>
  <si>
    <t>CAFE 200GR   FLOR DE AMERICA 0.84</t>
  </si>
  <si>
    <t>CAFE 250 GR GOURMET KALDI 1.22$</t>
  </si>
  <si>
    <t>CAFE DEL SUR GOURMET 250 GR 1.13$</t>
  </si>
  <si>
    <t>CAFE GOURMET 200 GR COSECHA 1979 0.800$</t>
  </si>
  <si>
    <t>CAFE MOLIDO GOURMET 200G  CAFE AMANECER1.01$</t>
  </si>
  <si>
    <t>CAFE MOLIDO PREMIUM 250GR  FAMA DE AMERICA 1.05$</t>
  </si>
  <si>
    <t>VERO CAFFE MOLIDO 200GR GOURMET 0.900$</t>
  </si>
  <si>
    <t>03022022KZ</t>
  </si>
  <si>
    <t>CREMA DE LECHE 500 GR AGUA LINDA (DIVINA PASTORA)</t>
  </si>
  <si>
    <t>CAFE GOURMET 200GR GRANO DE MONTAÑA 0.900$</t>
  </si>
  <si>
    <t>Producto</t>
  </si>
  <si>
    <t>Nuevo Precio de Lista S/IVA</t>
  </si>
  <si>
    <t>Nuevo Precio de Lista C/IVA</t>
  </si>
  <si>
    <t>Precio Liquidación Unitario S/IVA</t>
  </si>
  <si>
    <t>Precio Liquidación Unitario C/IVA</t>
  </si>
  <si>
    <t>PMVP (S/IVA)</t>
  </si>
  <si>
    <t>PMVP
(C/IVA)</t>
  </si>
  <si>
    <t>Margen</t>
  </si>
  <si>
    <t>Cambio</t>
  </si>
  <si>
    <t>% Aumento</t>
  </si>
  <si>
    <t xml:space="preserve">KETCHUP 397 G  </t>
  </si>
  <si>
    <t>KETCHUP PICANTE 198 G</t>
  </si>
  <si>
    <t>KETCHUP PICANTE 397 G</t>
  </si>
  <si>
    <t>SALSAS A BASE DE TOMATE</t>
  </si>
  <si>
    <t>SALSA A BASE DE TOMATE CON BBK 198 G</t>
  </si>
  <si>
    <t>SALSA A BASE DE TOMATE CON BBK 397 G</t>
  </si>
  <si>
    <t>SALSA A BASE DE TOMATE LA CUMBRE 380 G</t>
  </si>
  <si>
    <t xml:space="preserve">MOSTAZA 113 G </t>
  </si>
  <si>
    <t>SALSA PICANTE 150CC</t>
  </si>
  <si>
    <t>SALSA EXTRAPICANTE PICANTE 150CC</t>
  </si>
  <si>
    <t xml:space="preserve">SALSA INGLESA HEINZ 4000CC </t>
  </si>
  <si>
    <t>SALSA INGLESA LA CUMBRE 150CC</t>
  </si>
  <si>
    <t>SALSA INGLESA LA CUMBRE 4000CC</t>
  </si>
  <si>
    <t>SALSA SOYA LA CUMBRE 150CC</t>
  </si>
  <si>
    <t>TERIYAKI</t>
  </si>
  <si>
    <t xml:space="preserve">SALSA TERIYAKI 150CC </t>
  </si>
  <si>
    <t>SALSA DE AJO 4000 CC</t>
  </si>
  <si>
    <t>SALSA DE AJO TQF 150 CC</t>
  </si>
  <si>
    <t>SALSA DE AJO LA CUMBRE 150 CC</t>
  </si>
  <si>
    <t>SALSA DE AJO LA CUMBRE 4000CC</t>
  </si>
  <si>
    <t>PASTA DE AJO</t>
  </si>
  <si>
    <t>PASTA DE AJO HEINZ 195G</t>
  </si>
  <si>
    <t>VINAGRE 500cc</t>
  </si>
  <si>
    <t>VINAGRE 1000cc</t>
  </si>
  <si>
    <t>VINAGRE 4000cc</t>
  </si>
  <si>
    <t>VINAGRE TQF 500cc</t>
  </si>
  <si>
    <t>VINAGRE TQF 1000cc</t>
  </si>
  <si>
    <t>SPP COMPLETA  VID 195G</t>
  </si>
  <si>
    <t>SPP NAPOLITANA  VID 495G</t>
  </si>
  <si>
    <t>SPP SPAGHERONI NAPOLITANA 495G</t>
  </si>
  <si>
    <t>SPP SPAGHERONI PROVENZAL 495G</t>
  </si>
  <si>
    <t>SALSA PARA PIZZA</t>
  </si>
  <si>
    <t>SALSA PARA GUISO</t>
  </si>
  <si>
    <t xml:space="preserve">PASSATA </t>
  </si>
  <si>
    <t>PURÉ DE TOMATE</t>
  </si>
  <si>
    <t>PURE DE TOMATE 190G</t>
  </si>
  <si>
    <t>PASTA DE TOMATE</t>
  </si>
  <si>
    <t>PASTA DE TOMATE HEINZ 210G</t>
  </si>
  <si>
    <t>PASTA DE TOMATE HEINZ 511G</t>
  </si>
  <si>
    <t>PASTA DE TOMATE TQF 200G</t>
  </si>
  <si>
    <t>PASTA DE TOMATE TQF 505G</t>
  </si>
  <si>
    <t xml:space="preserve">COLADOS </t>
  </si>
  <si>
    <t xml:space="preserve">COL. MANZANA 186G </t>
  </si>
  <si>
    <t xml:space="preserve">COL. PERA 186G </t>
  </si>
  <si>
    <t>COL. FRUTAS MIXTAS 113G</t>
  </si>
  <si>
    <t>COL. FRUTAS MIXTAS 186G</t>
  </si>
  <si>
    <t>COL. FRUTAS TROPICALES 113G</t>
  </si>
  <si>
    <t xml:space="preserve">COL. FRUTAS TROPICALES 186G </t>
  </si>
  <si>
    <t xml:space="preserve">COL. BANANA 186G </t>
  </si>
  <si>
    <t>COL. POSTRE DE FRUTAS 113G</t>
  </si>
  <si>
    <t xml:space="preserve">COL. POSTRE DE FRUTAS 186G </t>
  </si>
  <si>
    <t>COL. CIRUELA PASAS 113G</t>
  </si>
  <si>
    <t xml:space="preserve">COL 100% MANZANA </t>
  </si>
  <si>
    <t>COL. POUCH PERA 24 UND          </t>
  </si>
  <si>
    <t>COL. POUCH FRUTAS MIXTAS 24 UND</t>
  </si>
  <si>
    <t>COL. POUCH FRUTAS TROPICALES 24 UND</t>
  </si>
  <si>
    <t>COL. POUCH POSTRE DE FRUTAS  24 UND</t>
  </si>
  <si>
    <t>COL. POUCH BANANA 24 UND          </t>
  </si>
  <si>
    <t>COL. POUCH MELOCOTÓN 24 UND          </t>
  </si>
  <si>
    <t xml:space="preserve">POLLY BOLSA 12X450 g. </t>
  </si>
  <si>
    <t>POLLY BOLSA 12X900 g.</t>
  </si>
  <si>
    <t xml:space="preserve">POLLY BOLSA 4X2000 g. </t>
  </si>
  <si>
    <t>CHICHA POLLY</t>
  </si>
  <si>
    <t xml:space="preserve">MI CHICHA POLLY BOLSA 12X450 g. </t>
  </si>
  <si>
    <t>MERENGADA</t>
  </si>
  <si>
    <t xml:space="preserve">MERENGADA CHOCOLATE 12X450 g. </t>
  </si>
  <si>
    <t>GEL. UVA  66  g.</t>
  </si>
  <si>
    <t>GEL. FRAMBUESA 66  g.</t>
  </si>
  <si>
    <t>GEL. FRESA 66  g.</t>
  </si>
  <si>
    <t>GEL. TUTTI FRUTTI 66  g.</t>
  </si>
  <si>
    <t>GEL. PIÑA 66  g.</t>
  </si>
  <si>
    <t>GEL. CEREZA 66  g.</t>
  </si>
  <si>
    <t>GEL. LIMON 66  g.</t>
  </si>
  <si>
    <t>GEL. PIÑA 132  g.</t>
  </si>
  <si>
    <t>GEL. LIMON 132  g.</t>
  </si>
  <si>
    <t>GEL. UVA 132  g.</t>
  </si>
  <si>
    <t>GEL. FRAMBUESA 132  g.</t>
  </si>
  <si>
    <t>GEL. CEREZA 132G</t>
  </si>
  <si>
    <t>GEL. FRESA 132  g.</t>
  </si>
  <si>
    <t>GEL. SIN SABOR 33  g.</t>
  </si>
  <si>
    <t>PUDIN</t>
  </si>
  <si>
    <t xml:space="preserve">PUDIN VAINILLA 58  g. </t>
  </si>
  <si>
    <t xml:space="preserve">PUDIN CHOCOLATE 72  g. </t>
  </si>
  <si>
    <t xml:space="preserve">PUDIN FRESA 63  g. </t>
  </si>
  <si>
    <t xml:space="preserve">FLAN 46  g. </t>
  </si>
  <si>
    <t xml:space="preserve">FLAN 92  g. </t>
  </si>
  <si>
    <t>Estos precios comienzan a regir a partir del dia lunes 07 de febrero del 2022</t>
  </si>
  <si>
    <t>Sin mas a que hacer referencia,</t>
  </si>
  <si>
    <t>Atentamente.</t>
  </si>
  <si>
    <t xml:space="preserve">Jesus Martinez </t>
  </si>
  <si>
    <t>Gerente Regional Gran Caracas</t>
  </si>
  <si>
    <t>Jesus.martinez@kraftheinzcompany.com</t>
  </si>
  <si>
    <t>0212-909-18-26</t>
  </si>
  <si>
    <t>0424-257-82-40</t>
  </si>
  <si>
    <t xml:space="preserve">0414-340-34-97 </t>
  </si>
  <si>
    <t>TOTAL FACT</t>
  </si>
  <si>
    <t>LISTA VIEJA</t>
  </si>
  <si>
    <t>COSTO CON AUMENTO</t>
  </si>
  <si>
    <t>20 PANES PERROS PEQ</t>
  </si>
  <si>
    <t>UND O KG</t>
  </si>
  <si>
    <t>PRECIO DE VENTA AL PUBLICO</t>
  </si>
  <si>
    <t>PAPITAS FRITAS CHIC´S</t>
  </si>
  <si>
    <t>PRECIOS DE VENTA</t>
  </si>
  <si>
    <t>PREIO 100 GR</t>
  </si>
  <si>
    <t>PRECIO COSTO X KG</t>
  </si>
  <si>
    <t>SALSA DE TOMATE 4.2 KG PAMPERO</t>
  </si>
  <si>
    <t>YA TIENE IVA</t>
  </si>
  <si>
    <t xml:space="preserve">PEDIDO 2 DE FEBRERO </t>
  </si>
  <si>
    <t>PRODUCTO POLAR</t>
  </si>
  <si>
    <t>MAS IVA O EXT</t>
  </si>
  <si>
    <t>PRECIO X CAJA SIN IVA</t>
  </si>
  <si>
    <t>DETERGENTE  INTENSIF 400 GR LAS LLAVES</t>
  </si>
  <si>
    <t>DETERGENTE 400 GR LIMON LAS LLAVES</t>
  </si>
  <si>
    <t>DETERGENTE EN POLVO 1 KG LAS LLAVES</t>
  </si>
  <si>
    <t>DETERGENTE EN POLVO 1 KG LAS LLAVES LIMON</t>
  </si>
  <si>
    <t>DETERGENTE EN POLVO BEBE 1KG LAS LLAVES</t>
  </si>
  <si>
    <t>DETERGENTE EN POLVO BEBE 400GR LAS LLAVES</t>
  </si>
  <si>
    <t>DETERGENTE EN POLVO FLORAL 1KG LAS LLAVES</t>
  </si>
  <si>
    <t>DETERGENTE EN POLVO FLORAL 900GR LAS LLAVES</t>
  </si>
  <si>
    <t>DETERGENTE LAS LLAVES 400 GR FLORAL</t>
  </si>
  <si>
    <t>DETERGENTE LAS LLAVES 400 GR REMOVEDOR</t>
  </si>
  <si>
    <t>DETERGENTE LIQUIDO 1 LT LAS LLAVES BEBE</t>
  </si>
  <si>
    <t>JABON DE PANELA  200GR  FLORAL LAS LLAVES</t>
  </si>
  <si>
    <t>JABON LAS LLAVES BARRA FF BEBE 160GR</t>
  </si>
  <si>
    <t>JABON PANELA BEBE 250GR LAS LLAVES</t>
  </si>
  <si>
    <t>JABON PANELA EXTRALIMPIEZA 250GR LAS LLAVES</t>
  </si>
  <si>
    <t>DETERGENTE EN POLVO BEBE 900GR LAS LLAVES</t>
  </si>
  <si>
    <t>SUAVIZANTE  BEBE 950 ML LAS LLAVES</t>
  </si>
  <si>
    <t>SUAVIZANTE BEBE 530 ML LAS LLAVES</t>
  </si>
  <si>
    <t>SUAVIZANTE BEBE 500 ML LAS LLAVES</t>
  </si>
  <si>
    <t>SARDINA EN SALSA PICANTE 170GR MARGARITA</t>
  </si>
  <si>
    <t>ATUN MARGARITA 140GR</t>
  </si>
  <si>
    <t xml:space="preserve">ACEITE CHEF SUPER OLEINA 1 LT </t>
  </si>
  <si>
    <t>ACEITE 1 LT PRIMOR SUPER OLEINA DE PALMA</t>
  </si>
  <si>
    <t>ACEITE MAZEITE 420CM</t>
  </si>
  <si>
    <t>234T</t>
  </si>
  <si>
    <t xml:space="preserve">ACEITE CHEF SUPER OLEINA 18 LT </t>
  </si>
  <si>
    <t>MERMELADA LA VIENESA DE GUAYABA 240GR</t>
  </si>
  <si>
    <t>MERMELADA DE GUAYABA 370 GR LA VIENESA</t>
  </si>
  <si>
    <t>MERMELADA 370 GR FRESA LA VIENESA</t>
  </si>
  <si>
    <t>RIKESA 300 GR PARMESANO</t>
  </si>
  <si>
    <t>RIKESA 300 GR QUESO BLANCO</t>
  </si>
  <si>
    <t>GELATINA 96 GR MANZANA GOLDEN</t>
  </si>
  <si>
    <t>GELATINA DE FRESA 96GR GOLDEN</t>
  </si>
  <si>
    <t>GELATINA FRAMBUESA 96 GR GOLDEN</t>
  </si>
  <si>
    <t>GELATINA KOLITA 96GR GOLDEN</t>
  </si>
  <si>
    <t>GELATINA PIÑA 96 GR GOLDEN</t>
  </si>
  <si>
    <t>GELATINA UVA 96 GR GOLDEN</t>
  </si>
  <si>
    <t>KONGA SABOR A MORA 30GR</t>
  </si>
  <si>
    <t>KONGA 30 GR SABOR A NARANJA</t>
  </si>
  <si>
    <t>KONGA 30 GR SABOR A PARCHITA</t>
  </si>
  <si>
    <t>LIPTON ICE TEA DURAZNO 90GR</t>
  </si>
  <si>
    <t>LIPTON ICE TEA LIMON 90 GR</t>
  </si>
  <si>
    <t>TE DURAZNO 270 GR LIPTON</t>
  </si>
  <si>
    <t>TE LIMON 270 GR LIPTON</t>
  </si>
  <si>
    <t>LIPTON  DURAZNO 450 GR</t>
  </si>
  <si>
    <t xml:space="preserve">LIPTON TE LIMON 450 GR </t>
  </si>
  <si>
    <t>TE DE DURAZNO 1.750 GR LIPTON (BOLSA)</t>
  </si>
  <si>
    <t>AVENA FORTIFICADA 200 GR QUAKER</t>
  </si>
  <si>
    <t>AVENA HARINA DE  400GR QUAKER</t>
  </si>
  <si>
    <t>ALIMENTO ACHOCOLATADO 1 KG TODDY bolsa</t>
  </si>
  <si>
    <t>ALIMENTO ACHOCOLATADO 400 GR TODDY bolsa</t>
  </si>
  <si>
    <t>ALIMENTO ACHOCOLATADO TARRO 400 GR TODDY</t>
  </si>
  <si>
    <t>ALIMENTOS ACHOCOLATADO 100GM TODDY bolsa</t>
  </si>
  <si>
    <t>ALIMENTO ACHOCOLATADO TODDY ENVASE 200 GR</t>
  </si>
  <si>
    <t>ALIMENTO ACHOCOLATADO TODDY 2 KG bolsa</t>
  </si>
  <si>
    <t>GALLETAS CHIPS 6 UND 144GR TODDY</t>
  </si>
  <si>
    <t>GALLETA CHIPS 24GR 1UNIDAD TODDY (DETALLADA)</t>
  </si>
  <si>
    <t>PERRARINA DETALLADA</t>
  </si>
  <si>
    <t>YOGURT CON CEREAL 138GR MI GURT CRUNCH</t>
  </si>
  <si>
    <t>YOGURT 125 GR MI GURT FRESA TROZOS</t>
  </si>
  <si>
    <t>YOGURT 125 GR MI GURT FRESA CAMBUR</t>
  </si>
  <si>
    <t>YOGURT 125 GR MIGURT FRESA</t>
  </si>
  <si>
    <t>YOGURT MIGURT FRESH LIMON 240G</t>
  </si>
  <si>
    <t>YOGURT BEBIDA LACTEA 240 GR FRESA MIGURT FRESH</t>
  </si>
  <si>
    <t>YOGURT MIGURT PULPA DE FRUTA FRESA 250GR</t>
  </si>
  <si>
    <t>YOGURT MIGURT PULPA DE FRUTA DURAZNO 250 GR</t>
  </si>
  <si>
    <t>YOGURT BEBIDA LACTEA 730 GR FRESA MIGURT FRESH</t>
  </si>
  <si>
    <t>YOGURT MIGURT FRESH 730 ML MANDARINA</t>
  </si>
  <si>
    <t>YOGURT MIGURT FRESH 730 ML LIMON</t>
  </si>
  <si>
    <t>YOGURT 750 GR MI GURT PIÑA</t>
  </si>
  <si>
    <t>YOGURT 750 MI GURT DURAZNO</t>
  </si>
  <si>
    <t>YOGURT 750 GR MI GURT DULCE</t>
  </si>
  <si>
    <t>VINAGRE 500ML L MAVESA</t>
  </si>
  <si>
    <t>VINAGRE 1.00 L MAVESA</t>
  </si>
  <si>
    <t>VINAGRE 3.875 L MAVESA</t>
  </si>
  <si>
    <t>VINAGRE 4 LT MAVESA</t>
  </si>
  <si>
    <t>MARGARINA 250GR MAVESA</t>
  </si>
  <si>
    <t>MARGARINA 500 GR MAVESA LIGERA</t>
  </si>
  <si>
    <t>MARGARINA MAVESA  1KG</t>
  </si>
  <si>
    <t>MARGARINA MAVESA  500GR</t>
  </si>
  <si>
    <t>MARGARINA NELLY 227/250GR</t>
  </si>
  <si>
    <t xml:space="preserve">MARGARINA NELLY  454/500GR </t>
  </si>
  <si>
    <t>MAYONESA 445G MAVESA LIMON</t>
  </si>
  <si>
    <t>HARINA DE MAIZ 1 KG PAN TRADICIONAL</t>
  </si>
  <si>
    <t>PASTA 1 KG LINGUINI AL HUEVO PRIMOR</t>
  </si>
  <si>
    <t>PASTA CORTA PLUMITAS 1 KG PRIMOR</t>
  </si>
  <si>
    <t>456T</t>
  </si>
  <si>
    <t>PASTA 500 GR MACARRON PRIMOR</t>
  </si>
  <si>
    <t>PASTA MACARRON 1 KG PRIMOR</t>
  </si>
  <si>
    <t>PASTA TORNILLO 500 GR AL HUEVO PRIMOR</t>
  </si>
  <si>
    <t>PASTA 1 KG TORNILLO AL HUEVO PRIMOR</t>
  </si>
  <si>
    <t>PASTA LARGA VERMECELLI 1KG PRIMOR</t>
  </si>
  <si>
    <t>PASTA LARGA VERMICELLI 500 GR PRIMOR</t>
  </si>
  <si>
    <t>PASTA LARGA SPAGUETTI 1KG</t>
  </si>
  <si>
    <t>PASTA LARGA SPAGUETTI 500GR</t>
  </si>
  <si>
    <t>PASTA LARGA LINGUINI 1 KG</t>
  </si>
  <si>
    <t>678T</t>
  </si>
  <si>
    <t>PASTA LARGA LINGUINI 500GR</t>
  </si>
  <si>
    <t>ARROZ PERLADO 1KG PRIMOR</t>
  </si>
  <si>
    <t>ARROZ CORINA 1 KG PRIMOR</t>
  </si>
  <si>
    <t>CREMA DE ARROZ BOLSA 225 GR PRIMOR</t>
  </si>
  <si>
    <t>CREMA DE ARROZ 450G POTE PRIMOR</t>
  </si>
  <si>
    <t>CREMA DE ARROZ 900 GR BOLSA PRIMOR</t>
  </si>
  <si>
    <t>CREMA DE ARROZ 900 GR POTE PRIMOR</t>
  </si>
  <si>
    <t>DETERGENTE EN POLVO LIMON 900GR LAS LLAVES</t>
  </si>
  <si>
    <t>PERRARINA SUPER CAN CARNE 10 KG</t>
  </si>
  <si>
    <t xml:space="preserve">PERRARINA SUPER CAN CARNE HUESO 18 KG </t>
  </si>
  <si>
    <t xml:space="preserve">PERRARINA SUPER CAN CARNE HUESO 2KG </t>
  </si>
  <si>
    <t xml:space="preserve">PERRARINA SUPER CAN CARNE HUESO 4 KG </t>
  </si>
  <si>
    <t xml:space="preserve">PERRARINA SUPER CAN POLLO 18 KG </t>
  </si>
  <si>
    <t>PERRARINA POLLO 18 KG SUPER CAN</t>
  </si>
  <si>
    <t xml:space="preserve">PERRARINA ADULTO CARNE Y CEREAL ARROZ  4 KG </t>
  </si>
  <si>
    <t>PERRARINA CACHORROS CARNE Y CEREAL 18 KG</t>
  </si>
  <si>
    <t>ATUN BONITO DEL CARIBE 140 GR EN ACEITE MARGARITA</t>
  </si>
  <si>
    <t>ATUN BONITO DEL CARIBE 165 GR CON VEGETALES  MARGARITA</t>
  </si>
  <si>
    <t>HARINA MEZCLA MAIZ BLANCO Y ARROZ 1KG PAN</t>
  </si>
  <si>
    <t>PERRARINA DOGORMET CACHORRO CARNE CEREAL 10KG</t>
  </si>
  <si>
    <t>PERRARINA DOGOURMET 2 KG CARNE CACHORRO</t>
  </si>
  <si>
    <t>PERRARINA DOGOURMET ASADO NEGRO  18 KG</t>
  </si>
  <si>
    <t xml:space="preserve">PERRARINA DOGOURMET CARNE A LA  PARRILLA ADULTO  2 KG </t>
  </si>
  <si>
    <t xml:space="preserve">PERRARINA DOGOURMET CARNE A LA PARRILLA  10 KG </t>
  </si>
  <si>
    <t>PERRARINA DOGOURMET CARNE A LA PARRILLA 1 KG</t>
  </si>
  <si>
    <t>PERRARINA DOGOURMET CARNE A LA PARRILLA 18 KG</t>
  </si>
  <si>
    <t>PERRARINA DOGOURMET CARNE A LA PARRILLA 4 KG</t>
  </si>
  <si>
    <t xml:space="preserve">PERRARINA DOGOURMET POLLO A LA BRASA  4 KG </t>
  </si>
  <si>
    <t xml:space="preserve">PERRARINA DOGOURMET POLLO BRASA  18 KG </t>
  </si>
  <si>
    <t>KETCHUP SALSA DE TOMATE 4.2 KG PAMPERO</t>
  </si>
  <si>
    <t xml:space="preserve">RIKESA QUESO CHEDDAR BLANCO 200 GR </t>
  </si>
  <si>
    <t>KETCHUP SALSA BAJA CALORIA 381G PAMPERO</t>
  </si>
  <si>
    <t>JABON LAS LLAVES  TRADICIONA 250 G FLORAL</t>
  </si>
  <si>
    <t>MARGARINA REPORTERA CON SAL 250GR</t>
  </si>
  <si>
    <t>DETERGENTE MULTICLEAN FRAGANCIA CITRICA 900 GR POLAR</t>
  </si>
  <si>
    <t xml:space="preserve">RIKESA QUESO CHEDDAR ORIGINAL 200 GR </t>
  </si>
  <si>
    <t xml:space="preserve">RIKESA QUESO CHEDDAR ORIGINAL 300GR </t>
  </si>
  <si>
    <t xml:space="preserve">RIKESA QUESO CHEDDAR ORIGINAL 330 GR </t>
  </si>
  <si>
    <t xml:space="preserve">RIKESA QUESO CHEDDAR PARMESANO 200 GR </t>
  </si>
  <si>
    <t xml:space="preserve">RIKESA QUESO CHEDDAR TOCINETA 300GR </t>
  </si>
  <si>
    <t>MANGARINA 5 KG CHEF</t>
  </si>
  <si>
    <t>MARGARINA ADORA 500GR</t>
  </si>
  <si>
    <t>AVENA DON PANCHO 400GR</t>
  </si>
  <si>
    <t xml:space="preserve">YOGURT 125GR MIGURT TROZOS DE FRUTA PIÑA </t>
  </si>
  <si>
    <t xml:space="preserve">YOGURT 125 GR MIGURT TROZOS DE FRUTA DURAZNO </t>
  </si>
  <si>
    <t>DETERGENTE MULTICLEAN FRAGANCIA CITRICA 400GR POLAR</t>
  </si>
  <si>
    <t>LIMPIADORES 1L SUPERFICIES VINAGRE ACTIVO   MARINA</t>
  </si>
  <si>
    <t>LIMPIADORES  1L SUPERFICIES VINAGRE ACTIVO  BRISA TROPOCAL</t>
  </si>
  <si>
    <t>LIMPIADORES 500 ML SUPERFICIES VINAGRE ACTIVO   MARINA</t>
  </si>
  <si>
    <t xml:space="preserve">LIMPIADORES 1 LT VINAGRE /ACT BOSQUE SERENO </t>
  </si>
  <si>
    <t xml:space="preserve">DETERGENTE LIQUIDO 510 CC ROPA DELICADA </t>
  </si>
  <si>
    <t>MULTIUSO CREMA 250 GR LAS LLAVES</t>
  </si>
  <si>
    <t xml:space="preserve">MULTIUSO CREMA 500 GR LAS LLAVES </t>
  </si>
  <si>
    <t xml:space="preserve">LAVAPLATOS 500 ML LIQUIDO LAS LLAVES </t>
  </si>
  <si>
    <t>LAVAPLATOS ANTIBACTERIAL 500 ML LIQUIDO  LAS LLAVES</t>
  </si>
  <si>
    <t xml:space="preserve">MULTIUSO 130 GR PASTILLA CITRICA </t>
  </si>
  <si>
    <t>AJO PORRO 300 GR VELANDRIA</t>
  </si>
  <si>
    <t>PEDIDO HECHO 10 FEBRERO</t>
  </si>
  <si>
    <t>VENT</t>
  </si>
  <si>
    <t>JOJOTOS HACIENDA EL CAUJARAL 12 UND</t>
  </si>
  <si>
    <t>JOJOTOS HACIENDA EL CAUJARAL 2 UND</t>
  </si>
  <si>
    <t>JOJOTOS HACIENDA EL CAUJARAL 4 UND</t>
  </si>
  <si>
    <t>k</t>
  </si>
  <si>
    <t>refresco</t>
  </si>
  <si>
    <t>solomo</t>
  </si>
  <si>
    <t>gramos</t>
  </si>
  <si>
    <t>1 PAQ</t>
  </si>
  <si>
    <t>2.30 KG</t>
  </si>
  <si>
    <t>COMPROBACION</t>
  </si>
  <si>
    <t>COMBOS ALIMENTOS POLAR   32$</t>
  </si>
  <si>
    <t>PRESUPUESTO OCARINA</t>
  </si>
  <si>
    <t>MAYONESA 500GR</t>
  </si>
  <si>
    <t xml:space="preserve">MAYONESA 445 GR KRAYS </t>
  </si>
  <si>
    <t>INDOSA/PEÑERO/BONITO MAR</t>
  </si>
  <si>
    <t>SALSA DE TOMATE KEPCHUP 397GR IBERIA 0.78</t>
  </si>
  <si>
    <t>SASA DE TOMATE KRAY 1 397GR</t>
  </si>
  <si>
    <t xml:space="preserve">SALSAS DE TOMATE 397GR </t>
  </si>
  <si>
    <t>MARGEN DE 15%</t>
  </si>
  <si>
    <t>SALSA DE TOMATE KEPCHUP 397GR IBERIA / HEINZ0.78</t>
  </si>
  <si>
    <t>MARGARINA 500GR</t>
  </si>
  <si>
    <t>MOSTAZA AMARILLA 500GR</t>
  </si>
  <si>
    <t>MOSTAZA PREPARADA IBERIA 250 G(SERIA 2) 0.95$= 1.90$ MOZTAZA MEDITERRANEO 500 GR 1.41$ MOSTAZA 490 GR PREPARADA HEINZ 1.73$</t>
  </si>
  <si>
    <t>QUESO FUNDIDO 300GR</t>
  </si>
  <si>
    <r>
      <t>QUESO CHEDDAR DALVITO 300GR GENIC</t>
    </r>
    <r>
      <rPr>
        <b/>
        <sz val="11"/>
        <color rgb="FFFF0000"/>
        <rFont val="Calibri"/>
        <family val="2"/>
        <scheme val="minor"/>
      </rPr>
      <t>A</t>
    </r>
    <r>
      <rPr>
        <b/>
        <sz val="11"/>
        <color theme="4" tint="-0.499984740745262"/>
        <rFont val="Calibri"/>
        <family val="2"/>
        <scheme val="minor"/>
      </rPr>
      <t xml:space="preserve"> 2.22$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RIKESA QUESO CHEDDAR ORIGINAL 300GR RIKESA 2.32$</t>
    </r>
  </si>
  <si>
    <t>CAFE DEL SUR GOURMET 500 GR 2.35$ CAFE GOURMET 500GR GRANO DE MONTAÑA 2.25$</t>
  </si>
  <si>
    <t>MARY0.87% RONCO 1$</t>
  </si>
  <si>
    <t xml:space="preserve">CAFÉ 500GR </t>
  </si>
  <si>
    <t>CELESTIAL 0.20$</t>
  </si>
  <si>
    <t>LECHE EN POLVO 900 GR SAN SIMON 7.20% EX LECHE EN POLVO 400GR DO BON (2 UND 4$</t>
  </si>
  <si>
    <t xml:space="preserve">AVENA EN HOJUELAS 400GR </t>
  </si>
  <si>
    <t>AVENA EN HOJUELAS 400GR PANTERA 0.90$</t>
  </si>
  <si>
    <t xml:space="preserve">LECHE EN POLVO 400 GR </t>
  </si>
  <si>
    <t>MAIZ ENTERO 400GR KALDINI</t>
  </si>
  <si>
    <t xml:space="preserve">MAIZ ENTERO 400GR </t>
  </si>
  <si>
    <t>MAIZ ENTERO 400GR KALDINI 1.37%</t>
  </si>
  <si>
    <t xml:space="preserve"> CRONCH FLAKES 300GR MAIZORITOS</t>
  </si>
  <si>
    <t xml:space="preserve"> CRONCH FLAKES 300GR </t>
  </si>
  <si>
    <t>10/02/2022</t>
  </si>
  <si>
    <t>10022022E</t>
  </si>
  <si>
    <t>361.09</t>
  </si>
  <si>
    <t>ASADURA KG</t>
  </si>
  <si>
    <t>CHORIZO AHUMADO CARNICO KG</t>
  </si>
  <si>
    <t>CHORIZO DE AJO CARNICO KG</t>
  </si>
  <si>
    <t>CHORIZO MIXTO AJO Y AHUM (CARNICO)</t>
  </si>
  <si>
    <t>CHULETA FRESCA KG</t>
  </si>
  <si>
    <t>COSTILLA DE COCHINO EXPRESS KG</t>
  </si>
  <si>
    <t>HUESO AHUMADO KG</t>
  </si>
  <si>
    <t>JAMON DE ESPALDA ALIMETCA KG.</t>
  </si>
  <si>
    <t>JAMON DE PIERNA ALIMETCA KG</t>
  </si>
  <si>
    <t>MORCILLA KG</t>
  </si>
  <si>
    <t>MORTADELA EXTRA  KG  ALIMETCA</t>
  </si>
  <si>
    <t>MORTADELA TAPARA KG ALIMETCA</t>
  </si>
  <si>
    <t>PECHUGA DE PAVO ALIMETCA KG</t>
  </si>
  <si>
    <t>PECHUGA PAVO AHUM ALIMETCA KG</t>
  </si>
  <si>
    <t>PERNIL KG. CON HUESO</t>
  </si>
  <si>
    <t>TOCINO CON CUERO KG</t>
  </si>
  <si>
    <t>COSTO UND</t>
  </si>
  <si>
    <t>ARROZ BLANCO (DIAMANTE) 1KG</t>
  </si>
  <si>
    <t>ARROZ BLANCO TIPO II (DOÑA FINA) 1KG</t>
  </si>
  <si>
    <t>ARROZ BLANCO TIPO I (CONSENTIDO)(1KG)</t>
  </si>
  <si>
    <t>ARROZ BLANCO TIPO II (ARROZ LOLA ) 0.800GR</t>
  </si>
  <si>
    <t>GALLETA DE ARROZ (INTEGRAL1X12 UND) 120GR</t>
  </si>
  <si>
    <t>COSTO BULTO</t>
  </si>
  <si>
    <t>TOTAP A PAGAR</t>
  </si>
  <si>
    <t xml:space="preserve">PECHUGA DE PAVO AHUMADA MOVILLA </t>
  </si>
  <si>
    <t>SOLERA IPA 222ML EDICION ESPECIAL NR</t>
  </si>
  <si>
    <t>SOLERA KRIEK 222ML EDICION ESPECIAL NR</t>
  </si>
  <si>
    <t>SOLERA MARZEN 222ML EDICION ESPECIAL NR</t>
  </si>
  <si>
    <t>PRODUCTOS DON RAMON</t>
  </si>
  <si>
    <t>MORTADELA 900GR (16 UND) PAL 80 BULTOS (POLLO)</t>
  </si>
  <si>
    <t xml:space="preserve">SALCHICHAS DE POLLO (PAL 700KG) </t>
  </si>
  <si>
    <t>1 PALETA</t>
  </si>
  <si>
    <t>ARROZ EMI 24X1</t>
  </si>
  <si>
    <t>GALLETAS CHARMY CHOCOLATE 24X12x16</t>
  </si>
  <si>
    <t>GALLETAS CHARMY FRESA 24X12X16</t>
  </si>
  <si>
    <t>GALLETAS CHARMY VAINILLA 24X12X16</t>
  </si>
  <si>
    <t>BOLOÑA TIPO CAZADOR JAGDWURST MEISTER KG</t>
  </si>
  <si>
    <t>BOLOÑA TIPO CERVECERO BIERWURST MEISTER KG</t>
  </si>
  <si>
    <t>SALCHICHA PICANTE DEBREZINER 420 GR MEISTER</t>
  </si>
  <si>
    <t>SALCHICHA COCTEL HUNGARA PICANTE 420 GR MEISTER</t>
  </si>
  <si>
    <t>SALCHICHA ALEMANA 420 GR MEISTER</t>
  </si>
  <si>
    <t>SALCHICHA POLACA 420 GR MEISTER</t>
  </si>
  <si>
    <t>SALCHICHA HUNGARA 400 GR MEISTER</t>
  </si>
  <si>
    <t>SALCHICHA FRANKFURT MEISTER 400 GR</t>
  </si>
  <si>
    <t>SALCHICHA 420 GR CAMPESINA MEISTER</t>
  </si>
  <si>
    <t>SALCHICHA 420 GR WIENER MEISTER</t>
  </si>
  <si>
    <t>CHORIZO CON AJO AUTOSERVICIOS</t>
  </si>
  <si>
    <t>CHORIZO ROJO AUTOSERVICIOS</t>
  </si>
  <si>
    <t>BOLOÑA TIPO LYONER C/PIMENTON MEISTER KG</t>
  </si>
  <si>
    <t>15 DE FEBRERO</t>
  </si>
  <si>
    <t>14022022MM</t>
  </si>
  <si>
    <t>PEDIDO HECHO 15 FEBRERO</t>
  </si>
  <si>
    <t xml:space="preserve">PATAS </t>
  </si>
  <si>
    <t>PESO</t>
  </si>
  <si>
    <t>HIGADO</t>
  </si>
  <si>
    <t>PREIO BSD</t>
  </si>
  <si>
    <t>PASTA LINGUNI 500GR SINDONI</t>
  </si>
  <si>
    <t>PASTA  VERMIVELLI 1 KG SINDONI</t>
  </si>
  <si>
    <t>PASTA DITALI 1 KG SINDONI</t>
  </si>
  <si>
    <t>PASTA DITALINI 1 KG SINDONI</t>
  </si>
  <si>
    <t>BICENTENARIO</t>
  </si>
  <si>
    <t>ARROZ  TIPO III 1KG  BLANCO  EMI  0.81</t>
  </si>
  <si>
    <t>PRODUCTO Y COSTO</t>
  </si>
  <si>
    <t>HARINA PAN 1 KG  1.05</t>
  </si>
  <si>
    <t>PASTA CAPRI DEDAL PREMIUM 1KG  1.15</t>
  </si>
  <si>
    <t>MARGARINA NELLYCIOSA 250GR NELLY 0.72</t>
  </si>
  <si>
    <t>SAL REFINADA 1 KG CELESTIAL (AZUL) 0.20</t>
  </si>
  <si>
    <t>CAFE MOLIDO PREMIUM 250GR  FAMA DE AMERICA 1.21</t>
  </si>
  <si>
    <t>HARINA DE TRIGO TODO USO 1 KG RONCO 1$</t>
  </si>
  <si>
    <t>ACEITE DE GIRASOL 900ML DOÑA ALICIA 3$</t>
  </si>
  <si>
    <t>LENTEJAS PANTERA 900GR 1.80$</t>
  </si>
  <si>
    <t>AZUCAR 1 KG PAPEL MONTALBAN 0.90$</t>
  </si>
  <si>
    <t>COMBO QUE ESTA EN PISO DE VENTA AUTOMERCADP EXPRESS2707</t>
  </si>
  <si>
    <t>BOLSA 35X45 PAQ. X 100 TRANSPARENTE (PRODUCCION)</t>
  </si>
  <si>
    <t>BOLSAS #3 CANILLA 100 UND</t>
  </si>
  <si>
    <t>ESPONJA ACERO INOXIDABLE FASYCLEAN</t>
  </si>
  <si>
    <t>MARGARINA CON SAL 250GR  SADIA DELINE.</t>
  </si>
  <si>
    <t>MASCARILLA SOLAR NEGRA</t>
  </si>
  <si>
    <t>NUTRIBELA 15 ENZIMOTERAPIA 27ML CONTROL FRIZZ</t>
  </si>
  <si>
    <t>PAPEL 4 ROLLLOS 200HOJAS PANLOO</t>
  </si>
  <si>
    <t>PAPEL 4ROLLOS 280HOJAS LUCIANO EMP.AZUL</t>
  </si>
  <si>
    <t>SARDINA MARBONITA 170 GR SALSA TOMATE</t>
  </si>
  <si>
    <t>VASOS PLASTICOS 100UNID #27 LOS LLANOS.</t>
  </si>
  <si>
    <t xml:space="preserve">CANTIDAD </t>
  </si>
  <si>
    <t xml:space="preserve">PEGA LOKA </t>
  </si>
  <si>
    <t xml:space="preserve">COLETO GRADE 50X60CM DOCENA </t>
  </si>
  <si>
    <t>COD-H0052 POTE DE COCINA 2 LT</t>
  </si>
  <si>
    <t>COD-H0051 POTE DE COCINA 1 LT</t>
  </si>
  <si>
    <t>COD-H0127 CONSERVADOR REDONDO 2200ML</t>
  </si>
  <si>
    <t xml:space="preserve">COD-H0038 SANDWICHERA 1150ML </t>
  </si>
  <si>
    <t xml:space="preserve">BOLSAS DE 1 KG TRANSPARENTE SIN ASA </t>
  </si>
  <si>
    <t xml:space="preserve">COLADOR DE TELA </t>
  </si>
  <si>
    <t>BOLSA 22X60 PAQ. X 100 TRANSPARENTE (PRODUCCION)</t>
  </si>
  <si>
    <t>DOCENAS</t>
  </si>
  <si>
    <t>BOLSAS DE 10KG CON ASAS MILLAR</t>
  </si>
  <si>
    <t xml:space="preserve">CREMA ALIDENT VERDE </t>
  </si>
  <si>
    <t>AFEITADORA DESECHABLE MAX 3 MORADA</t>
  </si>
  <si>
    <t>AFEITADORA DESECHABLE MAX 3 VERDE</t>
  </si>
  <si>
    <t>HOJILLAS DORCO 12 PAQX 5 UND</t>
  </si>
  <si>
    <t>CREMA ALIDENT BLANQUEADORA</t>
  </si>
  <si>
    <t xml:space="preserve">NUTRIBELA 02 REPARACION INTENSIVA 27ML </t>
  </si>
  <si>
    <t xml:space="preserve">LADY SPEED STICK TALC 9GR </t>
  </si>
  <si>
    <t>XTREME NIGHT</t>
  </si>
  <si>
    <t>COD-H0060 VASOS 16 OZ</t>
  </si>
  <si>
    <t>YA TIENE 5 % DESCU APLICADO</t>
  </si>
  <si>
    <t xml:space="preserve">MILANESA DE POLLO 516 GR SKY CHEES </t>
  </si>
  <si>
    <t>est del  1/2 al 18/2</t>
  </si>
  <si>
    <t>17022022FA</t>
  </si>
  <si>
    <t>17022022BE</t>
  </si>
  <si>
    <t>MORTADELA DE POLLO DON RAMON 900 GR</t>
  </si>
  <si>
    <t>SALCH POLLO DON RAMON KG</t>
  </si>
  <si>
    <t>PEDIDO 21 DE FEBRERO</t>
  </si>
  <si>
    <t>100 KG</t>
  </si>
  <si>
    <t>12 BANDEJAS</t>
  </si>
  <si>
    <t>25 BANDEJAS</t>
  </si>
  <si>
    <t>15 BANDEJAS</t>
  </si>
  <si>
    <t>1702200OL</t>
  </si>
  <si>
    <t>17022022RR</t>
  </si>
  <si>
    <t>25 TORTAS</t>
  </si>
  <si>
    <t>2 TORTAS</t>
  </si>
  <si>
    <t>40 UND</t>
  </si>
  <si>
    <t>6 TORTAS</t>
  </si>
  <si>
    <t>CEREAL PLANET CRONCH 240 GR SANTONI</t>
  </si>
  <si>
    <t>CEREAL SPACE POP CHOCOLATE 240 GR SANTONI</t>
  </si>
  <si>
    <t>CEREAL SPACE POP VAINILLA 240 GR SANTONI</t>
  </si>
  <si>
    <t>8 TORTAS</t>
  </si>
  <si>
    <t>PASTA PLUMA 1KG RONCO</t>
  </si>
  <si>
    <t xml:space="preserve">PASTA 500 GR VERMICELLI RONCO </t>
  </si>
  <si>
    <t>250 CAJA</t>
  </si>
  <si>
    <t>PEDIDO 22 DE FEBRERO</t>
  </si>
  <si>
    <t>21022022T</t>
  </si>
  <si>
    <t>COCA COLA 355 ML ORIGINAL DE BOTELITA</t>
  </si>
  <si>
    <t>COCA COLA 355 ML ORIGINAL mini bomba</t>
  </si>
  <si>
    <t>und</t>
  </si>
  <si>
    <t>COMIDA PARA DOS MESES</t>
  </si>
  <si>
    <t>ARROZ  TIPO III 1KG  BLANCO  EMI</t>
  </si>
  <si>
    <t>X EMP 24</t>
  </si>
  <si>
    <t>ARROZ TRADICIONAL 1 KG MARY</t>
  </si>
  <si>
    <t>existencias de bultos</t>
  </si>
  <si>
    <t>UND en existencias</t>
  </si>
  <si>
    <t>HARINA PAN</t>
  </si>
  <si>
    <t xml:space="preserve">PASTA 1 KG SINDONI DITALINI </t>
  </si>
  <si>
    <t>PASTA 1 KG PLUMA MARY</t>
  </si>
  <si>
    <t>PASTA 1 KG VERMICELLI PREMIUM SINDONI</t>
  </si>
  <si>
    <t>PASTA 1 KG SINDONI (24 UND)</t>
  </si>
  <si>
    <t>MARGARINA 250 GR DELICATA 24UND)</t>
  </si>
  <si>
    <t>ACEITE COMESTIBLE 900 ML OLEO MIX (15 UND)</t>
  </si>
  <si>
    <t>SARDINAS 170GR PEÑERO (24UND)</t>
  </si>
  <si>
    <t>TOTAL $$</t>
  </si>
  <si>
    <t>UND QUE NESECITO X</t>
  </si>
  <si>
    <t xml:space="preserve">ARROZ BLANCO 1 KG DIAMANTE </t>
  </si>
  <si>
    <t>ARROZ BLANCO CONSENTIDO 1 KG</t>
  </si>
  <si>
    <t xml:space="preserve">ARROZ BLANCO TIPO II DOÑA FINA </t>
  </si>
  <si>
    <t xml:space="preserve">ARROZ BLANCO 1 KG </t>
  </si>
  <si>
    <t>PASTA LARGA PREMIUM LINGUINI 500 GR MARY.</t>
  </si>
  <si>
    <t>CAFE GOURMET 200GR GRANO DE MONTAÑA</t>
  </si>
  <si>
    <t xml:space="preserve">CAFE DEL SUR GOURMET 250 GR </t>
  </si>
  <si>
    <t>HARINA DE TRIGO 900 GR TODO USO MARY.</t>
  </si>
  <si>
    <t>23022022BB</t>
  </si>
  <si>
    <t>SARDINA OASIC</t>
  </si>
  <si>
    <t>2 UND</t>
  </si>
  <si>
    <t>23 DE FEBRERO</t>
  </si>
  <si>
    <t>COMBO #1</t>
  </si>
  <si>
    <t>ALFALFA 125 GR BENATURAL</t>
  </si>
  <si>
    <t xml:space="preserve">GERMINADO </t>
  </si>
  <si>
    <t>POLLO ENTERO (PROMEDIO 2,50KG)</t>
  </si>
  <si>
    <t>ARROZ FINA TIPO II</t>
  </si>
  <si>
    <t>SALCHICHA PRODALVA</t>
  </si>
  <si>
    <t>NUESTRO PRECIO</t>
  </si>
  <si>
    <t>BANCAMIGA</t>
  </si>
  <si>
    <t>ARROZ DIAMANTE FINA 1 KG</t>
  </si>
  <si>
    <t>ARROZ FINA EL CONSENTIDO 1 KG</t>
  </si>
  <si>
    <t>ARROZ DOÑA FINA 1 KG</t>
  </si>
  <si>
    <t>ARROZ LOLA LA RENDIDORA 800 GR (FINA)</t>
  </si>
  <si>
    <t>GALLETA DE ARROZ INTEGRAL 120 GR ALIMENTOS FINA</t>
  </si>
  <si>
    <t>MANZANA 1.5 LT 6 BOT PET NR</t>
  </si>
  <si>
    <t>KOLA  1 LT 6 BOT. PET</t>
  </si>
  <si>
    <t>NARANJA  1 LT 6 BOT. PET</t>
  </si>
  <si>
    <t>LIPTON LIMON  PET 1,5L x 6UN</t>
  </si>
  <si>
    <t>LIPTON  TE VERDE PET 1,5L x 6UN</t>
  </si>
  <si>
    <t>LIPTON DURAZNO PET 1,5L x 6UN</t>
  </si>
  <si>
    <t>Lista de precio de venta al comercio referencial con Vigencia 07-01-2022 USD</t>
  </si>
  <si>
    <t>utilidad</t>
  </si>
  <si>
    <t>BULTOS NECESARIO PARA PEDIDO</t>
  </si>
  <si>
    <t>22266-22267-22268</t>
  </si>
  <si>
    <t>ARROZ BLANCO (DIAMANTE 1 KG) ARROZ BLANCO TIPO I (CONSENTIDO 1 KG) ARROZ BLANCO TIPO II (DOÑAS FIÑA 1 KG)</t>
  </si>
  <si>
    <t xml:space="preserve">PASTA </t>
  </si>
  <si>
    <t>SAL REFINADA 1 KG CELESTIAL (AZUL) O LA SALVI</t>
  </si>
  <si>
    <t>HARINA DE TRIGO 1 KG RONCO OO MARY</t>
  </si>
  <si>
    <t xml:space="preserve">LENTEJA/arveja7FRIJOLES  </t>
  </si>
  <si>
    <t>PASTA  MARY. O CAPRI PRECIO TOPE 1.82$</t>
  </si>
  <si>
    <t>UND X PEDIDO</t>
  </si>
  <si>
    <t>ARROZ DOÑA FINA  TIPO II</t>
  </si>
  <si>
    <t>BULTO DE HARINA PAN       (20 UND)</t>
  </si>
  <si>
    <t>STR RONCO AGUA</t>
  </si>
  <si>
    <t>ARROZ DOÑA FINA  TIPO II (24 UND)</t>
  </si>
  <si>
    <t>PRECIO X UND DE FACTURACION</t>
  </si>
  <si>
    <t>AZUCAR 1 KG PAPEL MONTALBAN (20 UND )</t>
  </si>
  <si>
    <t>22022022RVT</t>
  </si>
  <si>
    <t>150 BULTOS</t>
  </si>
  <si>
    <t>PAÑO AMARILLO GRANDES DOCENA</t>
  </si>
  <si>
    <t xml:space="preserve">NUTRIBELA REPARACION INTENSIVA 27ML </t>
  </si>
  <si>
    <t>PASTA 1 KG LARGA (24 UND)</t>
  </si>
  <si>
    <t>PASTA 1 KG CORTA (24 UND)</t>
  </si>
  <si>
    <t>HARINA DE TRIGO (20 UND)</t>
  </si>
  <si>
    <t>MAYONESA  (12 UND)</t>
  </si>
  <si>
    <t>LECHE EN POLVO 1KG</t>
  </si>
  <si>
    <t>CAFÉ FAMA DE AMERICA 500GR</t>
  </si>
  <si>
    <t>MARGARINA 500GR DELICATA 24UND)</t>
  </si>
  <si>
    <t>COTIZACION DE 300 BULTO</t>
  </si>
  <si>
    <t>BULTOS INTERESADOS</t>
  </si>
  <si>
    <t xml:space="preserve">MERCANCIA A COTIZAR </t>
  </si>
  <si>
    <t>NUMERACION</t>
  </si>
  <si>
    <t>ARROZ DOÑA FINA   (24 UND)</t>
  </si>
  <si>
    <t>CHARCUTERIA FRANCIS</t>
  </si>
  <si>
    <t>CAFE GOURMET 500GR GR DE MONTAÑA (8 UNDX BULTO)</t>
  </si>
  <si>
    <t>ARROZ BLANCO TIPO I (CONSENTIDO)(1KG) (24 UND X BULTOS)</t>
  </si>
  <si>
    <t>ARROZ BLANCO TIPO II (DOÑA FINA) 1KG  (24 UND X BULTOS)</t>
  </si>
  <si>
    <t>PASTA MARY SUPERIOR VERMICELLI 1 KG  (12 UND X BULTOS)</t>
  </si>
  <si>
    <t>VERMICELLI (PREMIUM) 500 GR (24 UND X BULTOS)</t>
  </si>
  <si>
    <t>PASTA MARY SUPERIOR PLUMA 1 KG (12 UND X BULTOS)</t>
  </si>
  <si>
    <t>PLUMITAS (PREMIUM) 500GR (12 UND X BULTOS)</t>
  </si>
  <si>
    <t>BULTO DE HARINA PAN  (20UND X BULTOS)</t>
  </si>
  <si>
    <t>MAYONESA 445 GR KRAYS (12 UND X BULTOS)</t>
  </si>
  <si>
    <t>MAYONESA MEDITERRANEO 445 GR (12 UND X BULTOS)</t>
  </si>
  <si>
    <t>MAYONESA 445G MAVESA (12 UND X BULTOS)</t>
  </si>
  <si>
    <t>HARINA DE TRIGO 900 GR TODO USO MARY. (20UND X BULTOS)</t>
  </si>
  <si>
    <t>HARINA DE TRIGO LEUDANTE RONCO 1 KG (20UND X BULTOS)</t>
  </si>
  <si>
    <t>HARINA DE TRIGO TODO USO RONCO 1 KG (20UND X BULTOS)</t>
  </si>
  <si>
    <t>MARGARINA 500GR DELICATA (24UND X BULTOS)</t>
  </si>
  <si>
    <t>ACEITE COMESTIBLE 900 ML OLEO MIX (15UND X BULTOS)</t>
  </si>
  <si>
    <t>LECHE EN POLVO COMPLETA 1KG CAMPESTRE  (12 UND X BULTO)</t>
  </si>
  <si>
    <t>LECHE EN POLVO EXTRA CALCIO 1KG CAMPESTRE (12 UND X BULTO)</t>
  </si>
  <si>
    <t>PRECIO DE VENTA AL CLIENTE</t>
  </si>
  <si>
    <t>CAFE DEL SUR GOURMET 500 GR (20 UNDX BULTO)</t>
  </si>
  <si>
    <t xml:space="preserve">PRECIO X BULTO </t>
  </si>
  <si>
    <t>ARROZ BLANCO DOÑA FINA 1KG (24 UND X BULTO)</t>
  </si>
  <si>
    <t>(DIAMANTE)</t>
  </si>
  <si>
    <t>BSD X BULTO</t>
  </si>
  <si>
    <t>BULTO EN $$</t>
  </si>
  <si>
    <t>PEDIDO 3 DE MARZO</t>
  </si>
  <si>
    <t>no</t>
  </si>
  <si>
    <t xml:space="preserve">FIAMBRE ESPALDA ITALSALUMI  </t>
  </si>
  <si>
    <t>ESPALDA ITALSALUMI</t>
  </si>
  <si>
    <t>JAMON  DE PIERNA ITALSALUMI</t>
  </si>
  <si>
    <t xml:space="preserve">2 CAJA </t>
  </si>
  <si>
    <t>QUESO CREMA  KRAFT PREMIUM 226GR (36 UND X CAJA)</t>
  </si>
  <si>
    <t>PEDIDO  1 DE MARZO</t>
  </si>
  <si>
    <t>JAMON DE ESPALDA CAHUVENCA</t>
  </si>
  <si>
    <t>JAMON DE PIERNA CAHUVENCA</t>
  </si>
  <si>
    <t>MORTADELA ESPECIAL CAHUVENCA</t>
  </si>
  <si>
    <t>JAMON AHUMADO TIPO SHOULDER CAHUVENCA</t>
  </si>
  <si>
    <t>JAMON AREPERO CAHUVENCA</t>
  </si>
  <si>
    <t>PECHUGA DE PAVO CAHUVENCA</t>
  </si>
  <si>
    <t>JAMON DE PAVO AHUMADO CAHUVENCA</t>
  </si>
  <si>
    <t>2  CAJA</t>
  </si>
  <si>
    <t>11 CESTAS</t>
  </si>
  <si>
    <t>7 CESTAS</t>
  </si>
  <si>
    <t>PEDIDO 2 DE MARZO</t>
  </si>
  <si>
    <t>01032022MT</t>
  </si>
  <si>
    <t>26022022ES</t>
  </si>
  <si>
    <t>26022022EF</t>
  </si>
  <si>
    <t>MULTIPLICACION UND</t>
  </si>
  <si>
    <t>SUAVISANTE PARA ROPA TAPA AMARILLA 1LT</t>
  </si>
  <si>
    <t>DETERGENTE LIQUIDO LAVALLIN ORIGINA 1.80ML</t>
  </si>
  <si>
    <t>COSTO XBULTOS</t>
  </si>
  <si>
    <t>1 LT</t>
  </si>
  <si>
    <t>0.500ML</t>
  </si>
  <si>
    <t>1.800ML</t>
  </si>
  <si>
    <t>0.800ML</t>
  </si>
  <si>
    <t>0.400ML</t>
  </si>
  <si>
    <t>1. LT</t>
  </si>
  <si>
    <t>.1 LT</t>
  </si>
  <si>
    <t>1.LT</t>
  </si>
  <si>
    <t>0.450ML</t>
  </si>
  <si>
    <t>0.250ML</t>
  </si>
  <si>
    <r>
      <rPr>
        <b/>
        <sz val="11"/>
        <rFont val="Carlito"/>
        <family val="2"/>
      </rPr>
      <t>Jabón Liquido Tapa Amarilla</t>
    </r>
  </si>
  <si>
    <r>
      <rPr>
        <b/>
        <sz val="11"/>
        <rFont val="Carlito"/>
        <family val="2"/>
      </rPr>
      <t>Desmanchador  Tapa Amarilla Todo Color</t>
    </r>
  </si>
  <si>
    <r>
      <rPr>
        <b/>
        <sz val="11"/>
        <rFont val="Carlito"/>
        <family val="2"/>
      </rPr>
      <t>Suavizante para la ropa Tapa Amarilla</t>
    </r>
  </si>
  <si>
    <r>
      <rPr>
        <b/>
        <sz val="11"/>
        <rFont val="Carlito"/>
        <family val="2"/>
      </rPr>
      <t>Detergente Líquido Lavallín Original</t>
    </r>
  </si>
  <si>
    <r>
      <rPr>
        <b/>
        <sz val="11"/>
        <rFont val="Carlito"/>
        <family val="2"/>
      </rPr>
      <t>Suavizante para la ropa Lavalin Fragancia Bebé</t>
    </r>
  </si>
  <si>
    <r>
      <rPr>
        <b/>
        <sz val="11"/>
        <rFont val="Carlito"/>
        <family val="2"/>
      </rPr>
      <t>Desmanchador  Lavalín Ropa Color</t>
    </r>
  </si>
  <si>
    <r>
      <rPr>
        <b/>
        <sz val="11"/>
        <rFont val="Carlito"/>
        <family val="2"/>
      </rPr>
      <t>Detergente en Polvo Lavalín Reforzado</t>
    </r>
  </si>
  <si>
    <r>
      <rPr>
        <b/>
        <sz val="11"/>
        <rFont val="Carlito"/>
        <family val="2"/>
      </rPr>
      <t>Multiuso Tapa Amarilla Azul</t>
    </r>
  </si>
  <si>
    <r>
      <rPr>
        <b/>
        <sz val="11"/>
        <rFont val="Carlito"/>
        <family val="2"/>
      </rPr>
      <t>Multiuso Tapa Amarilla Rosado</t>
    </r>
  </si>
  <si>
    <r>
      <rPr>
        <b/>
        <sz val="11"/>
        <rFont val="Carlito"/>
        <family val="2"/>
      </rPr>
      <t>Cera Neutra Tapa Amarilla</t>
    </r>
  </si>
  <si>
    <r>
      <rPr>
        <b/>
        <sz val="11"/>
        <rFont val="Carlito"/>
        <family val="2"/>
      </rPr>
      <t>Limpiador en Polvo Tapa Amarilla</t>
    </r>
  </si>
  <si>
    <r>
      <rPr>
        <b/>
        <sz val="11"/>
        <rFont val="Carlito"/>
        <family val="2"/>
      </rPr>
      <t>Limpia Poceta Tapa Amarilla</t>
    </r>
  </si>
  <si>
    <r>
      <rPr>
        <b/>
        <sz val="11"/>
        <rFont val="Carlito"/>
        <family val="2"/>
      </rPr>
      <t>Ambientador Jabonoso Antibacterial Lavalín Lavanda</t>
    </r>
  </si>
  <si>
    <r>
      <rPr>
        <b/>
        <sz val="11"/>
        <rFont val="Carlito"/>
        <family val="2"/>
      </rPr>
      <t>Ambientador Jabonoso Antibacterial Lavalín Bebé</t>
    </r>
  </si>
  <si>
    <r>
      <rPr>
        <b/>
        <sz val="11"/>
        <rFont val="Carlito"/>
        <family val="2"/>
      </rPr>
      <t>Desgrasador Tapa Amarilla</t>
    </r>
  </si>
  <si>
    <r>
      <rPr>
        <b/>
        <sz val="11"/>
        <rFont val="Carlito"/>
        <family val="2"/>
      </rPr>
      <t>Desengrasante Tapa Amarilla</t>
    </r>
  </si>
  <si>
    <r>
      <rPr>
        <b/>
        <sz val="11"/>
        <rFont val="Carlito"/>
        <family val="2"/>
      </rPr>
      <t>Lavaplatos Líquido Tapa Amarilla Limón/Sábila</t>
    </r>
  </si>
  <si>
    <r>
      <rPr>
        <b/>
        <sz val="11"/>
        <rFont val="Carlito"/>
        <family val="2"/>
      </rPr>
      <t>Lavaplatos en crema Tapa Amarilla Limón/Sábila</t>
    </r>
  </si>
  <si>
    <r>
      <rPr>
        <b/>
        <sz val="11"/>
        <rFont val="Carlito"/>
        <family val="2"/>
      </rPr>
      <t>Desgrasador en Crema Titán</t>
    </r>
  </si>
  <si>
    <r>
      <rPr>
        <b/>
        <sz val="11"/>
        <rFont val="Carlito"/>
        <family val="2"/>
      </rPr>
      <t>Cloro Natural Tapa Amarilla</t>
    </r>
  </si>
  <si>
    <r>
      <rPr>
        <b/>
        <sz val="11"/>
        <rFont val="Carlito"/>
        <family val="2"/>
      </rPr>
      <t>Cloro Lavalín Extra Desinfección</t>
    </r>
  </si>
  <si>
    <t>NO USAR</t>
  </si>
  <si>
    <t>02032022F</t>
  </si>
  <si>
    <t>CHOCOCAO 400 GR</t>
  </si>
  <si>
    <t>2BULTOS</t>
  </si>
  <si>
    <t>ACEITE 1 MIRASOL 1 LT</t>
  </si>
  <si>
    <t xml:space="preserve">ACEIRE CORCOVADO </t>
  </si>
  <si>
    <t>LECHE EN POLVO 200GR DO BON</t>
  </si>
  <si>
    <t xml:space="preserve">TOALLAS HUMEDAS TANS </t>
  </si>
  <si>
    <t xml:space="preserve">TOALLAS SANITARIAS TANS TELA </t>
  </si>
  <si>
    <t xml:space="preserve">PROTECTORES  DIARIOS  TANS </t>
  </si>
  <si>
    <t xml:space="preserve">SHAMPOO TANS 3 EN 1 TAPA ROSADA </t>
  </si>
  <si>
    <t>CREMA DENTAL TANS NIÑO 98GR</t>
  </si>
  <si>
    <t>WIKI-WIKI NEGRO</t>
  </si>
  <si>
    <t>VELAS</t>
  </si>
  <si>
    <t>BOMBILLOS PERLA 60W</t>
  </si>
  <si>
    <t>CREMA DENTAL TANS 128GR</t>
  </si>
  <si>
    <t>SHAMPOO H&amp;S SUAVE 18ML</t>
  </si>
  <si>
    <t>SHAMPOO H&amp;S LIMPIEZA  18ML</t>
  </si>
  <si>
    <t xml:space="preserve">NUTIBELA REPARACION INTENCIVA </t>
  </si>
  <si>
    <t xml:space="preserve">NUTIBELA CAUTERIZACION </t>
  </si>
  <si>
    <t>NUTIBELA TERMOPROTECCION</t>
  </si>
  <si>
    <t>SUAVITEL LAVANDA 180ML</t>
  </si>
  <si>
    <t>SUAVITEL NATURAL ESENCIAL</t>
  </si>
  <si>
    <t>SUAVITAL PRIMAVERAL</t>
  </si>
  <si>
    <t>SUAVITEL FRESA CHOCOLATE</t>
  </si>
  <si>
    <t>SUAVITEL FLOR DE PRIMAVERA</t>
  </si>
  <si>
    <t>CAJITAS</t>
  </si>
  <si>
    <t>TAPA BOCA KINGS NEGRO (CAJITAS DE 50 UND)</t>
  </si>
  <si>
    <t>VELAS BLANCAS LA PERLA (PRESENTACION 80 UND)</t>
  </si>
  <si>
    <t xml:space="preserve">VELAS AV 30GR </t>
  </si>
  <si>
    <t>COD-H0025 COLADOR PARA JUGO 18 CM</t>
  </si>
  <si>
    <t xml:space="preserve">ACEITE 828 ML </t>
  </si>
  <si>
    <t>TAPA BOCAS (MASCARILLAS NEGRAS KN94)        CAJITA DE 50 UND</t>
  </si>
  <si>
    <t>CORN FLAKES 230GR</t>
  </si>
  <si>
    <t>$$$</t>
  </si>
  <si>
    <t>TOTAL A PAGAR $$</t>
  </si>
  <si>
    <t>ULTIMO LISTA DE PRECIO 7 DE  FEBRERO 2022</t>
  </si>
  <si>
    <t xml:space="preserve">QUESO AMARILLO GOUDA AGUA LINDA KG </t>
  </si>
  <si>
    <t>QUESO AMAR GUAMITO KG (PASTORA)</t>
  </si>
  <si>
    <t>PEDIDO 7 DE MARZO</t>
  </si>
  <si>
    <t>PASTA LINGUINI 500 GR SINDONI</t>
  </si>
  <si>
    <t>SALSA NAPOLITANA 490 GR SINDONI</t>
  </si>
  <si>
    <t>PASTA CORTA 1 KG SINDONI PLUMA PREMIUM</t>
  </si>
  <si>
    <t>PASTA PREMIUM 1 KG DITALI SINDONI</t>
  </si>
  <si>
    <t>JOJOTOS 4UND HACIENDA EL CAUJARAL</t>
  </si>
  <si>
    <t>MAIZ DULCE 12 UND EL CAUJARAL</t>
  </si>
  <si>
    <t>P</t>
  </si>
  <si>
    <t>30 KG</t>
  </si>
  <si>
    <t>MANTEQUILLA CON SAL 100 GR MARACAY</t>
  </si>
  <si>
    <t>TOMATE CHERRY 300 GR BENATURAL</t>
  </si>
  <si>
    <t xml:space="preserve"> DESPACHO 4 DE MARZO SEGUIMIENTO DE VENTA</t>
  </si>
  <si>
    <t xml:space="preserve"> FACCIMEN PARA PEDIDO</t>
  </si>
  <si>
    <t>EMP</t>
  </si>
  <si>
    <t>ESTUDIO 1 MES</t>
  </si>
  <si>
    <t>TOTAL FACTURA DE AUTOMERCADO EXPRESS 2707</t>
  </si>
  <si>
    <t>NO LO HEMOS ACTIVADO</t>
  </si>
  <si>
    <t>VASOS  PEPSI PARA LA MAQUINA</t>
  </si>
  <si>
    <t>8 DE MARZO</t>
  </si>
  <si>
    <t>CHARMY-07-0624</t>
  </si>
  <si>
    <t>CHARMY-07-0324</t>
  </si>
  <si>
    <t>CHARMY-07-0224</t>
  </si>
  <si>
    <r>
      <rPr>
        <b/>
        <sz val="8"/>
        <color rgb="FFFFFFFF"/>
        <rFont val="Arial"/>
        <family val="2"/>
      </rPr>
      <t>CODIGO</t>
    </r>
  </si>
  <si>
    <r>
      <rPr>
        <b/>
        <sz val="8"/>
        <color rgb="FFFFFFFF"/>
        <rFont val="Arial"/>
        <family val="2"/>
      </rPr>
      <t>CODIGO DE
BARRA UNIDAD</t>
    </r>
  </si>
  <si>
    <r>
      <rPr>
        <b/>
        <sz val="8"/>
        <color rgb="FFFFFFFF"/>
        <rFont val="Arial"/>
        <family val="2"/>
      </rPr>
      <t>Producto</t>
    </r>
  </si>
  <si>
    <r>
      <rPr>
        <b/>
        <sz val="8"/>
        <color rgb="FFFFFFFF"/>
        <rFont val="Arial"/>
        <family val="2"/>
      </rPr>
      <t>Unidad
de Medida</t>
    </r>
  </si>
  <si>
    <r>
      <rPr>
        <b/>
        <sz val="8"/>
        <color rgb="FFFFFFFF"/>
        <rFont val="Arial"/>
        <family val="2"/>
      </rPr>
      <t>Bulto
s/iva</t>
    </r>
  </si>
  <si>
    <r>
      <rPr>
        <b/>
        <sz val="8"/>
        <color rgb="FFFFFFFF"/>
        <rFont val="Arial"/>
        <family val="2"/>
      </rPr>
      <t>Unidad
s/iva</t>
    </r>
  </si>
  <si>
    <r>
      <rPr>
        <b/>
        <sz val="8"/>
        <color rgb="FFFFFFFF"/>
        <rFont val="Arial"/>
        <family val="2"/>
      </rPr>
      <t>Bulto
c/iva</t>
    </r>
  </si>
  <si>
    <r>
      <rPr>
        <b/>
        <sz val="8"/>
        <color rgb="FFFFFFFF"/>
        <rFont val="Arial"/>
        <family val="2"/>
      </rPr>
      <t>Unidad
c/iva</t>
    </r>
  </si>
  <si>
    <t>ARVEJAS-V-24X250</t>
  </si>
  <si>
    <t>ARVEJAS VERDES PARTIDAS MARY 24X250</t>
  </si>
  <si>
    <t>CARAOTAS-24X250</t>
  </si>
  <si>
    <t>CARAOTAS NEGRAS MARY 24X250</t>
  </si>
  <si>
    <t>LENTEJAS-24X250</t>
  </si>
  <si>
    <t>LENTEJAS MARY 24X250</t>
  </si>
  <si>
    <r>
      <rPr>
        <b/>
        <sz val="8"/>
        <color rgb="FFFFFFFF"/>
        <rFont val="Arial"/>
        <family val="2"/>
      </rPr>
      <t>SOPAS</t>
    </r>
  </si>
  <si>
    <r>
      <rPr>
        <b/>
        <sz val="8"/>
        <color rgb="FFFFFFFF"/>
        <rFont val="Arial"/>
        <family val="2"/>
      </rPr>
      <t>PASTAS MARY</t>
    </r>
  </si>
  <si>
    <t>PASTA MARY PREMIUM LINGUINI 24X500</t>
  </si>
  <si>
    <t>PASTA MARY PREMIUM VERMICELLI 24X500</t>
  </si>
  <si>
    <t>PASTA MARY PREMIUM TORNILLOS 12X500</t>
  </si>
  <si>
    <t>PASTA MARY PREMIUM PLUMITAS 12X500</t>
  </si>
  <si>
    <t>PASTA MARY PREMIUM DEDAL 12X500</t>
  </si>
  <si>
    <t>PASTA MARY PREMIUM MACARRON 12X500</t>
  </si>
  <si>
    <t>PASTA MARY PREMIUM RIGATONI 12X500</t>
  </si>
  <si>
    <t>PASTA-09-0112</t>
  </si>
  <si>
    <t>PASTA MARY PREMIUM VERMICELLI 12X1</t>
  </si>
  <si>
    <t>PASTA-09-0212</t>
  </si>
  <si>
    <t>PASTA MARY PREMIUM TORNILLO 12X1</t>
  </si>
  <si>
    <t>PASTA-09-0312</t>
  </si>
  <si>
    <t>PASTA MARY PREMIUM PLUMA 12X1</t>
  </si>
  <si>
    <t>PASTA-08-0112</t>
  </si>
  <si>
    <t>PASTA MARY SUPERIOR VERMICELLI 24X500</t>
  </si>
  <si>
    <t>PASTA-08-0312</t>
  </si>
  <si>
    <t>PASTA MARY SUPERIOR PLUMA 12X500</t>
  </si>
  <si>
    <t>PASTA-08-0212</t>
  </si>
  <si>
    <t>PASTA MARY SUPERIOR TORNILLO 12X500</t>
  </si>
  <si>
    <t>PASTA-07-0212</t>
  </si>
  <si>
    <t>PASTA TRADICIONAL VERMICELLI 24X500</t>
  </si>
  <si>
    <t>PASTA-07-0412</t>
  </si>
  <si>
    <t>PASTA TRADICIONAL PLUMA 12X500</t>
  </si>
  <si>
    <t>PASTA-07-0312</t>
  </si>
  <si>
    <t>PASTA TRADICIONAL TORNILLO 12X500</t>
  </si>
  <si>
    <t>PASTA-07-0112</t>
  </si>
  <si>
    <t>PASTA TRADICIONAL DEDAL 12X500</t>
  </si>
  <si>
    <r>
      <rPr>
        <b/>
        <sz val="8"/>
        <color rgb="FFFFFFFF"/>
        <rFont val="Arial"/>
        <family val="2"/>
      </rPr>
      <t>PASTAS EMI</t>
    </r>
  </si>
  <si>
    <r>
      <rPr>
        <b/>
        <sz val="8"/>
        <color rgb="FFFFFFFF"/>
        <rFont val="Arial"/>
        <family val="2"/>
      </rPr>
      <t>HARINAS EN
SACO</t>
    </r>
  </si>
  <si>
    <r>
      <rPr>
        <b/>
        <sz val="8"/>
        <color rgb="FFFFFFFF"/>
        <rFont val="Arial"/>
        <family val="2"/>
      </rPr>
      <t>HARINA
PANADERA</t>
    </r>
  </si>
  <si>
    <r>
      <rPr>
        <b/>
        <sz val="8"/>
        <color rgb="FFFFFFFF"/>
        <rFont val="Arial"/>
        <family val="2"/>
      </rPr>
      <t>ACEITE DE
OLIVA</t>
    </r>
  </si>
  <si>
    <r>
      <rPr>
        <b/>
        <sz val="8"/>
        <color rgb="FFFFFFFF"/>
        <rFont val="Arial"/>
        <family val="2"/>
      </rPr>
      <t>SNACKS</t>
    </r>
  </si>
  <si>
    <r>
      <rPr>
        <b/>
        <sz val="8"/>
        <color rgb="FFFFFFFF"/>
        <rFont val="Arial"/>
        <family val="2"/>
      </rPr>
      <t>CUBITOS</t>
    </r>
  </si>
  <si>
    <t>CUBITO-6248</t>
  </si>
  <si>
    <t>CUBITOS KNORR DE COSTILLA 6X24X8X10</t>
  </si>
  <si>
    <t>CUBITO-0624</t>
  </si>
  <si>
    <t>CUBITOS KNORR DE CARNE 6X24X8X10</t>
  </si>
  <si>
    <t>CUBITO-0424</t>
  </si>
  <si>
    <t>CUBITOS KNORR DE CARNE 4X24X12X10</t>
  </si>
  <si>
    <t>CUBITO-2412</t>
  </si>
  <si>
    <t>CUBITOS KNORR DE COSTILLA 4X24X12X10</t>
  </si>
  <si>
    <r>
      <rPr>
        <b/>
        <sz val="8"/>
        <color rgb="FFFFFFFF"/>
        <rFont val="Arial"/>
        <family val="2"/>
      </rPr>
      <t>FIDEOS</t>
    </r>
  </si>
  <si>
    <t>4 KG</t>
  </si>
  <si>
    <t>500 GR</t>
  </si>
  <si>
    <t>2 KG</t>
  </si>
  <si>
    <t>0.400 GR</t>
  </si>
  <si>
    <t xml:space="preserve">MAYONESA </t>
  </si>
  <si>
    <t xml:space="preserve">CARAOTA NEGRA O ARVEJA O LENTEJA </t>
  </si>
  <si>
    <t>UND X COMBO</t>
  </si>
  <si>
    <t>PRECIO</t>
  </si>
  <si>
    <t xml:space="preserve">MARGARINA 250 GR DELICATA </t>
  </si>
  <si>
    <t xml:space="preserve">BULTO DE HARINA PAN  </t>
  </si>
  <si>
    <t>ENSAYO</t>
  </si>
  <si>
    <t xml:space="preserve">aceite de soya vatel </t>
  </si>
  <si>
    <t xml:space="preserve">ACEITE 900ML </t>
  </si>
  <si>
    <t>PASTA CORTA 1 KG</t>
  </si>
  <si>
    <t>PASTA LARGA 1 KG</t>
  </si>
  <si>
    <t>PASTA CORTA 1 KG DEDAL RONCO</t>
  </si>
  <si>
    <t>AZUCAR SAN ONOFRE 1 KG</t>
  </si>
  <si>
    <t xml:space="preserve">CAFE 200GR   FLOR DE AMERICA </t>
  </si>
  <si>
    <t>CAFE 200 GR GOURMET DELLA NONNA</t>
  </si>
  <si>
    <t>CAFE GOURMET 200 GR COSECHA 1979</t>
  </si>
  <si>
    <t>CAFE MOLIDO GOURMET 200G  CAFE AMANECER</t>
  </si>
  <si>
    <t>CAFÉ 200gr</t>
  </si>
  <si>
    <t>AZUCAR 1 kg</t>
  </si>
  <si>
    <t>MAYONESA FERGOS 445GR</t>
  </si>
  <si>
    <t>YA IVA</t>
  </si>
  <si>
    <t xml:space="preserve">SALSA DE TOMATE KEPCHUP 397GR IBERIA </t>
  </si>
  <si>
    <t>SALSA DE TOMATE KEPTCHUP 397GR  HEINZ</t>
  </si>
  <si>
    <t>LENTEJA BEBE 900 GR PANTERA</t>
  </si>
  <si>
    <t>AVENA 400GR</t>
  </si>
  <si>
    <t xml:space="preserve">ARROZ BLANCO 1KG </t>
  </si>
  <si>
    <t>110 COMBOS</t>
  </si>
  <si>
    <t>CODIGOS INT</t>
  </si>
  <si>
    <t xml:space="preserve">ATUN LATA </t>
  </si>
  <si>
    <t>ATUN OASIS LATA</t>
  </si>
  <si>
    <t>08032022GG</t>
  </si>
  <si>
    <t>CÓDIGO PRODUCTO SAP</t>
  </si>
  <si>
    <t>CÓDIGO BARRAS Unidad</t>
  </si>
  <si>
    <t>Presentación</t>
  </si>
  <si>
    <t>Unidades</t>
  </si>
  <si>
    <t>PRECIO LISTA $USD. 
(SIN IVA)</t>
  </si>
  <si>
    <t>*PRECIO SUGERIDO DE VENTA  según Ley de Costos (30%)</t>
  </si>
  <si>
    <t xml:space="preserve">Precio Máximo Venta $USD. </t>
  </si>
  <si>
    <t>Sin/IVA</t>
  </si>
  <si>
    <t>Con/IVA</t>
  </si>
  <si>
    <t/>
  </si>
  <si>
    <t xml:space="preserve">DIABLITOS UNDERWOOD LATA </t>
  </si>
  <si>
    <t>703-0002118</t>
  </si>
  <si>
    <t>7591072000027</t>
  </si>
  <si>
    <t>Diablitos Underwood 54grs</t>
  </si>
  <si>
    <t>54g</t>
  </si>
  <si>
    <t>703-0002124</t>
  </si>
  <si>
    <t>7591072003622</t>
  </si>
  <si>
    <t xml:space="preserve">Diablitos Underwood 115grs </t>
  </si>
  <si>
    <t>115g</t>
  </si>
  <si>
    <t>703-0002896</t>
  </si>
  <si>
    <t>Diablitos Underwood Ahumado 54grs</t>
  </si>
  <si>
    <t>703-0002897</t>
  </si>
  <si>
    <t xml:space="preserve">Diablitos Underwood Ahumado 115grs </t>
  </si>
  <si>
    <t>703-0002687</t>
  </si>
  <si>
    <t>Diablitos Underwood Lata Promo 54grs</t>
  </si>
  <si>
    <t>703-0002688</t>
  </si>
  <si>
    <t xml:space="preserve">Diablitos Underwood Lata Promo 115grs </t>
  </si>
  <si>
    <t>703-0003171</t>
  </si>
  <si>
    <t>Diablitos Underwood Lata Promo Media Caja 24Pack 54grs</t>
  </si>
  <si>
    <t>703-0003172</t>
  </si>
  <si>
    <t>Diablitos Underwood Lata Promo Media Caja 12Pack 115grs</t>
  </si>
  <si>
    <t>703-0002715</t>
  </si>
  <si>
    <t>Diablitos Underwood Media Caja 24Pack 54gr</t>
  </si>
  <si>
    <t>703-0002716</t>
  </si>
  <si>
    <t>Diablitos Underwood Media Caja 12Pack 115gr</t>
  </si>
  <si>
    <t>703-0002898</t>
  </si>
  <si>
    <t>Diablitos Underwood Ahumado Media Caja 24Pack 54gr</t>
  </si>
  <si>
    <t>703-0002899</t>
  </si>
  <si>
    <t>Diablitos Underwood Ahumado Media Caja 12Pack 115gr</t>
  </si>
  <si>
    <t xml:space="preserve">DIABLITOS UNDERWOOD ALUMINIO </t>
  </si>
  <si>
    <t>703-0002332</t>
  </si>
  <si>
    <t>Diablitos Underwood Aluminio 50g</t>
  </si>
  <si>
    <t xml:space="preserve"> 50g</t>
  </si>
  <si>
    <t>703-0002137</t>
  </si>
  <si>
    <t>Diablitos Underwood Aluminio 100g</t>
  </si>
  <si>
    <t>100g</t>
  </si>
  <si>
    <t>703-0002657</t>
  </si>
  <si>
    <t>Diablitos Underwood Aluminio 3Pack 50g</t>
  </si>
  <si>
    <t>3 X 50g</t>
  </si>
  <si>
    <t>703-0002808</t>
  </si>
  <si>
    <t>Diablitos Underwood  4Pack 50gr</t>
  </si>
  <si>
    <t>12x50g</t>
  </si>
  <si>
    <t>703-0002809</t>
  </si>
  <si>
    <t>Diablitos Underwood  2Pack 100gr</t>
  </si>
  <si>
    <t>12x100g</t>
  </si>
  <si>
    <t>DIABLISABORES UNDERWOOD *</t>
  </si>
  <si>
    <t>703-0002754</t>
  </si>
  <si>
    <t>Diablisabores Mix de Especias 54gr</t>
  </si>
  <si>
    <t>703-0002755</t>
  </si>
  <si>
    <t>Diablisabores Mix de Especias  115gr</t>
  </si>
  <si>
    <t xml:space="preserve">RICO JAM UNDERWOOD </t>
  </si>
  <si>
    <t>703-0002176</t>
  </si>
  <si>
    <t>Rico Jam 54grs</t>
  </si>
  <si>
    <t>703-0002125</t>
  </si>
  <si>
    <t>Rico Jam 115grs</t>
  </si>
  <si>
    <t>703-0002717</t>
  </si>
  <si>
    <t>Rico Jam Media Caja 24X54gr</t>
  </si>
  <si>
    <t>703-0002714</t>
  </si>
  <si>
    <t>Rico Jam Media Caja 12Pack 115gr</t>
  </si>
  <si>
    <t>SALSA PARA PASTA UNDERWOOD</t>
  </si>
  <si>
    <t>703-0002126</t>
  </si>
  <si>
    <t>7591072000379</t>
  </si>
  <si>
    <t>Salsa Diablitos 120gr Lata</t>
  </si>
  <si>
    <t>120g</t>
  </si>
  <si>
    <t>703-0002127</t>
  </si>
  <si>
    <t>Salsa Napolitana 120gr Lata</t>
  </si>
  <si>
    <t>703-0002179</t>
  </si>
  <si>
    <t>Salsa Bolognesa 120gr Lata</t>
  </si>
  <si>
    <t>703-0002180</t>
  </si>
  <si>
    <t>Salsa Diablitos 190gr Vidrio</t>
  </si>
  <si>
    <t>190g</t>
  </si>
  <si>
    <t>703-0002181</t>
  </si>
  <si>
    <t>Salsa Napolitana 190gr Vidrio</t>
  </si>
  <si>
    <t>703-0002182</t>
  </si>
  <si>
    <t>Salsa Bolognesa 190gr Vidrio</t>
  </si>
  <si>
    <t>703-0002183</t>
  </si>
  <si>
    <t>Salsa Diablitos 490gr Vidrio</t>
  </si>
  <si>
    <t>490g</t>
  </si>
  <si>
    <t>703-0002184</t>
  </si>
  <si>
    <t>Salsa Napolitana 490gr Vidrio</t>
  </si>
  <si>
    <t>703-0002185</t>
  </si>
  <si>
    <t>Salsa Bolognesa 490gr Vidrio</t>
  </si>
  <si>
    <t xml:space="preserve">SPP FRESCARINI </t>
  </si>
  <si>
    <t>703-0002791</t>
  </si>
  <si>
    <t>Salsa Pavo y Especias 190gr</t>
  </si>
  <si>
    <t>703-0002793</t>
  </si>
  <si>
    <t>Salsa Bolognesa 190gr</t>
  </si>
  <si>
    <t>703-0002811</t>
  </si>
  <si>
    <t>Salsa Tomate Albahaca 190gr</t>
  </si>
  <si>
    <t>703-0002813</t>
  </si>
  <si>
    <t>Salsa de Vino 190gr</t>
  </si>
  <si>
    <t>703-0002865</t>
  </si>
  <si>
    <t>Salsa Arrabiata 190gr</t>
  </si>
  <si>
    <t>703-0002867</t>
  </si>
  <si>
    <t>Salsa para Pizza 190gr</t>
  </si>
  <si>
    <t>703-0002935</t>
  </si>
  <si>
    <t>Salsa con Chorizo 190gr</t>
  </si>
  <si>
    <t>703-0002941</t>
  </si>
  <si>
    <t>Salsa con Chrorizo Picante 190rg</t>
  </si>
  <si>
    <t>703-0002952</t>
  </si>
  <si>
    <t>Salsa Napolitana con Queso 190gr</t>
  </si>
  <si>
    <t>703-0002957</t>
  </si>
  <si>
    <t>Salsa con Salchicha 190gr</t>
  </si>
  <si>
    <t>703-0002963</t>
  </si>
  <si>
    <t>Salsa con Jamón 190gr</t>
  </si>
  <si>
    <t>703-0002792</t>
  </si>
  <si>
    <t>Salsa Pavo y Especias 490gr</t>
  </si>
  <si>
    <t>703-0002794</t>
  </si>
  <si>
    <t>Salsa Bolognesa 490gr</t>
  </si>
  <si>
    <t>703-0002812</t>
  </si>
  <si>
    <t>Salsa Tomate Albahaca 490gr</t>
  </si>
  <si>
    <t>703-0002814</t>
  </si>
  <si>
    <t>Salsa de Vino 490gr</t>
  </si>
  <si>
    <t>703-0002866</t>
  </si>
  <si>
    <t>Salsa Arrabiata 490gr</t>
  </si>
  <si>
    <t>703-0002868</t>
  </si>
  <si>
    <t>Salsa para Pizza 490gr</t>
  </si>
  <si>
    <t>703-0002936</t>
  </si>
  <si>
    <t>Salsa con Chorizo 490gr</t>
  </si>
  <si>
    <t>703-0002942</t>
  </si>
  <si>
    <t>Salsa con Chrorizo Picante 490rg</t>
  </si>
  <si>
    <t>703-0002953</t>
  </si>
  <si>
    <t>Salsa Napolitana con Queso 490gr</t>
  </si>
  <si>
    <t>703-0002958</t>
  </si>
  <si>
    <t>Salsa con Salchicha 490gr</t>
  </si>
  <si>
    <t>703-0002964</t>
  </si>
  <si>
    <t>Salsa con Jamón 490gr</t>
  </si>
  <si>
    <t>BASE PARA GUISO FRESCARINI</t>
  </si>
  <si>
    <t>703-0002817</t>
  </si>
  <si>
    <t>Base para Guisos Carne 490gr</t>
  </si>
  <si>
    <t>703-0002818</t>
  </si>
  <si>
    <t>Base para Guisos Pollo 490gr</t>
  </si>
  <si>
    <t xml:space="preserve">DIPS UNDERWOOD </t>
  </si>
  <si>
    <t>703-0002788</t>
  </si>
  <si>
    <t>Dips Diablitos</t>
  </si>
  <si>
    <t>220g</t>
  </si>
  <si>
    <t>703-0002789</t>
  </si>
  <si>
    <t>Dips Diablitos Picante</t>
  </si>
  <si>
    <t>703-0002790</t>
  </si>
  <si>
    <t>Dips Diablitos Pimientos Morrones</t>
  </si>
  <si>
    <t>703-0003065</t>
  </si>
  <si>
    <t>Dips Diablitos Surtidos</t>
  </si>
  <si>
    <t>703-0002882</t>
  </si>
  <si>
    <t>703-0002883</t>
  </si>
  <si>
    <t>703-0002884</t>
  </si>
  <si>
    <t>KETCHUP UNDERWOOD</t>
  </si>
  <si>
    <t>703-0003008</t>
  </si>
  <si>
    <t>Salsa de Tomate Ketchup Media Caja 12 X 397G</t>
  </si>
  <si>
    <t>397g</t>
  </si>
  <si>
    <t>703-0003006</t>
  </si>
  <si>
    <t>Salsa de Tomate Ketchup 24 X 397G</t>
  </si>
  <si>
    <t>703-0003009</t>
  </si>
  <si>
    <t>Salsa de Tomate Ketchup Con Diablitos Media Caja 12 X 380G</t>
  </si>
  <si>
    <t>380g</t>
  </si>
  <si>
    <t>703-0003007</t>
  </si>
  <si>
    <t>Salsa de Tomate Ketchup Con Diablitos 24 X 380G</t>
  </si>
  <si>
    <t>RICA DELI UNDERWOOD</t>
  </si>
  <si>
    <t>703-0002831</t>
  </si>
  <si>
    <t>Rica Deli Pollo 120gr</t>
  </si>
  <si>
    <t>703-0002832</t>
  </si>
  <si>
    <t>Rica Deli Carne 120gr</t>
  </si>
  <si>
    <t>703-0002902</t>
  </si>
  <si>
    <t>Rica Deli Cerdo 120gr</t>
  </si>
  <si>
    <t>703-0002920</t>
  </si>
  <si>
    <t>Rica Deli Guiso Navideño 120gr</t>
  </si>
  <si>
    <t>703-0003005</t>
  </si>
  <si>
    <t>Rica Deli Guiso Navideño Media Caja 12x120gr</t>
  </si>
  <si>
    <t>IMPORTADOS NATURE VALLEY</t>
  </si>
  <si>
    <t>703-2646000</t>
  </si>
  <si>
    <t>Barras de Granola Crujiente con Avena y Miel 12CSE 6X42G</t>
  </si>
  <si>
    <t>253g</t>
  </si>
  <si>
    <t>703-2770600</t>
  </si>
  <si>
    <t>Barra de Granola con Almendras 12CSE 6X35G</t>
  </si>
  <si>
    <t>210g</t>
  </si>
  <si>
    <t>703-2770700</t>
  </si>
  <si>
    <t>Barra de Granola con Mani 12CSE 6X35G</t>
  </si>
  <si>
    <t>703-2892000</t>
  </si>
  <si>
    <t>Barra de Avena Tostada con Almendras  12CSE 6X42G</t>
  </si>
  <si>
    <t>703-4226800</t>
  </si>
  <si>
    <t>Barra de Granola Crujiente con Avena y Miel  6CSE 18X42G</t>
  </si>
  <si>
    <t>760g</t>
  </si>
  <si>
    <t>703-1512000</t>
  </si>
  <si>
    <t>Barra de Avena y Arroz Inflado con Mezcla de Frambuesa, Fresa y Arandano 8CSE 16X35G</t>
  </si>
  <si>
    <t>558g</t>
  </si>
  <si>
    <t>703-4398000</t>
  </si>
  <si>
    <t>Barra de Avena y Arroz Inflado con Mezcla de Frambuesa, Fresa y Arandano 12CSE 6X35G</t>
  </si>
  <si>
    <t>703-4854100</t>
  </si>
  <si>
    <t>Barra de Granola Crujiente con Coco 12CSE 6X42G</t>
  </si>
  <si>
    <t>703-2785500</t>
  </si>
  <si>
    <t>Barra de Granola con Chocolate Oscuro, Maní y Almendra 12CSE 6X35G</t>
  </si>
  <si>
    <t>703-4131400</t>
  </si>
  <si>
    <t>Barra de Granola Crujiente con Avena y Chocolate Oscuro    12CSE 6X42G</t>
  </si>
  <si>
    <t>703-3353000</t>
  </si>
  <si>
    <t>Barra de Granola Crujiente De Avena Y Miel 18CT</t>
  </si>
  <si>
    <t>703-4112600</t>
  </si>
  <si>
    <t>Barras de Granola Crujiente Surtida (Avena y Miel / Maní / Avena Con Chocolate Oscuro) 12CSE 6X42G</t>
  </si>
  <si>
    <t>703-3355000</t>
  </si>
  <si>
    <t>Barra de Granola Crujiente de Maní y Mantequilla de Maní 6CSE 18X42G</t>
  </si>
  <si>
    <t>703-4206700</t>
  </si>
  <si>
    <t>Barra de Granola de Maní  Cubierta con Mantequilla de Maní 8CSE 16X35G</t>
  </si>
  <si>
    <t>703-3126100</t>
  </si>
  <si>
    <t>Barra de Granola Crujiente de Avena con Chocolate Oscuro 6CSE 18X42G</t>
  </si>
  <si>
    <t>IMPORTADOS BETTY CROCKER</t>
  </si>
  <si>
    <t>703-2718500</t>
  </si>
  <si>
    <t>Cobertura para Torta Sabor a Chocolate Negro 8X453G</t>
  </si>
  <si>
    <t>453g</t>
  </si>
  <si>
    <t>703-4121800</t>
  </si>
  <si>
    <t>Cobertura para Torta Sabor a Chocolate con Leche 8X453G</t>
  </si>
  <si>
    <t>703-3067000</t>
  </si>
  <si>
    <t>Mezcla Para Preparar Galletas Sabor a Chocolate con Chispas de Chocolate 12X496G</t>
  </si>
  <si>
    <t>496g</t>
  </si>
  <si>
    <t>703-4098200</t>
  </si>
  <si>
    <t>Mezcla Para Preparar Torta Endiablada 12X432G</t>
  </si>
  <si>
    <t>432g</t>
  </si>
  <si>
    <t>703-4098900</t>
  </si>
  <si>
    <t>Mezcla Para Preparar Torta Sabor a Chocolate Fudge 12X432G</t>
  </si>
  <si>
    <t>703-4099200</t>
  </si>
  <si>
    <t>Mezcla Para Preparar Torta Sabor a Chocolate Alemán 12X432G</t>
  </si>
  <si>
    <t>703-8134100</t>
  </si>
  <si>
    <t>Mezcla para Preparar Brownie con Nueces 12X467G</t>
  </si>
  <si>
    <t>467g</t>
  </si>
  <si>
    <t>703-4305400</t>
  </si>
  <si>
    <t>Mezcla para Preparar Torta Sabor a Vainilla Amarilla</t>
  </si>
  <si>
    <t>703-3065000</t>
  </si>
  <si>
    <t>Mezcla Para Galletas con Chocolate Chip</t>
  </si>
  <si>
    <t>ATUN GRAN ROQUE</t>
  </si>
  <si>
    <t>703-0002990</t>
  </si>
  <si>
    <t>Lomo de Atún en Agua 48X140gr</t>
  </si>
  <si>
    <t>140g</t>
  </si>
  <si>
    <t>703-0002991</t>
  </si>
  <si>
    <t>Lomo de Atún en Aceite 48X140gr</t>
  </si>
  <si>
    <t>703-0003063</t>
  </si>
  <si>
    <t>Lomo de Atún en Agua 48X160gr</t>
  </si>
  <si>
    <t>160g</t>
  </si>
  <si>
    <t>703-0003064</t>
  </si>
  <si>
    <t>Lomo de Atún en Aceite 48X160gr</t>
  </si>
  <si>
    <t>703-0003235</t>
  </si>
  <si>
    <t>7 275682 477362</t>
  </si>
  <si>
    <t>Ensalada de Atun C/Vegetales y Maíz 48X160G</t>
  </si>
  <si>
    <t>703-0003236</t>
  </si>
  <si>
    <t>7 275682 477386</t>
  </si>
  <si>
    <t>Atún El Caribeño en Aceite Vegetal 48X160G</t>
  </si>
  <si>
    <t>703-0003237</t>
  </si>
  <si>
    <t>7 275682 477379</t>
  </si>
  <si>
    <t>Atún El Caribeño en Agua 48 X 160G</t>
  </si>
  <si>
    <t>UNTABLES MERMELADA</t>
  </si>
  <si>
    <t>703-0003096</t>
  </si>
  <si>
    <t>SDLA MERMELADA DE FRESA 12 X 250G</t>
  </si>
  <si>
    <t>250g</t>
  </si>
  <si>
    <t>703-0003097</t>
  </si>
  <si>
    <t>SDLA MERMELADA DE GUAYABA 12 X 250G</t>
  </si>
  <si>
    <t>703-0003098</t>
  </si>
  <si>
    <t>SDLA MERMELADA DE PIÑA 12 X 250G</t>
  </si>
  <si>
    <t xml:space="preserve">INV X UND </t>
  </si>
  <si>
    <t>PÉDIDO</t>
  </si>
  <si>
    <t>COSTO X UND $</t>
  </si>
  <si>
    <t>COSTO X BULTO $$</t>
  </si>
  <si>
    <t>GRAMOS</t>
  </si>
  <si>
    <t xml:space="preserve">SUPER LIDER </t>
  </si>
  <si>
    <t>CENTRAL MADEIRESE</t>
  </si>
  <si>
    <t>SAN DIEGO</t>
  </si>
  <si>
    <t>TASA DEL DIA BCV</t>
  </si>
  <si>
    <t>EXPRESS</t>
  </si>
  <si>
    <t>HARINA PAN 1KG PRECIO</t>
  </si>
  <si>
    <t>10032022DI</t>
  </si>
  <si>
    <t>DESCUENTO 10 %</t>
  </si>
  <si>
    <t xml:space="preserve">TASA </t>
  </si>
  <si>
    <t xml:space="preserve">TOTAL BSD </t>
  </si>
  <si>
    <t>DESCUENRO 5 %</t>
  </si>
  <si>
    <t>BASE IMP</t>
  </si>
  <si>
    <t>PREFORMA</t>
  </si>
  <si>
    <t>FACT DE DESPCH</t>
  </si>
  <si>
    <t>311.6.</t>
  </si>
  <si>
    <t>DESCUENTO 5%</t>
  </si>
  <si>
    <t>UND EN  BSD</t>
  </si>
  <si>
    <t xml:space="preserve">PRECIO YA CON GANANCIA </t>
  </si>
  <si>
    <t>2 CAJAS</t>
  </si>
  <si>
    <t>14 DE MARZO</t>
  </si>
  <si>
    <t>1 TOBO</t>
  </si>
  <si>
    <t>del 14/2 al 14/3</t>
  </si>
  <si>
    <t>DESCONTADO</t>
  </si>
  <si>
    <t>1CAJA</t>
  </si>
  <si>
    <t>COCA COLA DE BOTELLITA RETORNABLE 350ML</t>
  </si>
  <si>
    <t>PEPSI RETORNABLE 350MLx24UN</t>
  </si>
  <si>
    <t>15 DE MARZO</t>
  </si>
  <si>
    <t>REFRESCO HIT NARANJA 1.5LTS COCA COLA</t>
  </si>
  <si>
    <t>PEDIDO 15 DE MARZO</t>
  </si>
  <si>
    <t>12032022V</t>
  </si>
  <si>
    <t>12032022FE</t>
  </si>
  <si>
    <t>300 BULTOS</t>
  </si>
  <si>
    <t>200 BULTOS</t>
  </si>
  <si>
    <t>AZUCAR ITAMARATI 1 KG</t>
  </si>
  <si>
    <t>AZUCAR EL CONDE 500GR</t>
  </si>
  <si>
    <t>ACEITE DE GIRASOL 1 LT MIRASOL</t>
  </si>
  <si>
    <t>BOLSA PLASTICAS 10 KG POR MILLAR</t>
  </si>
  <si>
    <t>BOLSAS TRANSPARENTE 22X60 SIN ASA MILLAR(PRODUCCION)</t>
  </si>
  <si>
    <t>BOMBILLO PERLA LUZ LED 60W</t>
  </si>
  <si>
    <t>COLADOR DE CAFE EN TELA (AVION)</t>
  </si>
  <si>
    <t>COLADOR PARA JUGO 18 CM C-0025</t>
  </si>
  <si>
    <t>COLETO GRANDE (AVION)</t>
  </si>
  <si>
    <t>CONSERVADOR RED 2200 LT H0127 (AVION)</t>
  </si>
  <si>
    <t>CREMA DENTAL TANS FRESA 2-6 AÑOS</t>
  </si>
  <si>
    <t>HOJILLAS NEW PLATINUM 5UNID DORCO</t>
  </si>
  <si>
    <t>LECHE 200 GR DO BOM</t>
  </si>
  <si>
    <t>MASCARILLA NEGRAS KF94 1PCS</t>
  </si>
  <si>
    <t>MASCARILLA SOLAR NEGRA KINGS</t>
  </si>
  <si>
    <t>NUTRIBELA 15 NUTRICION AVANZADA 27ML</t>
  </si>
  <si>
    <t>NUTRIBELA 15 REPOLARIZACION 27 ML EN FRIO</t>
  </si>
  <si>
    <t>NUTRIBELA 15 TERMOPROTECCION 27ML INTENSIVA</t>
  </si>
  <si>
    <t>PAÑO AMARILLO GRANDE ROBERTI (AVION)</t>
  </si>
  <si>
    <t>POTE DE COCINA 1 LT H0051 (AVION)</t>
  </si>
  <si>
    <t>POTE DE COCINA 2 LTR H0052 (AV)</t>
  </si>
  <si>
    <t>PROTECTORES DIARIO 20 UND TANS</t>
  </si>
  <si>
    <t>SANDWICHERA H0038 (AVION)</t>
  </si>
  <si>
    <t>SUAVITEL 200ML  SOBRE VAINILLA       SUAVITEL</t>
  </si>
  <si>
    <t>SUAVITEL 200ML SOBRESFRESCA PRIMAVERA SUAVITEL</t>
  </si>
  <si>
    <t>SUAVITEL NATURAL ESSENTIALS 180 ML</t>
  </si>
  <si>
    <t>SUAVITEL TODO EN UNO 180 ML FLOR DE PRIMAVERA</t>
  </si>
  <si>
    <t>TOALLA HUMEDAS TANS EXTRACTO MANZANILLA 78 UND</t>
  </si>
  <si>
    <t>TOALLAS SANITARIAS 10 UND TANS</t>
  </si>
  <si>
    <t>VASO 16ONZ H0060 (AVION)</t>
  </si>
  <si>
    <t>VIKI-VIKI PARA TEÑIR ROPA 15GR NEGRO.</t>
  </si>
  <si>
    <t xml:space="preserve">ACEITE SOYA VATEL </t>
  </si>
  <si>
    <t xml:space="preserve">SARDINA LOS ROQUES 170GR TOMATE O ACEITE </t>
  </si>
  <si>
    <t>15032022E</t>
  </si>
  <si>
    <t>16032022ZZ</t>
  </si>
  <si>
    <t>RIGATONI (PREMIUM) 12X500</t>
  </si>
  <si>
    <t>MACARRON (PREMIUM) 12X500</t>
  </si>
  <si>
    <t>DEDAL (PREMIUM) 12X500</t>
  </si>
  <si>
    <t>PLUMITAS (PREMIUM) 12X500</t>
  </si>
  <si>
    <t>TORNILLOS (PREMIUM) 12X500</t>
  </si>
  <si>
    <t>VERMICELLI (PREMIUM) 24X500</t>
  </si>
  <si>
    <t>LINGUINI (ESPECIALIDADES) 24X500</t>
  </si>
  <si>
    <t>X</t>
  </si>
  <si>
    <t>SI</t>
  </si>
  <si>
    <t>GALLETA MARIA CALEDONIA 168GR (NUEVA IMAGEN)</t>
  </si>
  <si>
    <t>GALLETAS TIPTOP LIMON 48X80</t>
  </si>
  <si>
    <t>CODIGO DE
BARRA UNIDAD</t>
  </si>
  <si>
    <t>Unidad
de Medida</t>
  </si>
  <si>
    <t>Bulto
s/iva</t>
  </si>
  <si>
    <t>Unidad
s/iva</t>
  </si>
  <si>
    <t>Bulto
c/iva</t>
  </si>
  <si>
    <t>Unidad
c/iva</t>
  </si>
  <si>
    <t>ARROZ</t>
  </si>
  <si>
    <t>NUEVOS PRECIOS</t>
  </si>
  <si>
    <t>MAIZ DULCE PROVEFRU 1 KG</t>
  </si>
  <si>
    <t>PEDIDO 21 DE MARZO</t>
  </si>
  <si>
    <t xml:space="preserve"> PEDIDO 21 DE MARZO</t>
  </si>
  <si>
    <t>5 BOLSAS</t>
  </si>
  <si>
    <t>MASCARILLAS KN94 NEGRAS (50 UND)</t>
  </si>
  <si>
    <t>MASCARILLAS KN95GRIS (10UND)</t>
  </si>
  <si>
    <t>18032022NC</t>
  </si>
  <si>
    <t>18032022NL</t>
  </si>
  <si>
    <t>19032022ZQ</t>
  </si>
  <si>
    <t>PESO APROX</t>
  </si>
  <si>
    <t>QUESO CABRA PURISIMA KG (TUNAL)</t>
  </si>
  <si>
    <t>22032022CY</t>
  </si>
  <si>
    <t>PEDIDO 23 DE MARZO</t>
  </si>
  <si>
    <t>23032022W</t>
  </si>
  <si>
    <t>CARNE DE GUISAR</t>
  </si>
  <si>
    <t>CARNE MOLIDA KIPPER</t>
  </si>
  <si>
    <t>PRECIO DE VENTA $     X KG</t>
  </si>
  <si>
    <t>HUESO ROJO</t>
  </si>
  <si>
    <t>PRECIO CON DESCUENTO</t>
  </si>
  <si>
    <t>COSTO DE LA EMPRESA</t>
  </si>
  <si>
    <t>??</t>
  </si>
  <si>
    <t>LOS HUEVO EL MARGEN DE VENTA ES DE 20% OJO</t>
  </si>
  <si>
    <t>PRECIO  $     X KG</t>
  </si>
  <si>
    <t>APROBADO</t>
  </si>
  <si>
    <t>22032022SI</t>
  </si>
  <si>
    <t>ALAS PARRILLERAS KG</t>
  </si>
  <si>
    <t>MUSLO PARRILLERO KG</t>
  </si>
  <si>
    <t xml:space="preserve">OFERTA SEMANA SANTA. PEPSI 2 LT </t>
  </si>
  <si>
    <t>FICHA</t>
  </si>
  <si>
    <t>CODIGO DE VENTA 2573                                 COMBO PARRILLERO DE AUTOMERCADO EXPRESS</t>
  </si>
  <si>
    <t>HECHO 24 DE MARZO</t>
  </si>
  <si>
    <t>MUSLO DE POLLO KG</t>
  </si>
  <si>
    <t>QUESO DURO LLANERO KG</t>
  </si>
  <si>
    <t>???</t>
  </si>
  <si>
    <t>4 caja</t>
  </si>
  <si>
    <t>Iva</t>
  </si>
  <si>
    <t>todos los Productos</t>
  </si>
  <si>
    <t>Rif.: J-00162686-7</t>
  </si>
  <si>
    <t>Mayonesa</t>
  </si>
  <si>
    <t xml:space="preserve"> solo Mayonesa/vinagre</t>
  </si>
  <si>
    <t>DIRECCION NACIONAL DE VENTAS</t>
  </si>
  <si>
    <t xml:space="preserve">LISTA 1 : </t>
  </si>
  <si>
    <t xml:space="preserve">Lista de Precios a Distribuidores pagando en Divisas y/o prepago en moneda local </t>
  </si>
  <si>
    <t>ALIMENTOS LA GIRALDA, C.A.</t>
  </si>
  <si>
    <t xml:space="preserve">LISTADO DE PRECIOS </t>
  </si>
  <si>
    <t>PRECIO SUGERIDO</t>
  </si>
  <si>
    <t xml:space="preserve">P.Promedio </t>
  </si>
  <si>
    <t>CÓDIGO DE BARRA</t>
  </si>
  <si>
    <t>CÓDIGO</t>
  </si>
  <si>
    <t>Und. Por Caja</t>
  </si>
  <si>
    <t>BASE IMPONIBLE US$</t>
  </si>
  <si>
    <t>Costo Unitario</t>
  </si>
  <si>
    <t>COSTO POR UNIDAD $ CON IVA</t>
  </si>
  <si>
    <t xml:space="preserve">PMVP </t>
  </si>
  <si>
    <t>BASE IMPONIBLE Bs.S.</t>
  </si>
  <si>
    <t>CAJAS SOLICITADAS</t>
  </si>
  <si>
    <t>PESO/ CAJA</t>
  </si>
  <si>
    <t>PESO X LINEA</t>
  </si>
  <si>
    <t>$. POR RUBRO</t>
  </si>
  <si>
    <t>CONDICION ESPECIAL</t>
  </si>
  <si>
    <t>4MKE003</t>
  </si>
  <si>
    <t>Salsa de Tomate Ketchup</t>
  </si>
  <si>
    <t>198 gr</t>
  </si>
  <si>
    <t>7591015000848</t>
  </si>
  <si>
    <t>4MKE004</t>
  </si>
  <si>
    <t xml:space="preserve">Salsa Ketchup </t>
  </si>
  <si>
    <t>397 gr</t>
  </si>
  <si>
    <t>7591015000824</t>
  </si>
  <si>
    <t>4MTO018</t>
  </si>
  <si>
    <t>Salsa para Carnes 79</t>
  </si>
  <si>
    <t>380g.</t>
  </si>
  <si>
    <t>4MTO013</t>
  </si>
  <si>
    <t xml:space="preserve">Salsa Base La Hacienda </t>
  </si>
  <si>
    <t>4MTO010</t>
  </si>
  <si>
    <t xml:space="preserve">Jugo de Tomate  250 ML x 24 </t>
  </si>
  <si>
    <t>250ml</t>
  </si>
  <si>
    <t>7591015152127</t>
  </si>
  <si>
    <t>4MTO012</t>
  </si>
  <si>
    <t>Pure de Tomate Tomatodo</t>
  </si>
  <si>
    <t>190 gr.</t>
  </si>
  <si>
    <t>7591015000275</t>
  </si>
  <si>
    <t>4MTO011</t>
  </si>
  <si>
    <t>490g.</t>
  </si>
  <si>
    <t>4MTO017</t>
  </si>
  <si>
    <t>Salsa Napolitana</t>
  </si>
  <si>
    <t>190g.</t>
  </si>
  <si>
    <t>4MTO015</t>
  </si>
  <si>
    <t>Salsa Bolognesa</t>
  </si>
  <si>
    <t>4MTO016</t>
  </si>
  <si>
    <t>4MTO014</t>
  </si>
  <si>
    <t>7591015001074</t>
  </si>
  <si>
    <t>4MMA002</t>
  </si>
  <si>
    <t xml:space="preserve">Mayonesa </t>
  </si>
  <si>
    <t>445 gr.</t>
  </si>
  <si>
    <t>4MVI002</t>
  </si>
  <si>
    <t>Vinagre La Giralda 5%</t>
  </si>
  <si>
    <t>1000cc</t>
  </si>
  <si>
    <t>7591015000619</t>
  </si>
  <si>
    <t>4MVG008</t>
  </si>
  <si>
    <t>Guisantes al Natural</t>
  </si>
  <si>
    <t>225g.</t>
  </si>
  <si>
    <t>7591015000244</t>
  </si>
  <si>
    <t>4MVG007</t>
  </si>
  <si>
    <t>440g.</t>
  </si>
  <si>
    <t>7591015000640</t>
  </si>
  <si>
    <t>4MVG006</t>
  </si>
  <si>
    <t>Guisantes con Zanahoria</t>
  </si>
  <si>
    <t>7591015000251</t>
  </si>
  <si>
    <t>4MVG005</t>
  </si>
  <si>
    <t>7591015000909</t>
  </si>
  <si>
    <t>4MVG010</t>
  </si>
  <si>
    <t>Maiz dulce en granos</t>
  </si>
  <si>
    <t>7591015000268</t>
  </si>
  <si>
    <t>4MVG009</t>
  </si>
  <si>
    <t>4MVG011</t>
  </si>
  <si>
    <t xml:space="preserve">Maiz dulce en Vidrio </t>
  </si>
  <si>
    <t>200g.</t>
  </si>
  <si>
    <t>7591015000510</t>
  </si>
  <si>
    <t>4MSA005</t>
  </si>
  <si>
    <t>Salsa de Ajo</t>
  </si>
  <si>
    <t>150g.</t>
  </si>
  <si>
    <t>7591015000534</t>
  </si>
  <si>
    <t>4MSA007</t>
  </si>
  <si>
    <t>Salsa Inglesa</t>
  </si>
  <si>
    <t>7591015000541</t>
  </si>
  <si>
    <t>4MSA006</t>
  </si>
  <si>
    <t>Salsa de Soya</t>
  </si>
  <si>
    <t>7591015000558</t>
  </si>
  <si>
    <t>4MSA008</t>
  </si>
  <si>
    <t>Salsa Picante</t>
  </si>
  <si>
    <t>7591015162423</t>
  </si>
  <si>
    <t>4MSU003</t>
  </si>
  <si>
    <t>Mostaza Ajo</t>
  </si>
  <si>
    <t>165g</t>
  </si>
  <si>
    <t>4MSU002</t>
  </si>
  <si>
    <t>Salsa Barbecue</t>
  </si>
  <si>
    <t>198g</t>
  </si>
  <si>
    <t>7591015151502</t>
  </si>
  <si>
    <t>4MNE009</t>
  </si>
  <si>
    <t>Papelón con Limón</t>
  </si>
  <si>
    <t>7591015151809</t>
  </si>
  <si>
    <t>4MNE010</t>
  </si>
  <si>
    <t>Te Verde con sabor a Limón</t>
  </si>
  <si>
    <t>7591015162140</t>
  </si>
  <si>
    <t>4MNE007</t>
  </si>
  <si>
    <t xml:space="preserve">Nectar de Manzana </t>
  </si>
  <si>
    <t>7591015162157</t>
  </si>
  <si>
    <t>4MNE008</t>
  </si>
  <si>
    <t>Nectar de Pera</t>
  </si>
  <si>
    <t>7591015162188</t>
  </si>
  <si>
    <t>4MNE006</t>
  </si>
  <si>
    <t>Nectar de Durazno</t>
  </si>
  <si>
    <t>7591015082264</t>
  </si>
  <si>
    <t>4MNA013</t>
  </si>
  <si>
    <t>Alcaparras</t>
  </si>
  <si>
    <t>7591015000299</t>
  </si>
  <si>
    <t>4MNA012</t>
  </si>
  <si>
    <t>500g.</t>
  </si>
  <si>
    <t>7591015082240</t>
  </si>
  <si>
    <t>4MNA009</t>
  </si>
  <si>
    <t xml:space="preserve">Aceituna Entera </t>
  </si>
  <si>
    <t>7591015000046</t>
  </si>
  <si>
    <t>4MNA008</t>
  </si>
  <si>
    <t>7591015082257</t>
  </si>
  <si>
    <t>4MNA011</t>
  </si>
  <si>
    <t>Aceituna Rellena</t>
  </si>
  <si>
    <t>7591015000015</t>
  </si>
  <si>
    <t>4MNA010</t>
  </si>
  <si>
    <t>75910228</t>
  </si>
  <si>
    <t>4MNA015</t>
  </si>
  <si>
    <t>Encurtido</t>
  </si>
  <si>
    <t>7591015000435</t>
  </si>
  <si>
    <t>4MNA014</t>
  </si>
  <si>
    <t>7591015151793</t>
  </si>
  <si>
    <t>001094</t>
  </si>
  <si>
    <t xml:space="preserve">Pepinillos en Vinagre </t>
  </si>
  <si>
    <t>001095</t>
  </si>
  <si>
    <t xml:space="preserve">Pepinillos Fileteados  en Vinagre </t>
  </si>
  <si>
    <t>7591015000756</t>
  </si>
  <si>
    <t>4MES002</t>
  </si>
  <si>
    <t>Adobo</t>
  </si>
  <si>
    <t>4CTO003</t>
  </si>
  <si>
    <t>PASTA DE TOMATE PASSATA CURNICIELLO  12 X 680GR</t>
  </si>
  <si>
    <t>800g.</t>
  </si>
  <si>
    <t>4CTO004</t>
  </si>
  <si>
    <t>TOMATES PELADO CURNICIELLO 24 X 400GR</t>
  </si>
  <si>
    <t>400g</t>
  </si>
  <si>
    <t>Cajas</t>
  </si>
  <si>
    <t>Kilos</t>
  </si>
  <si>
    <t>Total $</t>
  </si>
  <si>
    <t>Rif.: J-40854108-4</t>
  </si>
  <si>
    <t>lista de importados disponibles</t>
  </si>
  <si>
    <t xml:space="preserve">Lista de Precios pagando en Divisas y/o prepago en moneda local </t>
  </si>
  <si>
    <t xml:space="preserve">AGRICOLA LA GIRALDA </t>
  </si>
  <si>
    <t>PRECIO SUGERIDO EN EL ANAQUEL</t>
  </si>
  <si>
    <t>001103</t>
  </si>
  <si>
    <t>PASSATA DE TOMATE O'CURNICIELLO 12 X 680 GR</t>
  </si>
  <si>
    <t>680gr</t>
  </si>
  <si>
    <t>001104</t>
  </si>
  <si>
    <t>TOMATE PELADO 24 X 400 GR</t>
  </si>
  <si>
    <t>400gr</t>
  </si>
  <si>
    <t>001299</t>
  </si>
  <si>
    <t>PASTA LARGA  LUCIA 20 X 500 GR</t>
  </si>
  <si>
    <t>500gr</t>
  </si>
  <si>
    <t>001301</t>
  </si>
  <si>
    <t>ACEITE DE OLIVA EXTRAVIRGEN 12 X 500 ML</t>
  </si>
  <si>
    <t>001313</t>
  </si>
  <si>
    <t>HARINA DE TRIGO MULTIUSO OBA FOOD 10 x 1 KG</t>
  </si>
  <si>
    <t>206</t>
  </si>
  <si>
    <t>HARINA KALY 1KG BLANCA (E)</t>
  </si>
  <si>
    <t>219</t>
  </si>
  <si>
    <t>ARROZ  LUISANA PREMIUM TIPO I 24 X 1 KG</t>
  </si>
  <si>
    <t>ACE002</t>
  </si>
  <si>
    <t>ACEITUNA NEGRA ENTERA 200 GR</t>
  </si>
  <si>
    <t>200gr</t>
  </si>
  <si>
    <t>ACE004</t>
  </si>
  <si>
    <t>ACEITUNA NEGRA EN RODAJAS 200 GR</t>
  </si>
  <si>
    <t>PASTICHO PREMIUM 250G RONCO</t>
  </si>
  <si>
    <t>LEVADURA INSTANTANEA 500 GR MAGEST (ROJO)</t>
  </si>
  <si>
    <t xml:space="preserve">AFEITADORA MATURBE SURTIDA </t>
  </si>
  <si>
    <t>ADEITADORA MARTUBE BOLDA (1CAJA X48 PAQT)</t>
  </si>
  <si>
    <t xml:space="preserve">NUTRIBELA TERMOPROTECCION </t>
  </si>
  <si>
    <t>NUTRIBELA REPOLARIZACION</t>
  </si>
  <si>
    <t>NUTRIBELA NUTRICION</t>
  </si>
  <si>
    <t xml:space="preserve">PAÑO AMARILLO GRANDE (PAQUETE DE 120UND </t>
  </si>
  <si>
    <t>WIKI-WIKI NEGRO ( X DOCENA)</t>
  </si>
  <si>
    <t>WIKI-WIKI AZUL MARINO (X DOCENA</t>
  </si>
  <si>
    <t>MASCARILLA SOLAR NEGRA KINGS (CAJITA X50 UND)</t>
  </si>
  <si>
    <t>MASCARILLA NEGRAS KF94 1PCS (CAJITA DE 50 UND)</t>
  </si>
  <si>
    <t>TABULADOR</t>
  </si>
  <si>
    <t>PRECIO X CARTON BSD</t>
  </si>
  <si>
    <t>CANTIDAD X CARTON</t>
  </si>
  <si>
    <t>TOTAL BSD NETO3</t>
  </si>
  <si>
    <t>TIPO</t>
  </si>
  <si>
    <t>B</t>
  </si>
  <si>
    <t>A</t>
  </si>
  <si>
    <t>TASA BCV</t>
  </si>
  <si>
    <t>CAJA DESPACHADAS</t>
  </si>
  <si>
    <t>NETO $</t>
  </si>
  <si>
    <t>COSTO DEL 1/2</t>
  </si>
  <si>
    <t>PRECIO $ X CAJA</t>
  </si>
  <si>
    <t>20 und</t>
  </si>
  <si>
    <t>29 DE MARZO</t>
  </si>
  <si>
    <t>25032022VR</t>
  </si>
  <si>
    <t>25032022RV</t>
  </si>
  <si>
    <t>28032022L</t>
  </si>
  <si>
    <t>28032022J</t>
  </si>
  <si>
    <t>PRECIO $$ UND</t>
  </si>
  <si>
    <t>29032022B</t>
  </si>
  <si>
    <t>PRECI BSD X BULTO</t>
  </si>
  <si>
    <t>PRECI $ X BULTO</t>
  </si>
  <si>
    <t>CANTIDAD DE BULTO</t>
  </si>
  <si>
    <t>400 caja</t>
  </si>
  <si>
    <t>precio und $</t>
  </si>
  <si>
    <t>grano 1 kg</t>
  </si>
  <si>
    <t xml:space="preserve"> 50 und100 gr</t>
  </si>
  <si>
    <t>25$%</t>
  </si>
  <si>
    <t xml:space="preserve">NUESTROS PRECIOS </t>
  </si>
  <si>
    <t>PRECIOS EN BSD</t>
  </si>
  <si>
    <t xml:space="preserve">TASA DEL DIA </t>
  </si>
  <si>
    <t>HUEVO 1/2</t>
  </si>
  <si>
    <t>HARINA PAN TRADICIONAL</t>
  </si>
  <si>
    <t>CARNE MOLIDA ECONOMICA</t>
  </si>
  <si>
    <t>CARNE PARA GUISAR</t>
  </si>
  <si>
    <t>CARNE PARA MECHAR</t>
  </si>
  <si>
    <t>BISTEK DE LOMITO</t>
  </si>
  <si>
    <t>BISTEK DE PRIMERA</t>
  </si>
  <si>
    <t>BISTEK DE SOLOMO</t>
  </si>
  <si>
    <t xml:space="preserve">MUSLO </t>
  </si>
  <si>
    <t xml:space="preserve">ALAS </t>
  </si>
  <si>
    <t>40 und</t>
  </si>
  <si>
    <t>PEDIDO 4 DE abril</t>
  </si>
  <si>
    <t>PEDIDO 4 DE ABRIL</t>
  </si>
  <si>
    <t>GUISANTES TIERNOS 500 GR LA GRANJA</t>
  </si>
  <si>
    <t>MAIZ DULCE 500 GR CONGELADO LA GRANJA</t>
  </si>
  <si>
    <t>YUCA SKY CHEF 1KG</t>
  </si>
  <si>
    <t>PEDIDO EXPRESS DE SAN ANTONIO</t>
  </si>
  <si>
    <t>PEDIDO AUTOMERCADO EXPRESS TIENDA PINCIPAL</t>
  </si>
  <si>
    <t>3 TOBO</t>
  </si>
  <si>
    <t>70 KG</t>
  </si>
  <si>
    <t>$ X KG</t>
  </si>
  <si>
    <t>SALCHICHA POLACAS (4 PAQ DE 3 KG )80 BULTOS</t>
  </si>
  <si>
    <t xml:space="preserve"> PEDIDO 4 DE ABRIL</t>
  </si>
  <si>
    <t>MORTADELA EXTRA CASTELO</t>
  </si>
  <si>
    <t>MORTADELA TAPARA CASTELO</t>
  </si>
  <si>
    <t>JAMON DE PIERNA BANQUETE</t>
  </si>
  <si>
    <t>2CAJA</t>
  </si>
  <si>
    <t>2 PIEZAS</t>
  </si>
  <si>
    <t>4  CAJA</t>
  </si>
  <si>
    <t>SALSA DE TOMATE KECHUP 397GR LOS ANDES</t>
  </si>
  <si>
    <t xml:space="preserve">LECHE CONDENSADA 395 ML LOS ANDES </t>
  </si>
  <si>
    <t>PEDIDO4 DE ABRIL</t>
  </si>
  <si>
    <t xml:space="preserve">20 BULTOS </t>
  </si>
  <si>
    <t xml:space="preserve">30 BULTOS </t>
  </si>
  <si>
    <t>PEDIDO HECHO 5 ABRIL</t>
  </si>
  <si>
    <t>CAPRI PRECIO TOPE 1.91$</t>
  </si>
  <si>
    <t>MARGARINA 250 GR NELLY Y MIRASOL</t>
  </si>
  <si>
    <t>SAL REFINADA 1 KG   LA SALVI //CELESTIAL (AZUL)</t>
  </si>
  <si>
    <t>CAFE  200GR  MONTAÑA//PROTECTORA</t>
  </si>
  <si>
    <t>HARINA DE TRIGO 900 GR TODO USO MARY</t>
  </si>
  <si>
    <t>LENTEJA 500 GR arveja /FRIJOL</t>
  </si>
  <si>
    <t xml:space="preserve">SARDINA </t>
  </si>
  <si>
    <t xml:space="preserve">PRECIO SUJETO A CAMBIO </t>
  </si>
  <si>
    <t>VALIDO X 24 HORAS</t>
  </si>
  <si>
    <t>$$</t>
  </si>
  <si>
    <t>MORTADELA</t>
  </si>
  <si>
    <t>1/2 CARTON DE HUEVO</t>
  </si>
  <si>
    <t>5 DE ABRIL</t>
  </si>
  <si>
    <t xml:space="preserve">EN LA HOJA ANEXTA TE DIGO CUALES GRANOS </t>
  </si>
  <si>
    <t>DON RAMON</t>
  </si>
  <si>
    <t>900 CAMBOS</t>
  </si>
  <si>
    <t>02042022ND</t>
  </si>
  <si>
    <t>25 bultos</t>
  </si>
  <si>
    <t>20 bultos</t>
  </si>
  <si>
    <t>30 BULTO</t>
  </si>
  <si>
    <t>PEDIDO HECHO 5 DE ABRIL</t>
  </si>
  <si>
    <t>05042022FI</t>
  </si>
  <si>
    <t>PEDIDO 6 DE ABRIL</t>
  </si>
  <si>
    <t>5 BULTO</t>
  </si>
  <si>
    <t>MORENA</t>
  </si>
  <si>
    <t xml:space="preserve">DULCE DE LECHE 120GR PLANET </t>
  </si>
  <si>
    <t>DULCE DE CHOCOLATE 120GR</t>
  </si>
  <si>
    <t>3 BULSTO</t>
  </si>
  <si>
    <t>19 CAJA</t>
  </si>
  <si>
    <t>GALLETA MARIA 252GR CALEDONIA PREMIUM</t>
  </si>
  <si>
    <t>GALLETAS CHARMY NARANJA 24X192</t>
  </si>
  <si>
    <r>
      <rPr>
        <b/>
        <sz val="9"/>
        <color rgb="FFFFFFFF"/>
        <rFont val="AriEL"/>
      </rPr>
      <t>CODIGO DE
BARRA UNIDAD</t>
    </r>
  </si>
  <si>
    <r>
      <rPr>
        <b/>
        <sz val="9"/>
        <color rgb="FFFFFFFF"/>
        <rFont val="AriEL"/>
      </rPr>
      <t>Producto</t>
    </r>
  </si>
  <si>
    <r>
      <rPr>
        <b/>
        <sz val="9"/>
        <color rgb="FFFFFFFF"/>
        <rFont val="AriEL"/>
      </rPr>
      <t>Unidad
de Medida</t>
    </r>
  </si>
  <si>
    <r>
      <rPr>
        <b/>
        <sz val="9"/>
        <color rgb="FFFFFFFF"/>
        <rFont val="AriEL"/>
      </rPr>
      <t>Bulto
s/iva</t>
    </r>
  </si>
  <si>
    <r>
      <rPr>
        <b/>
        <sz val="9"/>
        <color rgb="FFFFFFFF"/>
        <rFont val="AriEL"/>
      </rPr>
      <t>Unidad
s/iva</t>
    </r>
  </si>
  <si>
    <r>
      <rPr>
        <b/>
        <sz val="9"/>
        <color rgb="FFFFFFFF"/>
        <rFont val="AriEL"/>
      </rPr>
      <t>Bulto
c/iva</t>
    </r>
  </si>
  <si>
    <r>
      <rPr>
        <b/>
        <sz val="9"/>
        <color rgb="FFFFFFFF"/>
        <rFont val="AriEL"/>
      </rPr>
      <t>Unidad
c/iva</t>
    </r>
  </si>
  <si>
    <r>
      <rPr>
        <b/>
        <sz val="7"/>
        <color rgb="FFFFFFFF"/>
        <rFont val="AriEL"/>
      </rPr>
      <t>ARROZ EMI</t>
    </r>
  </si>
  <si>
    <r>
      <rPr>
        <b/>
        <sz val="7"/>
        <color rgb="FFFFFFFF"/>
        <rFont val="AriEL"/>
      </rPr>
      <t>CREMA DE
ARROZ</t>
    </r>
  </si>
  <si>
    <r>
      <rPr>
        <b/>
        <sz val="7"/>
        <color rgb="FFFFFFFF"/>
        <rFont val="AriEL"/>
      </rPr>
      <t>GALLETAS</t>
    </r>
  </si>
  <si>
    <r>
      <rPr>
        <b/>
        <sz val="7"/>
        <color rgb="FFFFFFFF"/>
        <rFont val="AriEL"/>
      </rPr>
      <t>CODIGO</t>
    </r>
  </si>
  <si>
    <r>
      <rPr>
        <b/>
        <sz val="7"/>
        <color rgb="FFFFFFFF"/>
        <rFont val="AriEL"/>
      </rPr>
      <t>GRANOS</t>
    </r>
  </si>
  <si>
    <r>
      <rPr>
        <b/>
        <sz val="7"/>
        <color rgb="FFFFFFFF"/>
        <rFont val="AriEL"/>
      </rPr>
      <t>GRANOS EMI</t>
    </r>
  </si>
  <si>
    <r>
      <rPr>
        <b/>
        <sz val="7"/>
        <color rgb="FFFFFFFF"/>
        <rFont val="AriEL"/>
      </rPr>
      <t>TOMATES</t>
    </r>
  </si>
  <si>
    <r>
      <rPr>
        <b/>
        <sz val="7"/>
        <color rgb="FFFFFFFF"/>
        <rFont val="AriEL"/>
      </rPr>
      <t>PASSATAS</t>
    </r>
  </si>
  <si>
    <r>
      <rPr>
        <b/>
        <sz val="7"/>
        <color rgb="FFFFFFFF"/>
        <rFont val="AriEL"/>
      </rPr>
      <t>SAL</t>
    </r>
  </si>
  <si>
    <r>
      <rPr>
        <b/>
        <sz val="7"/>
        <color rgb="FFFFFFFF"/>
        <rFont val="AriEL"/>
      </rPr>
      <t>PALMITOS</t>
    </r>
  </si>
  <si>
    <r>
      <rPr>
        <b/>
        <sz val="7"/>
        <color rgb="FFFFFFFF"/>
        <rFont val="AriEL"/>
      </rPr>
      <t>SOPAS</t>
    </r>
  </si>
  <si>
    <r>
      <rPr>
        <b/>
        <sz val="7"/>
        <color rgb="FFFFFFFF"/>
        <rFont val="AriEL"/>
      </rPr>
      <t>PASTAS MARY</t>
    </r>
  </si>
  <si>
    <r>
      <rPr>
        <b/>
        <sz val="7"/>
        <color rgb="FFFFFFFF"/>
        <rFont val="AriEL"/>
      </rPr>
      <t>PASTAS EMI</t>
    </r>
  </si>
  <si>
    <r>
      <rPr>
        <b/>
        <sz val="7"/>
        <color rgb="FFFFFFFF"/>
        <rFont val="AriEL"/>
      </rPr>
      <t>HARINAS EN
SACO</t>
    </r>
  </si>
  <si>
    <r>
      <rPr>
        <b/>
        <sz val="7"/>
        <color rgb="FFFFFFFF"/>
        <rFont val="AriEL"/>
      </rPr>
      <t>HARINA
PANADERA</t>
    </r>
  </si>
  <si>
    <r>
      <rPr>
        <b/>
        <sz val="7"/>
        <color rgb="FFFFFFFF"/>
        <rFont val="AriEL"/>
      </rPr>
      <t>ACEITE DE
OLIVA</t>
    </r>
  </si>
  <si>
    <r>
      <rPr>
        <b/>
        <sz val="7"/>
        <color rgb="FFFFFFFF"/>
        <rFont val="AriEL"/>
      </rPr>
      <t>SNACKS</t>
    </r>
  </si>
  <si>
    <r>
      <rPr>
        <b/>
        <sz val="7"/>
        <color rgb="FFFFFFFF"/>
        <rFont val="AriEL"/>
      </rPr>
      <t>CUBITOS</t>
    </r>
  </si>
  <si>
    <r>
      <rPr>
        <b/>
        <sz val="7"/>
        <color rgb="FFFFFFFF"/>
        <rFont val="AriEL"/>
      </rPr>
      <t>FIDEOS</t>
    </r>
  </si>
  <si>
    <t>ESTUDIO 23 AL 6/4</t>
  </si>
  <si>
    <t>6 de abril aprobado</t>
  </si>
  <si>
    <t>GRANOS 1 KG</t>
  </si>
  <si>
    <t>CAFÉ 100GR</t>
  </si>
  <si>
    <t>MAYONESA 185GR</t>
  </si>
  <si>
    <t>CAFÉ DEL SUR 100GR</t>
  </si>
  <si>
    <t>MAYONESA 185GR KRAST</t>
  </si>
  <si>
    <t xml:space="preserve">CAFÉ LA MONTAÑA 100GR </t>
  </si>
  <si>
    <t xml:space="preserve">CAPRI 1 KG 1.47 O 500GR 0.78 </t>
  </si>
  <si>
    <t>MARY 1 KG 1.48  500 GR 0.74</t>
  </si>
  <si>
    <t>AZUCAR ITAJA 1 KG</t>
  </si>
  <si>
    <t>AZUCAR 500GR CONDE 0.48 $</t>
  </si>
  <si>
    <t xml:space="preserve">GANOS </t>
  </si>
  <si>
    <t>CAPRI PRECIO TOPE 2.03$</t>
  </si>
  <si>
    <t xml:space="preserve">NUEVO </t>
  </si>
  <si>
    <t>ACEITE 900 ML</t>
  </si>
  <si>
    <t>TOPE EN $</t>
  </si>
  <si>
    <t>AUTOMERCADO EXPRESS SAN ANTONIO</t>
  </si>
  <si>
    <t>AUTOMERCADO EXPRESS CARRIZAL</t>
  </si>
  <si>
    <t xml:space="preserve">BERMUPAN </t>
  </si>
  <si>
    <t>TEQUENSE</t>
  </si>
  <si>
    <t>FARMA STOP</t>
  </si>
  <si>
    <t>FARMA METRO</t>
  </si>
  <si>
    <t>EVORA</t>
  </si>
  <si>
    <t>CANTOLAGO EXPRESS</t>
  </si>
  <si>
    <t>EMPRESA</t>
  </si>
  <si>
    <t>PEDIDO 7 DE ABRIL</t>
  </si>
  <si>
    <t>PRECIO ACTUALIZADO 7 DE ABRIL</t>
  </si>
  <si>
    <t>TIPO B</t>
  </si>
  <si>
    <t>COSTO HOY</t>
  </si>
  <si>
    <t>ACTUALIZACION DE PRECIO</t>
  </si>
  <si>
    <t>MUSLO DE POLLO PARRILLERO</t>
  </si>
  <si>
    <t>PRECIO DE VENTA ANTERIOR</t>
  </si>
  <si>
    <t>7 DE ABRIL</t>
  </si>
  <si>
    <t>125 TAMAÑO</t>
  </si>
  <si>
    <t>DIVISA</t>
  </si>
  <si>
    <t>EN BSD</t>
  </si>
  <si>
    <t>AV VICTO BATISTA</t>
  </si>
  <si>
    <t>DE ESA TRANSFERENCIA ABONE ESTO 20.40$$</t>
  </si>
  <si>
    <t>DE ESA TRANSFERENCIA ABONE ESTO 24.81$$</t>
  </si>
  <si>
    <t>MONTO SEGÚN EL PAGO EN BSD</t>
  </si>
  <si>
    <t>7 caja</t>
  </si>
  <si>
    <t xml:space="preserve">ACTUALIZACION DE PRECIO </t>
  </si>
  <si>
    <t>PRECIO NUEVO $</t>
  </si>
  <si>
    <t>X CAJA</t>
  </si>
  <si>
    <t>08/042022</t>
  </si>
  <si>
    <t>CONT0404202211</t>
  </si>
  <si>
    <t>CONT0804202210</t>
  </si>
  <si>
    <t>PEDIDO 13 DE ABRIL</t>
  </si>
  <si>
    <t>12042022I</t>
  </si>
  <si>
    <t>E00000024</t>
  </si>
  <si>
    <t>PRECIO DE VENTA X KG</t>
  </si>
  <si>
    <t>POLLO ENTERO PRECIO X KG</t>
  </si>
  <si>
    <t>5 und</t>
  </si>
  <si>
    <t>30 und</t>
  </si>
  <si>
    <t xml:space="preserve">4 TORTAS </t>
  </si>
  <si>
    <t>FACTURA 1118</t>
  </si>
  <si>
    <t xml:space="preserve"> PEDIDO 13 DE ABRIL</t>
  </si>
  <si>
    <t>PEDIDO 13 DE abril</t>
  </si>
  <si>
    <t>LADY SPEED STICK PRACTI TUBO 012</t>
  </si>
  <si>
    <t>PRECIO BSD X KG</t>
  </si>
  <si>
    <t>PRECIO $$ X KG</t>
  </si>
  <si>
    <t>MOLIDA ECONOMICA</t>
  </si>
  <si>
    <t xml:space="preserve">CARNE DE MECHAR </t>
  </si>
  <si>
    <t>HARINA DE TRIGO RONCO LEUDANTE</t>
  </si>
  <si>
    <t>HARINA DE TRIGO CAPRI LEUDANTE</t>
  </si>
  <si>
    <t xml:space="preserve">HARINA PAN </t>
  </si>
  <si>
    <t>ARROZ DOÑA LISA 1 KG</t>
  </si>
  <si>
    <t xml:space="preserve">PASTA DE 1 KG CAPRI </t>
  </si>
  <si>
    <t>PASRA DE 1 KG CAPRI</t>
  </si>
  <si>
    <t xml:space="preserve">PASTA RONCO 1 KG </t>
  </si>
  <si>
    <t>PASAT MARY 1 KG</t>
  </si>
  <si>
    <t xml:space="preserve">MAYONESA  </t>
  </si>
  <si>
    <t>MARGARINA NELLY 500GR</t>
  </si>
  <si>
    <t>MARGARINA MIRASOL 500GR</t>
  </si>
  <si>
    <t>CAFÉ 500GR</t>
  </si>
  <si>
    <t>PAPA</t>
  </si>
  <si>
    <t xml:space="preserve">CEBOLLA </t>
  </si>
  <si>
    <t>TOMATE</t>
  </si>
  <si>
    <t>PIMENTON</t>
  </si>
  <si>
    <t>PLATANO</t>
  </si>
  <si>
    <t>LIMON</t>
  </si>
  <si>
    <t>LECHOZA</t>
  </si>
  <si>
    <t>MELON</t>
  </si>
  <si>
    <t>CAMBUR</t>
  </si>
  <si>
    <t>ATUN 142GR</t>
  </si>
  <si>
    <t>COMPROBACION HIELERO</t>
  </si>
  <si>
    <t>SOLICITUD DE PREFORMA 18 DE ABRIL</t>
  </si>
  <si>
    <t>TIENDA PRINCIPAL                                                  18 DE ABRIL</t>
  </si>
  <si>
    <t xml:space="preserve">1 PIEZAS </t>
  </si>
  <si>
    <t>50 caja</t>
  </si>
  <si>
    <t>60 caja</t>
  </si>
  <si>
    <t>PEDIDO 18 de abril</t>
  </si>
  <si>
    <t>ADOBO COMPLETO 185 GR IBERIA</t>
  </si>
  <si>
    <t>ADOBO COMPLETO 40 GR IBERIA SOBRE</t>
  </si>
  <si>
    <t>AJILLO MIX  SOBRE 30GR IBERIA</t>
  </si>
  <si>
    <t>AJO PURO EN POLVO 30GR IBERIA</t>
  </si>
  <si>
    <t>BASE CARNE MECHADA 60 GR IBERIA</t>
  </si>
  <si>
    <t>BASE P/ARROZ CON POLLO 50GR IBERIA</t>
  </si>
  <si>
    <t>BASE P/ARROZ PRIMAVERA 50GR IBERIA</t>
  </si>
  <si>
    <t>BASE PARA CARAOTA 60 GR IBERIA</t>
  </si>
  <si>
    <t>BASE PARA SALSA BECHAMEL 50GR IBERIA</t>
  </si>
  <si>
    <t>CALDO DE CARNE SOBRE 24GR IBERIA</t>
  </si>
  <si>
    <t>COLOR ONOTO 25 GR MOLIDO IBERIA</t>
  </si>
  <si>
    <t>COLOR ONOTO MOLIDO 90GR IBERIA</t>
  </si>
  <si>
    <t>COMBO 300 ML SALSAS X3 ML IBERIA</t>
  </si>
  <si>
    <t>COMBO SALSAS X 3 150 ML IBERIA</t>
  </si>
  <si>
    <t>COMINO MOLIDO 20 GR IBERIA</t>
  </si>
  <si>
    <t>COMINO MOLIDO 65 GR IBERIA</t>
  </si>
  <si>
    <t>CUBITO CALDO DE POLLO 24 GR IBERIA SOBRE</t>
  </si>
  <si>
    <t>CUBITO DE CARNE 144GR 12 UND IBERIA</t>
  </si>
  <si>
    <t>CUBITO DE CARNE 96 GR IBERIA</t>
  </si>
  <si>
    <t>CUBITO DE COSTILLA 12UNID 144GR IBERIA</t>
  </si>
  <si>
    <t>CUBITO DE COSTILLA 8UNID 96GR IBERIA</t>
  </si>
  <si>
    <t>CUBITO DE GALLINA 144GR X 12 UNID IBERIA</t>
  </si>
  <si>
    <t>CUBITO DE GALLINA 96GR 8 UND IBERIA</t>
  </si>
  <si>
    <t>CUBITO DE POLLO 144GR 12UNID IBERIA</t>
  </si>
  <si>
    <t>CUBITO DE POLLO 96GR 8 UND IBERIA</t>
  </si>
  <si>
    <t>CUBITO HERVIDO CRIOLLO 96GR /8UNID IBERIA</t>
  </si>
  <si>
    <t>CUBITO PARA PAELLA 144GR X 12 UNID IBERIA</t>
  </si>
  <si>
    <t>CUBITO SOFRITO 144GR X 12 UNID IBERIA</t>
  </si>
  <si>
    <t>CUBITO SOFRITO 96GR X 8 UNID IBERIA</t>
  </si>
  <si>
    <t>CUBITOS 8UNID PAELLA 96GR IBERIA</t>
  </si>
  <si>
    <t>CUBITOS HERVIDO CRIOLLO 12 UND 144 GR</t>
  </si>
  <si>
    <t>CURRY EN POLVO 20 GR IBERIA</t>
  </si>
  <si>
    <t>HERVIDO CRIOLLO 60 GR IBERIA</t>
  </si>
  <si>
    <t>MEZCLA PARA SOPA MINESTRONE 65 GR IBERIA</t>
  </si>
  <si>
    <t>MOSTAZA PREPARADA 185GR IBERIA</t>
  </si>
  <si>
    <t>MOSTAZA PREPARADA IBERIA 250 G</t>
  </si>
  <si>
    <t>ONOTO ENTERO 20 GR IBERIA</t>
  </si>
  <si>
    <t>OREGANO ENTERO 5 GR IBERIA</t>
  </si>
  <si>
    <t>PASTA DE TOMATE DOBLE CONCENTRADA IBERIA 500G</t>
  </si>
  <si>
    <t>PIMIENTA NEGRA MOLIDA 20 GR IBERIA</t>
  </si>
  <si>
    <t>SABROSEADOR 180 GR COMPLETO IBERIA</t>
  </si>
  <si>
    <t>SABROSEADOR 30 GR IBERIA</t>
  </si>
  <si>
    <t>SALSA AMOSTAZADA 300 ML IBERIA</t>
  </si>
  <si>
    <t>SALSA BOLOGNESA PARA PASTA 190GR IBERIA</t>
  </si>
  <si>
    <t>SALSA CONDIMENTADA 150 ML IBERIA</t>
  </si>
  <si>
    <t>SALSA CONDIMENTADA 300ML IBERIA</t>
  </si>
  <si>
    <t>SALSA DE AJI PICANTE 300GR PIRI PIRI IBERIA</t>
  </si>
  <si>
    <t>SALSA DE AJI PICANTE PIRIPIRI 150G IBERIA</t>
  </si>
  <si>
    <t>SALSA DE AJO 150ML IBERIA</t>
  </si>
  <si>
    <t>SALSA DE AJO 300ML IBERIA</t>
  </si>
  <si>
    <t>SALSA DE JENGIBRE 150CM IBERIA</t>
  </si>
  <si>
    <t>SALSA DE SOYA 150 ML IBERIA</t>
  </si>
  <si>
    <t>SALSA DE SOYA 300ML IBERIA</t>
  </si>
  <si>
    <t>SALSA DE TOMATE KEPCHUP 397GR IBERIA</t>
  </si>
  <si>
    <t>SALSA INGLESA 150 ML IBERIA</t>
  </si>
  <si>
    <t>SALSA INGLESA 300ML IBERIA</t>
  </si>
  <si>
    <t>SALSA MOSTAZADA 150 ML IBERIA</t>
  </si>
  <si>
    <t>SALSA P/PASTA BOLOGNESA 490GR IBERIA</t>
  </si>
  <si>
    <t>SALSA P/PASTA COMPLETA 490GR IBERIA</t>
  </si>
  <si>
    <t>SALSA P/PASTA COMPLETA IBERIA 190GR</t>
  </si>
  <si>
    <t>SALSA P/PASTA NAPOLITANA IBERIA 190GR</t>
  </si>
  <si>
    <t>SALSA PARA PASTAS NAPOLITANA 490GR IBERIA</t>
  </si>
  <si>
    <t>SALSA RICA A BASE DE AJI 150ML IBERIA</t>
  </si>
  <si>
    <t>SALSA RICA A BASE DE AJI 300ML IBERIA</t>
  </si>
  <si>
    <t>SOPA COSTILLA C/FIDEOS 55GR IBERIA</t>
  </si>
  <si>
    <t>SOPA DE POLLO 60 GR CON FIDEOS IBERIA</t>
  </si>
  <si>
    <t>SOPA DE POLLO 65 GR LETRAS PASTINA IBERIA</t>
  </si>
  <si>
    <t>SOPA DE POLLO CON ARROZ 65GR IBERIA</t>
  </si>
  <si>
    <t>TOMATEMIX ALIÑO EN SALSA 190GR IBERIA</t>
  </si>
  <si>
    <t>TOMATEMIX ALIÑO EN SALSA 490G IBERIA</t>
  </si>
  <si>
    <t>VINAGRE 1 LT IBERIA</t>
  </si>
  <si>
    <t>VINAGRE 500ML IBERIA</t>
  </si>
  <si>
    <t>AUTMERCADO EXPRESS</t>
  </si>
  <si>
    <t>HIPER</t>
  </si>
  <si>
    <t>18 DE ABRIL</t>
  </si>
  <si>
    <t>PEDIDO 18 DE ABRIL</t>
  </si>
  <si>
    <t>60 KG</t>
  </si>
  <si>
    <t>150 UND</t>
  </si>
  <si>
    <t>150 KG</t>
  </si>
  <si>
    <t xml:space="preserve">PEDIDO 18 DE ABRIL </t>
  </si>
  <si>
    <t>40 CAJA</t>
  </si>
  <si>
    <t>QUESO AMARILLO GOUDA ANDES KG.</t>
  </si>
  <si>
    <t>2 BOLSAS</t>
  </si>
  <si>
    <t>ARROZ DIAMANTE FINA 1 KG (bulto 24 und)</t>
  </si>
  <si>
    <t>PRECIO DE VENTA PUBLICO</t>
  </si>
  <si>
    <t>978 UND</t>
  </si>
  <si>
    <t>481 UND</t>
  </si>
  <si>
    <t>BULTO DE HARINA PAN  (BULTO DE 20 UND)</t>
  </si>
  <si>
    <t>7500 UND</t>
  </si>
  <si>
    <t>PASTA EXTRA 1 KG ESPECIAL CAPRI (12 UND X BULTO)</t>
  </si>
  <si>
    <t>PRESUPUESTO 18 DE ABRIL</t>
  </si>
  <si>
    <t>AZUCAR MONTALBAN PLASTICO 1 KG (BULTO DE 20 UND)</t>
  </si>
  <si>
    <t>MARGARINA 454 GR MIRASOL (BULTO 12 UND)</t>
  </si>
  <si>
    <t>SARDINA 170GR INCOSA (BULTO DE 24)</t>
  </si>
  <si>
    <t>MORTADELA DE POLLO (BULTO DE 10 UND)</t>
  </si>
  <si>
    <t>INV AL MOMENTO DEL PRESUPUESTO</t>
  </si>
  <si>
    <t>CARAOTAS NEGRAS 500 GR (BULTO DE 24 UND)</t>
  </si>
  <si>
    <t>ACEITE DE GIRASOL 900 ML LIZA (BULTO DE 12 UND)</t>
  </si>
  <si>
    <t>UND QUE NESECITO PARA PRESUPUESTO</t>
  </si>
  <si>
    <t>3 cajita</t>
  </si>
  <si>
    <t>20 caja</t>
  </si>
  <si>
    <t>SALSA BOLOGNESA</t>
  </si>
  <si>
    <r>
      <rPr>
        <b/>
        <sz val="12"/>
        <color rgb="FF3D3D3D"/>
        <rFont val="Arial"/>
        <family val="2"/>
      </rPr>
      <t xml:space="preserve">40 </t>
    </r>
    <r>
      <rPr>
        <b/>
        <sz val="12"/>
        <color rgb="FF696969"/>
        <rFont val="Arial"/>
        <family val="2"/>
      </rPr>
      <t>g</t>
    </r>
  </si>
  <si>
    <r>
      <rPr>
        <b/>
        <sz val="12"/>
        <color rgb="FF545454"/>
        <rFont val="Arial"/>
        <family val="2"/>
      </rPr>
      <t>8g</t>
    </r>
  </si>
  <si>
    <r>
      <rPr>
        <b/>
        <sz val="12"/>
        <color rgb="FF545454"/>
        <rFont val="Arial"/>
        <family val="2"/>
      </rPr>
      <t>80g</t>
    </r>
  </si>
  <si>
    <r>
      <rPr>
        <b/>
        <sz val="12"/>
        <color rgb="FF696969"/>
        <rFont val="Arial"/>
        <family val="2"/>
      </rPr>
      <t>5-0g</t>
    </r>
  </si>
  <si>
    <r>
      <rPr>
        <b/>
        <sz val="12"/>
        <color rgb="FF545454"/>
        <rFont val="Arial"/>
        <family val="2"/>
      </rPr>
      <t>60g</t>
    </r>
  </si>
  <si>
    <r>
      <rPr>
        <b/>
        <sz val="12"/>
        <color rgb="FF545454"/>
        <rFont val="Arial"/>
        <family val="2"/>
      </rPr>
      <t>65g</t>
    </r>
  </si>
  <si>
    <r>
      <rPr>
        <b/>
        <sz val="12"/>
        <color rgb="FF545454"/>
        <rFont val="Arial"/>
        <family val="2"/>
      </rPr>
      <t>5g</t>
    </r>
  </si>
  <si>
    <r>
      <rPr>
        <b/>
        <sz val="12"/>
        <color rgb="FF3D3D3D"/>
        <rFont val="Arial"/>
        <family val="2"/>
      </rPr>
      <t>4</t>
    </r>
    <r>
      <rPr>
        <b/>
        <sz val="12"/>
        <color rgb="FF696969"/>
        <rFont val="Arial"/>
        <family val="2"/>
      </rPr>
      <t>0 g</t>
    </r>
  </si>
  <si>
    <r>
      <rPr>
        <b/>
        <sz val="12"/>
        <color rgb="FF3D3D3D"/>
        <rFont val="Arial"/>
        <family val="2"/>
      </rPr>
      <t>24x6g</t>
    </r>
  </si>
  <si>
    <t>SALSA COMPLETA</t>
  </si>
  <si>
    <t>TOMATE MIX</t>
  </si>
  <si>
    <t>PEREJEL ENTER0</t>
  </si>
  <si>
    <t>SALSA CON AJO</t>
  </si>
  <si>
    <t>SALSA CON CEBOLLA</t>
  </si>
  <si>
    <t>AJ0  PUR0 EN P0LV0</t>
  </si>
  <si>
    <t>SOPA DE POLLO CON FIDEOS</t>
  </si>
  <si>
    <t>60GR</t>
  </si>
  <si>
    <t xml:space="preserve">SOPA DE POLLO CON ARROZ </t>
  </si>
  <si>
    <t>65GR</t>
  </si>
  <si>
    <t>HERVIDO CRIOLLO</t>
  </si>
  <si>
    <t>COSTILLA CON FIDEOS</t>
  </si>
  <si>
    <t>55GR</t>
  </si>
  <si>
    <t>BASE PARA CARAOTAS</t>
  </si>
  <si>
    <t>50 GR</t>
  </si>
  <si>
    <t xml:space="preserve">BASE PARA CARNE MECHADA </t>
  </si>
  <si>
    <t>BASE PARA SALSA BECHAMEL</t>
  </si>
  <si>
    <t>50GR</t>
  </si>
  <si>
    <t>BASE PARA ARROZ CON POLLO</t>
  </si>
  <si>
    <t>BASE PARA ARROZ PRIMAVERA</t>
  </si>
  <si>
    <t>CUBITO DE POLLO 30X8</t>
  </si>
  <si>
    <t>96GR</t>
  </si>
  <si>
    <t>CUBITO POLLO 20X12</t>
  </si>
  <si>
    <t>144GR</t>
  </si>
  <si>
    <t>CUBITO POLLO 6X48</t>
  </si>
  <si>
    <t>576GR</t>
  </si>
  <si>
    <t>CUBITO DE CARNE  30X8</t>
  </si>
  <si>
    <t>CUBITO DE CARNNE 20X12</t>
  </si>
  <si>
    <t>CUBITO DE GALLINA  30X8</t>
  </si>
  <si>
    <t>CUBITO DE GALLINA 20X12</t>
  </si>
  <si>
    <t>CUBITO DE SOFRITO LISTO 30X8</t>
  </si>
  <si>
    <t>CUBITO DE SOFRITO LISTO 20X12</t>
  </si>
  <si>
    <t>CUBITO PARA PAELLA 30X8</t>
  </si>
  <si>
    <t>CUBITO PARA PAELLA 20X12</t>
  </si>
  <si>
    <t>CUBITO DE HERVIDO CRIOLLO 30X8</t>
  </si>
  <si>
    <t>CUBITO DE HERVIDO CRIOLLO 20X12</t>
  </si>
  <si>
    <t>CUBITO DE COSTILLA 30X8</t>
  </si>
  <si>
    <t>CUBITO DE COSTILLA 20X12</t>
  </si>
  <si>
    <t xml:space="preserve">CALDO DE POLLO EN POLVO </t>
  </si>
  <si>
    <t>24GR</t>
  </si>
  <si>
    <t xml:space="preserve">CALDO DE CARNE EN POLVO </t>
  </si>
  <si>
    <t>24 GR</t>
  </si>
  <si>
    <t xml:space="preserve">SOPA MINESTRON </t>
  </si>
  <si>
    <t>70GR</t>
  </si>
  <si>
    <t>CREMA DE CHAMPIÑONES</t>
  </si>
  <si>
    <t>CREMA DE ESPARRAGOS</t>
  </si>
  <si>
    <t>CODIGO EXTENO</t>
  </si>
  <si>
    <t xml:space="preserve">GRAMOS </t>
  </si>
  <si>
    <r>
      <rPr>
        <b/>
        <sz val="12"/>
        <color rgb="FF545454"/>
        <rFont val="Arial"/>
        <family val="2"/>
      </rPr>
      <t xml:space="preserve">AJO </t>
    </r>
    <r>
      <rPr>
        <b/>
        <sz val="12"/>
        <color rgb="FF696969"/>
        <rFont val="Arial"/>
        <family val="2"/>
      </rPr>
      <t xml:space="preserve">PURO </t>
    </r>
    <r>
      <rPr>
        <b/>
        <sz val="12"/>
        <color rgb="FF545454"/>
        <rFont val="Arial"/>
        <family val="2"/>
      </rPr>
      <t>EN P0LV0</t>
    </r>
  </si>
  <si>
    <r>
      <rPr>
        <b/>
        <sz val="12"/>
        <color rgb="FF545454"/>
        <rFont val="Arial"/>
        <family val="2"/>
      </rPr>
      <t>90g</t>
    </r>
  </si>
  <si>
    <r>
      <rPr>
        <b/>
        <sz val="12"/>
        <color rgb="FF545454"/>
        <rFont val="Arial"/>
        <family val="2"/>
      </rPr>
      <t xml:space="preserve">AJILLO </t>
    </r>
    <r>
      <rPr>
        <b/>
        <sz val="12"/>
        <color rgb="FF3D3D3D"/>
        <rFont val="Arial"/>
        <family val="2"/>
      </rPr>
      <t>MIX</t>
    </r>
  </si>
  <si>
    <r>
      <rPr>
        <b/>
        <sz val="12"/>
        <color rgb="FF545454"/>
        <rFont val="Arial"/>
        <family val="2"/>
      </rPr>
      <t>ALBAHACA ENTERA</t>
    </r>
  </si>
  <si>
    <r>
      <rPr>
        <b/>
        <sz val="12"/>
        <color rgb="FF545454"/>
        <rFont val="Arial"/>
        <family val="2"/>
      </rPr>
      <t>20g</t>
    </r>
  </si>
  <si>
    <r>
      <rPr>
        <b/>
        <sz val="12"/>
        <color rgb="FF545454"/>
        <rFont val="Arial"/>
        <family val="2"/>
      </rPr>
      <t xml:space="preserve">ANIS </t>
    </r>
    <r>
      <rPr>
        <b/>
        <sz val="12"/>
        <color rgb="FF696969"/>
        <rFont val="Arial"/>
        <family val="2"/>
      </rPr>
      <t>D</t>
    </r>
    <r>
      <rPr>
        <b/>
        <sz val="12"/>
        <color rgb="FF3D3D3D"/>
        <rFont val="Arial"/>
        <family val="2"/>
      </rPr>
      <t>U</t>
    </r>
    <r>
      <rPr>
        <b/>
        <sz val="12"/>
        <color rgb="FF696969"/>
        <rFont val="Arial"/>
        <family val="2"/>
      </rPr>
      <t>LCE ENTERO</t>
    </r>
  </si>
  <si>
    <r>
      <rPr>
        <b/>
        <sz val="12"/>
        <color rgb="FF545454"/>
        <rFont val="Arial"/>
        <family val="2"/>
      </rPr>
      <t>CANELA ENTERA</t>
    </r>
  </si>
  <si>
    <r>
      <rPr>
        <b/>
        <sz val="12"/>
        <color rgb="FF545454"/>
        <rFont val="Arial"/>
        <family val="2"/>
      </rPr>
      <t>17591221,10568</t>
    </r>
  </si>
  <si>
    <r>
      <rPr>
        <b/>
        <sz val="12"/>
        <color rgb="FF545454"/>
        <rFont val="Arial"/>
        <family val="2"/>
      </rPr>
      <t>CA</t>
    </r>
    <r>
      <rPr>
        <b/>
        <sz val="12"/>
        <color rgb="FF262626"/>
        <rFont val="Arial"/>
        <family val="2"/>
      </rPr>
      <t>N</t>
    </r>
    <r>
      <rPr>
        <b/>
        <sz val="12"/>
        <color rgb="FF545454"/>
        <rFont val="Arial"/>
        <family val="2"/>
      </rPr>
      <t>ELA EN POLVO</t>
    </r>
  </si>
  <si>
    <r>
      <rPr>
        <b/>
        <sz val="12"/>
        <color rgb="FF545454"/>
        <rFont val="Arial"/>
        <family val="2"/>
      </rPr>
      <t>75g</t>
    </r>
  </si>
  <si>
    <r>
      <rPr>
        <b/>
        <sz val="12"/>
        <color rgb="FF545454"/>
        <rFont val="Arial"/>
        <family val="2"/>
      </rPr>
      <t>COLOR ONOTO MOLIOO</t>
    </r>
  </si>
  <si>
    <r>
      <rPr>
        <b/>
        <sz val="12"/>
        <color rgb="FF3D3D3D"/>
        <rFont val="Arial"/>
        <family val="2"/>
      </rPr>
      <t>90g</t>
    </r>
  </si>
  <si>
    <r>
      <rPr>
        <b/>
        <sz val="12"/>
        <color rgb="FF545454"/>
        <rFont val="Arial"/>
        <family val="2"/>
      </rPr>
      <t xml:space="preserve">COMINO </t>
    </r>
    <r>
      <rPr>
        <b/>
        <sz val="12"/>
        <color rgb="FF3D3D3D"/>
        <rFont val="Arial"/>
        <family val="2"/>
      </rPr>
      <t>MOLIDO</t>
    </r>
  </si>
  <si>
    <r>
      <rPr>
        <b/>
        <sz val="12"/>
        <color rgb="FF545454"/>
        <rFont val="Arial"/>
        <family val="2"/>
      </rPr>
      <t>65  g</t>
    </r>
  </si>
  <si>
    <r>
      <rPr>
        <b/>
        <sz val="12"/>
        <color rgb="FF545454"/>
        <rFont val="Arial"/>
        <family val="2"/>
      </rPr>
      <t xml:space="preserve">CURCUMA </t>
    </r>
    <r>
      <rPr>
        <b/>
        <sz val="12"/>
        <color rgb="FF3D3D3D"/>
        <rFont val="Arial"/>
        <family val="2"/>
      </rPr>
      <t>MO</t>
    </r>
    <r>
      <rPr>
        <b/>
        <sz val="12"/>
        <color rgb="FF696969"/>
        <rFont val="Arial"/>
        <family val="2"/>
      </rPr>
      <t>LI</t>
    </r>
    <r>
      <rPr>
        <b/>
        <sz val="12"/>
        <color rgb="FF3D3D3D"/>
        <rFont val="Arial"/>
        <family val="2"/>
      </rPr>
      <t>DA</t>
    </r>
  </si>
  <si>
    <r>
      <rPr>
        <b/>
        <sz val="12"/>
        <color rgb="FF545454"/>
        <rFont val="Arial"/>
        <family val="2"/>
      </rPr>
      <t>70 g</t>
    </r>
  </si>
  <si>
    <r>
      <rPr>
        <b/>
        <sz val="12"/>
        <color rgb="FF3D3D3D"/>
        <rFont val="Arial"/>
        <family val="2"/>
      </rPr>
      <t xml:space="preserve">1759122    </t>
    </r>
    <r>
      <rPr>
        <b/>
        <sz val="12"/>
        <color rgb="FF696969"/>
        <rFont val="Arial"/>
        <family val="2"/>
      </rPr>
      <t xml:space="preserve">1 </t>
    </r>
    <r>
      <rPr>
        <b/>
        <sz val="12"/>
        <color rgb="FF3D3D3D"/>
        <rFont val="Arial"/>
        <family val="2"/>
      </rPr>
      <t>411091</t>
    </r>
  </si>
  <si>
    <r>
      <rPr>
        <b/>
        <sz val="12"/>
        <color rgb="FF545454"/>
        <rFont val="Arial"/>
        <family val="2"/>
      </rPr>
      <t xml:space="preserve">CURRY </t>
    </r>
    <r>
      <rPr>
        <b/>
        <sz val="12"/>
        <color rgb="FF3D3D3D"/>
        <rFont val="Arial"/>
        <family val="2"/>
      </rPr>
      <t xml:space="preserve">EN </t>
    </r>
    <r>
      <rPr>
        <b/>
        <sz val="12"/>
        <color rgb="FF696969"/>
        <rFont val="Arial"/>
        <family val="2"/>
      </rPr>
      <t>POLV</t>
    </r>
    <r>
      <rPr>
        <b/>
        <sz val="12"/>
        <color rgb="FF3D3D3D"/>
        <rFont val="Arial"/>
        <family val="2"/>
      </rPr>
      <t>O</t>
    </r>
  </si>
  <si>
    <r>
      <rPr>
        <b/>
        <sz val="12"/>
        <color rgb="FF696969"/>
        <rFont val="Arial"/>
        <family val="2"/>
      </rPr>
      <t>JE</t>
    </r>
    <r>
      <rPr>
        <b/>
        <sz val="12"/>
        <color rgb="FF3D3D3D"/>
        <rFont val="Arial"/>
        <family val="2"/>
      </rPr>
      <t>NG</t>
    </r>
    <r>
      <rPr>
        <b/>
        <sz val="12"/>
        <color rgb="FF696969"/>
        <rFont val="Arial"/>
        <family val="2"/>
      </rPr>
      <t>IBRE</t>
    </r>
    <r>
      <rPr>
        <b/>
        <sz val="12"/>
        <color rgb="FF545454"/>
        <rFont val="Arial"/>
        <family val="2"/>
      </rPr>
      <t>MOUOO</t>
    </r>
  </si>
  <si>
    <r>
      <rPr>
        <b/>
        <sz val="12"/>
        <color rgb="FF545454"/>
        <rFont val="Arial"/>
        <family val="2"/>
      </rPr>
      <t>5-0g</t>
    </r>
  </si>
  <si>
    <r>
      <rPr>
        <b/>
        <sz val="12"/>
        <color rgb="FF3D3D3D"/>
        <rFont val="Arial"/>
        <family val="2"/>
      </rPr>
      <t>LA</t>
    </r>
    <r>
      <rPr>
        <b/>
        <sz val="12"/>
        <color rgb="FF696969"/>
        <rFont val="Arial"/>
        <family val="2"/>
      </rPr>
      <t xml:space="preserve">UREL  </t>
    </r>
    <r>
      <rPr>
        <b/>
        <sz val="12"/>
        <color rgb="FF3D3D3D"/>
        <rFont val="Arial"/>
        <family val="2"/>
      </rPr>
      <t>ENTERO</t>
    </r>
  </si>
  <si>
    <r>
      <rPr>
        <b/>
        <sz val="12"/>
        <color rgb="FF545454"/>
        <rFont val="Arial"/>
        <family val="2"/>
      </rPr>
      <t xml:space="preserve">MEZCLA PARA CONDIMENTAR </t>
    </r>
    <r>
      <rPr>
        <b/>
        <sz val="12"/>
        <color rgb="FF696969"/>
        <rFont val="Arial"/>
        <family val="2"/>
      </rPr>
      <t>PAE</t>
    </r>
    <r>
      <rPr>
        <b/>
        <sz val="12"/>
        <color rgb="FF262626"/>
        <rFont val="Arial"/>
        <family val="2"/>
      </rPr>
      <t>LLA</t>
    </r>
  </si>
  <si>
    <r>
      <rPr>
        <b/>
        <sz val="12"/>
        <color rgb="FF3D3D3D"/>
        <rFont val="Arial"/>
        <family val="2"/>
      </rPr>
      <t xml:space="preserve">115  </t>
    </r>
    <r>
      <rPr>
        <b/>
        <sz val="12"/>
        <color rgb="FF545454"/>
        <rFont val="Arial"/>
        <family val="2"/>
      </rPr>
      <t>g</t>
    </r>
  </si>
  <si>
    <r>
      <rPr>
        <b/>
        <sz val="12"/>
        <color rgb="FF696969"/>
        <rFont val="Arial"/>
        <family val="2"/>
      </rPr>
      <t xml:space="preserve">11 </t>
    </r>
    <r>
      <rPr>
        <b/>
        <sz val="12"/>
        <color rgb="FF3D3D3D"/>
        <rFont val="Arial"/>
        <family val="2"/>
      </rPr>
      <t xml:space="preserve">0308  </t>
    </r>
    <r>
      <rPr>
        <b/>
        <sz val="12"/>
        <color rgb="FF696969"/>
        <rFont val="Arial"/>
        <family val="2"/>
      </rPr>
      <t>7</t>
    </r>
  </si>
  <si>
    <r>
      <rPr>
        <b/>
        <sz val="12"/>
        <color rgb="FF262626"/>
        <rFont val="Arial"/>
        <family val="2"/>
      </rPr>
      <t>1</t>
    </r>
    <r>
      <rPr>
        <b/>
        <sz val="12"/>
        <color rgb="FF696969"/>
        <rFont val="Arial"/>
        <family val="2"/>
      </rPr>
      <t xml:space="preserve">7591221   </t>
    </r>
    <r>
      <rPr>
        <b/>
        <sz val="12"/>
        <color rgb="FF262626"/>
        <rFont val="Arial"/>
        <family val="2"/>
      </rPr>
      <t xml:space="preserve">4114 </t>
    </r>
    <r>
      <rPr>
        <b/>
        <sz val="12"/>
        <color rgb="FF696969"/>
        <rFont val="Arial"/>
        <family val="2"/>
      </rPr>
      <t>35</t>
    </r>
  </si>
  <si>
    <r>
      <rPr>
        <b/>
        <sz val="12"/>
        <color rgb="FF3D3D3D"/>
        <rFont val="Arial"/>
        <family val="2"/>
      </rPr>
      <t>N</t>
    </r>
    <r>
      <rPr>
        <b/>
        <sz val="12"/>
        <color rgb="FF696969"/>
        <rFont val="Arial"/>
        <family val="2"/>
      </rPr>
      <t xml:space="preserve">UEZ </t>
    </r>
    <r>
      <rPr>
        <b/>
        <sz val="12"/>
        <color rgb="FF545454"/>
        <rFont val="Arial"/>
        <family val="2"/>
      </rPr>
      <t xml:space="preserve">MOSCADA </t>
    </r>
    <r>
      <rPr>
        <b/>
        <sz val="12"/>
        <color rgb="FF3D3D3D"/>
        <rFont val="Arial"/>
        <family val="2"/>
      </rPr>
      <t>ENTERA</t>
    </r>
  </si>
  <si>
    <r>
      <rPr>
        <b/>
        <sz val="12"/>
        <color rgb="FF545454"/>
        <rFont val="Arial"/>
        <family val="2"/>
      </rPr>
      <t>61)  g</t>
    </r>
  </si>
  <si>
    <r>
      <rPr>
        <b/>
        <sz val="12"/>
        <color rgb="FF696969"/>
        <rFont val="Arial"/>
        <family val="2"/>
      </rPr>
      <t>110:1089</t>
    </r>
  </si>
  <si>
    <r>
      <rPr>
        <b/>
        <sz val="12"/>
        <color rgb="FF545454"/>
        <rFont val="Arial"/>
        <family val="2"/>
      </rPr>
      <t>O</t>
    </r>
    <r>
      <rPr>
        <b/>
        <sz val="12"/>
        <color rgb="FF262626"/>
        <rFont val="Arial"/>
        <family val="2"/>
      </rPr>
      <t>N</t>
    </r>
    <r>
      <rPr>
        <b/>
        <sz val="12"/>
        <color rgb="FF545454"/>
        <rFont val="Arial"/>
        <family val="2"/>
      </rPr>
      <t>OTO ENTERO</t>
    </r>
  </si>
  <si>
    <r>
      <rPr>
        <b/>
        <sz val="12"/>
        <color rgb="FF545454"/>
        <rFont val="Arial"/>
        <family val="2"/>
      </rPr>
      <t xml:space="preserve">OREGANO </t>
    </r>
    <r>
      <rPr>
        <b/>
        <sz val="12"/>
        <color rgb="FF696969"/>
        <rFont val="Arial"/>
        <family val="2"/>
      </rPr>
      <t>ENTERO</t>
    </r>
  </si>
  <si>
    <r>
      <rPr>
        <b/>
        <sz val="12"/>
        <color rgb="FF696969"/>
        <rFont val="Arial"/>
        <family val="2"/>
      </rPr>
      <t xml:space="preserve">1759122 </t>
    </r>
    <r>
      <rPr>
        <b/>
        <sz val="12"/>
        <color rgb="FF262626"/>
        <rFont val="Arial"/>
        <family val="2"/>
      </rPr>
      <t>14</t>
    </r>
    <r>
      <rPr>
        <b/>
        <sz val="12"/>
        <color rgb="FF696969"/>
        <rFont val="Arial"/>
        <family val="2"/>
      </rPr>
      <t>11596</t>
    </r>
  </si>
  <si>
    <r>
      <rPr>
        <b/>
        <sz val="12"/>
        <color rgb="FF545454"/>
        <rFont val="Arial"/>
        <family val="2"/>
      </rPr>
      <t>OREGANO MOLIOO</t>
    </r>
  </si>
  <si>
    <r>
      <rPr>
        <b/>
        <sz val="12"/>
        <color rgb="FF3D3D3D"/>
        <rFont val="Arial"/>
        <family val="2"/>
      </rPr>
      <t>15g</t>
    </r>
  </si>
  <si>
    <r>
      <rPr>
        <b/>
        <sz val="12"/>
        <color rgb="FF3D3D3D"/>
        <rFont val="Arial"/>
        <family val="2"/>
      </rPr>
      <t>PIMENT0N ESPANOL</t>
    </r>
  </si>
  <si>
    <r>
      <rPr>
        <b/>
        <sz val="12"/>
        <color rgb="FF3D3D3D"/>
        <rFont val="Arial"/>
        <family val="2"/>
      </rPr>
      <t>PIM</t>
    </r>
    <r>
      <rPr>
        <b/>
        <sz val="12"/>
        <color rgb="FF696969"/>
        <rFont val="Arial"/>
        <family val="2"/>
      </rPr>
      <t>IENTA</t>
    </r>
    <r>
      <rPr>
        <b/>
        <sz val="12"/>
        <color rgb="FF545454"/>
        <rFont val="Arial"/>
        <family val="2"/>
      </rPr>
      <t>BLANCA MOLIDA</t>
    </r>
  </si>
  <si>
    <r>
      <rPr>
        <b/>
        <sz val="12"/>
        <color rgb="FF545454"/>
        <rFont val="Arial"/>
        <family val="2"/>
      </rPr>
      <t>P</t>
    </r>
    <r>
      <rPr>
        <b/>
        <sz val="12"/>
        <color rgb="FF262626"/>
        <rFont val="Arial"/>
        <family val="2"/>
      </rPr>
      <t>IM</t>
    </r>
    <r>
      <rPr>
        <b/>
        <sz val="12"/>
        <color rgb="FF696969"/>
        <rFont val="Arial"/>
        <family val="2"/>
      </rPr>
      <t>I</t>
    </r>
    <r>
      <rPr>
        <b/>
        <sz val="12"/>
        <color rgb="FF3D3D3D"/>
        <rFont val="Arial"/>
        <family val="2"/>
      </rPr>
      <t xml:space="preserve">ENTA NEGRA </t>
    </r>
    <r>
      <rPr>
        <b/>
        <sz val="12"/>
        <color rgb="FF545454"/>
        <rFont val="Arial"/>
        <family val="2"/>
      </rPr>
      <t>MOLIDA</t>
    </r>
  </si>
  <si>
    <r>
      <rPr>
        <b/>
        <sz val="12"/>
        <color rgb="FF3D3D3D"/>
        <rFont val="Arial"/>
        <family val="2"/>
      </rPr>
      <t>1</t>
    </r>
    <r>
      <rPr>
        <b/>
        <sz val="12"/>
        <color rgb="FF696969"/>
        <rFont val="Arial"/>
        <family val="2"/>
      </rPr>
      <t>103</t>
    </r>
    <r>
      <rPr>
        <b/>
        <sz val="12"/>
        <color rgb="FF3D3D3D"/>
        <rFont val="Arial"/>
        <family val="2"/>
      </rPr>
      <t>11S</t>
    </r>
  </si>
  <si>
    <r>
      <rPr>
        <b/>
        <sz val="12"/>
        <color rgb="FF3D3D3D"/>
        <rFont val="Arial"/>
        <family val="2"/>
      </rPr>
      <t xml:space="preserve">ROMERO </t>
    </r>
    <r>
      <rPr>
        <b/>
        <sz val="12"/>
        <color rgb="FF696969"/>
        <rFont val="Arial"/>
        <family val="2"/>
      </rPr>
      <t>E</t>
    </r>
    <r>
      <rPr>
        <b/>
        <sz val="12"/>
        <color rgb="FF3D3D3D"/>
        <rFont val="Arial"/>
        <family val="2"/>
      </rPr>
      <t>N</t>
    </r>
    <r>
      <rPr>
        <b/>
        <sz val="12"/>
        <color rgb="FF696969"/>
        <rFont val="Arial"/>
        <family val="2"/>
      </rPr>
      <t>TE</t>
    </r>
    <r>
      <rPr>
        <b/>
        <sz val="12"/>
        <color rgb="FF3D3D3D"/>
        <rFont val="Arial"/>
        <family val="2"/>
      </rPr>
      <t>RO</t>
    </r>
  </si>
  <si>
    <r>
      <rPr>
        <b/>
        <sz val="12"/>
        <color rgb="FF545454"/>
        <rFont val="Arial"/>
        <family val="2"/>
      </rPr>
      <t>30g</t>
    </r>
  </si>
  <si>
    <r>
      <rPr>
        <b/>
        <sz val="12"/>
        <color rgb="FF545454"/>
        <rFont val="Arial"/>
        <family val="2"/>
      </rPr>
      <t>110311$1</t>
    </r>
  </si>
  <si>
    <r>
      <rPr>
        <b/>
        <sz val="12"/>
        <color rgb="FF545454"/>
        <rFont val="Arial"/>
        <family val="2"/>
      </rPr>
      <t xml:space="preserve">140 </t>
    </r>
    <r>
      <rPr>
        <b/>
        <sz val="12"/>
        <color rgb="FF3D3D3D"/>
        <rFont val="Arial"/>
        <family val="2"/>
      </rPr>
      <t>g</t>
    </r>
  </si>
  <si>
    <r>
      <rPr>
        <b/>
        <sz val="12"/>
        <color rgb="FF545454"/>
        <rFont val="Arial"/>
        <family val="2"/>
      </rPr>
      <t xml:space="preserve">HO </t>
    </r>
    <r>
      <rPr>
        <b/>
        <sz val="12"/>
        <color rgb="FF3D3D3D"/>
        <rFont val="Arial"/>
        <family val="2"/>
      </rPr>
      <t>g</t>
    </r>
  </si>
  <si>
    <r>
      <rPr>
        <b/>
        <sz val="12"/>
        <color rgb="FF545454"/>
        <rFont val="Arial"/>
        <family val="2"/>
      </rPr>
      <t>SA</t>
    </r>
    <r>
      <rPr>
        <b/>
        <sz val="12"/>
        <color rgb="FF262626"/>
        <rFont val="Arial"/>
        <family val="2"/>
      </rPr>
      <t>L</t>
    </r>
    <r>
      <rPr>
        <b/>
        <sz val="12"/>
        <color rgb="FF545454"/>
        <rFont val="Arial"/>
        <family val="2"/>
      </rPr>
      <t xml:space="preserve">VIA </t>
    </r>
    <r>
      <rPr>
        <b/>
        <sz val="12"/>
        <color rgb="FF3D3D3D"/>
        <rFont val="Arial"/>
        <family val="2"/>
      </rPr>
      <t>ENTERA</t>
    </r>
  </si>
  <si>
    <r>
      <rPr>
        <b/>
        <sz val="12"/>
        <color rgb="FF545454"/>
        <rFont val="Arial"/>
        <family val="2"/>
      </rPr>
      <t>110315      ◄</t>
    </r>
  </si>
  <si>
    <r>
      <rPr>
        <b/>
        <sz val="12"/>
        <color rgb="FF696969"/>
        <rFont val="Arial"/>
        <family val="2"/>
      </rPr>
      <t xml:space="preserve">1 </t>
    </r>
    <r>
      <rPr>
        <b/>
        <sz val="12"/>
        <color rgb="FF3D3D3D"/>
        <rFont val="Arial"/>
        <family val="2"/>
      </rPr>
      <t>759</t>
    </r>
    <r>
      <rPr>
        <b/>
        <sz val="12"/>
        <color rgb="FF696969"/>
        <rFont val="Arial"/>
        <family val="2"/>
      </rPr>
      <t xml:space="preserve">1 </t>
    </r>
    <r>
      <rPr>
        <b/>
        <sz val="12"/>
        <color rgb="FF3D3D3D"/>
        <rFont val="Arial"/>
        <family val="2"/>
      </rPr>
      <t>22103</t>
    </r>
    <r>
      <rPr>
        <b/>
        <sz val="12"/>
        <color rgb="FF696969"/>
        <rFont val="Arial"/>
        <family val="2"/>
      </rPr>
      <t>151</t>
    </r>
  </si>
  <si>
    <r>
      <rPr>
        <b/>
        <sz val="12"/>
        <color rgb="FF3D3D3D"/>
        <rFont val="Arial"/>
        <family val="2"/>
      </rPr>
      <t xml:space="preserve">SWEET </t>
    </r>
    <r>
      <rPr>
        <b/>
        <sz val="12"/>
        <color rgb="FF545454"/>
        <rFont val="Arial"/>
        <family val="2"/>
      </rPr>
      <t>CANELA</t>
    </r>
  </si>
  <si>
    <r>
      <rPr>
        <b/>
        <sz val="12"/>
        <color rgb="FF696969"/>
        <rFont val="Arial"/>
        <family val="2"/>
      </rPr>
      <t xml:space="preserve">100 </t>
    </r>
    <r>
      <rPr>
        <b/>
        <sz val="12"/>
        <color rgb="FF545454"/>
        <rFont val="Arial"/>
        <family val="2"/>
      </rPr>
      <t>9</t>
    </r>
  </si>
  <si>
    <r>
      <rPr>
        <b/>
        <sz val="12"/>
        <color rgb="FF545454"/>
        <rFont val="Arial"/>
        <family val="2"/>
      </rPr>
      <t>TOMILLO E</t>
    </r>
    <r>
      <rPr>
        <b/>
        <sz val="12"/>
        <color rgb="FF262626"/>
        <rFont val="Arial"/>
        <family val="2"/>
      </rPr>
      <t>N</t>
    </r>
    <r>
      <rPr>
        <b/>
        <sz val="12"/>
        <color rgb="FF545454"/>
        <rFont val="Arial"/>
        <family val="2"/>
      </rPr>
      <t>TERO</t>
    </r>
  </si>
  <si>
    <r>
      <rPr>
        <b/>
        <sz val="12"/>
        <color rgb="FF545454"/>
        <rFont val="Arial"/>
        <family val="2"/>
      </rPr>
      <t>SAL COND</t>
    </r>
    <r>
      <rPr>
        <b/>
        <sz val="12"/>
        <color rgb="FF262626"/>
        <rFont val="Arial"/>
        <family val="2"/>
      </rPr>
      <t>IM</t>
    </r>
    <r>
      <rPr>
        <b/>
        <sz val="12"/>
        <color rgb="FF545454"/>
        <rFont val="Arial"/>
        <family val="2"/>
      </rPr>
      <t>ENTA</t>
    </r>
    <r>
      <rPr>
        <b/>
        <sz val="12"/>
        <color rgb="FF262626"/>
        <rFont val="Arial"/>
        <family val="2"/>
      </rPr>
      <t xml:space="preserve">DA </t>
    </r>
    <r>
      <rPr>
        <b/>
        <sz val="12"/>
        <color rgb="FF545454"/>
        <rFont val="Arial"/>
        <family val="2"/>
      </rPr>
      <t>PARA AVES</t>
    </r>
  </si>
  <si>
    <r>
      <rPr>
        <b/>
        <sz val="12"/>
        <color rgb="FF696969"/>
        <rFont val="Arial"/>
        <family val="2"/>
      </rPr>
      <t>125g</t>
    </r>
  </si>
  <si>
    <r>
      <rPr>
        <b/>
        <sz val="12"/>
        <color rgb="FF696969"/>
        <rFont val="Arial"/>
        <family val="2"/>
      </rPr>
      <t xml:space="preserve">SALSA </t>
    </r>
    <r>
      <rPr>
        <b/>
        <sz val="12"/>
        <color rgb="FF545454"/>
        <rFont val="Arial"/>
        <family val="2"/>
      </rPr>
      <t>CON D</t>
    </r>
    <r>
      <rPr>
        <b/>
        <sz val="12"/>
        <color rgb="FF262626"/>
        <rFont val="Arial"/>
        <family val="2"/>
      </rPr>
      <t>IM</t>
    </r>
    <r>
      <rPr>
        <b/>
        <sz val="12"/>
        <color rgb="FF696969"/>
        <rFont val="Arial"/>
        <family val="2"/>
      </rPr>
      <t>ENTA</t>
    </r>
    <r>
      <rPr>
        <b/>
        <sz val="12"/>
        <color rgb="FF3D3D3D"/>
        <rFont val="Arial"/>
        <family val="2"/>
      </rPr>
      <t xml:space="preserve">DA </t>
    </r>
    <r>
      <rPr>
        <b/>
        <sz val="12"/>
        <color rgb="FF696969"/>
        <rFont val="Arial"/>
        <family val="2"/>
      </rPr>
      <t xml:space="preserve">PARA </t>
    </r>
    <r>
      <rPr>
        <b/>
        <sz val="12"/>
        <color rgb="FF545454"/>
        <rFont val="Arial"/>
        <family val="2"/>
      </rPr>
      <t>CARNES</t>
    </r>
  </si>
  <si>
    <r>
      <rPr>
        <b/>
        <sz val="12"/>
        <color rgb="FF696969"/>
        <rFont val="Arial"/>
        <family val="2"/>
      </rPr>
      <t>1</t>
    </r>
    <r>
      <rPr>
        <b/>
        <sz val="12"/>
        <color rgb="FF3D3D3D"/>
        <rFont val="Arial"/>
        <family val="2"/>
      </rPr>
      <t xml:space="preserve">25 </t>
    </r>
    <r>
      <rPr>
        <b/>
        <sz val="12"/>
        <color rgb="FF545454"/>
        <rFont val="Arial"/>
        <family val="2"/>
      </rPr>
      <t>g</t>
    </r>
  </si>
  <si>
    <r>
      <rPr>
        <b/>
        <sz val="12"/>
        <color rgb="FF696969"/>
        <rFont val="Arial"/>
        <family val="2"/>
      </rPr>
      <t>1</t>
    </r>
    <r>
      <rPr>
        <b/>
        <sz val="12"/>
        <color rgb="FF3D3D3D"/>
        <rFont val="Arial"/>
        <family val="2"/>
      </rPr>
      <t xml:space="preserve">75-9122103   </t>
    </r>
    <r>
      <rPr>
        <b/>
        <sz val="12"/>
        <color rgb="FF696969"/>
        <rFont val="Arial"/>
        <family val="2"/>
      </rPr>
      <t xml:space="preserve">136  </t>
    </r>
    <r>
      <rPr>
        <b/>
        <sz val="12"/>
        <color rgb="FF3D3D3D"/>
        <rFont val="Arial"/>
        <family val="2"/>
      </rPr>
      <t>7</t>
    </r>
  </si>
  <si>
    <r>
      <rPr>
        <b/>
        <sz val="12"/>
        <color rgb="FF545454"/>
        <rFont val="Arial"/>
        <family val="2"/>
      </rPr>
      <t xml:space="preserve">SALSA  </t>
    </r>
    <r>
      <rPr>
        <b/>
        <sz val="12"/>
        <color rgb="FF3D3D3D"/>
        <rFont val="Arial"/>
        <family val="2"/>
      </rPr>
      <t>CON DIM</t>
    </r>
    <r>
      <rPr>
        <b/>
        <sz val="12"/>
        <color rgb="FF696969"/>
        <rFont val="Arial"/>
        <family val="2"/>
      </rPr>
      <t xml:space="preserve">ENTADA  </t>
    </r>
    <r>
      <rPr>
        <b/>
        <sz val="12"/>
        <color rgb="FF545454"/>
        <rFont val="Arial"/>
        <family val="2"/>
      </rPr>
      <t>PARA PESCADOS</t>
    </r>
  </si>
  <si>
    <r>
      <rPr>
        <b/>
        <sz val="12"/>
        <color rgb="FF696969"/>
        <rFont val="Arial"/>
        <family val="2"/>
      </rPr>
      <t xml:space="preserve">125 </t>
    </r>
    <r>
      <rPr>
        <b/>
        <sz val="12"/>
        <color rgb="FF545454"/>
        <rFont val="Arial"/>
        <family val="2"/>
      </rPr>
      <t>9</t>
    </r>
  </si>
  <si>
    <r>
      <rPr>
        <b/>
        <sz val="12"/>
        <color rgb="FF3D3D3D"/>
        <rFont val="Arial"/>
        <family val="2"/>
      </rPr>
      <t xml:space="preserve">ADOBO COMPLETO  </t>
    </r>
    <r>
      <rPr>
        <b/>
        <sz val="12"/>
        <color rgb="FF545454"/>
        <rFont val="Arial"/>
        <family val="2"/>
      </rPr>
      <t xml:space="preserve">2 X </t>
    </r>
    <r>
      <rPr>
        <b/>
        <sz val="12"/>
        <color rgb="FF696969"/>
        <rFont val="Arial"/>
        <family val="2"/>
      </rPr>
      <t>12</t>
    </r>
  </si>
  <si>
    <r>
      <rPr>
        <b/>
        <sz val="12"/>
        <color rgb="FF545454"/>
        <rFont val="Arial"/>
        <family val="2"/>
      </rPr>
      <t>40g</t>
    </r>
  </si>
  <si>
    <r>
      <rPr>
        <b/>
        <sz val="12"/>
        <color rgb="FF545454"/>
        <rFont val="Arial"/>
        <family val="2"/>
      </rPr>
      <t>AJO PURO E</t>
    </r>
    <r>
      <rPr>
        <b/>
        <sz val="12"/>
        <color rgb="FF262626"/>
        <rFont val="Arial"/>
        <family val="2"/>
      </rPr>
      <t xml:space="preserve">N </t>
    </r>
    <r>
      <rPr>
        <b/>
        <sz val="12"/>
        <color rgb="FF545454"/>
        <rFont val="Arial"/>
        <family val="2"/>
      </rPr>
      <t xml:space="preserve">POLVO </t>
    </r>
    <r>
      <rPr>
        <b/>
        <vertAlign val="superscript"/>
        <sz val="12"/>
        <color rgb="FF3D3D3D"/>
        <rFont val="Arial"/>
        <family val="2"/>
      </rPr>
      <t xml:space="preserve">2 </t>
    </r>
    <r>
      <rPr>
        <b/>
        <vertAlign val="superscript"/>
        <sz val="12"/>
        <color rgb="FF545454"/>
        <rFont val="Arial"/>
        <family val="2"/>
      </rPr>
      <t xml:space="preserve">X </t>
    </r>
    <r>
      <rPr>
        <b/>
        <vertAlign val="superscript"/>
        <sz val="12"/>
        <color rgb="FF3D3D3D"/>
        <rFont val="Arial"/>
        <family val="2"/>
      </rPr>
      <t>12</t>
    </r>
  </si>
  <si>
    <r>
      <rPr>
        <b/>
        <sz val="12"/>
        <color rgb="FF3D3D3D"/>
        <rFont val="Arial"/>
        <family val="2"/>
      </rPr>
      <t>30g</t>
    </r>
  </si>
  <si>
    <r>
      <rPr>
        <b/>
        <sz val="12"/>
        <color rgb="FF545454"/>
        <rFont val="Arial"/>
        <family val="2"/>
      </rPr>
      <t xml:space="preserve">AJILL0 </t>
    </r>
    <r>
      <rPr>
        <b/>
        <sz val="12"/>
        <color rgb="FF3D3D3D"/>
        <rFont val="Arial"/>
        <family val="2"/>
      </rPr>
      <t xml:space="preserve">MIX   </t>
    </r>
    <r>
      <rPr>
        <b/>
        <sz val="12"/>
        <color rgb="FF545454"/>
        <rFont val="Arial"/>
        <family val="2"/>
      </rPr>
      <t xml:space="preserve">2  X </t>
    </r>
    <r>
      <rPr>
        <b/>
        <sz val="12"/>
        <color rgb="FF3D3D3D"/>
        <rFont val="Arial"/>
        <family val="2"/>
      </rPr>
      <t>12</t>
    </r>
  </si>
  <si>
    <r>
      <rPr>
        <b/>
        <sz val="12"/>
        <color rgb="FF3D3D3D"/>
        <rFont val="Arial"/>
        <family val="2"/>
      </rPr>
      <t>COlO</t>
    </r>
    <r>
      <rPr>
        <b/>
        <sz val="12"/>
        <color rgb="FF696969"/>
        <rFont val="Arial"/>
        <family val="2"/>
      </rPr>
      <t xml:space="preserve">R </t>
    </r>
    <r>
      <rPr>
        <b/>
        <sz val="12"/>
        <color rgb="FF545454"/>
        <rFont val="Arial"/>
        <family val="2"/>
      </rPr>
      <t xml:space="preserve">ONOTO MOLIDO   2  X </t>
    </r>
    <r>
      <rPr>
        <b/>
        <sz val="12"/>
        <color rgb="FF3D3D3D"/>
        <rFont val="Arial"/>
        <family val="2"/>
      </rPr>
      <t>12</t>
    </r>
  </si>
  <si>
    <r>
      <rPr>
        <b/>
        <sz val="12"/>
        <color rgb="FF3D3D3D"/>
        <rFont val="Arial"/>
        <family val="2"/>
      </rPr>
      <t xml:space="preserve">25  </t>
    </r>
    <r>
      <rPr>
        <b/>
        <sz val="12"/>
        <color rgb="FF696969"/>
        <rFont val="Arial"/>
        <family val="2"/>
      </rPr>
      <t>g</t>
    </r>
  </si>
  <si>
    <r>
      <rPr>
        <b/>
        <sz val="12"/>
        <color rgb="FF3D3D3D"/>
        <rFont val="Arial"/>
        <family val="2"/>
      </rPr>
      <t xml:space="preserve">COMINO MOLIDO  </t>
    </r>
    <r>
      <rPr>
        <b/>
        <sz val="12"/>
        <color rgb="FF545454"/>
        <rFont val="Arial"/>
        <family val="2"/>
      </rPr>
      <t xml:space="preserve">2x   </t>
    </r>
    <r>
      <rPr>
        <b/>
        <sz val="12"/>
        <color rgb="FF3D3D3D"/>
        <rFont val="Arial"/>
        <family val="2"/>
      </rPr>
      <t>12</t>
    </r>
  </si>
  <si>
    <r>
      <rPr>
        <b/>
        <sz val="12"/>
        <color rgb="FF696969"/>
        <rFont val="Arial"/>
        <family val="2"/>
      </rPr>
      <t>759122</t>
    </r>
    <r>
      <rPr>
        <b/>
        <sz val="12"/>
        <color rgb="FF3D3D3D"/>
        <rFont val="Arial"/>
        <family val="2"/>
      </rPr>
      <t>16</t>
    </r>
    <r>
      <rPr>
        <b/>
        <sz val="12"/>
        <color rgb="FF696969"/>
        <rFont val="Arial"/>
        <family val="2"/>
      </rPr>
      <t>1055a</t>
    </r>
  </si>
  <si>
    <r>
      <rPr>
        <b/>
        <sz val="12"/>
        <color rgb="FF545454"/>
        <rFont val="Arial"/>
        <family val="2"/>
      </rPr>
      <t>C</t>
    </r>
    <r>
      <rPr>
        <b/>
        <sz val="12"/>
        <color rgb="FF262626"/>
        <rFont val="Arial"/>
        <family val="2"/>
      </rPr>
      <t>U</t>
    </r>
    <r>
      <rPr>
        <b/>
        <sz val="12"/>
        <color rgb="FF545454"/>
        <rFont val="Arial"/>
        <family val="2"/>
      </rPr>
      <t xml:space="preserve">RRY </t>
    </r>
    <r>
      <rPr>
        <b/>
        <sz val="12"/>
        <color rgb="FF3D3D3D"/>
        <rFont val="Arial"/>
        <family val="2"/>
      </rPr>
      <t xml:space="preserve">EN POLV0  </t>
    </r>
    <r>
      <rPr>
        <b/>
        <vertAlign val="superscript"/>
        <sz val="12"/>
        <color rgb="FF3D3D3D"/>
        <rFont val="Arial"/>
        <family val="2"/>
      </rPr>
      <t xml:space="preserve">2x  </t>
    </r>
    <r>
      <rPr>
        <b/>
        <vertAlign val="superscript"/>
        <sz val="12"/>
        <color rgb="FF262626"/>
        <rFont val="Arial"/>
        <family val="2"/>
      </rPr>
      <t>12</t>
    </r>
  </si>
  <si>
    <r>
      <rPr>
        <b/>
        <sz val="12"/>
        <color rgb="FF3D3D3D"/>
        <rFont val="Arial"/>
        <family val="2"/>
      </rPr>
      <t>20g</t>
    </r>
  </si>
  <si>
    <r>
      <rPr>
        <b/>
        <sz val="12"/>
        <color rgb="FF696969"/>
        <rFont val="Arial"/>
        <family val="2"/>
      </rPr>
      <t>1</t>
    </r>
    <r>
      <rPr>
        <b/>
        <sz val="12"/>
        <color rgb="FF262626"/>
        <rFont val="Arial"/>
        <family val="2"/>
      </rPr>
      <t>1</t>
    </r>
    <r>
      <rPr>
        <b/>
        <sz val="12"/>
        <color rgb="FF545454"/>
        <rFont val="Arial"/>
        <family val="2"/>
      </rPr>
      <t>(110$9</t>
    </r>
  </si>
  <si>
    <r>
      <rPr>
        <b/>
        <sz val="12"/>
        <color rgb="FF545454"/>
        <rFont val="Arial"/>
        <family val="2"/>
      </rPr>
      <t xml:space="preserve">7S9122 </t>
    </r>
    <r>
      <rPr>
        <b/>
        <sz val="12"/>
        <color rgb="FF262626"/>
        <rFont val="Arial"/>
        <family val="2"/>
      </rPr>
      <t>1</t>
    </r>
    <r>
      <rPr>
        <b/>
        <sz val="12"/>
        <color rgb="FF545454"/>
        <rFont val="Arial"/>
        <family val="2"/>
      </rPr>
      <t>610893</t>
    </r>
  </si>
  <si>
    <r>
      <rPr>
        <b/>
        <sz val="12"/>
        <color rgb="FF3D3D3D"/>
        <rFont val="Arial"/>
        <family val="2"/>
      </rPr>
      <t xml:space="preserve">2759122  </t>
    </r>
    <r>
      <rPr>
        <b/>
        <sz val="12"/>
        <color rgb="FF696969"/>
        <rFont val="Arial"/>
        <family val="2"/>
      </rPr>
      <t xml:space="preserve">161 </t>
    </r>
    <r>
      <rPr>
        <b/>
        <sz val="12"/>
        <color rgb="FF3D3D3D"/>
        <rFont val="Arial"/>
        <family val="2"/>
      </rPr>
      <t>0$97</t>
    </r>
  </si>
  <si>
    <r>
      <rPr>
        <b/>
        <sz val="12"/>
        <color rgb="FF545454"/>
        <rFont val="Arial"/>
        <family val="2"/>
      </rPr>
      <t xml:space="preserve">ONOTO  </t>
    </r>
    <r>
      <rPr>
        <b/>
        <sz val="12"/>
        <color rgb="FF3D3D3D"/>
        <rFont val="Arial"/>
        <family val="2"/>
      </rPr>
      <t>E N</t>
    </r>
    <r>
      <rPr>
        <b/>
        <sz val="12"/>
        <color rgb="FF696969"/>
        <rFont val="Arial"/>
        <family val="2"/>
      </rPr>
      <t xml:space="preserve">TERO  </t>
    </r>
    <r>
      <rPr>
        <b/>
        <sz val="12"/>
        <color rgb="FF545454"/>
        <rFont val="Arial"/>
        <family val="2"/>
      </rPr>
      <t>2 X</t>
    </r>
    <r>
      <rPr>
        <b/>
        <sz val="12"/>
        <color rgb="FF696969"/>
        <rFont val="Arial"/>
        <family val="2"/>
      </rPr>
      <t>12</t>
    </r>
  </si>
  <si>
    <r>
      <rPr>
        <b/>
        <sz val="12"/>
        <color rgb="FF696969"/>
        <rFont val="Arial"/>
        <family val="2"/>
      </rPr>
      <t>20g</t>
    </r>
  </si>
  <si>
    <r>
      <rPr>
        <b/>
        <sz val="12"/>
        <color rgb="FF545454"/>
        <rFont val="Arial"/>
        <family val="2"/>
      </rPr>
      <t xml:space="preserve">OREGANO </t>
    </r>
    <r>
      <rPr>
        <b/>
        <sz val="12"/>
        <color rgb="FF3D3D3D"/>
        <rFont val="Arial"/>
        <family val="2"/>
      </rPr>
      <t xml:space="preserve">ENTERO  </t>
    </r>
    <r>
      <rPr>
        <b/>
        <sz val="12"/>
        <color rgb="FF545454"/>
        <rFont val="Arial"/>
        <family val="2"/>
      </rPr>
      <t xml:space="preserve">2x  </t>
    </r>
    <r>
      <rPr>
        <b/>
        <sz val="12"/>
        <color rgb="FF696969"/>
        <rFont val="Arial"/>
        <family val="2"/>
      </rPr>
      <t>12</t>
    </r>
  </si>
  <si>
    <r>
      <rPr>
        <b/>
        <sz val="12"/>
        <color rgb="FF696969"/>
        <rFont val="Arial"/>
        <family val="2"/>
      </rPr>
      <t>75</t>
    </r>
    <r>
      <rPr>
        <b/>
        <sz val="12"/>
        <color rgb="FF3D3D3D"/>
        <rFont val="Arial"/>
        <family val="2"/>
      </rPr>
      <t xml:space="preserve">91221611159
</t>
    </r>
    <r>
      <rPr>
        <b/>
        <sz val="12"/>
        <color rgb="FF131313"/>
        <rFont val="Arial"/>
        <family val="2"/>
      </rPr>
      <t>-</t>
    </r>
  </si>
  <si>
    <r>
      <rPr>
        <b/>
        <sz val="12"/>
        <color rgb="FF696969"/>
        <rFont val="Arial"/>
        <family val="2"/>
      </rPr>
      <t>PIM</t>
    </r>
    <r>
      <rPr>
        <b/>
        <sz val="12"/>
        <color rgb="FF262626"/>
        <rFont val="Arial"/>
        <family val="2"/>
      </rPr>
      <t>I</t>
    </r>
    <r>
      <rPr>
        <b/>
        <sz val="12"/>
        <color rgb="FF545454"/>
        <rFont val="Arial"/>
        <family val="2"/>
      </rPr>
      <t xml:space="preserve">ENTA </t>
    </r>
    <r>
      <rPr>
        <b/>
        <sz val="12"/>
        <color rgb="FF3D3D3D"/>
        <rFont val="Arial"/>
        <family val="2"/>
      </rPr>
      <t>NEGRA MO</t>
    </r>
    <r>
      <rPr>
        <b/>
        <sz val="12"/>
        <color rgb="FF696969"/>
        <rFont val="Arial"/>
        <family val="2"/>
      </rPr>
      <t>L</t>
    </r>
    <r>
      <rPr>
        <b/>
        <sz val="12"/>
        <color rgb="FF3D3D3D"/>
        <rFont val="Arial"/>
        <family val="2"/>
      </rPr>
      <t xml:space="preserve">IDA </t>
    </r>
    <r>
      <rPr>
        <b/>
        <sz val="12"/>
        <color rgb="FF696969"/>
        <rFont val="Arial"/>
        <family val="2"/>
      </rPr>
      <t>2X</t>
    </r>
    <r>
      <rPr>
        <b/>
        <sz val="12"/>
        <color rgb="FF3D3D3D"/>
        <rFont val="Arial"/>
        <family val="2"/>
      </rPr>
      <t>12</t>
    </r>
  </si>
  <si>
    <r>
      <rPr>
        <b/>
        <sz val="12"/>
        <color rgb="FF3D3D3D"/>
        <rFont val="Arial"/>
        <family val="2"/>
      </rPr>
      <t xml:space="preserve">20 </t>
    </r>
    <r>
      <rPr>
        <b/>
        <sz val="12"/>
        <color rgb="FF545454"/>
        <rFont val="Arial"/>
        <family val="2"/>
      </rPr>
      <t>g</t>
    </r>
  </si>
  <si>
    <r>
      <rPr>
        <b/>
        <sz val="12"/>
        <color rgb="FF696969"/>
        <rFont val="Arial"/>
        <family val="2"/>
      </rPr>
      <t xml:space="preserve">116 </t>
    </r>
    <r>
      <rPr>
        <b/>
        <sz val="12"/>
        <color rgb="FF262626"/>
        <rFont val="Arial"/>
        <family val="2"/>
      </rPr>
      <t>1</t>
    </r>
    <r>
      <rPr>
        <b/>
        <sz val="12"/>
        <color rgb="FF696969"/>
        <rFont val="Arial"/>
        <family val="2"/>
      </rPr>
      <t xml:space="preserve">12 </t>
    </r>
    <r>
      <rPr>
        <b/>
        <sz val="12"/>
        <color rgb="FF3D3D3D"/>
        <rFont val="Arial"/>
        <family val="2"/>
      </rPr>
      <t>7</t>
    </r>
  </si>
  <si>
    <r>
      <rPr>
        <b/>
        <sz val="12"/>
        <color rgb="FF3D3D3D"/>
        <rFont val="Arial"/>
        <family val="2"/>
      </rPr>
      <t xml:space="preserve">2759122  </t>
    </r>
    <r>
      <rPr>
        <b/>
        <sz val="12"/>
        <color rgb="FF696969"/>
        <rFont val="Arial"/>
        <family val="2"/>
      </rPr>
      <t>1</t>
    </r>
    <r>
      <rPr>
        <b/>
        <sz val="12"/>
        <color rgb="FF3D3D3D"/>
        <rFont val="Arial"/>
        <family val="2"/>
      </rPr>
      <t xml:space="preserve">6112  </t>
    </r>
    <r>
      <rPr>
        <b/>
        <sz val="12"/>
        <color rgb="FF696969"/>
        <rFont val="Arial"/>
        <family val="2"/>
      </rPr>
      <t>7</t>
    </r>
    <r>
      <rPr>
        <b/>
        <sz val="12"/>
        <color rgb="FF3D3D3D"/>
        <rFont val="Arial"/>
        <family val="2"/>
      </rPr>
      <t>6</t>
    </r>
  </si>
  <si>
    <r>
      <rPr>
        <b/>
        <sz val="12"/>
        <color rgb="FF545454"/>
        <rFont val="Arial"/>
        <family val="2"/>
      </rPr>
      <t>SABROSEADOR   2x</t>
    </r>
    <r>
      <rPr>
        <b/>
        <sz val="12"/>
        <color rgb="FF3D3D3D"/>
        <rFont val="Arial"/>
        <family val="2"/>
      </rPr>
      <t>12</t>
    </r>
  </si>
  <si>
    <r>
      <rPr>
        <b/>
        <sz val="12"/>
        <color rgb="FF545454"/>
        <rFont val="Arial"/>
        <family val="2"/>
      </rPr>
      <t>7591221</t>
    </r>
    <r>
      <rPr>
        <b/>
        <sz val="12"/>
        <color rgb="FF3D3D3D"/>
        <rFont val="Arial"/>
        <family val="2"/>
      </rPr>
      <t xml:space="preserve">t </t>
    </r>
    <r>
      <rPr>
        <b/>
        <sz val="12"/>
        <color rgb="FF545454"/>
        <rFont val="Arial"/>
        <family val="2"/>
      </rPr>
      <t>30582</t>
    </r>
  </si>
  <si>
    <r>
      <rPr>
        <b/>
        <sz val="12"/>
        <color rgb="FF3D3D3D"/>
        <rFont val="Arial"/>
        <family val="2"/>
      </rPr>
      <t>LA</t>
    </r>
    <r>
      <rPr>
        <b/>
        <sz val="12"/>
        <color rgb="FF696969"/>
        <rFont val="Arial"/>
        <family val="2"/>
      </rPr>
      <t xml:space="preserve">UREL </t>
    </r>
    <r>
      <rPr>
        <b/>
        <sz val="12"/>
        <color rgb="FF545454"/>
        <rFont val="Arial"/>
        <family val="2"/>
      </rPr>
      <t>E</t>
    </r>
    <r>
      <rPr>
        <b/>
        <sz val="12"/>
        <color rgb="FF262626"/>
        <rFont val="Arial"/>
        <family val="2"/>
      </rPr>
      <t>N</t>
    </r>
    <r>
      <rPr>
        <b/>
        <sz val="12"/>
        <color rgb="FF696969"/>
        <rFont val="Arial"/>
        <family val="2"/>
      </rPr>
      <t>TERO</t>
    </r>
  </si>
  <si>
    <r>
      <rPr>
        <b/>
        <sz val="12"/>
        <color rgb="FF545454"/>
        <rFont val="Arial"/>
        <family val="2"/>
      </rPr>
      <t xml:space="preserve">ANIS </t>
    </r>
    <r>
      <rPr>
        <b/>
        <sz val="12"/>
        <color rgb="FF3D3D3D"/>
        <rFont val="Arial"/>
        <family val="2"/>
      </rPr>
      <t>ESTRE</t>
    </r>
    <r>
      <rPr>
        <b/>
        <sz val="12"/>
        <color rgb="FF696969"/>
        <rFont val="Arial"/>
        <family val="2"/>
      </rPr>
      <t>LLA</t>
    </r>
    <r>
      <rPr>
        <b/>
        <sz val="12"/>
        <color rgb="FF3D3D3D"/>
        <rFont val="Arial"/>
        <family val="2"/>
      </rPr>
      <t>DO</t>
    </r>
  </si>
  <si>
    <r>
      <rPr>
        <b/>
        <sz val="12"/>
        <color rgb="FF545454"/>
        <rFont val="Arial"/>
        <family val="2"/>
      </rPr>
      <t>,o g</t>
    </r>
  </si>
  <si>
    <r>
      <rPr>
        <b/>
        <sz val="12"/>
        <color rgb="FF545454"/>
        <rFont val="Arial"/>
        <family val="2"/>
      </rPr>
      <t xml:space="preserve">37591221  </t>
    </r>
    <r>
      <rPr>
        <b/>
        <sz val="12"/>
        <color rgb="FF262626"/>
        <rFont val="Arial"/>
        <family val="2"/>
      </rPr>
      <t xml:space="preserve">410     </t>
    </r>
    <r>
      <rPr>
        <b/>
        <sz val="12"/>
        <color rgb="FF545454"/>
        <rFont val="Arial"/>
        <family val="2"/>
      </rPr>
      <t>1</t>
    </r>
  </si>
  <si>
    <r>
      <rPr>
        <b/>
        <sz val="12"/>
        <color rgb="FF545454"/>
        <rFont val="Arial"/>
        <family val="2"/>
      </rPr>
      <t xml:space="preserve">CANELA </t>
    </r>
    <r>
      <rPr>
        <b/>
        <sz val="12"/>
        <color rgb="FF696969"/>
        <rFont val="Arial"/>
        <family val="2"/>
      </rPr>
      <t xml:space="preserve"> NTE</t>
    </r>
    <r>
      <rPr>
        <b/>
        <sz val="12"/>
        <color rgb="FF3D3D3D"/>
        <rFont val="Arial"/>
        <family val="2"/>
      </rPr>
      <t>RA</t>
    </r>
  </si>
  <si>
    <r>
      <rPr>
        <b/>
        <sz val="12"/>
        <color rgb="FF3D3D3D"/>
        <rFont val="Arial"/>
        <family val="2"/>
      </rPr>
      <t>•o</t>
    </r>
    <r>
      <rPr>
        <b/>
        <sz val="12"/>
        <color rgb="FF696969"/>
        <rFont val="Arial"/>
        <family val="2"/>
      </rPr>
      <t>g</t>
    </r>
  </si>
  <si>
    <r>
      <rPr>
        <b/>
        <sz val="12"/>
        <color rgb="FF3D3D3D"/>
        <rFont val="Arial"/>
        <family val="2"/>
      </rPr>
      <t>2◄</t>
    </r>
  </si>
  <si>
    <r>
      <rPr>
        <b/>
        <sz val="12"/>
        <color rgb="FF696969"/>
        <rFont val="Arial"/>
        <family val="2"/>
      </rPr>
      <t xml:space="preserve">11   </t>
    </r>
    <r>
      <rPr>
        <b/>
        <sz val="12"/>
        <color rgb="FF3D3D3D"/>
        <rFont val="Arial"/>
        <family val="2"/>
      </rPr>
      <t>47034</t>
    </r>
  </si>
  <si>
    <r>
      <rPr>
        <b/>
        <sz val="12"/>
        <color rgb="FF3D3D3D"/>
        <rFont val="Arial"/>
        <family val="2"/>
      </rPr>
      <t xml:space="preserve">3759 </t>
    </r>
    <r>
      <rPr>
        <b/>
        <sz val="12"/>
        <color rgb="FF696969"/>
        <rFont val="Arial"/>
        <family val="2"/>
      </rPr>
      <t xml:space="preserve">122 </t>
    </r>
    <r>
      <rPr>
        <b/>
        <sz val="12"/>
        <color rgb="FF262626"/>
        <rFont val="Arial"/>
        <family val="2"/>
      </rPr>
      <t xml:space="preserve">141 </t>
    </r>
    <r>
      <rPr>
        <b/>
        <sz val="12"/>
        <color rgb="FF545454"/>
        <rFont val="Arial"/>
        <family val="2"/>
      </rPr>
      <t>0753</t>
    </r>
  </si>
  <si>
    <r>
      <rPr>
        <b/>
        <sz val="12"/>
        <color rgb="FF3D3D3D"/>
        <rFont val="Arial"/>
        <family val="2"/>
      </rPr>
      <t xml:space="preserve">CLAVOS DE </t>
    </r>
    <r>
      <rPr>
        <b/>
        <sz val="12"/>
        <color rgb="FF545454"/>
        <rFont val="Arial"/>
        <family val="2"/>
      </rPr>
      <t xml:space="preserve">OLOR </t>
    </r>
    <r>
      <rPr>
        <b/>
        <sz val="12"/>
        <color rgb="FF3D3D3D"/>
        <rFont val="Arial"/>
        <family val="2"/>
      </rPr>
      <t>ENTER0S</t>
    </r>
  </si>
  <si>
    <r>
      <rPr>
        <b/>
        <sz val="12"/>
        <color rgb="FF545454"/>
        <rFont val="Arial"/>
        <family val="2"/>
      </rPr>
      <t xml:space="preserve">AOOBO </t>
    </r>
    <r>
      <rPr>
        <b/>
        <sz val="12"/>
        <color rgb="FF3D3D3D"/>
        <rFont val="Arial"/>
        <family val="2"/>
      </rPr>
      <t>COMPLETO</t>
    </r>
  </si>
  <si>
    <r>
      <rPr>
        <b/>
        <sz val="12"/>
        <color rgb="FF545454"/>
        <rFont val="Arial"/>
        <family val="2"/>
      </rPr>
      <t>24  X</t>
    </r>
    <r>
      <rPr>
        <b/>
        <sz val="12"/>
        <color rgb="FF696969"/>
        <rFont val="Arial"/>
        <family val="2"/>
      </rPr>
      <t xml:space="preserve">15   </t>
    </r>
    <r>
      <rPr>
        <b/>
        <sz val="12"/>
        <color rgb="FF545454"/>
        <rFont val="Arial"/>
        <family val="2"/>
      </rPr>
      <t>g</t>
    </r>
  </si>
  <si>
    <r>
      <rPr>
        <b/>
        <sz val="12"/>
        <color rgb="FF3D3D3D"/>
        <rFont val="Arial"/>
        <family val="2"/>
      </rPr>
      <t xml:space="preserve">1 </t>
    </r>
    <r>
      <rPr>
        <b/>
        <sz val="12"/>
        <color rgb="FF696969"/>
        <rFont val="Arial"/>
        <family val="2"/>
      </rPr>
      <t>130002</t>
    </r>
  </si>
  <si>
    <r>
      <rPr>
        <b/>
        <sz val="12"/>
        <color rgb="FF3D3D3D"/>
        <rFont val="Arial"/>
        <family val="2"/>
      </rPr>
      <t>11</t>
    </r>
    <r>
      <rPr>
        <b/>
        <sz val="12"/>
        <color rgb="FF696969"/>
        <rFont val="Arial"/>
        <family val="2"/>
      </rPr>
      <t>3004G</t>
    </r>
  </si>
  <si>
    <r>
      <rPr>
        <b/>
        <sz val="12"/>
        <color rgb="FF3D3D3D"/>
        <rFont val="Arial"/>
        <family val="2"/>
      </rPr>
      <t xml:space="preserve">◄759    </t>
    </r>
    <r>
      <rPr>
        <b/>
        <sz val="12"/>
        <color rgb="FF696969"/>
        <rFont val="Arial"/>
        <family val="2"/>
      </rPr>
      <t xml:space="preserve">122   </t>
    </r>
    <r>
      <rPr>
        <b/>
        <sz val="12"/>
        <color rgb="FF262626"/>
        <rFont val="Arial"/>
        <family val="2"/>
      </rPr>
      <t xml:space="preserve">14  </t>
    </r>
    <r>
      <rPr>
        <b/>
        <sz val="12"/>
        <color rgb="FF696969"/>
        <rFont val="Arial"/>
        <family val="2"/>
      </rPr>
      <t xml:space="preserve">11   </t>
    </r>
    <r>
      <rPr>
        <b/>
        <sz val="12"/>
        <color rgb="FF3D3D3D"/>
        <rFont val="Arial"/>
        <family val="2"/>
      </rPr>
      <t>009</t>
    </r>
  </si>
  <si>
    <r>
      <rPr>
        <b/>
        <sz val="12"/>
        <color rgb="FF3D3D3D"/>
        <rFont val="Arial"/>
        <family val="2"/>
      </rPr>
      <t>COM</t>
    </r>
    <r>
      <rPr>
        <b/>
        <sz val="12"/>
        <color rgb="FF131313"/>
        <rFont val="Arial"/>
        <family val="2"/>
      </rPr>
      <t>l</t>
    </r>
    <r>
      <rPr>
        <b/>
        <sz val="12"/>
        <color rgb="FF3D3D3D"/>
        <rFont val="Arial"/>
        <family val="2"/>
      </rPr>
      <t>NO    MOLIOO</t>
    </r>
  </si>
  <si>
    <r>
      <rPr>
        <b/>
        <sz val="12"/>
        <color rgb="FF545454"/>
        <rFont val="Arial"/>
        <family val="2"/>
      </rPr>
      <t>2◄I  6g</t>
    </r>
  </si>
  <si>
    <r>
      <rPr>
        <b/>
        <sz val="12"/>
        <color rgb="FF3D3D3D"/>
        <rFont val="Arial"/>
        <family val="2"/>
      </rPr>
      <t xml:space="preserve">MEZCLA </t>
    </r>
    <r>
      <rPr>
        <b/>
        <sz val="12"/>
        <color rgb="FF545454"/>
        <rFont val="Arial"/>
        <family val="2"/>
      </rPr>
      <t>BASE DE COLOR ONOTO</t>
    </r>
  </si>
  <si>
    <r>
      <rPr>
        <b/>
        <sz val="12"/>
        <color rgb="FF545454"/>
        <rFont val="Arial"/>
        <family val="2"/>
      </rPr>
      <t xml:space="preserve">24 </t>
    </r>
    <r>
      <rPr>
        <b/>
        <sz val="12"/>
        <color rgb="FF262626"/>
        <rFont val="Arial"/>
        <family val="2"/>
      </rPr>
      <t xml:space="preserve">'X </t>
    </r>
    <r>
      <rPr>
        <b/>
        <sz val="12"/>
        <color rgb="FF3D3D3D"/>
        <rFont val="Arial"/>
        <family val="2"/>
      </rPr>
      <t>6g</t>
    </r>
  </si>
  <si>
    <r>
      <rPr>
        <b/>
        <sz val="12"/>
        <color rgb="FF3D3D3D"/>
        <rFont val="Arial"/>
        <family val="2"/>
      </rPr>
      <t>PIM</t>
    </r>
    <r>
      <rPr>
        <b/>
        <sz val="12"/>
        <color rgb="FF696969"/>
        <rFont val="Arial"/>
        <family val="2"/>
      </rPr>
      <t xml:space="preserve">IENTA </t>
    </r>
    <r>
      <rPr>
        <b/>
        <sz val="12"/>
        <color rgb="FF3D3D3D"/>
        <rFont val="Arial"/>
        <family val="2"/>
      </rPr>
      <t>N</t>
    </r>
    <r>
      <rPr>
        <b/>
        <sz val="12"/>
        <color rgb="FF696969"/>
        <rFont val="Arial"/>
        <family val="2"/>
      </rPr>
      <t>E</t>
    </r>
    <r>
      <rPr>
        <b/>
        <sz val="12"/>
        <color rgb="FF3D3D3D"/>
        <rFont val="Arial"/>
        <family val="2"/>
      </rPr>
      <t xml:space="preserve">GRA </t>
    </r>
    <r>
      <rPr>
        <b/>
        <sz val="12"/>
        <color rgb="FF545454"/>
        <rFont val="Arial"/>
        <family val="2"/>
      </rPr>
      <t>MOLIDA</t>
    </r>
  </si>
  <si>
    <r>
      <rPr>
        <b/>
        <sz val="12"/>
        <color rgb="FF545454"/>
        <rFont val="Arial"/>
        <family val="2"/>
      </rPr>
      <t>24x  3g</t>
    </r>
  </si>
  <si>
    <r>
      <rPr>
        <b/>
        <sz val="12"/>
        <color rgb="FF727272"/>
        <rFont val="Arial"/>
        <family val="2"/>
      </rPr>
      <t>1</t>
    </r>
    <r>
      <rPr>
        <b/>
        <sz val="12"/>
        <color rgb="FF4F4F4F"/>
        <rFont val="Arial"/>
        <family val="2"/>
      </rPr>
      <t xml:space="preserve">106 </t>
    </r>
    <r>
      <rPr>
        <b/>
        <sz val="12"/>
        <color rgb="FF727272"/>
        <rFont val="Arial"/>
        <family val="2"/>
      </rPr>
      <t>1</t>
    </r>
    <r>
      <rPr>
        <b/>
        <sz val="12"/>
        <color rgb="FF4F4F4F"/>
        <rFont val="Arial"/>
        <family val="2"/>
      </rPr>
      <t>25</t>
    </r>
  </si>
  <si>
    <r>
      <rPr>
        <b/>
        <sz val="12"/>
        <color rgb="FF4F4F4F"/>
        <rFont val="Arial"/>
        <family val="2"/>
      </rPr>
      <t xml:space="preserve">75912211106 </t>
    </r>
    <r>
      <rPr>
        <b/>
        <sz val="12"/>
        <color rgb="FF727272"/>
        <rFont val="Arial"/>
        <family val="2"/>
      </rPr>
      <t>1</t>
    </r>
    <r>
      <rPr>
        <b/>
        <sz val="12"/>
        <color rgb="FF3A3A3A"/>
        <rFont val="Arial"/>
        <family val="2"/>
      </rPr>
      <t>4</t>
    </r>
  </si>
  <si>
    <r>
      <rPr>
        <b/>
        <vertAlign val="subscript"/>
        <sz val="12"/>
        <color rgb="FF030303"/>
        <rFont val="Arial"/>
        <family val="2"/>
      </rPr>
      <t>.</t>
    </r>
    <r>
      <rPr>
        <b/>
        <sz val="12"/>
        <color rgb="FF626262"/>
        <rFont val="Arial"/>
        <family val="2"/>
      </rPr>
      <t>1</t>
    </r>
    <r>
      <rPr>
        <b/>
        <vertAlign val="subscript"/>
        <sz val="12"/>
        <color rgb="FF030303"/>
        <rFont val="Arial"/>
        <family val="2"/>
      </rPr>
      <t>..</t>
    </r>
    <r>
      <rPr>
        <b/>
        <sz val="12"/>
        <color rgb="FF626262"/>
        <rFont val="Arial"/>
        <family val="2"/>
      </rPr>
      <t>7</t>
    </r>
    <r>
      <rPr>
        <b/>
        <vertAlign val="subscript"/>
        <sz val="12"/>
        <color rgb="FF030303"/>
        <rFont val="Arial"/>
        <family val="2"/>
      </rPr>
      <t>..</t>
    </r>
    <r>
      <rPr>
        <b/>
        <sz val="12"/>
        <color rgb="FF3A3A3A"/>
        <rFont val="Arial"/>
        <family val="2"/>
      </rPr>
      <t>5</t>
    </r>
    <r>
      <rPr>
        <b/>
        <vertAlign val="subscript"/>
        <sz val="12"/>
        <color rgb="FF030303"/>
        <rFont val="Arial"/>
        <family val="2"/>
      </rPr>
      <t>..</t>
    </r>
    <r>
      <rPr>
        <b/>
        <sz val="12"/>
        <color rgb="FF3A3A3A"/>
        <rFont val="Arial"/>
        <family val="2"/>
      </rPr>
      <t>9</t>
    </r>
    <r>
      <rPr>
        <b/>
        <sz val="12"/>
        <color rgb="FF626262"/>
        <rFont val="Arial"/>
        <family val="2"/>
      </rPr>
      <t xml:space="preserve">122 </t>
    </r>
    <r>
      <rPr>
        <b/>
        <sz val="12"/>
        <color rgb="FF3A3A3A"/>
        <rFont val="Arial"/>
        <family val="2"/>
      </rPr>
      <t>1</t>
    </r>
    <r>
      <rPr>
        <b/>
        <sz val="12"/>
        <color rgb="FF626262"/>
        <rFont val="Arial"/>
        <family val="2"/>
      </rPr>
      <t>110611</t>
    </r>
  </si>
  <si>
    <r>
      <rPr>
        <b/>
        <sz val="12"/>
        <color rgb="FF3A3A3A"/>
        <rFont val="Arial"/>
        <family val="2"/>
      </rPr>
      <t xml:space="preserve">ADOBO </t>
    </r>
    <r>
      <rPr>
        <b/>
        <sz val="12"/>
        <color rgb="FF4F4F4F"/>
        <rFont val="Arial"/>
        <family val="2"/>
      </rPr>
      <t>COMP</t>
    </r>
    <r>
      <rPr>
        <b/>
        <sz val="12"/>
        <color rgb="FF282828"/>
        <rFont val="Arial"/>
        <family val="2"/>
      </rPr>
      <t>LE</t>
    </r>
    <r>
      <rPr>
        <b/>
        <sz val="12"/>
        <color rgb="FF4F4F4F"/>
        <rFont val="Arial"/>
        <family val="2"/>
      </rPr>
      <t>TO</t>
    </r>
  </si>
  <si>
    <r>
      <rPr>
        <b/>
        <sz val="12"/>
        <color rgb="FF727272"/>
        <rFont val="Arial"/>
        <family val="2"/>
      </rPr>
      <t>1</t>
    </r>
    <r>
      <rPr>
        <b/>
        <sz val="12"/>
        <color rgb="FF4F4F4F"/>
        <rFont val="Arial"/>
        <family val="2"/>
      </rPr>
      <t>85g</t>
    </r>
  </si>
  <si>
    <r>
      <rPr>
        <b/>
        <sz val="12"/>
        <color rgb="FF898989"/>
        <rFont val="Arial"/>
        <family val="2"/>
      </rPr>
      <t xml:space="preserve">11  </t>
    </r>
    <r>
      <rPr>
        <b/>
        <sz val="12"/>
        <color rgb="FF4F4F4F"/>
        <rFont val="Arial"/>
        <family val="2"/>
      </rPr>
      <t xml:space="preserve">0612   </t>
    </r>
    <r>
      <rPr>
        <b/>
        <sz val="12"/>
        <color rgb="FF727272"/>
        <rFont val="Arial"/>
        <family val="2"/>
      </rPr>
      <t>7</t>
    </r>
  </si>
  <si>
    <r>
      <rPr>
        <b/>
        <sz val="12"/>
        <color rgb="FF626262"/>
        <rFont val="Arial"/>
        <family val="2"/>
      </rPr>
      <t xml:space="preserve">759  </t>
    </r>
    <r>
      <rPr>
        <b/>
        <sz val="12"/>
        <color rgb="FF3A3A3A"/>
        <rFont val="Arial"/>
        <family val="2"/>
      </rPr>
      <t>1221106273</t>
    </r>
  </si>
  <si>
    <r>
      <rPr>
        <b/>
        <sz val="12"/>
        <color rgb="FF4F4F4F"/>
        <rFont val="Arial"/>
        <family val="2"/>
      </rPr>
      <t>17  591221106270</t>
    </r>
  </si>
  <si>
    <r>
      <rPr>
        <b/>
        <sz val="12"/>
        <color rgb="FF4F4F4F"/>
        <rFont val="Arial"/>
        <family val="2"/>
      </rPr>
      <t>SABROSEADOR</t>
    </r>
  </si>
  <si>
    <r>
      <rPr>
        <b/>
        <sz val="12"/>
        <color rgb="FF626262"/>
        <rFont val="Arial"/>
        <family val="2"/>
      </rPr>
      <t>180g</t>
    </r>
  </si>
  <si>
    <r>
      <rPr>
        <b/>
        <sz val="12"/>
        <color rgb="FF4F4F4F"/>
        <rFont val="Arial"/>
        <family val="2"/>
      </rPr>
      <t>MOSTAZA PRE</t>
    </r>
    <r>
      <rPr>
        <b/>
        <sz val="12"/>
        <color rgb="FF3A3A3A"/>
        <rFont val="Arial"/>
        <family val="2"/>
      </rPr>
      <t>PARADA</t>
    </r>
  </si>
  <si>
    <r>
      <rPr>
        <b/>
        <sz val="12"/>
        <color rgb="FF727272"/>
        <rFont val="Arial"/>
        <family val="2"/>
      </rPr>
      <t>1</t>
    </r>
    <r>
      <rPr>
        <b/>
        <sz val="12"/>
        <color rgb="FF4F4F4F"/>
        <rFont val="Arial"/>
        <family val="2"/>
      </rPr>
      <t>85 g</t>
    </r>
  </si>
  <si>
    <r>
      <rPr>
        <b/>
        <sz val="12"/>
        <color rgb="FF727272"/>
        <rFont val="Arial"/>
        <family val="2"/>
      </rPr>
      <t xml:space="preserve">7 </t>
    </r>
    <r>
      <rPr>
        <b/>
        <sz val="12"/>
        <color rgb="FF4F4F4F"/>
        <rFont val="Arial"/>
        <family val="2"/>
      </rPr>
      <t>591221</t>
    </r>
    <r>
      <rPr>
        <b/>
        <sz val="12"/>
        <color rgb="FF626262"/>
        <rFont val="Arial"/>
        <family val="2"/>
      </rPr>
      <t>1</t>
    </r>
    <r>
      <rPr>
        <b/>
        <sz val="12"/>
        <color rgb="FF282828"/>
        <rFont val="Arial"/>
        <family val="2"/>
      </rPr>
      <t>11</t>
    </r>
    <r>
      <rPr>
        <b/>
        <sz val="12"/>
        <color rgb="FF4F4F4F"/>
        <rFont val="Arial"/>
        <family val="2"/>
      </rPr>
      <t>468</t>
    </r>
  </si>
  <si>
    <r>
      <rPr>
        <b/>
        <sz val="12"/>
        <color rgb="FF3A3A3A"/>
        <rFont val="Arial"/>
        <family val="2"/>
      </rPr>
      <t>MOS</t>
    </r>
    <r>
      <rPr>
        <b/>
        <sz val="12"/>
        <color rgb="FF727272"/>
        <rFont val="Arial"/>
        <family val="2"/>
      </rPr>
      <t>T</t>
    </r>
    <r>
      <rPr>
        <b/>
        <sz val="12"/>
        <color rgb="FF3A3A3A"/>
        <rFont val="Arial"/>
        <family val="2"/>
      </rPr>
      <t>AZA PR</t>
    </r>
    <r>
      <rPr>
        <b/>
        <sz val="12"/>
        <color rgb="FF626262"/>
        <rFont val="Arial"/>
        <family val="2"/>
      </rPr>
      <t>E</t>
    </r>
    <r>
      <rPr>
        <b/>
        <sz val="12"/>
        <color rgb="FF282828"/>
        <rFont val="Arial"/>
        <family val="2"/>
      </rPr>
      <t>P</t>
    </r>
    <r>
      <rPr>
        <b/>
        <sz val="12"/>
        <color rgb="FF4F4F4F"/>
        <rFont val="Arial"/>
        <family val="2"/>
      </rPr>
      <t>ARADA</t>
    </r>
  </si>
  <si>
    <r>
      <rPr>
        <b/>
        <sz val="12"/>
        <color rgb="FF4F4F4F"/>
        <rFont val="Arial"/>
        <family val="2"/>
      </rPr>
      <t>250g</t>
    </r>
  </si>
  <si>
    <r>
      <rPr>
        <b/>
        <sz val="12"/>
        <color rgb="FF4F4F4F"/>
        <rFont val="Arial"/>
        <family val="2"/>
      </rPr>
      <t>VINAGRE</t>
    </r>
  </si>
  <si>
    <r>
      <rPr>
        <b/>
        <sz val="12"/>
        <color rgb="FF4F4F4F"/>
        <rFont val="Arial"/>
        <family val="2"/>
      </rPr>
      <t>500cm'</t>
    </r>
  </si>
  <si>
    <r>
      <rPr>
        <b/>
        <sz val="12"/>
        <color rgb="FF626262"/>
        <rFont val="Arial"/>
        <family val="2"/>
      </rPr>
      <t>1L</t>
    </r>
  </si>
  <si>
    <r>
      <rPr>
        <b/>
        <sz val="12"/>
        <color rgb="FF4F4F4F"/>
        <rFont val="Arial"/>
        <family val="2"/>
      </rPr>
      <t xml:space="preserve">SALSA </t>
    </r>
    <r>
      <rPr>
        <b/>
        <sz val="12"/>
        <color rgb="FF626262"/>
        <rFont val="Arial"/>
        <family val="2"/>
      </rPr>
      <t>ING</t>
    </r>
    <r>
      <rPr>
        <b/>
        <sz val="12"/>
        <color rgb="FF161616"/>
        <rFont val="Arial"/>
        <family val="2"/>
      </rPr>
      <t>L</t>
    </r>
    <r>
      <rPr>
        <b/>
        <sz val="12"/>
        <color rgb="FF4F4F4F"/>
        <rFont val="Arial"/>
        <family val="2"/>
      </rPr>
      <t>ESA</t>
    </r>
  </si>
  <si>
    <r>
      <rPr>
        <b/>
        <sz val="12"/>
        <color rgb="FF626262"/>
        <rFont val="Arial"/>
        <family val="2"/>
      </rPr>
      <t xml:space="preserve">150 </t>
    </r>
    <r>
      <rPr>
        <b/>
        <sz val="12"/>
        <color rgb="FF4F4F4F"/>
        <rFont val="Arial"/>
        <family val="2"/>
      </rPr>
      <t>cm'</t>
    </r>
  </si>
  <si>
    <r>
      <rPr>
        <b/>
        <sz val="12"/>
        <color rgb="FF727272"/>
        <rFont val="Arial"/>
        <family val="2"/>
      </rPr>
      <t>1</t>
    </r>
    <r>
      <rPr>
        <b/>
        <sz val="12"/>
        <color rgb="FF3A3A3A"/>
        <rFont val="Arial"/>
        <family val="2"/>
      </rPr>
      <t xml:space="preserve">50 </t>
    </r>
    <r>
      <rPr>
        <b/>
        <sz val="12"/>
        <color rgb="FF4F4F4F"/>
        <rFont val="Arial"/>
        <family val="2"/>
      </rPr>
      <t>cm'</t>
    </r>
  </si>
  <si>
    <r>
      <rPr>
        <b/>
        <sz val="12"/>
        <color rgb="FF626262"/>
        <rFont val="Arial"/>
        <family val="2"/>
      </rPr>
      <t>150 cm'</t>
    </r>
  </si>
  <si>
    <r>
      <rPr>
        <b/>
        <sz val="12"/>
        <color rgb="FF4F4F4F"/>
        <rFont val="Arial"/>
        <family val="2"/>
      </rPr>
      <t>SALSA DE AJ</t>
    </r>
    <r>
      <rPr>
        <b/>
        <sz val="12"/>
        <color rgb="FF727272"/>
        <rFont val="Arial"/>
        <family val="2"/>
      </rPr>
      <t xml:space="preserve">I </t>
    </r>
    <r>
      <rPr>
        <b/>
        <sz val="12"/>
        <color rgb="FF4F4F4F"/>
        <rFont val="Arial"/>
        <family val="2"/>
      </rPr>
      <t>PICANTE"P</t>
    </r>
    <r>
      <rPr>
        <b/>
        <sz val="12"/>
        <color rgb="FF727272"/>
        <rFont val="Arial"/>
        <family val="2"/>
      </rPr>
      <t>I</t>
    </r>
    <r>
      <rPr>
        <b/>
        <sz val="12"/>
        <color rgb="FF4F4F4F"/>
        <rFont val="Arial"/>
        <family val="2"/>
      </rPr>
      <t>R</t>
    </r>
    <r>
      <rPr>
        <b/>
        <sz val="12"/>
        <color rgb="FF282828"/>
        <rFont val="Arial"/>
        <family val="2"/>
      </rPr>
      <t>I</t>
    </r>
    <r>
      <rPr>
        <b/>
        <sz val="12"/>
        <color rgb="FF4F4F4F"/>
        <rFont val="Arial"/>
        <family val="2"/>
      </rPr>
      <t>P</t>
    </r>
    <r>
      <rPr>
        <b/>
        <sz val="12"/>
        <color rgb="FF727272"/>
        <rFont val="Arial"/>
        <family val="2"/>
      </rPr>
      <t>I</t>
    </r>
    <r>
      <rPr>
        <b/>
        <sz val="12"/>
        <color rgb="FF4F4F4F"/>
        <rFont val="Arial"/>
        <family val="2"/>
      </rPr>
      <t>RI"</t>
    </r>
  </si>
  <si>
    <r>
      <rPr>
        <b/>
        <sz val="12"/>
        <color rgb="FF626262"/>
        <rFont val="Arial"/>
        <family val="2"/>
      </rPr>
      <t xml:space="preserve">150  </t>
    </r>
    <r>
      <rPr>
        <b/>
        <sz val="12"/>
        <color rgb="FF4F4F4F"/>
        <rFont val="Arial"/>
        <family val="2"/>
      </rPr>
      <t>cm'</t>
    </r>
  </si>
  <si>
    <r>
      <rPr>
        <b/>
        <sz val="12"/>
        <color rgb="FF4F4F4F"/>
        <rFont val="Arial"/>
        <family val="2"/>
      </rPr>
      <t xml:space="preserve">SALSA </t>
    </r>
    <r>
      <rPr>
        <b/>
        <sz val="12"/>
        <color rgb="FF727272"/>
        <rFont val="Arial"/>
        <family val="2"/>
      </rPr>
      <t>I</t>
    </r>
    <r>
      <rPr>
        <b/>
        <sz val="12"/>
        <color rgb="FF4F4F4F"/>
        <rFont val="Arial"/>
        <family val="2"/>
      </rPr>
      <t>NGLESA</t>
    </r>
  </si>
  <si>
    <r>
      <rPr>
        <b/>
        <sz val="12"/>
        <color rgb="FF626262"/>
        <rFont val="Arial"/>
        <family val="2"/>
      </rPr>
      <t>300cm'</t>
    </r>
  </si>
  <si>
    <r>
      <rPr>
        <b/>
        <sz val="12"/>
        <color rgb="FF3A3A3A"/>
        <rFont val="Arial"/>
        <family val="2"/>
      </rPr>
      <t>SALSA D</t>
    </r>
    <r>
      <rPr>
        <b/>
        <sz val="12"/>
        <color rgb="FF161616"/>
        <rFont val="Arial"/>
        <family val="2"/>
      </rPr>
      <t xml:space="preserve">E </t>
    </r>
    <r>
      <rPr>
        <b/>
        <sz val="12"/>
        <color rgb="FF3A3A3A"/>
        <rFont val="Arial"/>
        <family val="2"/>
      </rPr>
      <t>SO</t>
    </r>
    <r>
      <rPr>
        <b/>
        <sz val="12"/>
        <color rgb="FF626262"/>
        <rFont val="Arial"/>
        <family val="2"/>
      </rPr>
      <t>YA</t>
    </r>
  </si>
  <si>
    <r>
      <rPr>
        <b/>
        <sz val="12"/>
        <color rgb="FF4F4F4F"/>
        <rFont val="Arial"/>
        <family val="2"/>
      </rPr>
      <t>300cm</t>
    </r>
    <r>
      <rPr>
        <b/>
        <vertAlign val="superscript"/>
        <sz val="12"/>
        <color rgb="FF727272"/>
        <rFont val="Arial"/>
        <family val="2"/>
      </rPr>
      <t>3</t>
    </r>
  </si>
  <si>
    <r>
      <rPr>
        <b/>
        <sz val="12"/>
        <color rgb="FF4F4F4F"/>
        <rFont val="Arial"/>
        <family val="2"/>
      </rPr>
      <t>300cm'</t>
    </r>
  </si>
  <si>
    <r>
      <rPr>
        <b/>
        <sz val="12"/>
        <color rgb="FF4F4F4F"/>
        <rFont val="Arial"/>
        <family val="2"/>
      </rPr>
      <t>SALSA DE AJ</t>
    </r>
    <r>
      <rPr>
        <b/>
        <sz val="12"/>
        <color rgb="FF727272"/>
        <rFont val="Arial"/>
        <family val="2"/>
      </rPr>
      <t xml:space="preserve">I </t>
    </r>
    <r>
      <rPr>
        <b/>
        <sz val="12"/>
        <color rgb="FF4F4F4F"/>
        <rFont val="Arial"/>
        <family val="2"/>
      </rPr>
      <t xml:space="preserve">PICANTE </t>
    </r>
    <r>
      <rPr>
        <b/>
        <sz val="12"/>
        <color rgb="FF626262"/>
        <rFont val="Arial"/>
        <family val="2"/>
      </rPr>
      <t>'PIR</t>
    </r>
    <r>
      <rPr>
        <b/>
        <sz val="12"/>
        <color rgb="FF282828"/>
        <rFont val="Arial"/>
        <family val="2"/>
      </rPr>
      <t>I</t>
    </r>
    <r>
      <rPr>
        <b/>
        <sz val="12"/>
        <color rgb="FF4F4F4F"/>
        <rFont val="Arial"/>
        <family val="2"/>
      </rPr>
      <t>PIR</t>
    </r>
    <r>
      <rPr>
        <b/>
        <sz val="12"/>
        <color rgb="FF282828"/>
        <rFont val="Arial"/>
        <family val="2"/>
      </rPr>
      <t>I</t>
    </r>
    <r>
      <rPr>
        <b/>
        <sz val="12"/>
        <color rgb="FF727272"/>
        <rFont val="Arial"/>
        <family val="2"/>
      </rPr>
      <t>"</t>
    </r>
  </si>
  <si>
    <r>
      <rPr>
        <b/>
        <sz val="12"/>
        <color rgb="FF626262"/>
        <rFont val="Arial"/>
        <family val="2"/>
      </rPr>
      <t>3</t>
    </r>
    <r>
      <rPr>
        <b/>
        <sz val="12"/>
        <color rgb="FF898989"/>
        <rFont val="Arial"/>
        <family val="2"/>
      </rPr>
      <t xml:space="preserve">.7 </t>
    </r>
    <r>
      <rPr>
        <b/>
        <sz val="12"/>
        <color rgb="FF4F4F4F"/>
        <rFont val="Arial"/>
        <family val="2"/>
      </rPr>
      <t>L</t>
    </r>
  </si>
  <si>
    <r>
      <rPr>
        <b/>
        <sz val="12"/>
        <color rgb="FF3A3A3A"/>
        <rFont val="Arial"/>
        <family val="2"/>
      </rPr>
      <t>SALSA D</t>
    </r>
    <r>
      <rPr>
        <b/>
        <sz val="12"/>
        <color rgb="FF4F4F4F"/>
        <rFont val="Arial"/>
        <family val="2"/>
      </rPr>
      <t>E SOYA</t>
    </r>
  </si>
  <si>
    <r>
      <rPr>
        <b/>
        <sz val="12"/>
        <color rgb="FF4F4F4F"/>
        <rFont val="Arial"/>
        <family val="2"/>
      </rPr>
      <t xml:space="preserve">3,7 </t>
    </r>
    <r>
      <rPr>
        <b/>
        <sz val="12"/>
        <color rgb="FF3A3A3A"/>
        <rFont val="Arial"/>
        <family val="2"/>
      </rPr>
      <t>L</t>
    </r>
  </si>
  <si>
    <r>
      <rPr>
        <b/>
        <sz val="12"/>
        <color rgb="FF4F4F4F"/>
        <rFont val="Arial"/>
        <family val="2"/>
      </rPr>
      <t>3</t>
    </r>
    <r>
      <rPr>
        <b/>
        <sz val="12"/>
        <color rgb="FF727272"/>
        <rFont val="Arial"/>
        <family val="2"/>
      </rPr>
      <t>,</t>
    </r>
    <r>
      <rPr>
        <b/>
        <sz val="12"/>
        <color rgb="FF4F4F4F"/>
        <rFont val="Arial"/>
        <family val="2"/>
      </rPr>
      <t>7L</t>
    </r>
  </si>
  <si>
    <r>
      <rPr>
        <b/>
        <sz val="12"/>
        <color rgb="FF4F4F4F"/>
        <rFont val="Arial"/>
        <family val="2"/>
      </rPr>
      <t>SALSA R</t>
    </r>
    <r>
      <rPr>
        <b/>
        <sz val="12"/>
        <color rgb="FF282828"/>
        <rFont val="Arial"/>
        <family val="2"/>
      </rPr>
      <t>I</t>
    </r>
    <r>
      <rPr>
        <b/>
        <sz val="12"/>
        <color rgb="FF4F4F4F"/>
        <rFont val="Arial"/>
        <family val="2"/>
      </rPr>
      <t>CA</t>
    </r>
  </si>
  <si>
    <r>
      <rPr>
        <b/>
        <sz val="12"/>
        <color rgb="FF626262"/>
        <rFont val="Arial"/>
        <family val="2"/>
      </rPr>
      <t xml:space="preserve">150 </t>
    </r>
    <r>
      <rPr>
        <b/>
        <sz val="12"/>
        <color rgb="FF4F4F4F"/>
        <rFont val="Arial"/>
        <family val="2"/>
      </rPr>
      <t>cm</t>
    </r>
    <r>
      <rPr>
        <b/>
        <sz val="12"/>
        <color rgb="FF727272"/>
        <rFont val="Arial"/>
        <family val="2"/>
      </rPr>
      <t>'</t>
    </r>
  </si>
  <si>
    <r>
      <rPr>
        <b/>
        <sz val="12"/>
        <color rgb="FF3A3A3A"/>
        <rFont val="Arial"/>
        <family val="2"/>
      </rPr>
      <t xml:space="preserve">SALSA </t>
    </r>
    <r>
      <rPr>
        <b/>
        <sz val="12"/>
        <color rgb="FF4F4F4F"/>
        <rFont val="Arial"/>
        <family val="2"/>
      </rPr>
      <t>CO</t>
    </r>
    <r>
      <rPr>
        <b/>
        <sz val="12"/>
        <color rgb="FF282828"/>
        <rFont val="Arial"/>
        <family val="2"/>
      </rPr>
      <t>NDIMEN</t>
    </r>
    <r>
      <rPr>
        <b/>
        <sz val="12"/>
        <color rgb="FF4F4F4F"/>
        <rFont val="Arial"/>
        <family val="2"/>
      </rPr>
      <t>A</t>
    </r>
    <r>
      <rPr>
        <b/>
        <sz val="12"/>
        <color rgb="FF282828"/>
        <rFont val="Arial"/>
        <family val="2"/>
      </rPr>
      <t>TD</t>
    </r>
    <r>
      <rPr>
        <b/>
        <sz val="12"/>
        <color rgb="FF4F4F4F"/>
        <rFont val="Arial"/>
        <family val="2"/>
      </rPr>
      <t>A</t>
    </r>
  </si>
  <si>
    <r>
      <rPr>
        <b/>
        <sz val="12"/>
        <color rgb="FF3A3A3A"/>
        <rFont val="Arial"/>
        <family val="2"/>
      </rPr>
      <t>150 cm'</t>
    </r>
  </si>
  <si>
    <r>
      <rPr>
        <b/>
        <sz val="12"/>
        <color rgb="FF4F4F4F"/>
        <rFont val="Arial"/>
        <family val="2"/>
      </rPr>
      <t>SA</t>
    </r>
    <r>
      <rPr>
        <b/>
        <sz val="12"/>
        <color rgb="FF282828"/>
        <rFont val="Arial"/>
        <family val="2"/>
      </rPr>
      <t>L</t>
    </r>
    <r>
      <rPr>
        <b/>
        <sz val="12"/>
        <color rgb="FF4F4F4F"/>
        <rFont val="Arial"/>
        <family val="2"/>
      </rPr>
      <t xml:space="preserve">SA DE </t>
    </r>
    <r>
      <rPr>
        <b/>
        <sz val="12"/>
        <color rgb="FF3A3A3A"/>
        <rFont val="Arial"/>
        <family val="2"/>
      </rPr>
      <t>JENG</t>
    </r>
    <r>
      <rPr>
        <b/>
        <sz val="12"/>
        <color rgb="FF626262"/>
        <rFont val="Arial"/>
        <family val="2"/>
      </rPr>
      <t>IBRE</t>
    </r>
  </si>
  <si>
    <r>
      <rPr>
        <b/>
        <sz val="12"/>
        <color rgb="FF626262"/>
        <rFont val="Arial"/>
        <family val="2"/>
      </rPr>
      <t xml:space="preserve">150 </t>
    </r>
    <r>
      <rPr>
        <b/>
        <sz val="12"/>
        <color rgb="FF4F4F4F"/>
        <rFont val="Arial"/>
        <family val="2"/>
      </rPr>
      <t>cm</t>
    </r>
    <r>
      <rPr>
        <b/>
        <vertAlign val="superscript"/>
        <sz val="12"/>
        <color rgb="FF4F4F4F"/>
        <rFont val="Arial"/>
        <family val="2"/>
      </rPr>
      <t>3</t>
    </r>
  </si>
  <si>
    <r>
      <rPr>
        <b/>
        <sz val="12"/>
        <color rgb="FF3A3A3A"/>
        <rFont val="Arial"/>
        <family val="2"/>
      </rPr>
      <t xml:space="preserve">SALSA </t>
    </r>
    <r>
      <rPr>
        <b/>
        <sz val="12"/>
        <color rgb="FF4F4F4F"/>
        <rFont val="Arial"/>
        <family val="2"/>
      </rPr>
      <t>AMO</t>
    </r>
    <r>
      <rPr>
        <b/>
        <sz val="12"/>
        <color rgb="FF3A3A3A"/>
        <rFont val="Arial"/>
        <family val="2"/>
      </rPr>
      <t>STAZA</t>
    </r>
    <r>
      <rPr>
        <b/>
        <sz val="12"/>
        <color rgb="FF626262"/>
        <rFont val="Arial"/>
        <family val="2"/>
      </rPr>
      <t>OA</t>
    </r>
  </si>
  <si>
    <r>
      <rPr>
        <b/>
        <sz val="12"/>
        <color rgb="FF4F4F4F"/>
        <rFont val="Arial"/>
        <family val="2"/>
      </rPr>
      <t>150 cm'</t>
    </r>
  </si>
  <si>
    <r>
      <rPr>
        <b/>
        <sz val="12"/>
        <color rgb="FF3A3A3A"/>
        <rFont val="Arial"/>
        <family val="2"/>
      </rPr>
      <t xml:space="preserve">SALSA </t>
    </r>
    <r>
      <rPr>
        <b/>
        <sz val="12"/>
        <color rgb="FF4F4F4F"/>
        <rFont val="Arial"/>
        <family val="2"/>
      </rPr>
      <t>R</t>
    </r>
    <r>
      <rPr>
        <b/>
        <sz val="12"/>
        <color rgb="FF282828"/>
        <rFont val="Arial"/>
        <family val="2"/>
      </rPr>
      <t>IC</t>
    </r>
    <r>
      <rPr>
        <b/>
        <sz val="12"/>
        <color rgb="FF4F4F4F"/>
        <rFont val="Arial"/>
        <family val="2"/>
      </rPr>
      <t>A</t>
    </r>
  </si>
  <si>
    <r>
      <rPr>
        <b/>
        <sz val="12"/>
        <color rgb="FF4F4F4F"/>
        <rFont val="Arial"/>
        <family val="2"/>
      </rPr>
      <t>SALSA CO</t>
    </r>
    <r>
      <rPr>
        <b/>
        <sz val="12"/>
        <color rgb="FF161616"/>
        <rFont val="Arial"/>
        <family val="2"/>
      </rPr>
      <t>NDI</t>
    </r>
    <r>
      <rPr>
        <b/>
        <sz val="12"/>
        <color rgb="FF3A3A3A"/>
        <rFont val="Arial"/>
        <family val="2"/>
      </rPr>
      <t>MENTADA</t>
    </r>
  </si>
  <si>
    <r>
      <rPr>
        <b/>
        <sz val="12"/>
        <color rgb="FF4F4F4F"/>
        <rFont val="Arial"/>
        <family val="2"/>
      </rPr>
      <t>300 cm</t>
    </r>
    <r>
      <rPr>
        <b/>
        <vertAlign val="superscript"/>
        <sz val="12"/>
        <color rgb="FF4F4F4F"/>
        <rFont val="Arial"/>
        <family val="2"/>
      </rPr>
      <t>3</t>
    </r>
  </si>
  <si>
    <r>
      <rPr>
        <b/>
        <sz val="12"/>
        <color rgb="FF4F4F4F"/>
        <rFont val="Arial"/>
        <family val="2"/>
      </rPr>
      <t>SA</t>
    </r>
    <r>
      <rPr>
        <b/>
        <sz val="12"/>
        <color rgb="FF161616"/>
        <rFont val="Arial"/>
        <family val="2"/>
      </rPr>
      <t>L</t>
    </r>
    <r>
      <rPr>
        <b/>
        <sz val="12"/>
        <color rgb="FF4F4F4F"/>
        <rFont val="Arial"/>
        <family val="2"/>
      </rPr>
      <t xml:space="preserve">SA DE </t>
    </r>
    <r>
      <rPr>
        <b/>
        <sz val="12"/>
        <color rgb="FF3A3A3A"/>
        <rFont val="Arial"/>
        <family val="2"/>
      </rPr>
      <t>JENGIBRE</t>
    </r>
  </si>
  <si>
    <r>
      <rPr>
        <b/>
        <sz val="12"/>
        <color rgb="FF4F4F4F"/>
        <rFont val="Arial"/>
        <family val="2"/>
      </rPr>
      <t xml:space="preserve">300 </t>
    </r>
    <r>
      <rPr>
        <b/>
        <sz val="12"/>
        <color rgb="FF3A3A3A"/>
        <rFont val="Arial"/>
        <family val="2"/>
      </rPr>
      <t>cm'</t>
    </r>
  </si>
  <si>
    <r>
      <rPr>
        <b/>
        <sz val="12"/>
        <color rgb="FF3A3A3A"/>
        <rFont val="Arial"/>
        <family val="2"/>
      </rPr>
      <t>SALSA AMOSTAZAOA</t>
    </r>
  </si>
  <si>
    <r>
      <rPr>
        <b/>
        <sz val="12"/>
        <color rgb="FF626262"/>
        <rFont val="Arial"/>
        <family val="2"/>
      </rPr>
      <t xml:space="preserve">300cm' </t>
    </r>
    <r>
      <rPr>
        <b/>
        <vertAlign val="subscript"/>
        <sz val="12"/>
        <color rgb="FF9E9E9E"/>
        <rFont val="Arial"/>
        <family val="2"/>
      </rPr>
      <t>..</t>
    </r>
  </si>
  <si>
    <r>
      <rPr>
        <b/>
        <sz val="12"/>
        <color rgb="FF3A3A3A"/>
        <rFont val="Arial"/>
        <family val="2"/>
      </rPr>
      <t>SALSA BOLOGNE</t>
    </r>
    <r>
      <rPr>
        <b/>
        <sz val="12"/>
        <color rgb="FF4F4F4F"/>
        <rFont val="Arial"/>
        <family val="2"/>
      </rPr>
      <t>SA</t>
    </r>
  </si>
  <si>
    <r>
      <rPr>
        <b/>
        <sz val="12"/>
        <color rgb="FF3A3A3A"/>
        <rFont val="Arial"/>
        <family val="2"/>
      </rPr>
      <t>190g</t>
    </r>
  </si>
  <si>
    <r>
      <rPr>
        <b/>
        <sz val="12"/>
        <color rgb="FF3A3A3A"/>
        <rFont val="Arial"/>
        <family val="2"/>
      </rPr>
      <t>SALSA COMP</t>
    </r>
    <r>
      <rPr>
        <b/>
        <sz val="12"/>
        <color rgb="FF626262"/>
        <rFont val="Arial"/>
        <family val="2"/>
      </rPr>
      <t>LETA</t>
    </r>
  </si>
  <si>
    <r>
      <rPr>
        <b/>
        <sz val="12"/>
        <color rgb="FF4F4F4F"/>
        <rFont val="Arial"/>
        <family val="2"/>
      </rPr>
      <t xml:space="preserve">SALSA </t>
    </r>
    <r>
      <rPr>
        <b/>
        <sz val="12"/>
        <color rgb="FF3A3A3A"/>
        <rFont val="Arial"/>
        <family val="2"/>
      </rPr>
      <t>NAPO</t>
    </r>
    <r>
      <rPr>
        <b/>
        <sz val="12"/>
        <color rgb="FF626262"/>
        <rFont val="Arial"/>
        <family val="2"/>
      </rPr>
      <t>LI</t>
    </r>
    <r>
      <rPr>
        <b/>
        <sz val="12"/>
        <color rgb="FF3A3A3A"/>
        <rFont val="Arial"/>
        <family val="2"/>
      </rPr>
      <t>TANA</t>
    </r>
  </si>
  <si>
    <r>
      <rPr>
        <b/>
        <sz val="12"/>
        <color rgb="FF4F4F4F"/>
        <rFont val="Arial"/>
        <family val="2"/>
      </rPr>
      <t>490g</t>
    </r>
  </si>
  <si>
    <r>
      <rPr>
        <b/>
        <sz val="12"/>
        <color rgb="FF4F4F4F"/>
        <rFont val="Arial"/>
        <family val="2"/>
      </rPr>
      <t xml:space="preserve">SALSA </t>
    </r>
    <r>
      <rPr>
        <b/>
        <sz val="12"/>
        <color rgb="FF3A3A3A"/>
        <rFont val="Arial"/>
        <family val="2"/>
      </rPr>
      <t>NAPOLITANA</t>
    </r>
  </si>
  <si>
    <r>
      <rPr>
        <b/>
        <sz val="12"/>
        <color rgb="FF4F4F4F"/>
        <rFont val="Arial"/>
        <family val="2"/>
      </rPr>
      <t xml:space="preserve">1 </t>
    </r>
    <r>
      <rPr>
        <b/>
        <sz val="12"/>
        <color rgb="FF727272"/>
        <rFont val="Arial"/>
        <family val="2"/>
      </rPr>
      <t xml:space="preserve">10662    </t>
    </r>
    <r>
      <rPr>
        <b/>
        <sz val="12"/>
        <color rgb="FF4F4F4F"/>
        <rFont val="Arial"/>
        <family val="2"/>
      </rPr>
      <t>7</t>
    </r>
  </si>
  <si>
    <r>
      <rPr>
        <b/>
        <sz val="12"/>
        <color rgb="FF3A3A3A"/>
        <rFont val="Arial"/>
        <family val="2"/>
      </rPr>
      <t xml:space="preserve">190 </t>
    </r>
    <r>
      <rPr>
        <b/>
        <sz val="12"/>
        <color rgb="FF626262"/>
        <rFont val="Arial"/>
        <family val="2"/>
      </rPr>
      <t>g</t>
    </r>
  </si>
  <si>
    <r>
      <rPr>
        <b/>
        <sz val="12"/>
        <color rgb="FF4F4F4F"/>
        <rFont val="Arial"/>
        <family val="2"/>
      </rPr>
      <t>7 591221</t>
    </r>
    <r>
      <rPr>
        <b/>
        <sz val="12"/>
        <color rgb="FF626262"/>
        <rFont val="Arial"/>
        <family val="2"/>
      </rPr>
      <t>1107</t>
    </r>
    <r>
      <rPr>
        <b/>
        <sz val="12"/>
        <color rgb="FF3A3A3A"/>
        <rFont val="Arial"/>
        <family val="2"/>
      </rPr>
      <t>68</t>
    </r>
  </si>
  <si>
    <r>
      <rPr>
        <b/>
        <sz val="12"/>
        <color rgb="FF3A3A3A"/>
        <rFont val="Arial"/>
        <family val="2"/>
      </rPr>
      <t>PA</t>
    </r>
    <r>
      <rPr>
        <b/>
        <sz val="12"/>
        <color rgb="FF626262"/>
        <rFont val="Arial"/>
        <family val="2"/>
      </rPr>
      <t>STA D</t>
    </r>
    <r>
      <rPr>
        <b/>
        <sz val="12"/>
        <color rgb="FF4F4F4F"/>
        <rFont val="Arial"/>
        <family val="2"/>
      </rPr>
      <t>E TOMATE DO</t>
    </r>
    <r>
      <rPr>
        <b/>
        <sz val="12"/>
        <color rgb="FF282828"/>
        <rFont val="Arial"/>
        <family val="2"/>
      </rPr>
      <t>B</t>
    </r>
    <r>
      <rPr>
        <b/>
        <sz val="12"/>
        <color rgb="FF4F4F4F"/>
        <rFont val="Arial"/>
        <family val="2"/>
      </rPr>
      <t>LE CO</t>
    </r>
    <r>
      <rPr>
        <b/>
        <sz val="12"/>
        <color rgb="FF282828"/>
        <rFont val="Arial"/>
        <family val="2"/>
      </rPr>
      <t>NCE</t>
    </r>
    <r>
      <rPr>
        <b/>
        <sz val="12"/>
        <color rgb="FF4F4F4F"/>
        <rFont val="Arial"/>
        <family val="2"/>
      </rPr>
      <t>NTRADA</t>
    </r>
  </si>
  <si>
    <r>
      <rPr>
        <b/>
        <sz val="12"/>
        <color rgb="FF626262"/>
        <rFont val="Arial"/>
        <family val="2"/>
      </rPr>
      <t>500g</t>
    </r>
  </si>
  <si>
    <r>
      <rPr>
        <b/>
        <sz val="12"/>
        <color rgb="FF626262"/>
        <rFont val="Arial"/>
        <family val="2"/>
      </rPr>
      <t xml:space="preserve">7 </t>
    </r>
    <r>
      <rPr>
        <b/>
        <sz val="12"/>
        <color rgb="FF4F4F4F"/>
        <rFont val="Arial"/>
        <family val="2"/>
      </rPr>
      <t>59050</t>
    </r>
    <r>
      <rPr>
        <b/>
        <sz val="12"/>
        <color rgb="FF727272"/>
        <rFont val="Arial"/>
        <family val="2"/>
      </rPr>
      <t>7</t>
    </r>
    <r>
      <rPr>
        <b/>
        <sz val="12"/>
        <color rgb="FF3A3A3A"/>
        <rFont val="Arial"/>
        <family val="2"/>
      </rPr>
      <t>1</t>
    </r>
  </si>
  <si>
    <r>
      <rPr>
        <b/>
        <sz val="12"/>
        <color rgb="FF3A3A3A"/>
        <rFont val="Arial"/>
        <family val="2"/>
      </rPr>
      <t>SALSA D</t>
    </r>
    <r>
      <rPr>
        <b/>
        <sz val="12"/>
        <color rgb="FF4F4F4F"/>
        <rFont val="Arial"/>
        <family val="2"/>
      </rPr>
      <t xml:space="preserve">E </t>
    </r>
    <r>
      <rPr>
        <b/>
        <sz val="12"/>
        <color rgb="FF626262"/>
        <rFont val="Arial"/>
        <family val="2"/>
      </rPr>
      <t>T</t>
    </r>
    <r>
      <rPr>
        <b/>
        <sz val="12"/>
        <color rgb="FF3A3A3A"/>
        <rFont val="Arial"/>
        <family val="2"/>
      </rPr>
      <t>OMATE KETC</t>
    </r>
    <r>
      <rPr>
        <b/>
        <sz val="12"/>
        <color rgb="FF626262"/>
        <rFont val="Arial"/>
        <family val="2"/>
      </rPr>
      <t>H</t>
    </r>
    <r>
      <rPr>
        <b/>
        <sz val="12"/>
        <color rgb="FF282828"/>
        <rFont val="Arial"/>
        <family val="2"/>
      </rPr>
      <t>U</t>
    </r>
    <r>
      <rPr>
        <b/>
        <sz val="12"/>
        <color rgb="FF4F4F4F"/>
        <rFont val="Arial"/>
        <family val="2"/>
      </rPr>
      <t xml:space="preserve">P </t>
    </r>
    <r>
      <rPr>
        <b/>
        <sz val="12"/>
        <color rgb="FF3A3A3A"/>
        <rFont val="Arial"/>
        <family val="2"/>
      </rPr>
      <t xml:space="preserve">CLASE </t>
    </r>
    <r>
      <rPr>
        <b/>
        <sz val="12"/>
        <color rgb="FF4F4F4F"/>
        <rFont val="Arial"/>
        <family val="2"/>
      </rPr>
      <t>A</t>
    </r>
  </si>
  <si>
    <r>
      <rPr>
        <b/>
        <sz val="12"/>
        <color rgb="FF4F4F4F"/>
        <rFont val="Arial"/>
        <family val="2"/>
      </rPr>
      <t>397g</t>
    </r>
  </si>
  <si>
    <r>
      <rPr>
        <b/>
        <sz val="12"/>
        <color rgb="FF727272"/>
        <rFont val="Arial"/>
        <family val="2"/>
      </rPr>
      <t>116-4</t>
    </r>
    <r>
      <rPr>
        <b/>
        <sz val="12"/>
        <color rgb="FF4F4F4F"/>
        <rFont val="Arial"/>
        <family val="2"/>
      </rPr>
      <t>000</t>
    </r>
  </si>
  <si>
    <r>
      <rPr>
        <b/>
        <sz val="12"/>
        <color rgb="FF3A3A3A"/>
        <rFont val="Arial"/>
        <family val="2"/>
      </rPr>
      <t xml:space="preserve">1 </t>
    </r>
    <r>
      <rPr>
        <b/>
        <sz val="12"/>
        <color rgb="FF626262"/>
        <rFont val="Arial"/>
        <family val="2"/>
      </rPr>
      <t xml:space="preserve">759 </t>
    </r>
    <r>
      <rPr>
        <b/>
        <sz val="12"/>
        <color rgb="FF3A3A3A"/>
        <rFont val="Arial"/>
        <family val="2"/>
      </rPr>
      <t xml:space="preserve">12 </t>
    </r>
    <r>
      <rPr>
        <b/>
        <sz val="12"/>
        <color rgb="FF626262"/>
        <rFont val="Arial"/>
        <family val="2"/>
      </rPr>
      <t xml:space="preserve">21 </t>
    </r>
    <r>
      <rPr>
        <b/>
        <sz val="12"/>
        <color rgb="FF3A3A3A"/>
        <rFont val="Arial"/>
        <family val="2"/>
      </rPr>
      <t>118402</t>
    </r>
  </si>
  <si>
    <r>
      <rPr>
        <b/>
        <sz val="12"/>
        <color rgb="FF4F4F4F"/>
        <rFont val="Arial"/>
        <family val="2"/>
      </rPr>
      <t xml:space="preserve">COMBO </t>
    </r>
    <r>
      <rPr>
        <b/>
        <sz val="12"/>
        <color rgb="FF3A3A3A"/>
        <rFont val="Arial"/>
        <family val="2"/>
      </rPr>
      <t xml:space="preserve">SALSAS </t>
    </r>
    <r>
      <rPr>
        <b/>
        <sz val="12"/>
        <color rgb="FF727272"/>
        <rFont val="Arial"/>
        <family val="2"/>
      </rPr>
      <t>I</t>
    </r>
    <r>
      <rPr>
        <b/>
        <sz val="12"/>
        <color rgb="FF4F4F4F"/>
        <rFont val="Arial"/>
        <family val="2"/>
      </rPr>
      <t>BERIA</t>
    </r>
  </si>
  <si>
    <r>
      <rPr>
        <b/>
        <sz val="12"/>
        <color rgb="FF626262"/>
        <rFont val="Arial"/>
        <family val="2"/>
      </rPr>
      <t xml:space="preserve">150 </t>
    </r>
    <r>
      <rPr>
        <b/>
        <sz val="12"/>
        <color rgb="FF4F4F4F"/>
        <rFont val="Arial"/>
        <family val="2"/>
      </rPr>
      <t>cm3</t>
    </r>
  </si>
  <si>
    <r>
      <rPr>
        <b/>
        <sz val="12"/>
        <color rgb="FF4F4F4F"/>
        <rFont val="Arial"/>
        <family val="2"/>
      </rPr>
      <t xml:space="preserve">COMBO </t>
    </r>
    <r>
      <rPr>
        <b/>
        <sz val="12"/>
        <color rgb="FF3A3A3A"/>
        <rFont val="Arial"/>
        <family val="2"/>
      </rPr>
      <t xml:space="preserve">SALSAS </t>
    </r>
    <r>
      <rPr>
        <b/>
        <sz val="12"/>
        <color rgb="FF4F4F4F"/>
        <rFont val="Arial"/>
        <family val="2"/>
      </rPr>
      <t>TRAD</t>
    </r>
    <r>
      <rPr>
        <b/>
        <sz val="12"/>
        <color rgb="FF161616"/>
        <rFont val="Arial"/>
        <family val="2"/>
      </rPr>
      <t>I</t>
    </r>
    <r>
      <rPr>
        <b/>
        <sz val="12"/>
        <color rgb="FF4F4F4F"/>
        <rFont val="Arial"/>
        <family val="2"/>
      </rPr>
      <t>C</t>
    </r>
    <r>
      <rPr>
        <b/>
        <sz val="12"/>
        <color rgb="FF161616"/>
        <rFont val="Arial"/>
        <family val="2"/>
      </rPr>
      <t>I</t>
    </r>
    <r>
      <rPr>
        <b/>
        <sz val="12"/>
        <color rgb="FF3A3A3A"/>
        <rFont val="Arial"/>
        <family val="2"/>
      </rPr>
      <t>ONA</t>
    </r>
    <r>
      <rPr>
        <b/>
        <sz val="12"/>
        <color rgb="FF626262"/>
        <rFont val="Arial"/>
        <family val="2"/>
      </rPr>
      <t>L</t>
    </r>
    <r>
      <rPr>
        <b/>
        <sz val="12"/>
        <color rgb="FF3A3A3A"/>
        <rFont val="Arial"/>
        <family val="2"/>
      </rPr>
      <t>ES</t>
    </r>
  </si>
  <si>
    <r>
      <rPr>
        <b/>
        <sz val="12"/>
        <color rgb="FF3A3A3A"/>
        <rFont val="Arial"/>
        <family val="2"/>
      </rPr>
      <t>900cm</t>
    </r>
    <r>
      <rPr>
        <b/>
        <sz val="12"/>
        <color rgb="FF898989"/>
        <rFont val="Arial"/>
        <family val="2"/>
      </rPr>
      <t>'</t>
    </r>
  </si>
  <si>
    <t>PECHUGA DE PAVO HERMO</t>
  </si>
  <si>
    <t>PEDIDO 19 DE ABRIL</t>
  </si>
  <si>
    <t>330 CAJA</t>
  </si>
  <si>
    <t>120 CAJA</t>
  </si>
  <si>
    <t>DESPACHO 18 DE ABRIL</t>
  </si>
  <si>
    <t>TOTAL A PAGAR DESCONTANDO FALTANTE</t>
  </si>
  <si>
    <t>18042021AS</t>
  </si>
  <si>
    <t>10 CAJAS</t>
  </si>
  <si>
    <t>5 CAJAS</t>
  </si>
  <si>
    <t>COCA- COLA NEGRA PET 355 ML (BOMBITA)</t>
  </si>
  <si>
    <t>GATORADE CEREZA BERRY PET 500MLx12UN</t>
  </si>
  <si>
    <t>7 UP 1 LT 1000 X 6 UND.</t>
  </si>
  <si>
    <t>PEDIDO 24 DE MAYO DE 2022</t>
  </si>
  <si>
    <t xml:space="preserve">2 BULTOS </t>
  </si>
  <si>
    <r>
      <rPr>
        <b/>
        <sz val="12"/>
        <color theme="1"/>
        <rFont val="Calibri"/>
        <family val="2"/>
        <scheme val="minor"/>
      </rPr>
      <t xml:space="preserve">MASA LISOL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PEDIDO: 10/06/2022</t>
    </r>
  </si>
  <si>
    <t xml:space="preserve">28 DE JUNIO </t>
  </si>
  <si>
    <t>REFRESCO 1 LT HIT NARANJA</t>
  </si>
  <si>
    <t>3 cajas</t>
  </si>
  <si>
    <t>2 cajas</t>
  </si>
  <si>
    <t>5 cajas</t>
  </si>
  <si>
    <t>20 cajas</t>
  </si>
  <si>
    <t>1 cajas</t>
  </si>
  <si>
    <t xml:space="preserve">AGUA MINALBA 600ML </t>
  </si>
  <si>
    <t>PEDIDO 12 DE JULIO</t>
  </si>
  <si>
    <t>AUTOMERCADO EXPRESS INVENTARIO 05/08/22</t>
  </si>
  <si>
    <t>FIAMBRE DON RAMON KG</t>
  </si>
  <si>
    <t>JAMON PAVO DON RAMON KG</t>
  </si>
  <si>
    <t>JAMON ESPALDA DON RAMON KG.</t>
  </si>
  <si>
    <t>SALCHICHAS DE POLLO DON RAMON KG</t>
  </si>
  <si>
    <t>SALCHICHA POLACAS DON RAMON KG</t>
  </si>
  <si>
    <t xml:space="preserve">PEDIDO 01 DE AGOSTO </t>
  </si>
  <si>
    <t>4 BULTOS</t>
  </si>
  <si>
    <t>15  BULTOS</t>
  </si>
  <si>
    <t>PEDIDO 10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</si>
</sst>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 * #,##0.00_ ;_ * \-#,##0.00_ ;_ * &quot;-&quot;??_ ;_ @_ "/>
    <numFmt numFmtId="164" formatCode="_ &quot;Bs. F.&quot;\ * #,##0.00_ ;_ &quot;Bs. F.&quot;\ * \-#,##0.00_ ;_ &quot;Bs. F.&quot;\ * &quot;-&quot;??_ ;_ @_ "/>
    <numFmt numFmtId="165" formatCode="0.0"/>
    <numFmt numFmtId="166" formatCode="&quot;Bs. F&quot;\ #,##0.00"/>
    <numFmt numFmtId="167" formatCode="&quot;Bs. F&quot;\ #,##0.000"/>
    <numFmt numFmtId="168" formatCode="&quot;Bs. F.&quot;\ #,##0.00"/>
    <numFmt numFmtId="169" formatCode="0.000"/>
    <numFmt numFmtId="170" formatCode="\$0.00"/>
    <numFmt numFmtId="171" formatCode="#,##0.000"/>
    <numFmt numFmtId="172" formatCode="0.0000000%"/>
    <numFmt numFmtId="173" formatCode="&quot;Bs. F.&quot;\ #,##0"/>
    <numFmt numFmtId="174" formatCode="0.00000"/>
    <numFmt numFmtId="175" formatCode="0.0000"/>
    <numFmt numFmtId="176" formatCode="[$-C0A]d\ &quot;de&quot;\ mmmm\ &quot;de&quot;\ yyyy;@"/>
    <numFmt numFmtId="177" formatCode="_(* #,##0.00_);_(* \(#,##0.00\);_(* &quot;-&quot;??_);_(@_)"/>
    <numFmt numFmtId="178" formatCode="&quot;Bs. F&quot;\ #,##0.00;&quot;Bs. F&quot;\ \-#,##0.00"/>
    <numFmt numFmtId="179" formatCode="_ * #,##0_ ;_ * \-#,##0_ ;_ * &quot;-&quot;??_ ;_ @_ "/>
    <numFmt numFmtId="180" formatCode="[$$-540A]#,##0.00"/>
    <numFmt numFmtId="181" formatCode="00000"/>
    <numFmt numFmtId="182" formatCode="_-* #,##0.00\ _€_-;\-* #,##0.00\ _€_-;_-* &quot;-&quot;??\ _€_-;_-@_-"/>
  </numFmts>
  <fonts count="15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color theme="1"/>
      <name val="Calibri Light"/>
      <family val="1"/>
      <scheme val="major"/>
    </font>
    <font>
      <b/>
      <i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4"/>
      <color theme="1"/>
      <name val="Calibri Light"/>
      <family val="1"/>
      <scheme val="major"/>
    </font>
    <font>
      <b/>
      <i/>
      <sz val="12"/>
      <name val="Century Gothic"/>
      <family val="2"/>
    </font>
    <font>
      <b/>
      <i/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8"/>
      <color rgb="FF990033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990033"/>
      <name val="Times New Roman"/>
      <family val="1"/>
    </font>
    <font>
      <sz val="12"/>
      <color rgb="FFC00000"/>
      <name val="Calibri"/>
      <family val="2"/>
      <scheme val="minor"/>
    </font>
    <font>
      <sz val="10"/>
      <color rgb="FF990033"/>
      <name val="Times New Roman"/>
      <family val="1"/>
    </font>
    <font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i/>
      <sz val="10"/>
      <color rgb="FFC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3"/>
      <name val="Times New Roman"/>
      <family val="1"/>
    </font>
    <font>
      <b/>
      <sz val="13"/>
      <name val="Verdana"/>
      <family val="2"/>
    </font>
    <font>
      <vertAlign val="subscript"/>
      <sz val="13"/>
      <name val="Times New Roman"/>
      <family val="1"/>
    </font>
    <font>
      <sz val="13"/>
      <color rgb="FF000000"/>
      <name val="Times New Roman"/>
      <family val="1"/>
    </font>
    <font>
      <b/>
      <sz val="13"/>
      <color rgb="FFFFFFFF"/>
      <name val="Verdana"/>
      <family val="2"/>
    </font>
    <font>
      <sz val="13"/>
      <name val="Arial Black"/>
      <family val="2"/>
    </font>
    <font>
      <sz val="13"/>
      <color rgb="FF000000"/>
      <name val="Arial Black"/>
      <family val="2"/>
    </font>
    <font>
      <b/>
      <sz val="13"/>
      <color rgb="FFFF0000"/>
      <name val="Verdana"/>
      <family val="2"/>
    </font>
    <font>
      <b/>
      <sz val="13"/>
      <name val="Times New Roman"/>
      <family val="1"/>
    </font>
    <font>
      <b/>
      <vertAlign val="superscript"/>
      <sz val="13"/>
      <name val="Times New Roman"/>
      <family val="1"/>
    </font>
    <font>
      <b/>
      <sz val="13"/>
      <color rgb="FFFFFFFF"/>
      <name val="Times New Roman"/>
      <family val="1"/>
    </font>
    <font>
      <b/>
      <sz val="13"/>
      <color rgb="FFFF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color rgb="FF222222"/>
      <name val="Arial Narrow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12"/>
      <name val="TeXGyreAdventor"/>
    </font>
    <font>
      <sz val="11"/>
      <color rgb="FF000000"/>
      <name val="Gothic Uralic"/>
      <family val="2"/>
    </font>
    <font>
      <sz val="11"/>
      <name val="Gothic Uralic"/>
    </font>
    <font>
      <b/>
      <sz val="10"/>
      <name val="TeXGyreAdventor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b/>
      <i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Arial"/>
      <family val="2"/>
    </font>
    <font>
      <sz val="9"/>
      <color rgb="FF000000"/>
      <name val="Times New Roman"/>
      <family val="1"/>
    </font>
    <font>
      <sz val="9"/>
      <name val="Arial"/>
      <family val="2"/>
    </font>
    <font>
      <b/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i/>
      <sz val="14"/>
      <color theme="1"/>
      <name val="Calibri"/>
      <family val="2"/>
      <scheme val="minor"/>
    </font>
    <font>
      <b/>
      <sz val="10"/>
      <name val="Carlito"/>
    </font>
    <font>
      <b/>
      <sz val="10"/>
      <color rgb="FF000000"/>
      <name val="Carlito"/>
      <family val="2"/>
    </font>
    <font>
      <b/>
      <sz val="11"/>
      <name val="Carlito"/>
    </font>
    <font>
      <b/>
      <sz val="11"/>
      <name val="Carlito"/>
      <family val="2"/>
    </font>
    <font>
      <b/>
      <sz val="10"/>
      <color rgb="FF393838"/>
      <name val="Carlito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b/>
      <sz val="30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rgb="FFFFFFFF"/>
      <name val="Arial"/>
      <family val="2"/>
    </font>
    <font>
      <sz val="8"/>
      <color rgb="FF000000"/>
      <name val="Times New Roman"/>
      <family val="1"/>
    </font>
    <font>
      <sz val="8"/>
      <name val="Arial"/>
      <family val="2"/>
    </font>
    <font>
      <sz val="8"/>
      <color rgb="FF000000"/>
      <name val="Arial"/>
      <family val="2"/>
    </font>
    <font>
      <sz val="12"/>
      <name val="Arial"/>
      <family val="2"/>
    </font>
    <font>
      <b/>
      <sz val="9"/>
      <color theme="1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9"/>
      <name val="AriEL"/>
    </font>
    <font>
      <b/>
      <sz val="9"/>
      <color rgb="FF000000"/>
      <name val="AriEL"/>
    </font>
    <font>
      <b/>
      <sz val="9"/>
      <color theme="0"/>
      <name val="AriEL"/>
    </font>
    <font>
      <b/>
      <sz val="9"/>
      <color theme="1"/>
      <name val="AriEL"/>
    </font>
    <font>
      <sz val="11"/>
      <color theme="1"/>
      <name val="AriEL"/>
    </font>
    <font>
      <b/>
      <sz val="9"/>
      <color rgb="FFFFFFFF"/>
      <name val="AriEL"/>
    </font>
    <font>
      <b/>
      <sz val="7"/>
      <color theme="1"/>
      <name val="AriEL"/>
    </font>
    <font>
      <b/>
      <sz val="7"/>
      <name val="AriEL"/>
    </font>
    <font>
      <b/>
      <sz val="7"/>
      <color rgb="FFFFFFFF"/>
      <name val="AriEL"/>
    </font>
    <font>
      <b/>
      <sz val="7"/>
      <color rgb="FF000000"/>
      <name val="AriEL"/>
    </font>
    <font>
      <b/>
      <sz val="8"/>
      <color theme="1"/>
      <name val="Aria"/>
    </font>
    <font>
      <sz val="8"/>
      <color theme="1"/>
      <name val="Aria"/>
    </font>
    <font>
      <b/>
      <sz val="12"/>
      <name val="Arial"/>
      <family val="2"/>
    </font>
    <font>
      <b/>
      <sz val="12"/>
      <color rgb="FF3D3D3D"/>
      <name val="Arial"/>
      <family val="2"/>
    </font>
    <font>
      <b/>
      <sz val="12"/>
      <color rgb="FF696969"/>
      <name val="Arial"/>
      <family val="2"/>
    </font>
    <font>
      <b/>
      <sz val="12"/>
      <color rgb="FF545454"/>
      <name val="Arial"/>
      <family val="2"/>
    </font>
    <font>
      <b/>
      <sz val="12"/>
      <color rgb="FF131313"/>
      <name val="Arial"/>
      <family val="2"/>
    </font>
    <font>
      <b/>
      <sz val="12"/>
      <color rgb="FF262626"/>
      <name val="Arial"/>
      <family val="2"/>
    </font>
    <font>
      <b/>
      <sz val="12"/>
      <color rgb="FF282828"/>
      <name val="Arial"/>
      <family val="2"/>
    </font>
    <font>
      <b/>
      <sz val="12"/>
      <color rgb="FF161616"/>
      <name val="Arial"/>
      <family val="2"/>
    </font>
    <font>
      <b/>
      <sz val="12"/>
      <color rgb="FF3A3A3A"/>
      <name val="Arial"/>
      <family val="2"/>
    </font>
    <font>
      <b/>
      <sz val="12"/>
      <color rgb="FF4F4F4F"/>
      <name val="Arial"/>
      <family val="2"/>
    </font>
    <font>
      <b/>
      <sz val="12"/>
      <color rgb="FF727272"/>
      <name val="Arial"/>
      <family val="2"/>
    </font>
    <font>
      <b/>
      <sz val="12"/>
      <color rgb="FF000000"/>
      <name val="Arial"/>
      <family val="2"/>
    </font>
    <font>
      <b/>
      <vertAlign val="superscript"/>
      <sz val="12"/>
      <color rgb="FF3D3D3D"/>
      <name val="Arial"/>
      <family val="2"/>
    </font>
    <font>
      <b/>
      <vertAlign val="superscript"/>
      <sz val="12"/>
      <color rgb="FF545454"/>
      <name val="Arial"/>
      <family val="2"/>
    </font>
    <font>
      <b/>
      <vertAlign val="superscript"/>
      <sz val="12"/>
      <color rgb="FF262626"/>
      <name val="Arial"/>
      <family val="2"/>
    </font>
    <font>
      <b/>
      <vertAlign val="subscript"/>
      <sz val="12"/>
      <color rgb="FF030303"/>
      <name val="Arial"/>
      <family val="2"/>
    </font>
    <font>
      <b/>
      <sz val="12"/>
      <color rgb="FF626262"/>
      <name val="Arial"/>
      <family val="2"/>
    </font>
    <font>
      <b/>
      <sz val="12"/>
      <color rgb="FF898989"/>
      <name val="Arial"/>
      <family val="2"/>
    </font>
    <font>
      <b/>
      <vertAlign val="superscript"/>
      <sz val="12"/>
      <color rgb="FF727272"/>
      <name val="Arial"/>
      <family val="2"/>
    </font>
    <font>
      <b/>
      <vertAlign val="superscript"/>
      <sz val="12"/>
      <color rgb="FF4F4F4F"/>
      <name val="Arial"/>
      <family val="2"/>
    </font>
    <font>
      <b/>
      <vertAlign val="subscript"/>
      <sz val="12"/>
      <color rgb="FF9E9E9E"/>
      <name val="Arial"/>
      <family val="2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7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1F3763"/>
      </patternFill>
    </fill>
    <fill>
      <patternFill patternType="solid">
        <fgColor rgb="FFFFFF00"/>
      </patternFill>
    </fill>
    <fill>
      <patternFill patternType="solid">
        <fgColor rgb="FF2F5395"/>
      </patternFill>
    </fill>
    <fill>
      <patternFill patternType="solid">
        <fgColor rgb="FF4471C4"/>
      </patternFill>
    </fill>
    <fill>
      <patternFill patternType="solid">
        <fgColor rgb="FF6FAC46"/>
      </patternFill>
    </fill>
    <fill>
      <patternFill patternType="solid">
        <fgColor rgb="FFEC7C30"/>
      </patternFill>
    </fill>
    <fill>
      <patternFill patternType="solid">
        <fgColor rgb="FFFFC000"/>
      </patternFill>
    </fill>
    <fill>
      <patternFill patternType="solid">
        <fgColor rgb="FF538235"/>
      </patternFill>
    </fill>
    <fill>
      <patternFill patternType="solid">
        <fgColor rgb="FFF3F752"/>
      </patternFill>
    </fill>
    <fill>
      <patternFill patternType="solid">
        <fgColor rgb="FF1F4E78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theme="4" tint="0.59999389629810485"/>
      </patternFill>
    </fill>
    <fill>
      <patternFill patternType="solid">
        <fgColor rgb="FFFFFFFF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AEDF3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001F5F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39997558519241921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D9D9D9"/>
      </right>
      <top/>
      <bottom/>
      <diagonal/>
    </border>
    <border>
      <left/>
      <right style="medium">
        <color rgb="FFD9D9D9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9" fontId="48" fillId="0" borderId="0" applyFont="0" applyFill="0" applyBorder="0" applyAlignment="0" applyProtection="0"/>
    <xf numFmtId="0" fontId="16" fillId="0" borderId="0"/>
    <xf numFmtId="0" fontId="61" fillId="0" borderId="0" applyNumberFormat="0" applyFill="0" applyBorder="0" applyAlignment="0" applyProtection="0"/>
    <xf numFmtId="0" fontId="61" fillId="0" borderId="0"/>
    <xf numFmtId="0" fontId="48" fillId="0" borderId="0"/>
    <xf numFmtId="164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61" fillId="0" borderId="0"/>
    <xf numFmtId="0" fontId="61" fillId="0" borderId="0"/>
    <xf numFmtId="0" fontId="104" fillId="0" borderId="0"/>
    <xf numFmtId="177" fontId="61" fillId="0" borderId="0" applyFont="0" applyFill="0" applyBorder="0" applyAlignment="0" applyProtection="0"/>
    <xf numFmtId="0" fontId="61" fillId="0" borderId="0"/>
  </cellStyleXfs>
  <cellXfs count="2493">
    <xf numFmtId="0" fontId="0" fillId="0" borderId="0" xfId="0"/>
    <xf numFmtId="0" fontId="0" fillId="0" borderId="1" xfId="0" applyBorder="1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9" fontId="1" fillId="4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3" xfId="0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4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7" borderId="1" xfId="0" applyFill="1" applyBorder="1" applyAlignment="1">
      <alignment horizontal="center" wrapText="1"/>
    </xf>
    <xf numFmtId="0" fontId="1" fillId="7" borderId="0" xfId="0" applyFont="1" applyFill="1"/>
    <xf numFmtId="0" fontId="1" fillId="7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0" fillId="3" borderId="5" xfId="0" applyFont="1" applyFill="1" applyBorder="1"/>
    <xf numFmtId="49" fontId="0" fillId="3" borderId="6" xfId="0" applyNumberFormat="1" applyFont="1" applyFill="1" applyBorder="1"/>
    <xf numFmtId="0" fontId="0" fillId="3" borderId="6" xfId="0" applyFont="1" applyFill="1" applyBorder="1"/>
    <xf numFmtId="49" fontId="0" fillId="3" borderId="7" xfId="0" applyNumberFormat="1" applyFont="1" applyFill="1" applyBorder="1"/>
    <xf numFmtId="0" fontId="2" fillId="10" borderId="6" xfId="0" applyFont="1" applyFill="1" applyBorder="1"/>
    <xf numFmtId="0" fontId="3" fillId="9" borderId="5" xfId="0" applyFont="1" applyFill="1" applyBorder="1"/>
    <xf numFmtId="0" fontId="3" fillId="9" borderId="6" xfId="0" applyFont="1" applyFill="1" applyBorder="1" applyAlignment="1">
      <alignment horizontal="center"/>
    </xf>
    <xf numFmtId="0" fontId="0" fillId="0" borderId="1" xfId="0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Fill="1" applyBorder="1"/>
    <xf numFmtId="0" fontId="1" fillId="11" borderId="8" xfId="0" applyFont="1" applyFill="1" applyBorder="1"/>
    <xf numFmtId="0" fontId="1" fillId="11" borderId="8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/>
    </xf>
    <xf numFmtId="2" fontId="0" fillId="0" borderId="0" xfId="0" applyNumberFormat="1"/>
    <xf numFmtId="0" fontId="0" fillId="12" borderId="1" xfId="0" applyFill="1" applyBorder="1" applyAlignment="1">
      <alignment horizontal="center"/>
    </xf>
    <xf numFmtId="49" fontId="0" fillId="3" borderId="1" xfId="0" applyNumberFormat="1" applyFont="1" applyFill="1" applyBorder="1"/>
    <xf numFmtId="14" fontId="0" fillId="0" borderId="1" xfId="0" applyNumberFormat="1" applyBorder="1"/>
    <xf numFmtId="0" fontId="0" fillId="12" borderId="1" xfId="0" applyFill="1" applyBorder="1"/>
    <xf numFmtId="0" fontId="0" fillId="12" borderId="1" xfId="0" applyFill="1" applyBorder="1" applyAlignment="1">
      <alignment horizontal="center" wrapText="1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14" borderId="3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7" fillId="0" borderId="0" xfId="0" applyFont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0" fontId="8" fillId="0" borderId="0" xfId="0" applyFont="1"/>
    <xf numFmtId="0" fontId="0" fillId="0" borderId="0" xfId="0" applyFont="1" applyAlignment="1">
      <alignment wrapText="1"/>
    </xf>
    <xf numFmtId="0" fontId="8" fillId="15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2" fontId="8" fillId="3" borderId="4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166" fontId="0" fillId="0" borderId="0" xfId="0" applyNumberFormat="1"/>
    <xf numFmtId="0" fontId="7" fillId="0" borderId="0" xfId="0" applyFont="1" applyAlignment="1"/>
    <xf numFmtId="0" fontId="8" fillId="11" borderId="9" xfId="0" applyFont="1" applyFill="1" applyBorder="1"/>
    <xf numFmtId="0" fontId="0" fillId="3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20" borderId="1" xfId="0" applyFill="1" applyBorder="1" applyAlignment="1">
      <alignment horizontal="center" wrapText="1"/>
    </xf>
    <xf numFmtId="0" fontId="1" fillId="19" borderId="1" xfId="0" applyFont="1" applyFill="1" applyBorder="1"/>
    <xf numFmtId="0" fontId="1" fillId="19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/>
    <xf numFmtId="14" fontId="0" fillId="0" borderId="0" xfId="0" applyNumberFormat="1"/>
    <xf numFmtId="168" fontId="0" fillId="0" borderId="0" xfId="0" applyNumberFormat="1"/>
    <xf numFmtId="0" fontId="0" fillId="0" borderId="0" xfId="0" applyNumberFormat="1"/>
    <xf numFmtId="0" fontId="1" fillId="20" borderId="1" xfId="0" applyFont="1" applyFill="1" applyBorder="1"/>
    <xf numFmtId="0" fontId="1" fillId="0" borderId="0" xfId="0" applyFont="1" applyAlignment="1">
      <alignment horizontal="center"/>
    </xf>
    <xf numFmtId="0" fontId="1" fillId="19" borderId="3" xfId="0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3" xfId="0" applyFont="1" applyBorder="1"/>
    <xf numFmtId="0" fontId="1" fillId="21" borderId="1" xfId="0" applyFont="1" applyFill="1" applyBorder="1"/>
    <xf numFmtId="0" fontId="1" fillId="21" borderId="1" xfId="0" applyFont="1" applyFill="1" applyBorder="1" applyAlignment="1">
      <alignment horizontal="center" wrapText="1"/>
    </xf>
    <xf numFmtId="0" fontId="0" fillId="21" borderId="1" xfId="0" applyFill="1" applyBorder="1"/>
    <xf numFmtId="0" fontId="0" fillId="0" borderId="0" xfId="0"/>
    <xf numFmtId="0" fontId="0" fillId="0" borderId="1" xfId="0" applyBorder="1"/>
    <xf numFmtId="0" fontId="12" fillId="0" borderId="1" xfId="0" applyFont="1" applyBorder="1" applyAlignment="1">
      <alignment horizontal="center"/>
    </xf>
    <xf numFmtId="0" fontId="13" fillId="0" borderId="0" xfId="0" applyFont="1" applyFill="1" applyBorder="1" applyAlignment="1"/>
    <xf numFmtId="0" fontId="14" fillId="0" borderId="0" xfId="0" applyFont="1"/>
    <xf numFmtId="0" fontId="12" fillId="0" borderId="0" xfId="0" applyFont="1"/>
    <xf numFmtId="0" fontId="15" fillId="0" borderId="0" xfId="0" applyFont="1" applyAlignment="1">
      <alignment vertical="center"/>
    </xf>
    <xf numFmtId="0" fontId="16" fillId="0" borderId="0" xfId="0" applyFont="1"/>
    <xf numFmtId="4" fontId="0" fillId="0" borderId="0" xfId="0" applyNumberFormat="1"/>
    <xf numFmtId="0" fontId="17" fillId="0" borderId="0" xfId="0" applyFont="1"/>
    <xf numFmtId="0" fontId="8" fillId="3" borderId="12" xfId="0" applyFont="1" applyFill="1" applyBorder="1" applyAlignment="1"/>
    <xf numFmtId="0" fontId="8" fillId="3" borderId="15" xfId="0" applyFont="1" applyFill="1" applyBorder="1" applyAlignment="1"/>
    <xf numFmtId="0" fontId="0" fillId="3" borderId="13" xfId="0" applyFill="1" applyBorder="1"/>
    <xf numFmtId="0" fontId="0" fillId="2" borderId="0" xfId="0" applyFill="1"/>
    <xf numFmtId="0" fontId="8" fillId="2" borderId="0" xfId="0" applyFont="1" applyFill="1" applyBorder="1" applyAlignment="1"/>
    <xf numFmtId="0" fontId="18" fillId="0" borderId="0" xfId="0" applyFont="1" applyAlignment="1">
      <alignment vertical="center"/>
    </xf>
    <xf numFmtId="0" fontId="19" fillId="2" borderId="0" xfId="0" applyFont="1" applyFill="1"/>
    <xf numFmtId="0" fontId="9" fillId="0" borderId="0" xfId="0" applyFont="1"/>
    <xf numFmtId="0" fontId="9" fillId="23" borderId="0" xfId="0" applyFont="1" applyFill="1"/>
    <xf numFmtId="0" fontId="19" fillId="23" borderId="0" xfId="0" applyFont="1" applyFill="1"/>
    <xf numFmtId="0" fontId="0" fillId="23" borderId="0" xfId="0" applyFill="1"/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12" fillId="4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6" fillId="3" borderId="33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8" fillId="0" borderId="0" xfId="0" applyFont="1" applyFill="1" applyBorder="1"/>
    <xf numFmtId="0" fontId="28" fillId="0" borderId="0" xfId="0" applyFont="1" applyFill="1" applyBorder="1" applyAlignment="1">
      <alignment horizontal="center"/>
    </xf>
    <xf numFmtId="0" fontId="30" fillId="25" borderId="38" xfId="0" applyFont="1" applyFill="1" applyBorder="1" applyAlignment="1">
      <alignment horizontal="center" vertical="center"/>
    </xf>
    <xf numFmtId="0" fontId="30" fillId="25" borderId="38" xfId="0" applyFont="1" applyFill="1" applyBorder="1" applyAlignment="1">
      <alignment horizontal="center" vertical="center" wrapText="1"/>
    </xf>
    <xf numFmtId="0" fontId="30" fillId="25" borderId="21" xfId="0" applyFont="1" applyFill="1" applyBorder="1" applyAlignment="1">
      <alignment horizontal="center" vertical="center"/>
    </xf>
    <xf numFmtId="0" fontId="29" fillId="25" borderId="39" xfId="0" applyFont="1" applyFill="1" applyBorder="1" applyAlignment="1">
      <alignment horizontal="center" vertical="center"/>
    </xf>
    <xf numFmtId="0" fontId="30" fillId="25" borderId="40" xfId="0" applyFont="1" applyFill="1" applyBorder="1" applyAlignment="1">
      <alignment horizontal="center" vertical="center" wrapText="1"/>
    </xf>
    <xf numFmtId="0" fontId="31" fillId="26" borderId="41" xfId="0" applyFont="1" applyFill="1" applyBorder="1" applyAlignment="1">
      <alignment horizontal="center" vertical="center" wrapText="1"/>
    </xf>
    <xf numFmtId="0" fontId="31" fillId="26" borderId="2" xfId="0" applyFont="1" applyFill="1" applyBorder="1" applyAlignment="1">
      <alignment horizontal="center" vertical="center" wrapText="1"/>
    </xf>
    <xf numFmtId="0" fontId="31" fillId="26" borderId="42" xfId="0" applyFont="1" applyFill="1" applyBorder="1" applyAlignment="1">
      <alignment horizontal="center" vertical="center" wrapText="1"/>
    </xf>
    <xf numFmtId="0" fontId="30" fillId="27" borderId="43" xfId="0" applyFont="1" applyFill="1" applyBorder="1" applyAlignment="1">
      <alignment horizontal="center" vertical="center"/>
    </xf>
    <xf numFmtId="1" fontId="30" fillId="27" borderId="43" xfId="0" applyNumberFormat="1" applyFont="1" applyFill="1" applyBorder="1" applyAlignment="1">
      <alignment horizontal="center" vertical="center"/>
    </xf>
    <xf numFmtId="0" fontId="33" fillId="27" borderId="44" xfId="0" applyFont="1" applyFill="1" applyBorder="1" applyAlignment="1">
      <alignment horizontal="center" vertical="center"/>
    </xf>
    <xf numFmtId="0" fontId="29" fillId="25" borderId="45" xfId="0" applyFont="1" applyFill="1" applyBorder="1" applyAlignment="1">
      <alignment horizontal="center"/>
    </xf>
    <xf numFmtId="2" fontId="28" fillId="28" borderId="22" xfId="0" applyNumberFormat="1" applyFont="1" applyFill="1" applyBorder="1" applyAlignment="1">
      <alignment horizontal="center"/>
    </xf>
    <xf numFmtId="2" fontId="28" fillId="28" borderId="34" xfId="0" applyNumberFormat="1" applyFont="1" applyFill="1" applyBorder="1" applyAlignment="1">
      <alignment horizontal="center"/>
    </xf>
    <xf numFmtId="2" fontId="28" fillId="28" borderId="23" xfId="0" applyNumberFormat="1" applyFont="1" applyFill="1" applyBorder="1" applyAlignment="1">
      <alignment horizontal="center"/>
    </xf>
    <xf numFmtId="2" fontId="28" fillId="28" borderId="24" xfId="0" applyNumberFormat="1" applyFont="1" applyFill="1" applyBorder="1" applyAlignment="1">
      <alignment horizontal="center"/>
    </xf>
    <xf numFmtId="0" fontId="30" fillId="27" borderId="47" xfId="0" applyFont="1" applyFill="1" applyBorder="1" applyAlignment="1">
      <alignment horizontal="center" vertical="center"/>
    </xf>
    <xf numFmtId="1" fontId="30" fillId="27" borderId="47" xfId="0" applyNumberFormat="1" applyFont="1" applyFill="1" applyBorder="1" applyAlignment="1">
      <alignment horizontal="center" vertical="center"/>
    </xf>
    <xf numFmtId="0" fontId="33" fillId="27" borderId="48" xfId="0" applyFont="1" applyFill="1" applyBorder="1" applyAlignment="1">
      <alignment horizontal="center" vertical="center"/>
    </xf>
    <xf numFmtId="0" fontId="29" fillId="25" borderId="49" xfId="0" applyFont="1" applyFill="1" applyBorder="1" applyAlignment="1">
      <alignment horizontal="center"/>
    </xf>
    <xf numFmtId="2" fontId="28" fillId="28" borderId="28" xfId="0" applyNumberFormat="1" applyFont="1" applyFill="1" applyBorder="1" applyAlignment="1">
      <alignment horizontal="center"/>
    </xf>
    <xf numFmtId="2" fontId="28" fillId="28" borderId="3" xfId="0" applyNumberFormat="1" applyFont="1" applyFill="1" applyBorder="1" applyAlignment="1">
      <alignment horizontal="center"/>
    </xf>
    <xf numFmtId="2" fontId="28" fillId="28" borderId="1" xfId="0" applyNumberFormat="1" applyFont="1" applyFill="1" applyBorder="1" applyAlignment="1">
      <alignment horizontal="center"/>
    </xf>
    <xf numFmtId="2" fontId="28" fillId="28" borderId="29" xfId="0" applyNumberFormat="1" applyFont="1" applyFill="1" applyBorder="1" applyAlignment="1">
      <alignment horizontal="center"/>
    </xf>
    <xf numFmtId="0" fontId="30" fillId="27" borderId="38" xfId="0" applyFont="1" applyFill="1" applyBorder="1" applyAlignment="1">
      <alignment horizontal="center" vertical="center"/>
    </xf>
    <xf numFmtId="1" fontId="30" fillId="27" borderId="38" xfId="0" applyNumberFormat="1" applyFont="1" applyFill="1" applyBorder="1" applyAlignment="1">
      <alignment horizontal="center" vertical="center"/>
    </xf>
    <xf numFmtId="0" fontId="33" fillId="27" borderId="11" xfId="0" applyFont="1" applyFill="1" applyBorder="1" applyAlignment="1">
      <alignment horizontal="center" vertical="center"/>
    </xf>
    <xf numFmtId="0" fontId="29" fillId="25" borderId="50" xfId="0" applyFont="1" applyFill="1" applyBorder="1" applyAlignment="1">
      <alignment horizontal="center"/>
    </xf>
    <xf numFmtId="2" fontId="28" fillId="28" borderId="30" xfId="0" applyNumberFormat="1" applyFont="1" applyFill="1" applyBorder="1" applyAlignment="1">
      <alignment horizontal="center"/>
    </xf>
    <xf numFmtId="2" fontId="28" fillId="28" borderId="36" xfId="0" applyNumberFormat="1" applyFont="1" applyFill="1" applyBorder="1" applyAlignment="1">
      <alignment horizontal="center"/>
    </xf>
    <xf numFmtId="2" fontId="28" fillId="28" borderId="31" xfId="0" applyNumberFormat="1" applyFont="1" applyFill="1" applyBorder="1" applyAlignment="1">
      <alignment horizontal="center"/>
    </xf>
    <xf numFmtId="2" fontId="28" fillId="28" borderId="32" xfId="0" applyNumberFormat="1" applyFont="1" applyFill="1" applyBorder="1" applyAlignment="1">
      <alignment horizontal="center"/>
    </xf>
    <xf numFmtId="0" fontId="30" fillId="27" borderId="51" xfId="0" applyFont="1" applyFill="1" applyBorder="1" applyAlignment="1">
      <alignment horizontal="center" vertical="center"/>
    </xf>
    <xf numFmtId="1" fontId="30" fillId="27" borderId="51" xfId="0" applyNumberFormat="1" applyFont="1" applyFill="1" applyBorder="1" applyAlignment="1">
      <alignment horizontal="center" vertical="center"/>
    </xf>
    <xf numFmtId="0" fontId="33" fillId="27" borderId="52" xfId="0" applyFont="1" applyFill="1" applyBorder="1" applyAlignment="1">
      <alignment horizontal="center" vertical="center"/>
    </xf>
    <xf numFmtId="0" fontId="29" fillId="25" borderId="53" xfId="0" applyFont="1" applyFill="1" applyBorder="1" applyAlignment="1">
      <alignment horizontal="center"/>
    </xf>
    <xf numFmtId="0" fontId="30" fillId="27" borderId="54" xfId="0" applyFont="1" applyFill="1" applyBorder="1" applyAlignment="1">
      <alignment horizontal="center" vertical="center"/>
    </xf>
    <xf numFmtId="1" fontId="30" fillId="27" borderId="54" xfId="0" applyNumberFormat="1" applyFont="1" applyFill="1" applyBorder="1" applyAlignment="1">
      <alignment horizontal="center" vertical="center"/>
    </xf>
    <xf numFmtId="0" fontId="33" fillId="27" borderId="55" xfId="0" applyFont="1" applyFill="1" applyBorder="1" applyAlignment="1">
      <alignment horizontal="center" vertical="center"/>
    </xf>
    <xf numFmtId="0" fontId="29" fillId="25" borderId="56" xfId="0" applyFont="1" applyFill="1" applyBorder="1" applyAlignment="1">
      <alignment horizontal="center"/>
    </xf>
    <xf numFmtId="0" fontId="30" fillId="27" borderId="57" xfId="0" applyFont="1" applyFill="1" applyBorder="1" applyAlignment="1">
      <alignment horizontal="center" vertical="center"/>
    </xf>
    <xf numFmtId="0" fontId="30" fillId="27" borderId="14" xfId="0" applyFont="1" applyFill="1" applyBorder="1" applyAlignment="1">
      <alignment horizontal="center" vertical="center"/>
    </xf>
    <xf numFmtId="0" fontId="30" fillId="27" borderId="58" xfId="0" applyFont="1" applyFill="1" applyBorder="1" applyAlignment="1">
      <alignment horizontal="center" vertical="center"/>
    </xf>
    <xf numFmtId="2" fontId="28" fillId="28" borderId="26" xfId="0" applyNumberFormat="1" applyFont="1" applyFill="1" applyBorder="1" applyAlignment="1">
      <alignment horizontal="center"/>
    </xf>
    <xf numFmtId="2" fontId="28" fillId="28" borderId="27" xfId="0" applyNumberFormat="1" applyFont="1" applyFill="1" applyBorder="1" applyAlignment="1">
      <alignment horizontal="center"/>
    </xf>
    <xf numFmtId="2" fontId="28" fillId="28" borderId="8" xfId="0" applyNumberFormat="1" applyFont="1" applyFill="1" applyBorder="1" applyAlignment="1">
      <alignment horizontal="center"/>
    </xf>
    <xf numFmtId="2" fontId="28" fillId="28" borderId="59" xfId="0" applyNumberFormat="1" applyFont="1" applyFill="1" applyBorder="1" applyAlignment="1">
      <alignment horizontal="center"/>
    </xf>
    <xf numFmtId="0" fontId="30" fillId="27" borderId="60" xfId="0" applyFont="1" applyFill="1" applyBorder="1" applyAlignment="1">
      <alignment horizontal="center" vertical="center"/>
    </xf>
    <xf numFmtId="1" fontId="30" fillId="27" borderId="60" xfId="0" applyNumberFormat="1" applyFont="1" applyFill="1" applyBorder="1" applyAlignment="1">
      <alignment horizontal="center" vertical="center"/>
    </xf>
    <xf numFmtId="0" fontId="33" fillId="27" borderId="61" xfId="0" applyFont="1" applyFill="1" applyBorder="1" applyAlignment="1">
      <alignment horizontal="center" vertical="center"/>
    </xf>
    <xf numFmtId="0" fontId="29" fillId="25" borderId="62" xfId="0" applyFont="1" applyFill="1" applyBorder="1" applyAlignment="1">
      <alignment horizontal="center"/>
    </xf>
    <xf numFmtId="0" fontId="30" fillId="27" borderId="46" xfId="0" applyFont="1" applyFill="1" applyBorder="1" applyAlignment="1">
      <alignment horizontal="center" vertical="center"/>
    </xf>
    <xf numFmtId="1" fontId="30" fillId="27" borderId="46" xfId="0" applyNumberFormat="1" applyFont="1" applyFill="1" applyBorder="1" applyAlignment="1">
      <alignment horizontal="center" vertical="center"/>
    </xf>
    <xf numFmtId="0" fontId="33" fillId="27" borderId="0" xfId="0" applyFont="1" applyFill="1" applyBorder="1" applyAlignment="1">
      <alignment horizontal="center" vertical="center"/>
    </xf>
    <xf numFmtId="0" fontId="29" fillId="25" borderId="40" xfId="0" applyFont="1" applyFill="1" applyBorder="1" applyAlignment="1">
      <alignment horizontal="center"/>
    </xf>
    <xf numFmtId="2" fontId="28" fillId="28" borderId="63" xfId="0" applyNumberFormat="1" applyFont="1" applyFill="1" applyBorder="1" applyAlignment="1">
      <alignment horizontal="center"/>
    </xf>
    <xf numFmtId="2" fontId="28" fillId="28" borderId="19" xfId="0" applyNumberFormat="1" applyFont="1" applyFill="1" applyBorder="1" applyAlignment="1">
      <alignment horizontal="center"/>
    </xf>
    <xf numFmtId="0" fontId="32" fillId="27" borderId="43" xfId="0" applyFont="1" applyFill="1" applyBorder="1" applyAlignment="1">
      <alignment horizontal="center" vertical="center"/>
    </xf>
    <xf numFmtId="1" fontId="30" fillId="27" borderId="21" xfId="0" applyNumberFormat="1" applyFont="1" applyFill="1" applyBorder="1" applyAlignment="1">
      <alignment horizontal="center" vertical="center"/>
    </xf>
    <xf numFmtId="0" fontId="33" fillId="27" borderId="21" xfId="0" applyFont="1" applyFill="1" applyBorder="1" applyAlignment="1">
      <alignment horizontal="center" vertical="center"/>
    </xf>
    <xf numFmtId="0" fontId="29" fillId="25" borderId="33" xfId="0" applyFont="1" applyFill="1" applyBorder="1" applyAlignment="1">
      <alignment horizontal="center"/>
    </xf>
    <xf numFmtId="0" fontId="33" fillId="27" borderId="60" xfId="0" applyFont="1" applyFill="1" applyBorder="1" applyAlignment="1">
      <alignment horizontal="center" vertical="center"/>
    </xf>
    <xf numFmtId="0" fontId="33" fillId="27" borderId="54" xfId="0" applyFont="1" applyFill="1" applyBorder="1" applyAlignment="1">
      <alignment horizontal="center" vertical="center"/>
    </xf>
    <xf numFmtId="0" fontId="30" fillId="27" borderId="33" xfId="0" applyFont="1" applyFill="1" applyBorder="1" applyAlignment="1">
      <alignment horizontal="center" vertical="center"/>
    </xf>
    <xf numFmtId="1" fontId="32" fillId="27" borderId="43" xfId="0" applyNumberFormat="1" applyFont="1" applyFill="1" applyBorder="1" applyAlignment="1">
      <alignment horizontal="center" vertical="center"/>
    </xf>
    <xf numFmtId="0" fontId="30" fillId="27" borderId="53" xfId="0" applyFont="1" applyFill="1" applyBorder="1" applyAlignment="1">
      <alignment horizontal="center" vertical="center"/>
    </xf>
    <xf numFmtId="1" fontId="32" fillId="27" borderId="51" xfId="0" applyNumberFormat="1" applyFont="1" applyFill="1" applyBorder="1" applyAlignment="1">
      <alignment horizontal="center" vertical="center"/>
    </xf>
    <xf numFmtId="0" fontId="32" fillId="27" borderId="56" xfId="0" applyFont="1" applyFill="1" applyBorder="1" applyAlignment="1">
      <alignment horizontal="center" vertical="center"/>
    </xf>
    <xf numFmtId="1" fontId="32" fillId="27" borderId="54" xfId="0" applyNumberFormat="1" applyFont="1" applyFill="1" applyBorder="1" applyAlignment="1">
      <alignment horizontal="center" vertical="center"/>
    </xf>
    <xf numFmtId="0" fontId="30" fillId="27" borderId="21" xfId="0" applyFont="1" applyFill="1" applyBorder="1" applyAlignment="1">
      <alignment horizontal="center" vertical="center"/>
    </xf>
    <xf numFmtId="0" fontId="30" fillId="27" borderId="5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/>
    <xf numFmtId="0" fontId="0" fillId="29" borderId="1" xfId="0" applyFill="1" applyBorder="1" applyAlignment="1">
      <alignment horizontal="center"/>
    </xf>
    <xf numFmtId="0" fontId="0" fillId="30" borderId="1" xfId="0" applyFill="1" applyBorder="1" applyAlignment="1">
      <alignment horizontal="center" wrapText="1"/>
    </xf>
    <xf numFmtId="0" fontId="0" fillId="0" borderId="0" xfId="0" applyFill="1" applyBorder="1" applyAlignment="1">
      <alignment horizontal="left" vertical="top"/>
    </xf>
    <xf numFmtId="0" fontId="37" fillId="32" borderId="68" xfId="0" applyFont="1" applyFill="1" applyBorder="1" applyAlignment="1">
      <alignment horizontal="left" vertical="top" wrapText="1"/>
    </xf>
    <xf numFmtId="1" fontId="40" fillId="0" borderId="70" xfId="0" applyNumberFormat="1" applyFont="1" applyFill="1" applyBorder="1" applyAlignment="1">
      <alignment horizontal="right" vertical="top" indent="1" shrinkToFit="1"/>
    </xf>
    <xf numFmtId="1" fontId="40" fillId="0" borderId="70" xfId="0" applyNumberFormat="1" applyFont="1" applyFill="1" applyBorder="1" applyAlignment="1">
      <alignment horizontal="center" vertical="top" shrinkToFit="1"/>
    </xf>
    <xf numFmtId="170" fontId="40" fillId="0" borderId="70" xfId="0" applyNumberFormat="1" applyFont="1" applyFill="1" applyBorder="1" applyAlignment="1">
      <alignment horizontal="left" vertical="top" indent="1" shrinkToFit="1"/>
    </xf>
    <xf numFmtId="170" fontId="40" fillId="0" borderId="70" xfId="0" applyNumberFormat="1" applyFont="1" applyFill="1" applyBorder="1" applyAlignment="1">
      <alignment horizontal="left" vertical="top" indent="2" shrinkToFit="1"/>
    </xf>
    <xf numFmtId="170" fontId="40" fillId="0" borderId="70" xfId="0" applyNumberFormat="1" applyFont="1" applyFill="1" applyBorder="1" applyAlignment="1">
      <alignment horizontal="left" vertical="top" indent="4" shrinkToFit="1"/>
    </xf>
    <xf numFmtId="170" fontId="40" fillId="0" borderId="70" xfId="0" applyNumberFormat="1" applyFont="1" applyFill="1" applyBorder="1" applyAlignment="1">
      <alignment horizontal="left" vertical="top" shrinkToFit="1"/>
    </xf>
    <xf numFmtId="170" fontId="40" fillId="0" borderId="70" xfId="0" applyNumberFormat="1" applyFont="1" applyFill="1" applyBorder="1" applyAlignment="1">
      <alignment horizontal="left" vertical="top" indent="3" shrinkToFit="1"/>
    </xf>
    <xf numFmtId="0" fontId="39" fillId="0" borderId="70" xfId="0" applyFont="1" applyFill="1" applyBorder="1" applyAlignment="1">
      <alignment horizontal="center" vertical="top" wrapText="1"/>
    </xf>
    <xf numFmtId="0" fontId="37" fillId="0" borderId="70" xfId="0" applyFont="1" applyFill="1" applyBorder="1" applyAlignment="1">
      <alignment horizontal="left" wrapText="1"/>
    </xf>
    <xf numFmtId="0" fontId="37" fillId="0" borderId="70" xfId="0" applyFont="1" applyFill="1" applyBorder="1" applyAlignment="1">
      <alignment horizontal="center" vertical="top" wrapText="1"/>
    </xf>
    <xf numFmtId="0" fontId="37" fillId="29" borderId="70" xfId="0" applyFont="1" applyFill="1" applyBorder="1" applyAlignment="1">
      <alignment horizontal="center" vertical="top" wrapText="1"/>
    </xf>
    <xf numFmtId="0" fontId="1" fillId="29" borderId="0" xfId="0" applyFont="1" applyFill="1" applyAlignment="1">
      <alignment horizontal="center"/>
    </xf>
    <xf numFmtId="0" fontId="42" fillId="31" borderId="67" xfId="0" applyFont="1" applyFill="1" applyBorder="1" applyAlignment="1">
      <alignment horizontal="center" vertical="top" wrapText="1"/>
    </xf>
    <xf numFmtId="0" fontId="42" fillId="31" borderId="68" xfId="0" applyFont="1" applyFill="1" applyBorder="1" applyAlignment="1">
      <alignment horizontal="left" vertical="top" wrapText="1"/>
    </xf>
    <xf numFmtId="0" fontId="42" fillId="31" borderId="68" xfId="0" applyFont="1" applyFill="1" applyBorder="1" applyAlignment="1">
      <alignment horizontal="left" vertical="top" wrapText="1" indent="1"/>
    </xf>
    <xf numFmtId="0" fontId="42" fillId="31" borderId="68" xfId="0" applyFont="1" applyFill="1" applyBorder="1" applyAlignment="1">
      <alignment horizontal="left" vertical="center" wrapText="1"/>
    </xf>
    <xf numFmtId="0" fontId="42" fillId="31" borderId="68" xfId="0" applyFont="1" applyFill="1" applyBorder="1" applyAlignment="1">
      <alignment horizontal="right" vertical="center" wrapText="1" indent="2"/>
    </xf>
    <xf numFmtId="0" fontId="34" fillId="29" borderId="70" xfId="0" applyFont="1" applyFill="1" applyBorder="1" applyAlignment="1">
      <alignment horizontal="center" vertical="top" wrapText="1"/>
    </xf>
    <xf numFmtId="1" fontId="37" fillId="0" borderId="70" xfId="0" applyNumberFormat="1" applyFont="1" applyFill="1" applyBorder="1" applyAlignment="1">
      <alignment horizontal="right" vertical="top" indent="1" shrinkToFit="1"/>
    </xf>
    <xf numFmtId="1" fontId="37" fillId="0" borderId="70" xfId="0" applyNumberFormat="1" applyFont="1" applyFill="1" applyBorder="1" applyAlignment="1">
      <alignment horizontal="center" vertical="top" shrinkToFit="1"/>
    </xf>
    <xf numFmtId="0" fontId="34" fillId="0" borderId="70" xfId="0" applyFont="1" applyFill="1" applyBorder="1" applyAlignment="1">
      <alignment horizontal="left" vertical="top" wrapText="1" indent="1"/>
    </xf>
    <xf numFmtId="170" fontId="37" fillId="0" borderId="70" xfId="0" applyNumberFormat="1" applyFont="1" applyFill="1" applyBorder="1" applyAlignment="1">
      <alignment horizontal="left" vertical="top" indent="1" shrinkToFit="1"/>
    </xf>
    <xf numFmtId="170" fontId="37" fillId="0" borderId="70" xfId="0" applyNumberFormat="1" applyFont="1" applyFill="1" applyBorder="1" applyAlignment="1">
      <alignment horizontal="left" vertical="top" indent="2" shrinkToFit="1"/>
    </xf>
    <xf numFmtId="170" fontId="37" fillId="0" borderId="70" xfId="0" applyNumberFormat="1" applyFont="1" applyFill="1" applyBorder="1" applyAlignment="1">
      <alignment horizontal="left" vertical="top" indent="4" shrinkToFit="1"/>
    </xf>
    <xf numFmtId="0" fontId="34" fillId="0" borderId="70" xfId="0" applyFont="1" applyFill="1" applyBorder="1" applyAlignment="1">
      <alignment horizontal="center" vertical="top" wrapText="1"/>
    </xf>
    <xf numFmtId="170" fontId="37" fillId="0" borderId="70" xfId="0" applyNumberFormat="1" applyFont="1" applyFill="1" applyBorder="1" applyAlignment="1">
      <alignment horizontal="right" vertical="top" indent="2" shrinkToFit="1"/>
    </xf>
    <xf numFmtId="0" fontId="34" fillId="29" borderId="69" xfId="0" applyFont="1" applyFill="1" applyBorder="1" applyAlignment="1">
      <alignment horizontal="center" vertical="top" wrapText="1"/>
    </xf>
    <xf numFmtId="0" fontId="34" fillId="0" borderId="67" xfId="0" applyFont="1" applyFill="1" applyBorder="1" applyAlignment="1">
      <alignment horizontal="center" vertical="top" wrapText="1"/>
    </xf>
    <xf numFmtId="1" fontId="37" fillId="0" borderId="68" xfId="0" applyNumberFormat="1" applyFont="1" applyFill="1" applyBorder="1" applyAlignment="1">
      <alignment horizontal="right" vertical="top" indent="1" shrinkToFit="1"/>
    </xf>
    <xf numFmtId="1" fontId="37" fillId="0" borderId="68" xfId="0" applyNumberFormat="1" applyFont="1" applyFill="1" applyBorder="1" applyAlignment="1">
      <alignment horizontal="center" vertical="top" shrinkToFit="1"/>
    </xf>
    <xf numFmtId="0" fontId="34" fillId="0" borderId="68" xfId="0" applyFont="1" applyFill="1" applyBorder="1" applyAlignment="1">
      <alignment horizontal="left" vertical="top" wrapText="1" indent="1"/>
    </xf>
    <xf numFmtId="1" fontId="37" fillId="0" borderId="69" xfId="0" applyNumberFormat="1" applyFont="1" applyFill="1" applyBorder="1" applyAlignment="1">
      <alignment horizontal="center" vertical="top" shrinkToFit="1"/>
    </xf>
    <xf numFmtId="170" fontId="37" fillId="0" borderId="70" xfId="0" applyNumberFormat="1" applyFont="1" applyFill="1" applyBorder="1" applyAlignment="1">
      <alignment horizontal="left" vertical="top" shrinkToFit="1"/>
    </xf>
    <xf numFmtId="170" fontId="37" fillId="0" borderId="70" xfId="0" applyNumberFormat="1" applyFont="1" applyFill="1" applyBorder="1" applyAlignment="1">
      <alignment horizontal="left" vertical="top" indent="3" shrinkToFit="1"/>
    </xf>
    <xf numFmtId="0" fontId="34" fillId="0" borderId="70" xfId="0" applyFont="1" applyFill="1" applyBorder="1" applyAlignment="1">
      <alignment horizontal="left" vertical="top" wrapText="1"/>
    </xf>
    <xf numFmtId="0" fontId="34" fillId="41" borderId="70" xfId="0" applyFont="1" applyFill="1" applyBorder="1" applyAlignment="1">
      <alignment horizontal="center" vertical="top" wrapText="1"/>
    </xf>
    <xf numFmtId="0" fontId="46" fillId="0" borderId="0" xfId="0" applyFont="1" applyFill="1" applyBorder="1" applyAlignment="1">
      <alignment horizontal="left" vertical="top"/>
    </xf>
    <xf numFmtId="0" fontId="47" fillId="0" borderId="1" xfId="0" applyFont="1" applyBorder="1" applyAlignment="1">
      <alignment horizontal="center" wrapText="1"/>
    </xf>
    <xf numFmtId="0" fontId="42" fillId="31" borderId="68" xfId="0" applyFont="1" applyFill="1" applyBorder="1" applyAlignment="1">
      <alignment horizontal="center" vertical="center" wrapText="1"/>
    </xf>
    <xf numFmtId="170" fontId="37" fillId="0" borderId="67" xfId="0" applyNumberFormat="1" applyFont="1" applyFill="1" applyBorder="1" applyAlignment="1">
      <alignment horizontal="right" vertical="top" indent="2" shrinkToFit="1"/>
    </xf>
    <xf numFmtId="0" fontId="47" fillId="0" borderId="1" xfId="0" applyFont="1" applyFill="1" applyBorder="1" applyAlignment="1">
      <alignment horizontal="center" vertical="top"/>
    </xf>
    <xf numFmtId="0" fontId="0" fillId="0" borderId="26" xfId="0" applyBorder="1"/>
    <xf numFmtId="171" fontId="0" fillId="0" borderId="0" xfId="0" applyNumberFormat="1" applyAlignment="1">
      <alignment horizontal="center"/>
    </xf>
    <xf numFmtId="171" fontId="0" fillId="0" borderId="0" xfId="0" applyNumberFormat="1"/>
    <xf numFmtId="171" fontId="1" fillId="0" borderId="1" xfId="0" applyNumberFormat="1" applyFont="1" applyBorder="1" applyAlignment="1">
      <alignment horizontal="center"/>
    </xf>
    <xf numFmtId="171" fontId="1" fillId="3" borderId="1" xfId="0" applyNumberFormat="1" applyFont="1" applyFill="1" applyBorder="1" applyAlignment="1">
      <alignment horizontal="center"/>
    </xf>
    <xf numFmtId="0" fontId="1" fillId="42" borderId="1" xfId="0" applyFont="1" applyFill="1" applyBorder="1" applyAlignment="1">
      <alignment horizontal="center"/>
    </xf>
    <xf numFmtId="0" fontId="1" fillId="42" borderId="0" xfId="0" applyFont="1" applyFill="1" applyBorder="1" applyAlignment="1">
      <alignment horizontal="center"/>
    </xf>
    <xf numFmtId="49" fontId="1" fillId="5" borderId="1" xfId="0" applyNumberFormat="1" applyFont="1" applyFill="1" applyBorder="1" applyAlignment="1"/>
    <xf numFmtId="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1" fontId="1" fillId="42" borderId="1" xfId="0" applyNumberFormat="1" applyFont="1" applyFill="1" applyBorder="1" applyAlignment="1">
      <alignment horizontal="center"/>
    </xf>
    <xf numFmtId="1" fontId="1" fillId="42" borderId="4" xfId="0" applyNumberFormat="1" applyFont="1" applyFill="1" applyBorder="1" applyAlignment="1">
      <alignment horizontal="center"/>
    </xf>
    <xf numFmtId="49" fontId="1" fillId="43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/>
    <xf numFmtId="1" fontId="1" fillId="42" borderId="10" xfId="0" applyNumberFormat="1" applyFont="1" applyFill="1" applyBorder="1" applyAlignment="1">
      <alignment horizontal="center"/>
    </xf>
    <xf numFmtId="1" fontId="1" fillId="42" borderId="8" xfId="0" applyNumberFormat="1" applyFont="1" applyFill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49" fontId="1" fillId="44" borderId="1" xfId="0" applyNumberFormat="1" applyFont="1" applyFill="1" applyBorder="1" applyAlignment="1"/>
    <xf numFmtId="49" fontId="1" fillId="5" borderId="0" xfId="0" applyNumberFormat="1" applyFont="1" applyFill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3" borderId="0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166" fontId="1" fillId="0" borderId="1" xfId="0" applyNumberFormat="1" applyFont="1" applyBorder="1"/>
    <xf numFmtId="166" fontId="1" fillId="0" borderId="1" xfId="0" applyNumberFormat="1" applyFont="1" applyBorder="1" applyAlignment="1">
      <alignment horizontal="center"/>
    </xf>
    <xf numFmtId="49" fontId="1" fillId="43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/>
    <xf numFmtId="49" fontId="1" fillId="44" borderId="1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left"/>
    </xf>
    <xf numFmtId="49" fontId="1" fillId="43" borderId="1" xfId="0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center"/>
    </xf>
    <xf numFmtId="49" fontId="1" fillId="44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16" borderId="1" xfId="0" applyFont="1" applyFill="1" applyBorder="1" applyAlignment="1">
      <alignment horizontal="center" wrapText="1"/>
    </xf>
    <xf numFmtId="9" fontId="1" fillId="0" borderId="1" xfId="0" applyNumberFormat="1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49" fontId="1" fillId="44" borderId="1" xfId="0" applyNumberFormat="1" applyFont="1" applyFill="1" applyBorder="1"/>
    <xf numFmtId="166" fontId="1" fillId="44" borderId="1" xfId="0" applyNumberFormat="1" applyFont="1" applyFill="1" applyBorder="1" applyAlignment="1">
      <alignment horizontal="center"/>
    </xf>
    <xf numFmtId="166" fontId="1" fillId="16" borderId="1" xfId="0" applyNumberFormat="1" applyFont="1" applyFill="1" applyBorder="1"/>
    <xf numFmtId="4" fontId="1" fillId="3" borderId="1" xfId="0" applyNumberFormat="1" applyFont="1" applyFill="1" applyBorder="1" applyAlignment="1">
      <alignment horizontal="center"/>
    </xf>
    <xf numFmtId="49" fontId="1" fillId="45" borderId="1" xfId="0" applyNumberFormat="1" applyFont="1" applyFill="1" applyBorder="1"/>
    <xf numFmtId="0" fontId="1" fillId="2" borderId="0" xfId="0" applyFont="1" applyFill="1" applyAlignment="1">
      <alignment horizontal="center"/>
    </xf>
    <xf numFmtId="172" fontId="0" fillId="0" borderId="0" xfId="1" applyNumberFormat="1" applyFont="1"/>
    <xf numFmtId="0" fontId="0" fillId="0" borderId="1" xfId="0" applyFill="1" applyBorder="1" applyAlignment="1">
      <alignment horizontal="center"/>
    </xf>
    <xf numFmtId="168" fontId="0" fillId="0" borderId="0" xfId="0" applyNumberFormat="1" applyAlignment="1">
      <alignment horizontal="center"/>
    </xf>
    <xf numFmtId="0" fontId="1" fillId="12" borderId="1" xfId="0" applyFont="1" applyFill="1" applyBorder="1"/>
    <xf numFmtId="0" fontId="1" fillId="12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/>
    <xf numFmtId="0" fontId="0" fillId="0" borderId="0" xfId="0" applyAlignment="1">
      <alignment horizontal="center"/>
    </xf>
    <xf numFmtId="1" fontId="49" fillId="2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0" fontId="50" fillId="2" borderId="1" xfId="2" applyFont="1" applyFill="1" applyBorder="1" applyAlignment="1">
      <alignment horizontal="center" vertical="center" wrapText="1"/>
    </xf>
    <xf numFmtId="4" fontId="50" fillId="2" borderId="1" xfId="2" applyNumberFormat="1" applyFont="1" applyFill="1" applyBorder="1" applyAlignment="1">
      <alignment horizontal="center" vertical="center" wrapText="1"/>
    </xf>
    <xf numFmtId="166" fontId="1" fillId="46" borderId="1" xfId="0" applyNumberFormat="1" applyFont="1" applyFill="1" applyBorder="1" applyAlignment="1">
      <alignment horizontal="center"/>
    </xf>
    <xf numFmtId="166" fontId="1" fillId="47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0" fontId="0" fillId="7" borderId="0" xfId="0" applyFill="1"/>
    <xf numFmtId="0" fontId="0" fillId="0" borderId="0" xfId="0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/>
    <xf numFmtId="0" fontId="0" fillId="2" borderId="0" xfId="0" applyFill="1" applyAlignment="1">
      <alignment horizontal="center"/>
    </xf>
    <xf numFmtId="0" fontId="1" fillId="3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49" fontId="0" fillId="2" borderId="1" xfId="0" applyNumberFormat="1" applyFont="1" applyFill="1" applyBorder="1" applyAlignment="1">
      <alignment horizontal="left"/>
    </xf>
    <xf numFmtId="166" fontId="1" fillId="12" borderId="1" xfId="0" applyNumberFormat="1" applyFont="1" applyFill="1" applyBorder="1"/>
    <xf numFmtId="0" fontId="0" fillId="0" borderId="1" xfId="0" applyBorder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8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/>
    <xf numFmtId="0" fontId="0" fillId="0" borderId="0" xfId="0" applyBorder="1" applyAlignment="1">
      <alignment horizontal="center" wrapText="1"/>
    </xf>
    <xf numFmtId="2" fontId="0" fillId="0" borderId="0" xfId="0" applyNumberFormat="1" applyBorder="1" applyAlignment="1">
      <alignment horizontal="center" wrapText="1"/>
    </xf>
    <xf numFmtId="168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2" fontId="0" fillId="2" borderId="1" xfId="0" applyNumberFormat="1" applyFill="1" applyBorder="1" applyAlignment="1">
      <alignment horizontal="center" wrapText="1"/>
    </xf>
    <xf numFmtId="168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/>
    <xf numFmtId="49" fontId="0" fillId="0" borderId="1" xfId="0" applyNumberFormat="1" applyBorder="1"/>
    <xf numFmtId="0" fontId="0" fillId="0" borderId="0" xfId="0" applyAlignment="1">
      <alignment horizontal="center"/>
    </xf>
    <xf numFmtId="0" fontId="51" fillId="0" borderId="0" xfId="0" applyFont="1" applyAlignment="1">
      <alignment vertical="center" wrapText="1"/>
    </xf>
    <xf numFmtId="0" fontId="52" fillId="49" borderId="72" xfId="0" applyFont="1" applyFill="1" applyBorder="1" applyAlignment="1">
      <alignment horizontal="center" vertical="center" wrapText="1"/>
    </xf>
    <xf numFmtId="0" fontId="52" fillId="49" borderId="73" xfId="0" applyFont="1" applyFill="1" applyBorder="1" applyAlignment="1">
      <alignment horizontal="center" vertical="center" wrapText="1"/>
    </xf>
    <xf numFmtId="0" fontId="53" fillId="50" borderId="38" xfId="0" applyFont="1" applyFill="1" applyBorder="1" applyAlignment="1">
      <alignment vertical="center" wrapText="1"/>
    </xf>
    <xf numFmtId="0" fontId="53" fillId="48" borderId="74" xfId="0" applyFont="1" applyFill="1" applyBorder="1" applyAlignment="1">
      <alignment vertical="center" wrapText="1"/>
    </xf>
    <xf numFmtId="0" fontId="0" fillId="0" borderId="1" xfId="0" applyBorder="1"/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2" xfId="0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3" borderId="3" xfId="0" applyFill="1" applyBorder="1" applyAlignment="1">
      <alignment horizontal="center"/>
    </xf>
    <xf numFmtId="0" fontId="9" fillId="2" borderId="1" xfId="0" applyFont="1" applyFill="1" applyBorder="1"/>
    <xf numFmtId="2" fontId="0" fillId="0" borderId="0" xfId="0" applyNumberForma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0" xfId="0" applyAlignment="1">
      <alignment horizontal="center"/>
    </xf>
    <xf numFmtId="0" fontId="1" fillId="19" borderId="2" xfId="0" applyFont="1" applyFill="1" applyBorder="1" applyAlignment="1">
      <alignment horizontal="center" wrapText="1"/>
    </xf>
    <xf numFmtId="0" fontId="1" fillId="19" borderId="3" xfId="0" applyFont="1" applyFill="1" applyBorder="1" applyAlignment="1">
      <alignment horizontal="center" wrapText="1"/>
    </xf>
    <xf numFmtId="2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30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/>
    </xf>
    <xf numFmtId="168" fontId="0" fillId="0" borderId="8" xfId="0" applyNumberFormat="1" applyBorder="1"/>
    <xf numFmtId="0" fontId="0" fillId="30" borderId="1" xfId="0" applyFill="1" applyBorder="1"/>
    <xf numFmtId="2" fontId="1" fillId="30" borderId="1" xfId="0" applyNumberFormat="1" applyFont="1" applyFill="1" applyBorder="1" applyAlignment="1">
      <alignment horizontal="center" wrapText="1"/>
    </xf>
    <xf numFmtId="168" fontId="0" fillId="0" borderId="66" xfId="0" applyNumberFormat="1" applyBorder="1" applyAlignment="1">
      <alignment horizontal="center" wrapText="1"/>
    </xf>
    <xf numFmtId="0" fontId="0" fillId="2" borderId="28" xfId="0" applyFill="1" applyBorder="1"/>
    <xf numFmtId="0" fontId="0" fillId="0" borderId="29" xfId="0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9" fontId="0" fillId="0" borderId="0" xfId="0" applyNumberFormat="1"/>
    <xf numFmtId="0" fontId="1" fillId="4" borderId="1" xfId="0" applyFont="1" applyFill="1" applyBorder="1" applyAlignment="1"/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0" fillId="0" borderId="0" xfId="0" applyAlignment="1">
      <alignment horizontal="right"/>
    </xf>
    <xf numFmtId="0" fontId="0" fillId="0" borderId="26" xfId="0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1" borderId="8" xfId="0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30" borderId="0" xfId="0" applyFill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" fontId="54" fillId="2" borderId="1" xfId="2" applyNumberFormat="1" applyFont="1" applyFill="1" applyBorder="1" applyAlignment="1">
      <alignment horizontal="center" vertical="center" wrapText="1"/>
    </xf>
    <xf numFmtId="4" fontId="1" fillId="2" borderId="1" xfId="2" applyNumberFormat="1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/>
    </xf>
    <xf numFmtId="0" fontId="0" fillId="2" borderId="26" xfId="0" applyFill="1" applyBorder="1"/>
    <xf numFmtId="0" fontId="0" fillId="0" borderId="0" xfId="0" applyNumberFormat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2" borderId="48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21" borderId="75" xfId="0" applyFont="1" applyFill="1" applyBorder="1" applyAlignment="1">
      <alignment horizontal="center"/>
    </xf>
    <xf numFmtId="0" fontId="1" fillId="21" borderId="76" xfId="0" applyFont="1" applyFill="1" applyBorder="1" applyAlignment="1">
      <alignment horizontal="center"/>
    </xf>
    <xf numFmtId="2" fontId="1" fillId="21" borderId="77" xfId="0" applyNumberFormat="1" applyFont="1" applyFill="1" applyBorder="1" applyAlignment="1">
      <alignment horizontal="center"/>
    </xf>
    <xf numFmtId="0" fontId="1" fillId="55" borderId="16" xfId="0" applyFont="1" applyFill="1" applyBorder="1" applyAlignment="1">
      <alignment horizontal="center"/>
    </xf>
    <xf numFmtId="0" fontId="1" fillId="55" borderId="20" xfId="0" applyFont="1" applyFill="1" applyBorder="1" applyAlignment="1">
      <alignment horizontal="center"/>
    </xf>
    <xf numFmtId="2" fontId="1" fillId="55" borderId="17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16" xfId="0" applyFont="1" applyFill="1" applyBorder="1" applyAlignment="1">
      <alignment horizontal="center" wrapText="1"/>
    </xf>
    <xf numFmtId="2" fontId="1" fillId="3" borderId="17" xfId="0" applyNumberFormat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1" fontId="0" fillId="0" borderId="0" xfId="0" applyNumberFormat="1"/>
    <xf numFmtId="0" fontId="1" fillId="55" borderId="1" xfId="0" applyFont="1" applyFill="1" applyBorder="1" applyAlignment="1">
      <alignment horizontal="center" wrapText="1"/>
    </xf>
    <xf numFmtId="173" fontId="0" fillId="0" borderId="0" xfId="0" applyNumberFormat="1"/>
    <xf numFmtId="0" fontId="0" fillId="2" borderId="78" xfId="0" applyFill="1" applyBorder="1"/>
    <xf numFmtId="0" fontId="0" fillId="2" borderId="8" xfId="0" applyFill="1" applyBorder="1"/>
    <xf numFmtId="0" fontId="1" fillId="7" borderId="1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1" fontId="1" fillId="1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  <xf numFmtId="2" fontId="0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/>
    <xf numFmtId="1" fontId="57" fillId="0" borderId="70" xfId="0" applyNumberFormat="1" applyFont="1" applyFill="1" applyBorder="1" applyAlignment="1">
      <alignment horizontal="center" vertical="top" shrinkToFit="1"/>
    </xf>
    <xf numFmtId="0" fontId="58" fillId="0" borderId="70" xfId="0" applyFont="1" applyFill="1" applyBorder="1" applyAlignment="1">
      <alignment horizontal="left" vertical="top" wrapText="1"/>
    </xf>
    <xf numFmtId="2" fontId="57" fillId="0" borderId="70" xfId="0" applyNumberFormat="1" applyFont="1" applyFill="1" applyBorder="1" applyAlignment="1">
      <alignment horizontal="right" vertical="top" shrinkToFit="1"/>
    </xf>
    <xf numFmtId="0" fontId="0" fillId="0" borderId="70" xfId="0" applyFill="1" applyBorder="1" applyAlignment="1">
      <alignment horizontal="left" wrapText="1"/>
    </xf>
    <xf numFmtId="0" fontId="59" fillId="56" borderId="80" xfId="0" applyFont="1" applyFill="1" applyBorder="1" applyAlignment="1">
      <alignment horizontal="center" vertical="top" wrapText="1"/>
    </xf>
    <xf numFmtId="0" fontId="59" fillId="56" borderId="80" xfId="0" applyFont="1" applyFill="1" applyBorder="1" applyAlignment="1">
      <alignment horizontal="left" vertical="top" wrapText="1" indent="1"/>
    </xf>
    <xf numFmtId="0" fontId="59" fillId="56" borderId="81" xfId="0" applyFont="1" applyFill="1" applyBorder="1" applyAlignment="1">
      <alignment horizontal="center" vertical="top" wrapText="1"/>
    </xf>
    <xf numFmtId="0" fontId="59" fillId="56" borderId="81" xfId="0" applyFont="1" applyFill="1" applyBorder="1" applyAlignment="1">
      <alignment horizontal="left" vertical="top" wrapText="1" indent="4"/>
    </xf>
    <xf numFmtId="1" fontId="0" fillId="0" borderId="3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0" fillId="0" borderId="70" xfId="0" applyFill="1" applyBorder="1" applyAlignment="1">
      <alignment horizontal="center" wrapText="1"/>
    </xf>
    <xf numFmtId="0" fontId="0" fillId="0" borderId="0" xfId="0" applyFill="1" applyBorder="1" applyAlignment="1">
      <alignment horizontal="center" vertical="top"/>
    </xf>
    <xf numFmtId="2" fontId="1" fillId="30" borderId="43" xfId="0" applyNumberFormat="1" applyFont="1" applyFill="1" applyBorder="1" applyAlignment="1">
      <alignment horizontal="center"/>
    </xf>
    <xf numFmtId="2" fontId="1" fillId="30" borderId="54" xfId="0" applyNumberFormat="1" applyFont="1" applyFill="1" applyBorder="1" applyAlignment="1">
      <alignment horizontal="center"/>
    </xf>
    <xf numFmtId="2" fontId="1" fillId="0" borderId="26" xfId="0" applyNumberFormat="1" applyFont="1" applyBorder="1" applyAlignment="1">
      <alignment horizontal="center" wrapText="1"/>
    </xf>
    <xf numFmtId="2" fontId="60" fillId="30" borderId="43" xfId="0" applyNumberFormat="1" applyFont="1" applyFill="1" applyBorder="1" applyAlignment="1">
      <alignment horizontal="center"/>
    </xf>
    <xf numFmtId="2" fontId="60" fillId="30" borderId="54" xfId="0" applyNumberFormat="1" applyFont="1" applyFill="1" applyBorder="1" applyAlignment="1">
      <alignment horizontal="center" wrapText="1"/>
    </xf>
    <xf numFmtId="0" fontId="1" fillId="30" borderId="0" xfId="0" applyFont="1" applyFill="1" applyAlignment="1">
      <alignment horizontal="center"/>
    </xf>
    <xf numFmtId="0" fontId="1" fillId="57" borderId="1" xfId="0" applyFont="1" applyFill="1" applyBorder="1" applyAlignment="1">
      <alignment horizontal="center"/>
    </xf>
    <xf numFmtId="0" fontId="1" fillId="57" borderId="2" xfId="0" applyFont="1" applyFill="1" applyBorder="1" applyAlignment="1">
      <alignment horizontal="center"/>
    </xf>
    <xf numFmtId="1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58" borderId="1" xfId="0" applyFont="1" applyFill="1" applyBorder="1" applyAlignment="1">
      <alignment horizontal="center"/>
    </xf>
    <xf numFmtId="0" fontId="1" fillId="58" borderId="1" xfId="0" applyFont="1" applyFill="1" applyBorder="1" applyAlignment="1">
      <alignment horizontal="center" wrapText="1"/>
    </xf>
    <xf numFmtId="0" fontId="1" fillId="21" borderId="0" xfId="0" applyFont="1" applyFill="1" applyAlignment="1">
      <alignment horizontal="center"/>
    </xf>
    <xf numFmtId="0" fontId="1" fillId="21" borderId="0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 wrapText="1"/>
    </xf>
    <xf numFmtId="0" fontId="1" fillId="2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0" borderId="86" xfId="0" applyBorder="1"/>
    <xf numFmtId="0" fontId="0" fillId="0" borderId="35" xfId="0" applyBorder="1"/>
    <xf numFmtId="49" fontId="0" fillId="0" borderId="3" xfId="0" applyNumberFormat="1" applyBorder="1"/>
    <xf numFmtId="0" fontId="0" fillId="0" borderId="10" xfId="0" applyBorder="1"/>
    <xf numFmtId="49" fontId="0" fillId="0" borderId="37" xfId="0" applyNumberFormat="1" applyBorder="1"/>
    <xf numFmtId="166" fontId="0" fillId="0" borderId="1" xfId="0" applyNumberFormat="1" applyBorder="1" applyAlignment="1">
      <alignment horizontal="left"/>
    </xf>
    <xf numFmtId="166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 wrapText="1"/>
    </xf>
    <xf numFmtId="2" fontId="0" fillId="0" borderId="3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wrapText="1"/>
    </xf>
    <xf numFmtId="0" fontId="1" fillId="12" borderId="1" xfId="0" applyNumberFormat="1" applyFont="1" applyFill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 wrapText="1"/>
    </xf>
    <xf numFmtId="169" fontId="1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49" fontId="0" fillId="0" borderId="0" xfId="0" applyNumberFormat="1"/>
    <xf numFmtId="49" fontId="0" fillId="0" borderId="1" xfId="0" applyNumberFormat="1" applyBorder="1" applyAlignment="1">
      <alignment horizontal="center"/>
    </xf>
    <xf numFmtId="0" fontId="1" fillId="7" borderId="1" xfId="0" applyFont="1" applyFill="1" applyBorder="1"/>
    <xf numFmtId="0" fontId="1" fillId="0" borderId="26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center" wrapText="1"/>
    </xf>
    <xf numFmtId="0" fontId="53" fillId="48" borderId="7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0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68" fontId="0" fillId="2" borderId="0" xfId="0" applyNumberFormat="1" applyFill="1" applyAlignment="1">
      <alignment horizontal="center"/>
    </xf>
    <xf numFmtId="168" fontId="0" fillId="2" borderId="0" xfId="0" applyNumberFormat="1" applyFill="1"/>
    <xf numFmtId="168" fontId="1" fillId="12" borderId="8" xfId="0" applyNumberFormat="1" applyFont="1" applyFill="1" applyBorder="1" applyAlignment="1">
      <alignment horizontal="center" wrapText="1"/>
    </xf>
    <xf numFmtId="168" fontId="1" fillId="12" borderId="76" xfId="0" applyNumberFormat="1" applyFont="1" applyFill="1" applyBorder="1" applyAlignment="1">
      <alignment horizontal="center" wrapText="1"/>
    </xf>
    <xf numFmtId="168" fontId="0" fillId="0" borderId="2" xfId="0" applyNumberForma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9" fontId="0" fillId="0" borderId="3" xfId="0" applyNumberFormat="1" applyBorder="1" applyAlignment="1">
      <alignment horizontal="center"/>
    </xf>
    <xf numFmtId="49" fontId="0" fillId="30" borderId="1" xfId="0" applyNumberFormat="1" applyFill="1" applyBorder="1"/>
    <xf numFmtId="9" fontId="1" fillId="4" borderId="3" xfId="0" applyNumberFormat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59" fillId="56" borderId="1" xfId="0" applyFont="1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/>
    </xf>
    <xf numFmtId="0" fontId="0" fillId="12" borderId="0" xfId="0" applyFill="1"/>
    <xf numFmtId="10" fontId="0" fillId="0" borderId="0" xfId="0" applyNumberFormat="1"/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1" xfId="0" applyFont="1" applyBorder="1"/>
    <xf numFmtId="49" fontId="0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1" fillId="19" borderId="3" xfId="0" applyFont="1" applyFill="1" applyBorder="1"/>
    <xf numFmtId="0" fontId="0" fillId="21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55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 wrapText="1"/>
    </xf>
    <xf numFmtId="0" fontId="1" fillId="14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55" borderId="0" xfId="0" applyFill="1" applyAlignment="1">
      <alignment horizontal="center"/>
    </xf>
    <xf numFmtId="0" fontId="1" fillId="2" borderId="0" xfId="0" applyFont="1" applyFill="1"/>
    <xf numFmtId="1" fontId="1" fillId="2" borderId="0" xfId="0" applyNumberFormat="1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5" borderId="5" xfId="0" applyNumberFormat="1" applyFont="1" applyFill="1" applyBorder="1"/>
    <xf numFmtId="0" fontId="1" fillId="3" borderId="1" xfId="0" applyFont="1" applyFill="1" applyBorder="1"/>
    <xf numFmtId="0" fontId="0" fillId="0" borderId="1" xfId="0" applyBorder="1" applyAlignment="1">
      <alignment horizontal="center"/>
    </xf>
    <xf numFmtId="0" fontId="0" fillId="2" borderId="3" xfId="0" applyFill="1" applyBorder="1" applyAlignment="1"/>
    <xf numFmtId="0" fontId="0" fillId="30" borderId="3" xfId="0" applyFill="1" applyBorder="1" applyAlignment="1"/>
    <xf numFmtId="0" fontId="62" fillId="15" borderId="1" xfId="3" applyFont="1" applyFill="1" applyBorder="1" applyAlignment="1">
      <alignment horizontal="center" vertical="center" wrapText="1"/>
    </xf>
    <xf numFmtId="1" fontId="55" fillId="0" borderId="1" xfId="4" applyNumberFormat="1" applyFont="1" applyFill="1" applyBorder="1" applyAlignment="1">
      <alignment horizontal="center" vertical="center"/>
    </xf>
    <xf numFmtId="0" fontId="63" fillId="0" borderId="1" xfId="0" applyFont="1" applyFill="1" applyBorder="1"/>
    <xf numFmtId="0" fontId="63" fillId="0" borderId="1" xfId="0" applyFont="1" applyFill="1" applyBorder="1" applyAlignment="1">
      <alignment horizontal="center"/>
    </xf>
    <xf numFmtId="1" fontId="63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3" borderId="1" xfId="0" applyNumberForma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NumberFormat="1" applyFont="1" applyFill="1" applyBorder="1" applyAlignment="1">
      <alignment horizontal="center" wrapText="1"/>
    </xf>
    <xf numFmtId="2" fontId="1" fillId="2" borderId="8" xfId="0" applyNumberFormat="1" applyFont="1" applyFill="1" applyBorder="1" applyAlignment="1">
      <alignment horizontal="center" wrapText="1"/>
    </xf>
    <xf numFmtId="0" fontId="1" fillId="2" borderId="8" xfId="0" applyNumberFormat="1" applyFont="1" applyFill="1" applyBorder="1" applyAlignment="1">
      <alignment horizontal="center" wrapText="1"/>
    </xf>
    <xf numFmtId="2" fontId="1" fillId="0" borderId="13" xfId="0" applyNumberFormat="1" applyFont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wrapText="1"/>
    </xf>
    <xf numFmtId="0" fontId="1" fillId="0" borderId="23" xfId="0" applyFont="1" applyBorder="1" applyAlignment="1">
      <alignment horizontal="center"/>
    </xf>
    <xf numFmtId="0" fontId="1" fillId="0" borderId="23" xfId="0" applyFont="1" applyBorder="1"/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8" xfId="0" applyFont="1" applyBorder="1" applyAlignment="1">
      <alignment horizontal="center"/>
    </xf>
    <xf numFmtId="0" fontId="1" fillId="0" borderId="29" xfId="0" applyFont="1" applyBorder="1"/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1" xfId="0" applyFont="1" applyBorder="1"/>
    <xf numFmtId="0" fontId="1" fillId="0" borderId="32" xfId="0" applyFont="1" applyBorder="1"/>
    <xf numFmtId="0" fontId="1" fillId="12" borderId="22" xfId="0" applyFont="1" applyFill="1" applyBorder="1" applyAlignment="1">
      <alignment horizontal="center" wrapText="1"/>
    </xf>
    <xf numFmtId="0" fontId="1" fillId="12" borderId="23" xfId="0" applyFont="1" applyFill="1" applyBorder="1" applyAlignment="1">
      <alignment horizontal="center" wrapText="1"/>
    </xf>
    <xf numFmtId="0" fontId="1" fillId="12" borderId="23" xfId="0" applyFont="1" applyFill="1" applyBorder="1" applyAlignment="1">
      <alignment wrapText="1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2" fontId="1" fillId="0" borderId="31" xfId="0" applyNumberFormat="1" applyFont="1" applyBorder="1" applyAlignment="1">
      <alignment horizontal="center" wrapText="1"/>
    </xf>
    <xf numFmtId="0" fontId="1" fillId="0" borderId="31" xfId="0" applyNumberFormat="1" applyFont="1" applyBorder="1" applyAlignment="1">
      <alignment horizontal="center" wrapText="1"/>
    </xf>
    <xf numFmtId="2" fontId="1" fillId="0" borderId="32" xfId="0" applyNumberFormat="1" applyFont="1" applyBorder="1" applyAlignment="1">
      <alignment horizontal="center" wrapText="1"/>
    </xf>
    <xf numFmtId="0" fontId="0" fillId="20" borderId="3" xfId="0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49" fontId="1" fillId="0" borderId="1" xfId="0" applyNumberFormat="1" applyFont="1" applyBorder="1"/>
    <xf numFmtId="0" fontId="0" fillId="2" borderId="1" xfId="0" applyFont="1" applyFill="1" applyBorder="1" applyAlignment="1">
      <alignment horizontal="center"/>
    </xf>
    <xf numFmtId="0" fontId="66" fillId="0" borderId="0" xfId="0" applyFont="1" applyFill="1" applyBorder="1" applyAlignment="1">
      <alignment horizontal="left" vertical="top"/>
    </xf>
    <xf numFmtId="2" fontId="0" fillId="0" borderId="4" xfId="0" applyNumberFormat="1" applyBorder="1" applyAlignment="1">
      <alignment horizontal="center"/>
    </xf>
    <xf numFmtId="0" fontId="0" fillId="2" borderId="0" xfId="0" applyFill="1" applyAlignment="1">
      <alignment horizontal="center" wrapText="1"/>
    </xf>
    <xf numFmtId="2" fontId="0" fillId="2" borderId="0" xfId="0" applyNumberFormat="1" applyFill="1" applyAlignment="1">
      <alignment horizontal="center" wrapText="1"/>
    </xf>
    <xf numFmtId="2" fontId="1" fillId="2" borderId="0" xfId="0" applyNumberFormat="1" applyFont="1" applyFill="1" applyBorder="1" applyAlignment="1">
      <alignment horizontal="center" wrapText="1"/>
    </xf>
    <xf numFmtId="2" fontId="0" fillId="2" borderId="0" xfId="0" applyNumberFormat="1" applyFill="1"/>
    <xf numFmtId="10" fontId="0" fillId="2" borderId="0" xfId="0" applyNumberFormat="1" applyFill="1"/>
    <xf numFmtId="0" fontId="0" fillId="4" borderId="1" xfId="0" applyFill="1" applyBorder="1"/>
    <xf numFmtId="49" fontId="1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8" xfId="0" applyFont="1" applyBorder="1"/>
    <xf numFmtId="0" fontId="1" fillId="0" borderId="8" xfId="0" applyFont="1" applyBorder="1" applyAlignment="1">
      <alignment horizontal="center" wrapText="1"/>
    </xf>
    <xf numFmtId="0" fontId="1" fillId="0" borderId="26" xfId="0" applyFont="1" applyBorder="1"/>
    <xf numFmtId="0" fontId="1" fillId="21" borderId="18" xfId="0" applyFont="1" applyFill="1" applyBorder="1" applyAlignment="1">
      <alignment horizontal="center" wrapText="1"/>
    </xf>
    <xf numFmtId="0" fontId="52" fillId="49" borderId="0" xfId="0" applyFont="1" applyFill="1" applyBorder="1" applyAlignment="1">
      <alignment horizontal="center" vertical="center" wrapText="1"/>
    </xf>
    <xf numFmtId="0" fontId="53" fillId="51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9" fontId="1" fillId="2" borderId="1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wrapText="1"/>
    </xf>
    <xf numFmtId="2" fontId="1" fillId="2" borderId="17" xfId="0" applyNumberFormat="1" applyFont="1" applyFill="1" applyBorder="1" applyAlignment="1">
      <alignment horizontal="center"/>
    </xf>
    <xf numFmtId="2" fontId="1" fillId="2" borderId="46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wrapText="1"/>
    </xf>
    <xf numFmtId="2" fontId="1" fillId="2" borderId="21" xfId="0" applyNumberFormat="1" applyFont="1" applyFill="1" applyBorder="1" applyAlignment="1">
      <alignment horizontal="center"/>
    </xf>
    <xf numFmtId="0" fontId="1" fillId="19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58" borderId="0" xfId="0" applyFont="1" applyFill="1" applyBorder="1" applyAlignment="1">
      <alignment horizontal="center"/>
    </xf>
    <xf numFmtId="0" fontId="1" fillId="58" borderId="2" xfId="0" applyFont="1" applyFill="1" applyBorder="1" applyAlignment="1">
      <alignment horizontal="center"/>
    </xf>
    <xf numFmtId="2" fontId="1" fillId="21" borderId="1" xfId="0" applyNumberFormat="1" applyFont="1" applyFill="1" applyBorder="1" applyAlignment="1">
      <alignment horizontal="center"/>
    </xf>
    <xf numFmtId="168" fontId="1" fillId="0" borderId="0" xfId="0" applyNumberFormat="1" applyFont="1" applyAlignment="1">
      <alignment horizontal="center"/>
    </xf>
    <xf numFmtId="0" fontId="1" fillId="0" borderId="26" xfId="0" applyFont="1" applyBorder="1" applyAlignment="1">
      <alignment horizontal="center" wrapText="1"/>
    </xf>
    <xf numFmtId="0" fontId="1" fillId="2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1" xfId="0" applyBorder="1"/>
    <xf numFmtId="0" fontId="0" fillId="0" borderId="0" xfId="0"/>
    <xf numFmtId="0" fontId="0" fillId="0" borderId="0" xfId="0"/>
    <xf numFmtId="0" fontId="0" fillId="0" borderId="1" xfId="0" applyBorder="1"/>
    <xf numFmtId="0" fontId="0" fillId="14" borderId="1" xfId="0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53" borderId="1" xfId="0" applyFont="1" applyFill="1" applyBorder="1" applyAlignment="1">
      <alignment horizontal="left"/>
    </xf>
    <xf numFmtId="0" fontId="0" fillId="3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12" borderId="1" xfId="0" applyNumberFormat="1" applyFill="1" applyBorder="1" applyAlignment="1">
      <alignment horizontal="center" wrapText="1"/>
    </xf>
    <xf numFmtId="2" fontId="1" fillId="0" borderId="13" xfId="0" applyNumberFormat="1" applyFont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0" xfId="0" applyFill="1"/>
    <xf numFmtId="0" fontId="0" fillId="14" borderId="1" xfId="0" applyFill="1" applyBorder="1"/>
    <xf numFmtId="0" fontId="0" fillId="14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61" borderId="1" xfId="0" applyFill="1" applyBorder="1"/>
    <xf numFmtId="2" fontId="1" fillId="54" borderId="0" xfId="0" applyNumberFormat="1" applyFont="1" applyFill="1" applyAlignment="1">
      <alignment horizontal="center"/>
    </xf>
    <xf numFmtId="2" fontId="1" fillId="54" borderId="1" xfId="0" applyNumberFormat="1" applyFont="1" applyFill="1" applyBorder="1" applyAlignment="1">
      <alignment horizontal="center"/>
    </xf>
    <xf numFmtId="0" fontId="0" fillId="62" borderId="1" xfId="0" applyFill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0" borderId="3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9" fontId="1" fillId="4" borderId="3" xfId="0" applyNumberFormat="1" applyFont="1" applyFill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1" fillId="3" borderId="3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0" fontId="27" fillId="0" borderId="0" xfId="0" applyFont="1" applyAlignment="1">
      <alignment horizontal="center"/>
    </xf>
    <xf numFmtId="0" fontId="1" fillId="23" borderId="0" xfId="0" applyFont="1" applyFill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1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8" xfId="0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26" xfId="0" applyFont="1" applyBorder="1" applyAlignment="1">
      <alignment horizontal="center"/>
    </xf>
    <xf numFmtId="1" fontId="0" fillId="0" borderId="26" xfId="0" applyNumberFormat="1" applyFont="1" applyBorder="1" applyAlignment="1">
      <alignment horizontal="center"/>
    </xf>
    <xf numFmtId="0" fontId="0" fillId="30" borderId="26" xfId="0" applyFont="1" applyFill="1" applyBorder="1" applyAlignment="1">
      <alignment horizontal="left"/>
    </xf>
    <xf numFmtId="0" fontId="0" fillId="30" borderId="1" xfId="0" applyFont="1" applyFill="1" applyBorder="1" applyAlignment="1">
      <alignment horizontal="left"/>
    </xf>
    <xf numFmtId="3" fontId="1" fillId="42" borderId="1" xfId="0" applyNumberFormat="1" applyFont="1" applyFill="1" applyBorder="1" applyAlignment="1">
      <alignment horizontal="center" wrapText="1"/>
    </xf>
    <xf numFmtId="0" fontId="1" fillId="0" borderId="12" xfId="0" applyFont="1" applyBorder="1"/>
    <xf numFmtId="0" fontId="1" fillId="3" borderId="15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19" borderId="23" xfId="0" applyFont="1" applyFill="1" applyBorder="1" applyAlignment="1">
      <alignment horizontal="center" wrapText="1"/>
    </xf>
    <xf numFmtId="0" fontId="1" fillId="19" borderId="24" xfId="0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/>
    </xf>
    <xf numFmtId="0" fontId="1" fillId="19" borderId="87" xfId="0" applyFont="1" applyFill="1" applyBorder="1" applyAlignment="1">
      <alignment horizontal="center" wrapText="1"/>
    </xf>
    <xf numFmtId="0" fontId="0" fillId="19" borderId="1" xfId="0" applyFont="1" applyFill="1" applyBorder="1" applyAlignment="1">
      <alignment horizontal="center" wrapText="1"/>
    </xf>
    <xf numFmtId="0" fontId="0" fillId="0" borderId="37" xfId="0" applyBorder="1"/>
    <xf numFmtId="0" fontId="1" fillId="0" borderId="10" xfId="0" applyFont="1" applyBorder="1" applyAlignment="1">
      <alignment horizontal="center"/>
    </xf>
    <xf numFmtId="1" fontId="1" fillId="0" borderId="29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9" fontId="0" fillId="12" borderId="1" xfId="0" applyNumberFormat="1" applyFill="1" applyBorder="1" applyAlignment="1">
      <alignment horizontal="center" wrapText="1"/>
    </xf>
    <xf numFmtId="0" fontId="0" fillId="12" borderId="0" xfId="0" applyFill="1" applyAlignment="1">
      <alignment horizontal="center" wrapText="1"/>
    </xf>
    <xf numFmtId="0" fontId="1" fillId="0" borderId="21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0" fillId="5" borderId="5" xfId="0" applyFont="1" applyFill="1" applyBorder="1"/>
    <xf numFmtId="0" fontId="0" fillId="0" borderId="5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168" fontId="1" fillId="2" borderId="1" xfId="0" applyNumberFormat="1" applyFont="1" applyFill="1" applyBorder="1" applyAlignment="1">
      <alignment horizontal="center"/>
    </xf>
    <xf numFmtId="0" fontId="0" fillId="30" borderId="26" xfId="0" applyFill="1" applyBorder="1" applyAlignment="1">
      <alignment horizontal="center" wrapText="1"/>
    </xf>
    <xf numFmtId="0" fontId="0" fillId="0" borderId="35" xfId="0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8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30" borderId="2" xfId="0" applyFont="1" applyFill="1" applyBorder="1" applyAlignment="1">
      <alignment horizontal="center" wrapText="1"/>
    </xf>
    <xf numFmtId="0" fontId="1" fillId="3" borderId="23" xfId="0" applyFont="1" applyFill="1" applyBorder="1" applyAlignment="1">
      <alignment horizontal="center" wrapText="1"/>
    </xf>
    <xf numFmtId="0" fontId="1" fillId="3" borderId="31" xfId="0" applyFont="1" applyFill="1" applyBorder="1" applyAlignment="1">
      <alignment horizontal="center"/>
    </xf>
    <xf numFmtId="0" fontId="1" fillId="14" borderId="31" xfId="0" applyFont="1" applyFill="1" applyBorder="1" applyAlignment="1">
      <alignment horizontal="center"/>
    </xf>
    <xf numFmtId="0" fontId="1" fillId="21" borderId="23" xfId="0" applyFont="1" applyFill="1" applyBorder="1" applyAlignment="1">
      <alignment horizontal="center" wrapText="1"/>
    </xf>
    <xf numFmtId="0" fontId="1" fillId="21" borderId="3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0" xfId="0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wrapText="1"/>
    </xf>
    <xf numFmtId="2" fontId="1" fillId="13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19" borderId="4" xfId="0" applyFont="1" applyFill="1" applyBorder="1" applyAlignment="1">
      <alignment horizontal="center" wrapText="1"/>
    </xf>
    <xf numFmtId="0" fontId="0" fillId="0" borderId="0" xfId="0"/>
    <xf numFmtId="49" fontId="0" fillId="0" borderId="0" xfId="0" applyNumberFormat="1"/>
    <xf numFmtId="0" fontId="1" fillId="19" borderId="4" xfId="0" applyFont="1" applyFill="1" applyBorder="1" applyAlignment="1">
      <alignment horizontal="center"/>
    </xf>
    <xf numFmtId="0" fontId="0" fillId="0" borderId="0" xfId="0"/>
    <xf numFmtId="49" fontId="1" fillId="5" borderId="1" xfId="0" applyNumberFormat="1" applyFont="1" applyFill="1" applyBorder="1"/>
    <xf numFmtId="16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12" borderId="24" xfId="0" applyFont="1" applyFill="1" applyBorder="1" applyAlignment="1">
      <alignment horizontal="center" wrapText="1"/>
    </xf>
    <xf numFmtId="0" fontId="1" fillId="3" borderId="29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2" fontId="1" fillId="3" borderId="31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22" xfId="0" applyFont="1" applyBorder="1"/>
    <xf numFmtId="0" fontId="1" fillId="0" borderId="24" xfId="0" applyFont="1" applyBorder="1"/>
    <xf numFmtId="0" fontId="1" fillId="0" borderId="28" xfId="0" applyFont="1" applyBorder="1"/>
    <xf numFmtId="0" fontId="1" fillId="0" borderId="30" xfId="0" applyFont="1" applyBorder="1"/>
    <xf numFmtId="0" fontId="1" fillId="0" borderId="31" xfId="0" applyFont="1" applyBorder="1" applyAlignment="1">
      <alignment horizontal="left" wrapText="1"/>
    </xf>
    <xf numFmtId="0" fontId="1" fillId="0" borderId="31" xfId="0" applyFont="1" applyBorder="1" applyAlignment="1">
      <alignment horizontal="left"/>
    </xf>
    <xf numFmtId="0" fontId="0" fillId="0" borderId="40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0" borderId="40" xfId="0" applyNumberFormat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1" fillId="0" borderId="3" xfId="0" applyFont="1" applyBorder="1" applyAlignment="1"/>
    <xf numFmtId="0" fontId="1" fillId="4" borderId="3" xfId="0" applyFont="1" applyFill="1" applyBorder="1" applyAlignment="1"/>
    <xf numFmtId="0" fontId="0" fillId="0" borderId="48" xfId="0" applyBorder="1" applyAlignment="1">
      <alignment wrapText="1"/>
    </xf>
    <xf numFmtId="0" fontId="69" fillId="7" borderId="88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69" fillId="7" borderId="21" xfId="0" applyFont="1" applyFill="1" applyBorder="1" applyAlignment="1">
      <alignment horizontal="center"/>
    </xf>
    <xf numFmtId="0" fontId="69" fillId="7" borderId="33" xfId="0" applyFont="1" applyFill="1" applyBorder="1" applyAlignment="1">
      <alignment horizontal="center"/>
    </xf>
    <xf numFmtId="0" fontId="69" fillId="7" borderId="66" xfId="0" applyFont="1" applyFill="1" applyBorder="1" applyAlignment="1">
      <alignment horizontal="center"/>
    </xf>
    <xf numFmtId="0" fontId="70" fillId="7" borderId="74" xfId="0" applyFont="1" applyFill="1" applyBorder="1" applyAlignment="1">
      <alignment horizontal="center"/>
    </xf>
    <xf numFmtId="0" fontId="69" fillId="7" borderId="38" xfId="0" applyFont="1" applyFill="1" applyBorder="1" applyAlignment="1">
      <alignment horizontal="center"/>
    </xf>
    <xf numFmtId="0" fontId="69" fillId="7" borderId="21" xfId="0" applyFont="1" applyFill="1" applyBorder="1" applyAlignment="1">
      <alignment horizontal="center" wrapText="1"/>
    </xf>
    <xf numFmtId="0" fontId="69" fillId="7" borderId="33" xfId="0" applyFont="1" applyFill="1" applyBorder="1" applyAlignment="1">
      <alignment horizontal="center" wrapText="1"/>
    </xf>
    <xf numFmtId="0" fontId="70" fillId="7" borderId="50" xfId="0" applyFont="1" applyFill="1" applyBorder="1" applyAlignment="1">
      <alignment horizontal="center" wrapText="1"/>
    </xf>
    <xf numFmtId="0" fontId="70" fillId="7" borderId="50" xfId="0" applyFont="1" applyFill="1" applyBorder="1" applyAlignment="1">
      <alignment horizontal="center"/>
    </xf>
    <xf numFmtId="0" fontId="71" fillId="7" borderId="50" xfId="0" applyFont="1" applyFill="1" applyBorder="1" applyAlignment="1">
      <alignment horizontal="center"/>
    </xf>
    <xf numFmtId="0" fontId="69" fillId="7" borderId="38" xfId="0" applyFont="1" applyFill="1" applyBorder="1" applyAlignment="1">
      <alignment horizontal="center" wrapText="1"/>
    </xf>
    <xf numFmtId="3" fontId="1" fillId="7" borderId="11" xfId="0" applyNumberFormat="1" applyFont="1" applyFill="1" applyBorder="1" applyAlignment="1">
      <alignment horizontal="center"/>
    </xf>
    <xf numFmtId="0" fontId="69" fillId="7" borderId="8" xfId="0" applyFont="1" applyFill="1" applyBorder="1" applyAlignment="1">
      <alignment horizontal="center" wrapText="1"/>
    </xf>
    <xf numFmtId="0" fontId="72" fillId="7" borderId="1" xfId="0" applyFont="1" applyFill="1" applyBorder="1" applyAlignment="1">
      <alignment horizontal="center"/>
    </xf>
    <xf numFmtId="9" fontId="0" fillId="0" borderId="0" xfId="0" applyNumberFormat="1" applyAlignment="1">
      <alignment horizontal="center"/>
    </xf>
    <xf numFmtId="2" fontId="0" fillId="0" borderId="1" xfId="6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" fillId="53" borderId="1" xfId="0" applyNumberFormat="1" applyFont="1" applyFill="1" applyBorder="1" applyAlignment="1">
      <alignment horizontal="center" wrapText="1"/>
    </xf>
    <xf numFmtId="2" fontId="1" fillId="53" borderId="1" xfId="0" applyNumberFormat="1" applyFont="1" applyFill="1" applyBorder="1" applyAlignment="1">
      <alignment horizontal="center"/>
    </xf>
    <xf numFmtId="49" fontId="0" fillId="0" borderId="0" xfId="0" applyNumberFormat="1" applyFont="1" applyBorder="1"/>
    <xf numFmtId="49" fontId="0" fillId="5" borderId="1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1" fillId="20" borderId="0" xfId="0" applyFont="1" applyFill="1" applyBorder="1"/>
    <xf numFmtId="2" fontId="1" fillId="0" borderId="0" xfId="0" applyNumberFormat="1" applyFont="1" applyBorder="1" applyAlignment="1">
      <alignment horizontal="center"/>
    </xf>
    <xf numFmtId="14" fontId="1" fillId="2" borderId="28" xfId="0" applyNumberFormat="1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78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4" fontId="1" fillId="2" borderId="26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4" fontId="0" fillId="2" borderId="0" xfId="0" applyNumberFormat="1" applyFill="1" applyAlignment="1">
      <alignment horizontal="center"/>
    </xf>
    <xf numFmtId="0" fontId="1" fillId="29" borderId="1" xfId="0" applyFont="1" applyFill="1" applyBorder="1"/>
    <xf numFmtId="2" fontId="0" fillId="0" borderId="3" xfId="0" applyNumberFormat="1" applyBorder="1" applyAlignment="1">
      <alignment horizontal="center"/>
    </xf>
    <xf numFmtId="0" fontId="1" fillId="3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1" xfId="0" applyNumberFormat="1" applyBorder="1" applyAlignment="1">
      <alignment wrapText="1"/>
    </xf>
    <xf numFmtId="2" fontId="0" fillId="12" borderId="1" xfId="0" applyNumberFormat="1" applyFill="1" applyBorder="1" applyAlignment="1">
      <alignment wrapText="1"/>
    </xf>
    <xf numFmtId="2" fontId="0" fillId="12" borderId="1" xfId="0" applyNumberFormat="1" applyFill="1" applyBorder="1"/>
    <xf numFmtId="2" fontId="0" fillId="2" borderId="1" xfId="0" applyNumberFormat="1" applyFill="1" applyBorder="1"/>
    <xf numFmtId="2" fontId="0" fillId="2" borderId="1" xfId="0" applyNumberFormat="1" applyFill="1" applyBorder="1" applyAlignment="1">
      <alignment wrapText="1"/>
    </xf>
    <xf numFmtId="2" fontId="0" fillId="12" borderId="22" xfId="0" applyNumberFormat="1" applyFill="1" applyBorder="1" applyAlignment="1">
      <alignment wrapText="1"/>
    </xf>
    <xf numFmtId="2" fontId="0" fillId="0" borderId="28" xfId="0" applyNumberFormat="1" applyBorder="1"/>
    <xf numFmtId="2" fontId="1" fillId="3" borderId="30" xfId="0" applyNumberFormat="1" applyFont="1" applyFill="1" applyBorder="1" applyAlignment="1">
      <alignment horizontal="center"/>
    </xf>
    <xf numFmtId="2" fontId="1" fillId="0" borderId="0" xfId="0" applyNumberFormat="1" applyFont="1"/>
    <xf numFmtId="2" fontId="1" fillId="12" borderId="22" xfId="0" applyNumberFormat="1" applyFont="1" applyFill="1" applyBorder="1" applyAlignment="1">
      <alignment wrapText="1"/>
    </xf>
    <xf numFmtId="2" fontId="1" fillId="2" borderId="28" xfId="0" applyNumberFormat="1" applyFont="1" applyFill="1" applyBorder="1"/>
    <xf numFmtId="2" fontId="1" fillId="2" borderId="30" xfId="0" applyNumberFormat="1" applyFont="1" applyFill="1" applyBorder="1" applyAlignment="1">
      <alignment horizontal="center"/>
    </xf>
    <xf numFmtId="2" fontId="1" fillId="12" borderId="1" xfId="0" applyNumberFormat="1" applyFont="1" applyFill="1" applyBorder="1" applyAlignment="1">
      <alignment wrapText="1"/>
    </xf>
    <xf numFmtId="1" fontId="0" fillId="0" borderId="1" xfId="0" applyNumberFormat="1" applyBorder="1"/>
    <xf numFmtId="0" fontId="73" fillId="0" borderId="48" xfId="0" applyFont="1" applyBorder="1" applyAlignment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14" fontId="1" fillId="0" borderId="0" xfId="0" applyNumberFormat="1" applyFont="1" applyAlignment="1">
      <alignment horizontal="center"/>
    </xf>
    <xf numFmtId="0" fontId="1" fillId="0" borderId="1" xfId="0" applyFont="1" applyFill="1" applyBorder="1" applyAlignment="1">
      <alignment horizontal="left" vertical="top"/>
    </xf>
    <xf numFmtId="0" fontId="69" fillId="0" borderId="1" xfId="0" applyFont="1" applyBorder="1" applyAlignment="1">
      <alignment horizontal="center"/>
    </xf>
    <xf numFmtId="0" fontId="69" fillId="0" borderId="1" xfId="0" applyFont="1" applyBorder="1" applyAlignment="1">
      <alignment horizontal="center" wrapText="1"/>
    </xf>
    <xf numFmtId="2" fontId="69" fillId="0" borderId="37" xfId="0" applyNumberFormat="1" applyFont="1" applyBorder="1" applyAlignment="1">
      <alignment horizontal="center" wrapText="1"/>
    </xf>
    <xf numFmtId="2" fontId="69" fillId="0" borderId="61" xfId="0" applyNumberFormat="1" applyFont="1" applyBorder="1" applyAlignment="1">
      <alignment horizontal="center" wrapText="1"/>
    </xf>
    <xf numFmtId="0" fontId="69" fillId="0" borderId="4" xfId="0" applyFont="1" applyBorder="1" applyAlignment="1">
      <alignment horizontal="center" wrapText="1"/>
    </xf>
    <xf numFmtId="0" fontId="69" fillId="0" borderId="1" xfId="0" applyFont="1" applyBorder="1"/>
    <xf numFmtId="0" fontId="69" fillId="0" borderId="3" xfId="0" applyFont="1" applyBorder="1" applyAlignment="1">
      <alignment horizontal="center"/>
    </xf>
    <xf numFmtId="2" fontId="69" fillId="0" borderId="1" xfId="0" applyNumberFormat="1" applyFont="1" applyBorder="1" applyAlignment="1">
      <alignment horizontal="center" wrapText="1"/>
    </xf>
    <xf numFmtId="2" fontId="69" fillId="0" borderId="1" xfId="0" applyNumberFormat="1" applyFont="1" applyBorder="1" applyAlignment="1">
      <alignment horizontal="center"/>
    </xf>
    <xf numFmtId="0" fontId="69" fillId="0" borderId="1" xfId="0" applyFont="1" applyFill="1" applyBorder="1" applyAlignment="1">
      <alignment horizontal="left" vertical="top"/>
    </xf>
    <xf numFmtId="0" fontId="69" fillId="0" borderId="1" xfId="0" applyFont="1" applyFill="1" applyBorder="1" applyAlignment="1">
      <alignment horizontal="center" vertical="top"/>
    </xf>
    <xf numFmtId="0" fontId="69" fillId="0" borderId="1" xfId="0" applyFont="1" applyFill="1" applyBorder="1" applyAlignment="1">
      <alignment horizontal="center"/>
    </xf>
    <xf numFmtId="0" fontId="1" fillId="2" borderId="0" xfId="0" applyFont="1" applyFill="1" applyBorder="1"/>
    <xf numFmtId="0" fontId="1" fillId="0" borderId="35" xfId="0" applyFont="1" applyBorder="1"/>
    <xf numFmtId="0" fontId="1" fillId="0" borderId="0" xfId="0" applyFont="1" applyBorder="1" applyAlignment="1">
      <alignment horizontal="center" wrapText="1"/>
    </xf>
    <xf numFmtId="0" fontId="1" fillId="0" borderId="2" xfId="0" applyFont="1" applyBorder="1"/>
    <xf numFmtId="0" fontId="1" fillId="0" borderId="71" xfId="0" applyFont="1" applyBorder="1"/>
    <xf numFmtId="0" fontId="1" fillId="2" borderId="1" xfId="0" applyFont="1" applyFill="1" applyBorder="1" applyAlignment="1">
      <alignment horizontal="right"/>
    </xf>
    <xf numFmtId="0" fontId="1" fillId="2" borderId="26" xfId="0" applyFont="1" applyFill="1" applyBorder="1"/>
    <xf numFmtId="3" fontId="0" fillId="0" borderId="1" xfId="0" applyNumberFormat="1" applyBorder="1"/>
    <xf numFmtId="3" fontId="0" fillId="0" borderId="1" xfId="0" applyNumberFormat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7" borderId="1" xfId="0" applyNumberFormat="1" applyFill="1" applyBorder="1" applyAlignment="1">
      <alignment horizontal="center"/>
    </xf>
    <xf numFmtId="4" fontId="0" fillId="29" borderId="1" xfId="0" applyNumberFormat="1" applyFill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30" borderId="4" xfId="0" applyNumberFormat="1" applyFill="1" applyBorder="1" applyAlignment="1">
      <alignment horizontal="center"/>
    </xf>
    <xf numFmtId="4" fontId="0" fillId="7" borderId="8" xfId="0" applyNumberFormat="1" applyFill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1" fillId="20" borderId="1" xfId="0" applyNumberFormat="1" applyFont="1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4" fontId="0" fillId="12" borderId="1" xfId="0" applyNumberFormat="1" applyFill="1" applyBorder="1" applyAlignment="1">
      <alignment horizontal="center"/>
    </xf>
    <xf numFmtId="4" fontId="0" fillId="0" borderId="8" xfId="0" applyNumberFormat="1" applyBorder="1"/>
    <xf numFmtId="4" fontId="0" fillId="21" borderId="1" xfId="0" applyNumberForma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0" fillId="0" borderId="3" xfId="0" applyBorder="1" applyAlignment="1">
      <alignment horizontal="center"/>
    </xf>
    <xf numFmtId="0" fontId="0" fillId="29" borderId="0" xfId="0" applyFill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3" fillId="3" borderId="11" xfId="0" applyFont="1" applyFill="1" applyBorder="1" applyAlignment="1">
      <alignment horizontal="center" vertical="center"/>
    </xf>
    <xf numFmtId="0" fontId="53" fillId="51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4" fillId="0" borderId="70" xfId="0" applyFont="1" applyFill="1" applyBorder="1" applyAlignment="1">
      <alignment horizontal="left" vertical="top" wrapText="1"/>
    </xf>
    <xf numFmtId="18" fontId="0" fillId="12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53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21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9" borderId="1" xfId="0" applyFont="1" applyFill="1" applyBorder="1" applyAlignment="1">
      <alignment horizontal="center" wrapText="1"/>
    </xf>
    <xf numFmtId="0" fontId="1" fillId="29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5" xfId="0" applyFill="1" applyBorder="1"/>
    <xf numFmtId="0" fontId="10" fillId="3" borderId="21" xfId="0" applyFont="1" applyFill="1" applyBorder="1" applyAlignment="1">
      <alignment horizontal="center" vertical="center" wrapText="1"/>
    </xf>
    <xf numFmtId="0" fontId="26" fillId="3" borderId="21" xfId="0" applyFont="1" applyFill="1" applyBorder="1" applyAlignment="1">
      <alignment horizontal="center" vertical="center" wrapText="1"/>
    </xf>
    <xf numFmtId="0" fontId="27" fillId="21" borderId="8" xfId="0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/>
    </xf>
    <xf numFmtId="0" fontId="12" fillId="12" borderId="1" xfId="0" applyFont="1" applyFill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49" fontId="11" fillId="4" borderId="1" xfId="0" applyNumberFormat="1" applyFont="1" applyFill="1" applyBorder="1" applyAlignment="1">
      <alignment horizontal="center"/>
    </xf>
    <xf numFmtId="0" fontId="12" fillId="2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1" fillId="7" borderId="50" xfId="0" applyFont="1" applyFill="1" applyBorder="1" applyAlignment="1">
      <alignment horizontal="center" wrapText="1"/>
    </xf>
    <xf numFmtId="0" fontId="0" fillId="0" borderId="13" xfId="0" applyBorder="1"/>
    <xf numFmtId="0" fontId="1" fillId="12" borderId="8" xfId="0" applyFont="1" applyFill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87" xfId="0" applyFont="1" applyBorder="1" applyAlignment="1">
      <alignment horizontal="center"/>
    </xf>
    <xf numFmtId="0" fontId="1" fillId="0" borderId="89" xfId="0" applyFont="1" applyBorder="1" applyAlignment="1">
      <alignment horizontal="center"/>
    </xf>
    <xf numFmtId="2" fontId="1" fillId="0" borderId="43" xfId="0" applyNumberFormat="1" applyFont="1" applyBorder="1" applyAlignment="1">
      <alignment horizontal="center"/>
    </xf>
    <xf numFmtId="1" fontId="1" fillId="0" borderId="51" xfId="0" applyNumberFormat="1" applyFont="1" applyBorder="1" applyAlignment="1">
      <alignment horizontal="center"/>
    </xf>
    <xf numFmtId="1" fontId="1" fillId="0" borderId="54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73" fillId="0" borderId="22" xfId="0" applyFont="1" applyBorder="1" applyAlignment="1">
      <alignment horizontal="center"/>
    </xf>
    <xf numFmtId="0" fontId="1" fillId="2" borderId="23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/>
    </xf>
    <xf numFmtId="4" fontId="1" fillId="2" borderId="23" xfId="0" applyNumberFormat="1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 wrapText="1"/>
    </xf>
    <xf numFmtId="4" fontId="1" fillId="0" borderId="26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74" xfId="0" applyFont="1" applyBorder="1" applyAlignment="1">
      <alignment horizontal="center"/>
    </xf>
    <xf numFmtId="0" fontId="0" fillId="30" borderId="0" xfId="0" applyFill="1"/>
    <xf numFmtId="4" fontId="1" fillId="30" borderId="1" xfId="0" applyNumberFormat="1" applyFont="1" applyFill="1" applyBorder="1" applyAlignment="1">
      <alignment horizontal="center"/>
    </xf>
    <xf numFmtId="0" fontId="1" fillId="30" borderId="29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75" fillId="0" borderId="1" xfId="0" applyFont="1" applyBorder="1" applyAlignment="1">
      <alignment horizontal="center"/>
    </xf>
    <xf numFmtId="1" fontId="75" fillId="0" borderId="1" xfId="0" applyNumberFormat="1" applyFont="1" applyBorder="1" applyAlignment="1">
      <alignment horizontal="center"/>
    </xf>
    <xf numFmtId="0" fontId="1" fillId="53" borderId="1" xfId="0" applyFont="1" applyFill="1" applyBorder="1" applyAlignment="1">
      <alignment horizontal="center" wrapText="1"/>
    </xf>
    <xf numFmtId="0" fontId="1" fillId="53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 wrapText="1"/>
    </xf>
    <xf numFmtId="0" fontId="1" fillId="2" borderId="3" xfId="0" applyFont="1" applyFill="1" applyBorder="1"/>
    <xf numFmtId="0" fontId="0" fillId="2" borderId="10" xfId="0" applyFill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69" fillId="7" borderId="26" xfId="0" applyFont="1" applyFill="1" applyBorder="1" applyAlignment="1">
      <alignment horizontal="center" wrapText="1"/>
    </xf>
    <xf numFmtId="0" fontId="0" fillId="53" borderId="1" xfId="0" applyFill="1" applyBorder="1" applyAlignment="1">
      <alignment horizontal="center"/>
    </xf>
    <xf numFmtId="0" fontId="0" fillId="53" borderId="1" xfId="0" applyFill="1" applyBorder="1" applyAlignment="1">
      <alignment horizontal="center" wrapText="1"/>
    </xf>
    <xf numFmtId="0" fontId="1" fillId="23" borderId="1" xfId="0" applyFont="1" applyFill="1" applyBorder="1"/>
    <xf numFmtId="0" fontId="53" fillId="48" borderId="0" xfId="0" applyFont="1" applyFill="1" applyBorder="1" applyAlignment="1">
      <alignment horizontal="center" vertical="center" wrapText="1"/>
    </xf>
    <xf numFmtId="0" fontId="53" fillId="48" borderId="74" xfId="0" applyFont="1" applyFill="1" applyBorder="1" applyAlignment="1">
      <alignment horizontal="center" vertical="center" wrapText="1"/>
    </xf>
    <xf numFmtId="0" fontId="73" fillId="0" borderId="1" xfId="0" applyFont="1" applyBorder="1" applyAlignment="1">
      <alignment horizontal="center"/>
    </xf>
    <xf numFmtId="174" fontId="1" fillId="0" borderId="1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21" borderId="22" xfId="0" applyFont="1" applyFill="1" applyBorder="1"/>
    <xf numFmtId="0" fontId="1" fillId="21" borderId="23" xfId="0" applyFont="1" applyFill="1" applyBorder="1"/>
    <xf numFmtId="0" fontId="1" fillId="21" borderId="23" xfId="0" applyFont="1" applyFill="1" applyBorder="1" applyAlignment="1">
      <alignment horizontal="center"/>
    </xf>
    <xf numFmtId="0" fontId="1" fillId="21" borderId="24" xfId="0" applyFont="1" applyFill="1" applyBorder="1" applyAlignment="1">
      <alignment horizontal="center"/>
    </xf>
    <xf numFmtId="0" fontId="0" fillId="4" borderId="0" xfId="0" applyFill="1"/>
    <xf numFmtId="0" fontId="0" fillId="2" borderId="4" xfId="0" applyFill="1" applyBorder="1" applyAlignment="1">
      <alignment horizontal="center" wrapText="1"/>
    </xf>
    <xf numFmtId="0" fontId="1" fillId="2" borderId="8" xfId="0" applyFont="1" applyFill="1" applyBorder="1"/>
    <xf numFmtId="0" fontId="1" fillId="30" borderId="8" xfId="0" applyFont="1" applyFill="1" applyBorder="1" applyAlignment="1">
      <alignment horizontal="center"/>
    </xf>
    <xf numFmtId="0" fontId="0" fillId="53" borderId="1" xfId="0" applyFill="1" applyBorder="1"/>
    <xf numFmtId="0" fontId="0" fillId="13" borderId="1" xfId="0" applyFill="1" applyBorder="1"/>
    <xf numFmtId="0" fontId="1" fillId="30" borderId="85" xfId="0" applyFont="1" applyFill="1" applyBorder="1" applyAlignment="1">
      <alignment horizontal="center" wrapText="1"/>
    </xf>
    <xf numFmtId="0" fontId="1" fillId="13" borderId="1" xfId="0" applyFont="1" applyFill="1" applyBorder="1" applyAlignment="1">
      <alignment horizontal="center"/>
    </xf>
    <xf numFmtId="0" fontId="1" fillId="13" borderId="1" xfId="0" applyFont="1" applyFill="1" applyBorder="1"/>
    <xf numFmtId="1" fontId="79" fillId="0" borderId="1" xfId="0" applyNumberFormat="1" applyFont="1" applyBorder="1" applyAlignment="1">
      <alignment horizontal="center"/>
    </xf>
    <xf numFmtId="0" fontId="79" fillId="0" borderId="1" xfId="0" applyFont="1" applyBorder="1" applyAlignment="1">
      <alignment horizontal="center"/>
    </xf>
    <xf numFmtId="0" fontId="1" fillId="0" borderId="16" xfId="0" applyFont="1" applyBorder="1"/>
    <xf numFmtId="0" fontId="1" fillId="0" borderId="1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11" borderId="1" xfId="0" applyFont="1" applyFill="1" applyBorder="1"/>
    <xf numFmtId="0" fontId="0" fillId="11" borderId="2" xfId="0" applyFill="1" applyBorder="1" applyAlignment="1">
      <alignment horizontal="center"/>
    </xf>
    <xf numFmtId="0" fontId="0" fillId="11" borderId="0" xfId="0" applyFill="1" applyBorder="1"/>
    <xf numFmtId="0" fontId="0" fillId="11" borderId="0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0" fontId="1" fillId="11" borderId="1" xfId="0" applyFont="1" applyFill="1" applyBorder="1" applyAlignment="1">
      <alignment horizontal="left"/>
    </xf>
    <xf numFmtId="3" fontId="1" fillId="0" borderId="0" xfId="0" applyNumberFormat="1" applyFont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 wrapText="1"/>
    </xf>
    <xf numFmtId="2" fontId="1" fillId="0" borderId="17" xfId="0" applyNumberFormat="1" applyFont="1" applyBorder="1" applyAlignment="1">
      <alignment horizontal="center"/>
    </xf>
    <xf numFmtId="2" fontId="1" fillId="0" borderId="0" xfId="0" applyNumberFormat="1" applyFont="1" applyAlignment="1"/>
    <xf numFmtId="9" fontId="1" fillId="0" borderId="0" xfId="0" applyNumberFormat="1" applyFont="1" applyAlignment="1">
      <alignment horizontal="center"/>
    </xf>
    <xf numFmtId="0" fontId="0" fillId="0" borderId="85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2" fontId="1" fillId="42" borderId="1" xfId="0" applyNumberFormat="1" applyFont="1" applyFill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42" borderId="1" xfId="0" applyFont="1" applyFill="1" applyBorder="1" applyAlignment="1">
      <alignment horizontal="center" wrapText="1"/>
    </xf>
    <xf numFmtId="0" fontId="1" fillId="4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11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wrapText="1"/>
    </xf>
    <xf numFmtId="0" fontId="72" fillId="1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63" borderId="1" xfId="0" applyFont="1" applyFill="1" applyBorder="1" applyAlignment="1">
      <alignment horizontal="center"/>
    </xf>
    <xf numFmtId="2" fontId="0" fillId="63" borderId="1" xfId="0" applyNumberFormat="1" applyFont="1" applyFill="1" applyBorder="1" applyAlignment="1">
      <alignment horizontal="center"/>
    </xf>
    <xf numFmtId="2" fontId="0" fillId="63" borderId="1" xfId="0" applyNumberFormat="1" applyFill="1" applyBorder="1" applyAlignment="1">
      <alignment horizontal="center"/>
    </xf>
    <xf numFmtId="2" fontId="1" fillId="63" borderId="1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" fillId="14" borderId="1" xfId="0" applyFont="1" applyFill="1" applyBorder="1"/>
    <xf numFmtId="0" fontId="0" fillId="2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3" fontId="1" fillId="2" borderId="1" xfId="0" applyNumberFormat="1" applyFont="1" applyFill="1" applyBorder="1" applyAlignment="1">
      <alignment horizontal="center"/>
    </xf>
    <xf numFmtId="0" fontId="1" fillId="30" borderId="26" xfId="0" applyFont="1" applyFill="1" applyBorder="1" applyAlignment="1">
      <alignment horizontal="center"/>
    </xf>
    <xf numFmtId="4" fontId="1" fillId="30" borderId="0" xfId="0" applyNumberFormat="1" applyFont="1" applyFill="1" applyAlignment="1">
      <alignment horizontal="center"/>
    </xf>
    <xf numFmtId="4" fontId="1" fillId="14" borderId="1" xfId="0" applyNumberFormat="1" applyFont="1" applyFill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12" borderId="0" xfId="0" applyFont="1" applyFill="1" applyBorder="1" applyAlignment="1">
      <alignment horizontal="center" wrapText="1"/>
    </xf>
    <xf numFmtId="0" fontId="1" fillId="12" borderId="34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169" fontId="1" fillId="0" borderId="1" xfId="0" applyNumberFormat="1" applyFont="1" applyBorder="1" applyAlignment="1">
      <alignment horizontal="center"/>
    </xf>
    <xf numFmtId="169" fontId="1" fillId="14" borderId="1" xfId="0" applyNumberFormat="1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/>
    </xf>
    <xf numFmtId="169" fontId="0" fillId="0" borderId="0" xfId="0" applyNumberFormat="1"/>
    <xf numFmtId="4" fontId="1" fillId="29" borderId="1" xfId="0" applyNumberFormat="1" applyFont="1" applyFill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0" fillId="3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0" borderId="3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4" xfId="0" applyFont="1" applyBorder="1" applyAlignment="1">
      <alignment horizontal="left"/>
    </xf>
    <xf numFmtId="0" fontId="0" fillId="2" borderId="0" xfId="0" applyFill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" fillId="0" borderId="38" xfId="0" applyNumberFormat="1" applyFont="1" applyBorder="1" applyAlignment="1">
      <alignment horizontal="center"/>
    </xf>
    <xf numFmtId="0" fontId="1" fillId="2" borderId="1" xfId="0" applyFont="1" applyFill="1" applyBorder="1" applyAlignment="1"/>
    <xf numFmtId="0" fontId="1" fillId="0" borderId="0" xfId="0" applyFont="1" applyAlignment="1"/>
    <xf numFmtId="0" fontId="73" fillId="0" borderId="48" xfId="0" applyFont="1" applyBorder="1" applyAlignment="1">
      <alignment horizontal="center"/>
    </xf>
    <xf numFmtId="2" fontId="1" fillId="12" borderId="1" xfId="0" applyNumberFormat="1" applyFont="1" applyFill="1" applyBorder="1" applyAlignment="1">
      <alignment horizontal="center" wrapText="1"/>
    </xf>
    <xf numFmtId="2" fontId="1" fillId="0" borderId="46" xfId="0" applyNumberFormat="1" applyFont="1" applyBorder="1" applyAlignment="1">
      <alignment horizontal="center"/>
    </xf>
    <xf numFmtId="1" fontId="1" fillId="3" borderId="54" xfId="0" applyNumberFormat="1" applyFont="1" applyFill="1" applyBorder="1" applyAlignment="1">
      <alignment horizontal="center"/>
    </xf>
    <xf numFmtId="1" fontId="1" fillId="3" borderId="51" xfId="0" applyNumberFormat="1" applyFont="1" applyFill="1" applyBorder="1" applyAlignment="1">
      <alignment horizontal="center"/>
    </xf>
    <xf numFmtId="2" fontId="1" fillId="0" borderId="2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89" xfId="0" applyFont="1" applyBorder="1" applyAlignment="1">
      <alignment horizontal="left"/>
    </xf>
    <xf numFmtId="0" fontId="0" fillId="0" borderId="33" xfId="0" applyBorder="1"/>
    <xf numFmtId="0" fontId="0" fillId="0" borderId="66" xfId="0" applyBorder="1"/>
    <xf numFmtId="0" fontId="0" fillId="0" borderId="64" xfId="0" applyBorder="1"/>
    <xf numFmtId="0" fontId="0" fillId="0" borderId="40" xfId="0" applyBorder="1"/>
    <xf numFmtId="0" fontId="0" fillId="0" borderId="65" xfId="0" applyBorder="1"/>
    <xf numFmtId="0" fontId="1" fillId="30" borderId="1" xfId="0" applyFont="1" applyFill="1" applyBorder="1" applyAlignment="1"/>
    <xf numFmtId="0" fontId="0" fillId="0" borderId="36" xfId="0" applyBorder="1" applyAlignment="1">
      <alignment horizontal="center"/>
    </xf>
    <xf numFmtId="0" fontId="0" fillId="0" borderId="51" xfId="0" applyBorder="1"/>
    <xf numFmtId="0" fontId="0" fillId="0" borderId="25" xfId="0" applyBorder="1" applyAlignment="1">
      <alignment horizontal="center"/>
    </xf>
    <xf numFmtId="0" fontId="1" fillId="30" borderId="4" xfId="0" applyFont="1" applyFill="1" applyBorder="1" applyAlignment="1">
      <alignment horizontal="center" wrapText="1"/>
    </xf>
    <xf numFmtId="0" fontId="1" fillId="0" borderId="74" xfId="0" applyFont="1" applyBorder="1" applyAlignment="1">
      <alignment horizontal="left"/>
    </xf>
    <xf numFmtId="0" fontId="0" fillId="5" borderId="7" xfId="0" applyFont="1" applyFill="1" applyBorder="1"/>
    <xf numFmtId="0" fontId="79" fillId="14" borderId="1" xfId="0" applyFont="1" applyFill="1" applyBorder="1" applyAlignment="1">
      <alignment horizontal="center"/>
    </xf>
    <xf numFmtId="0" fontId="27" fillId="30" borderId="1" xfId="0" applyFont="1" applyFill="1" applyBorder="1" applyAlignment="1">
      <alignment horizontal="center"/>
    </xf>
    <xf numFmtId="49" fontId="11" fillId="30" borderId="1" xfId="0" applyNumberFormat="1" applyFont="1" applyFill="1" applyBorder="1" applyAlignment="1">
      <alignment horizontal="center"/>
    </xf>
    <xf numFmtId="0" fontId="12" fillId="30" borderId="1" xfId="0" applyFont="1" applyFill="1" applyBorder="1" applyAlignment="1">
      <alignment horizontal="center"/>
    </xf>
    <xf numFmtId="4" fontId="12" fillId="30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/>
    <xf numFmtId="0" fontId="0" fillId="5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30" borderId="1" xfId="0" applyFill="1" applyBorder="1" applyAlignment="1">
      <alignment horizontal="left"/>
    </xf>
    <xf numFmtId="0" fontId="0" fillId="0" borderId="1" xfId="0" applyFill="1" applyBorder="1" applyAlignment="1"/>
    <xf numFmtId="0" fontId="68" fillId="0" borderId="0" xfId="0" applyFont="1"/>
    <xf numFmtId="0" fontId="68" fillId="0" borderId="0" xfId="0" applyFont="1" applyAlignment="1">
      <alignment horizontal="center"/>
    </xf>
    <xf numFmtId="0" fontId="78" fillId="0" borderId="1" xfId="0" applyFont="1" applyBorder="1" applyAlignment="1">
      <alignment horizontal="center"/>
    </xf>
    <xf numFmtId="0" fontId="78" fillId="0" borderId="1" xfId="0" applyFont="1" applyBorder="1"/>
    <xf numFmtId="0" fontId="68" fillId="0" borderId="1" xfId="0" applyFont="1" applyBorder="1"/>
    <xf numFmtId="0" fontId="68" fillId="0" borderId="1" xfId="0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3" borderId="0" xfId="0" applyFont="1" applyFill="1" applyAlignment="1">
      <alignment horizontal="center"/>
    </xf>
    <xf numFmtId="0" fontId="0" fillId="7" borderId="3" xfId="0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73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0" fillId="29" borderId="1" xfId="0" applyFill="1" applyBorder="1" applyAlignment="1"/>
    <xf numFmtId="0" fontId="0" fillId="7" borderId="1" xfId="0" applyFill="1" applyBorder="1" applyAlignment="1"/>
    <xf numFmtId="0" fontId="0" fillId="7" borderId="3" xfId="0" applyFill="1" applyBorder="1" applyAlignment="1"/>
    <xf numFmtId="0" fontId="0" fillId="3" borderId="0" xfId="0" applyFill="1" applyBorder="1" applyAlignment="1"/>
    <xf numFmtId="0" fontId="0" fillId="3" borderId="1" xfId="0" applyFill="1" applyBorder="1" applyAlignment="1"/>
    <xf numFmtId="0" fontId="0" fillId="3" borderId="2" xfId="0" applyFill="1" applyBorder="1" applyAlignment="1"/>
    <xf numFmtId="0" fontId="0" fillId="2" borderId="1" xfId="0" applyFill="1" applyBorder="1" applyAlignment="1"/>
    <xf numFmtId="0" fontId="0" fillId="2" borderId="0" xfId="0" applyFill="1" applyAlignment="1"/>
    <xf numFmtId="0" fontId="0" fillId="2" borderId="2" xfId="0" applyFill="1" applyBorder="1" applyAlignment="1"/>
    <xf numFmtId="0" fontId="0" fillId="30" borderId="1" xfId="0" applyFill="1" applyBorder="1" applyAlignment="1"/>
    <xf numFmtId="0" fontId="0" fillId="30" borderId="2" xfId="0" applyFill="1" applyBorder="1" applyAlignment="1"/>
    <xf numFmtId="0" fontId="0" fillId="12" borderId="3" xfId="0" applyFill="1" applyBorder="1" applyAlignment="1"/>
    <xf numFmtId="0" fontId="0" fillId="21" borderId="1" xfId="0" applyFill="1" applyBorder="1" applyAlignment="1"/>
    <xf numFmtId="49" fontId="0" fillId="0" borderId="6" xfId="0" applyNumberFormat="1" applyFont="1" applyBorder="1" applyAlignment="1"/>
    <xf numFmtId="49" fontId="0" fillId="5" borderId="6" xfId="0" applyNumberFormat="1" applyFont="1" applyFill="1" applyBorder="1" applyAlignment="1"/>
    <xf numFmtId="0" fontId="1" fillId="3" borderId="1" xfId="0" applyFont="1" applyFill="1" applyBorder="1" applyAlignment="1"/>
    <xf numFmtId="0" fontId="1" fillId="3" borderId="0" xfId="0" applyFont="1" applyFill="1" applyAlignment="1"/>
    <xf numFmtId="0" fontId="1" fillId="2" borderId="0" xfId="0" applyFont="1" applyFill="1" applyAlignment="1"/>
    <xf numFmtId="0" fontId="1" fillId="0" borderId="28" xfId="0" applyFont="1" applyBorder="1" applyAlignment="1"/>
    <xf numFmtId="0" fontId="1" fillId="30" borderId="28" xfId="0" applyFont="1" applyFill="1" applyBorder="1" applyAlignment="1"/>
    <xf numFmtId="0" fontId="1" fillId="3" borderId="28" xfId="0" applyFont="1" applyFill="1" applyBorder="1" applyAlignment="1"/>
    <xf numFmtId="0" fontId="1" fillId="7" borderId="28" xfId="0" applyFont="1" applyFill="1" applyBorder="1" applyAlignment="1"/>
    <xf numFmtId="0" fontId="1" fillId="0" borderId="25" xfId="0" applyFont="1" applyBorder="1" applyAlignment="1"/>
    <xf numFmtId="0" fontId="1" fillId="0" borderId="50" xfId="0" applyFont="1" applyBorder="1" applyAlignment="1"/>
    <xf numFmtId="0" fontId="1" fillId="11" borderId="1" xfId="0" applyFont="1" applyFill="1" applyBorder="1" applyAlignment="1"/>
    <xf numFmtId="0" fontId="76" fillId="2" borderId="1" xfId="0" applyFont="1" applyFill="1" applyBorder="1" applyAlignme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5" borderId="1" xfId="0" applyFont="1" applyFill="1" applyBorder="1"/>
    <xf numFmtId="49" fontId="1" fillId="5" borderId="1" xfId="0" applyNumberFormat="1" applyFont="1" applyFill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1" fillId="29" borderId="1" xfId="0" applyFont="1" applyFill="1" applyBorder="1" applyAlignment="1"/>
    <xf numFmtId="0" fontId="0" fillId="14" borderId="22" xfId="0" applyFill="1" applyBorder="1" applyAlignment="1">
      <alignment horizontal="center" wrapText="1"/>
    </xf>
    <xf numFmtId="49" fontId="0" fillId="0" borderId="7" xfId="0" applyNumberFormat="1" applyFont="1" applyBorder="1"/>
    <xf numFmtId="49" fontId="0" fillId="5" borderId="7" xfId="0" applyNumberFormat="1" applyFont="1" applyFill="1" applyBorder="1"/>
    <xf numFmtId="0" fontId="0" fillId="0" borderId="4" xfId="0" applyFill="1" applyBorder="1"/>
    <xf numFmtId="0" fontId="0" fillId="29" borderId="1" xfId="0" applyFill="1" applyBorder="1" applyAlignment="1">
      <alignment horizontal="center" wrapText="1"/>
    </xf>
    <xf numFmtId="0" fontId="1" fillId="17" borderId="1" xfId="0" applyFont="1" applyFill="1" applyBorder="1"/>
    <xf numFmtId="0" fontId="1" fillId="17" borderId="1" xfId="0" applyFont="1" applyFill="1" applyBorder="1" applyAlignment="1">
      <alignment horizontal="left"/>
    </xf>
    <xf numFmtId="0" fontId="1" fillId="0" borderId="24" xfId="0" applyFont="1" applyFill="1" applyBorder="1" applyAlignment="1">
      <alignment horizontal="center" wrapText="1"/>
    </xf>
    <xf numFmtId="4" fontId="1" fillId="0" borderId="31" xfId="0" applyNumberFormat="1" applyFont="1" applyBorder="1" applyAlignment="1">
      <alignment horizontal="center" wrapText="1"/>
    </xf>
    <xf numFmtId="0" fontId="1" fillId="18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12" borderId="28" xfId="0" applyFont="1" applyFill="1" applyBorder="1" applyAlignment="1">
      <alignment horizontal="left"/>
    </xf>
    <xf numFmtId="0" fontId="1" fillId="11" borderId="29" xfId="0" applyFont="1" applyFill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53" borderId="0" xfId="0" applyFill="1" applyAlignment="1">
      <alignment horizontal="center"/>
    </xf>
    <xf numFmtId="0" fontId="0" fillId="7" borderId="0" xfId="0" applyFill="1" applyAlignment="1">
      <alignment horizontal="center"/>
    </xf>
    <xf numFmtId="175" fontId="0" fillId="55" borderId="0" xfId="0" applyNumberFormat="1" applyFill="1" applyAlignment="1">
      <alignment horizontal="center"/>
    </xf>
    <xf numFmtId="0" fontId="0" fillId="0" borderId="8" xfId="0" applyBorder="1" applyAlignment="1">
      <alignment horizontal="center" wrapText="1"/>
    </xf>
    <xf numFmtId="0" fontId="0" fillId="3" borderId="26" xfId="0" applyFill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0" fillId="30" borderId="16" xfId="0" applyFill="1" applyBorder="1" applyAlignment="1">
      <alignment horizontal="center"/>
    </xf>
    <xf numFmtId="0" fontId="0" fillId="30" borderId="20" xfId="0" applyFill="1" applyBorder="1" applyAlignment="1">
      <alignment horizontal="center"/>
    </xf>
    <xf numFmtId="0" fontId="0" fillId="30" borderId="20" xfId="0" applyFill="1" applyBorder="1" applyAlignment="1">
      <alignment horizontal="center" wrapText="1"/>
    </xf>
    <xf numFmtId="0" fontId="1" fillId="30" borderId="20" xfId="0" applyFont="1" applyFill="1" applyBorder="1" applyAlignment="1">
      <alignment horizontal="center" wrapText="1"/>
    </xf>
    <xf numFmtId="9" fontId="0" fillId="30" borderId="20" xfId="0" applyNumberForma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0" borderId="15" xfId="0" applyFill="1" applyBorder="1" applyAlignment="1">
      <alignment horizontal="center"/>
    </xf>
    <xf numFmtId="1" fontId="0" fillId="30" borderId="15" xfId="0" applyNumberFormat="1" applyFill="1" applyBorder="1" applyAlignment="1">
      <alignment horizontal="center"/>
    </xf>
    <xf numFmtId="9" fontId="0" fillId="30" borderId="15" xfId="0" applyNumberFormat="1" applyFill="1" applyBorder="1" applyAlignment="1">
      <alignment horizontal="center"/>
    </xf>
    <xf numFmtId="0" fontId="0" fillId="30" borderId="1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53" borderId="12" xfId="0" applyFill="1" applyBorder="1" applyAlignment="1">
      <alignment horizontal="center"/>
    </xf>
    <xf numFmtId="0" fontId="0" fillId="53" borderId="15" xfId="0" applyFill="1" applyBorder="1" applyAlignment="1">
      <alignment horizontal="center"/>
    </xf>
    <xf numFmtId="0" fontId="0" fillId="53" borderId="20" xfId="0" applyFill="1" applyBorder="1" applyAlignment="1">
      <alignment horizontal="center"/>
    </xf>
    <xf numFmtId="9" fontId="0" fillId="53" borderId="15" xfId="0" applyNumberFormat="1" applyFill="1" applyBorder="1" applyAlignment="1">
      <alignment horizontal="center"/>
    </xf>
    <xf numFmtId="0" fontId="0" fillId="53" borderId="13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9" fontId="0" fillId="7" borderId="15" xfId="0" applyNumberFormat="1" applyFill="1" applyBorder="1" applyAlignment="1">
      <alignment horizontal="center"/>
    </xf>
    <xf numFmtId="175" fontId="0" fillId="7" borderId="13" xfId="0" applyNumberForma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9" fontId="0" fillId="3" borderId="11" xfId="0" applyNumberFormat="1" applyFill="1" applyBorder="1" applyAlignment="1">
      <alignment horizontal="center"/>
    </xf>
    <xf numFmtId="175" fontId="0" fillId="3" borderId="74" xfId="0" applyNumberFormat="1" applyFill="1" applyBorder="1" applyAlignment="1">
      <alignment horizontal="center"/>
    </xf>
    <xf numFmtId="0" fontId="0" fillId="55" borderId="15" xfId="0" applyFill="1" applyBorder="1" applyAlignment="1">
      <alignment horizontal="center"/>
    </xf>
    <xf numFmtId="175" fontId="0" fillId="55" borderId="13" xfId="0" applyNumberFormat="1" applyFill="1" applyBorder="1" applyAlignment="1">
      <alignment horizontal="center"/>
    </xf>
    <xf numFmtId="0" fontId="0" fillId="55" borderId="66" xfId="0" applyFill="1" applyBorder="1" applyAlignment="1">
      <alignment horizontal="center"/>
    </xf>
    <xf numFmtId="9" fontId="0" fillId="55" borderId="66" xfId="0" applyNumberFormat="1" applyFill="1" applyBorder="1" applyAlignment="1">
      <alignment horizontal="center"/>
    </xf>
    <xf numFmtId="175" fontId="0" fillId="55" borderId="64" xfId="0" applyNumberForma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64" borderId="9" xfId="0" applyFill="1" applyBorder="1" applyAlignment="1">
      <alignment horizontal="center"/>
    </xf>
    <xf numFmtId="0" fontId="0" fillId="64" borderId="33" xfId="0" applyFill="1" applyBorder="1" applyAlignment="1">
      <alignment horizontal="center"/>
    </xf>
    <xf numFmtId="0" fontId="0" fillId="64" borderId="50" xfId="0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1" fillId="21" borderId="3" xfId="0" applyFont="1" applyFill="1" applyBorder="1" applyAlignment="1">
      <alignment horizontal="center"/>
    </xf>
    <xf numFmtId="3" fontId="1" fillId="21" borderId="1" xfId="0" applyNumberFormat="1" applyFont="1" applyFill="1" applyBorder="1" applyAlignment="1">
      <alignment horizontal="center"/>
    </xf>
    <xf numFmtId="3" fontId="1" fillId="21" borderId="0" xfId="0" applyNumberFormat="1" applyFont="1" applyFill="1" applyAlignment="1">
      <alignment horizontal="center"/>
    </xf>
    <xf numFmtId="175" fontId="1" fillId="0" borderId="1" xfId="0" applyNumberFormat="1" applyFont="1" applyBorder="1" applyAlignment="1">
      <alignment horizontal="center"/>
    </xf>
    <xf numFmtId="0" fontId="0" fillId="0" borderId="31" xfId="0" applyBorder="1" applyAlignment="1">
      <alignment horizontal="left"/>
    </xf>
    <xf numFmtId="0" fontId="64" fillId="0" borderId="2" xfId="5" applyFont="1" applyFill="1" applyBorder="1" applyAlignment="1">
      <alignment horizontal="left" vertical="center"/>
    </xf>
    <xf numFmtId="0" fontId="84" fillId="0" borderId="0" xfId="0" applyFont="1" applyAlignment="1">
      <alignment horizontal="left"/>
    </xf>
    <xf numFmtId="2" fontId="0" fillId="30" borderId="1" xfId="0" applyNumberFormat="1" applyFill="1" applyBorder="1" applyAlignment="1">
      <alignment horizontal="center"/>
    </xf>
    <xf numFmtId="168" fontId="0" fillId="30" borderId="0" xfId="0" applyNumberFormat="1" applyFill="1" applyBorder="1"/>
    <xf numFmtId="168" fontId="0" fillId="30" borderId="0" xfId="0" applyNumberFormat="1" applyFill="1" applyBorder="1" applyAlignment="1">
      <alignment horizontal="center" wrapText="1"/>
    </xf>
    <xf numFmtId="0" fontId="1" fillId="7" borderId="9" xfId="0" applyFont="1" applyFill="1" applyBorder="1" applyAlignment="1">
      <alignment horizontal="center"/>
    </xf>
    <xf numFmtId="0" fontId="1" fillId="0" borderId="85" xfId="0" applyFont="1" applyBorder="1" applyAlignment="1">
      <alignment horizontal="center"/>
    </xf>
    <xf numFmtId="0" fontId="1" fillId="12" borderId="37" xfId="0" applyFont="1" applyFill="1" applyBorder="1" applyAlignment="1">
      <alignment horizontal="center" wrapText="1"/>
    </xf>
    <xf numFmtId="0" fontId="1" fillId="0" borderId="34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1" fontId="1" fillId="0" borderId="51" xfId="0" applyNumberFormat="1" applyFont="1" applyBorder="1" applyAlignment="1">
      <alignment horizontal="center" wrapText="1"/>
    </xf>
    <xf numFmtId="169" fontId="0" fillId="30" borderId="20" xfId="0" applyNumberFormat="1" applyFill="1" applyBorder="1" applyAlignment="1">
      <alignment horizontal="center"/>
    </xf>
    <xf numFmtId="2" fontId="0" fillId="30" borderId="17" xfId="0" applyNumberFormat="1" applyFill="1" applyBorder="1" applyAlignment="1">
      <alignment horizontal="center"/>
    </xf>
    <xf numFmtId="0" fontId="0" fillId="53" borderId="0" xfId="0" applyFill="1"/>
    <xf numFmtId="0" fontId="0" fillId="7" borderId="3" xfId="0" applyFill="1" applyBorder="1" applyAlignment="1">
      <alignment horizontal="center" wrapText="1"/>
    </xf>
    <xf numFmtId="1" fontId="83" fillId="2" borderId="1" xfId="0" applyNumberFormat="1" applyFont="1" applyFill="1" applyBorder="1" applyAlignment="1">
      <alignment horizontal="center" vertical="top" shrinkToFit="1"/>
    </xf>
    <xf numFmtId="2" fontId="83" fillId="2" borderId="1" xfId="0" applyNumberFormat="1" applyFont="1" applyFill="1" applyBorder="1" applyAlignment="1">
      <alignment horizontal="center" vertical="top" shrinkToFit="1"/>
    </xf>
    <xf numFmtId="2" fontId="1" fillId="0" borderId="26" xfId="0" applyNumberFormat="1" applyFont="1" applyBorder="1" applyAlignment="1">
      <alignment horizontal="center"/>
    </xf>
    <xf numFmtId="0" fontId="65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5" borderId="7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 wrapText="1"/>
    </xf>
    <xf numFmtId="0" fontId="1" fillId="0" borderId="30" xfId="0" applyFont="1" applyBorder="1" applyAlignment="1">
      <alignment horizontal="left"/>
    </xf>
    <xf numFmtId="3" fontId="0" fillId="0" borderId="26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0" fontId="1" fillId="0" borderId="0" xfId="0" applyFont="1" applyFill="1" applyBorder="1"/>
    <xf numFmtId="0" fontId="1" fillId="65" borderId="1" xfId="0" applyFont="1" applyFill="1" applyBorder="1" applyAlignment="1">
      <alignment horizontal="center"/>
    </xf>
    <xf numFmtId="0" fontId="0" fillId="65" borderId="0" xfId="0" applyFill="1"/>
    <xf numFmtId="1" fontId="86" fillId="0" borderId="1" xfId="0" applyNumberFormat="1" applyFont="1" applyFill="1" applyBorder="1" applyAlignment="1">
      <alignment vertical="top" shrinkToFit="1"/>
    </xf>
    <xf numFmtId="1" fontId="86" fillId="65" borderId="1" xfId="0" applyNumberFormat="1" applyFont="1" applyFill="1" applyBorder="1" applyAlignment="1">
      <alignment vertical="top" shrinkToFit="1"/>
    </xf>
    <xf numFmtId="0" fontId="87" fillId="0" borderId="1" xfId="0" applyFont="1" applyFill="1" applyBorder="1" applyAlignment="1">
      <alignment vertical="top" wrapText="1"/>
    </xf>
    <xf numFmtId="0" fontId="87" fillId="65" borderId="1" xfId="0" applyFont="1" applyFill="1" applyBorder="1" applyAlignment="1">
      <alignment vertical="top" wrapText="1"/>
    </xf>
    <xf numFmtId="0" fontId="85" fillId="0" borderId="1" xfId="0" applyFont="1" applyFill="1" applyBorder="1" applyAlignment="1">
      <alignment horizontal="center" vertical="top" wrapText="1"/>
    </xf>
    <xf numFmtId="2" fontId="86" fillId="0" borderId="1" xfId="0" applyNumberFormat="1" applyFont="1" applyFill="1" applyBorder="1" applyAlignment="1">
      <alignment horizontal="center" vertical="top" shrinkToFit="1"/>
    </xf>
    <xf numFmtId="0" fontId="89" fillId="0" borderId="1" xfId="0" applyFont="1" applyFill="1" applyBorder="1" applyAlignment="1">
      <alignment horizontal="center" vertical="top" wrapText="1"/>
    </xf>
    <xf numFmtId="0" fontId="89" fillId="65" borderId="1" xfId="0" applyFont="1" applyFill="1" applyBorder="1" applyAlignment="1">
      <alignment horizontal="center" vertical="top" wrapText="1"/>
    </xf>
    <xf numFmtId="0" fontId="1" fillId="65" borderId="1" xfId="0" applyFont="1" applyFill="1" applyBorder="1" applyAlignment="1">
      <alignment horizontal="center" wrapText="1"/>
    </xf>
    <xf numFmtId="2" fontId="86" fillId="65" borderId="1" xfId="0" applyNumberFormat="1" applyFont="1" applyFill="1" applyBorder="1" applyAlignment="1">
      <alignment horizontal="center" vertical="top" shrinkToFit="1"/>
    </xf>
    <xf numFmtId="0" fontId="1" fillId="65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" fillId="4" borderId="1" xfId="0" applyFont="1" applyFill="1" applyBorder="1"/>
    <xf numFmtId="1" fontId="1" fillId="4" borderId="1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8" xfId="0" applyFont="1" applyFill="1" applyBorder="1"/>
    <xf numFmtId="0" fontId="1" fillId="4" borderId="8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/>
    </xf>
    <xf numFmtId="0" fontId="1" fillId="4" borderId="0" xfId="0" applyFont="1" applyFill="1"/>
    <xf numFmtId="0" fontId="1" fillId="4" borderId="2" xfId="0" applyFont="1" applyFill="1" applyBorder="1"/>
    <xf numFmtId="0" fontId="1" fillId="4" borderId="0" xfId="0" applyFont="1" applyFill="1" applyAlignment="1">
      <alignment horizontal="center" wrapText="1"/>
    </xf>
    <xf numFmtId="0" fontId="1" fillId="4" borderId="26" xfId="0" applyFont="1" applyFill="1" applyBorder="1"/>
    <xf numFmtId="0" fontId="1" fillId="4" borderId="18" xfId="0" applyFont="1" applyFill="1" applyBorder="1" applyAlignment="1">
      <alignment horizontal="center" wrapText="1"/>
    </xf>
    <xf numFmtId="0" fontId="1" fillId="4" borderId="19" xfId="0" applyFont="1" applyFill="1" applyBorder="1" applyAlignment="1">
      <alignment horizontal="center"/>
    </xf>
    <xf numFmtId="0" fontId="1" fillId="0" borderId="90" xfId="0" applyFont="1" applyBorder="1" applyAlignment="1">
      <alignment horizontal="center"/>
    </xf>
    <xf numFmtId="0" fontId="1" fillId="0" borderId="2" xfId="0" applyFont="1" applyFill="1" applyBorder="1"/>
    <xf numFmtId="9" fontId="1" fillId="21" borderId="1" xfId="0" applyNumberFormat="1" applyFont="1" applyFill="1" applyBorder="1" applyAlignment="1">
      <alignment horizontal="center"/>
    </xf>
    <xf numFmtId="2" fontId="1" fillId="0" borderId="37" xfId="0" applyNumberFormat="1" applyFont="1" applyBorder="1" applyAlignment="1">
      <alignment horizontal="center"/>
    </xf>
    <xf numFmtId="3" fontId="1" fillId="42" borderId="1" xfId="0" applyNumberFormat="1" applyFont="1" applyFill="1" applyBorder="1" applyAlignment="1">
      <alignment horizontal="center"/>
    </xf>
    <xf numFmtId="0" fontId="1" fillId="55" borderId="1" xfId="0" applyFont="1" applyFill="1" applyBorder="1" applyAlignment="1"/>
    <xf numFmtId="4" fontId="1" fillId="55" borderId="1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1" fontId="0" fillId="0" borderId="0" xfId="0" applyNumberFormat="1" applyAlignment="1"/>
    <xf numFmtId="0" fontId="1" fillId="4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14" borderId="0" xfId="0" applyFont="1" applyFill="1" applyAlignment="1">
      <alignment horizontal="center" wrapText="1"/>
    </xf>
    <xf numFmtId="0" fontId="1" fillId="63" borderId="26" xfId="0" applyFont="1" applyFill="1" applyBorder="1" applyAlignment="1">
      <alignment horizontal="center"/>
    </xf>
    <xf numFmtId="0" fontId="1" fillId="63" borderId="35" xfId="0" applyFont="1" applyFill="1" applyBorder="1" applyAlignment="1">
      <alignment horizontal="center" wrapText="1"/>
    </xf>
    <xf numFmtId="0" fontId="1" fillId="0" borderId="37" xfId="0" applyFont="1" applyBorder="1" applyAlignment="1">
      <alignment horizontal="center"/>
    </xf>
    <xf numFmtId="0" fontId="1" fillId="63" borderId="86" xfId="0" applyFont="1" applyFill="1" applyBorder="1"/>
    <xf numFmtId="0" fontId="1" fillId="63" borderId="26" xfId="0" applyFont="1" applyFill="1" applyBorder="1"/>
    <xf numFmtId="0" fontId="1" fillId="0" borderId="4" xfId="0" applyFont="1" applyBorder="1"/>
    <xf numFmtId="0" fontId="1" fillId="0" borderId="10" xfId="0" applyFont="1" applyBorder="1"/>
    <xf numFmtId="49" fontId="1" fillId="0" borderId="8" xfId="0" applyNumberFormat="1" applyFont="1" applyBorder="1"/>
    <xf numFmtId="0" fontId="1" fillId="59" borderId="1" xfId="0" applyFont="1" applyFill="1" applyBorder="1" applyAlignment="1">
      <alignment horizontal="center" wrapText="1"/>
    </xf>
    <xf numFmtId="0" fontId="0" fillId="29" borderId="0" xfId="0" applyFill="1" applyAlignment="1">
      <alignment horizontal="center"/>
    </xf>
    <xf numFmtId="4" fontId="1" fillId="29" borderId="1" xfId="0" applyNumberFormat="1" applyFont="1" applyFill="1" applyBorder="1" applyAlignment="1">
      <alignment horizontal="center"/>
    </xf>
    <xf numFmtId="0" fontId="76" fillId="29" borderId="1" xfId="0" applyFont="1" applyFill="1" applyBorder="1" applyAlignment="1"/>
    <xf numFmtId="0" fontId="1" fillId="29" borderId="1" xfId="0" applyFont="1" applyFill="1" applyBorder="1" applyAlignment="1">
      <alignment wrapText="1"/>
    </xf>
    <xf numFmtId="0" fontId="1" fillId="29" borderId="1" xfId="0" applyFont="1" applyFill="1" applyBorder="1" applyAlignment="1">
      <alignment horizontal="left"/>
    </xf>
    <xf numFmtId="0" fontId="0" fillId="18" borderId="0" xfId="0" applyFill="1"/>
    <xf numFmtId="0" fontId="1" fillId="18" borderId="1" xfId="0" applyFont="1" applyFill="1" applyBorder="1" applyAlignment="1"/>
    <xf numFmtId="4" fontId="1" fillId="18" borderId="1" xfId="0" applyNumberFormat="1" applyFont="1" applyFill="1" applyBorder="1" applyAlignment="1">
      <alignment horizontal="center"/>
    </xf>
    <xf numFmtId="0" fontId="1" fillId="18" borderId="1" xfId="0" applyFont="1" applyFill="1" applyBorder="1" applyAlignment="1">
      <alignment wrapText="1"/>
    </xf>
    <xf numFmtId="4" fontId="1" fillId="29" borderId="3" xfId="0" applyNumberFormat="1" applyFont="1" applyFill="1" applyBorder="1" applyAlignment="1">
      <alignment horizontal="center"/>
    </xf>
    <xf numFmtId="0" fontId="1" fillId="21" borderId="12" xfId="0" applyFont="1" applyFill="1" applyBorder="1" applyAlignment="1">
      <alignment horizontal="center"/>
    </xf>
    <xf numFmtId="0" fontId="1" fillId="29" borderId="3" xfId="0" applyFont="1" applyFill="1" applyBorder="1" applyAlignment="1">
      <alignment horizontal="center"/>
    </xf>
    <xf numFmtId="0" fontId="1" fillId="29" borderId="4" xfId="0" applyFont="1" applyFill="1" applyBorder="1" applyAlignment="1">
      <alignment horizontal="center"/>
    </xf>
    <xf numFmtId="0" fontId="1" fillId="29" borderId="8" xfId="0" applyFont="1" applyFill="1" applyBorder="1" applyAlignment="1"/>
    <xf numFmtId="0" fontId="1" fillId="2" borderId="26" xfId="0" applyFont="1" applyFill="1" applyBorder="1" applyAlignment="1"/>
    <xf numFmtId="0" fontId="1" fillId="29" borderId="9" xfId="0" applyFont="1" applyFill="1" applyBorder="1" applyAlignment="1"/>
    <xf numFmtId="4" fontId="95" fillId="16" borderId="1" xfId="8" applyNumberFormat="1" applyFont="1" applyFill="1" applyBorder="1" applyAlignment="1">
      <alignment horizontal="center"/>
    </xf>
    <xf numFmtId="4" fontId="95" fillId="58" borderId="1" xfId="8" applyNumberFormat="1" applyFont="1" applyFill="1" applyBorder="1" applyAlignment="1">
      <alignment horizontal="center"/>
    </xf>
    <xf numFmtId="4" fontId="65" fillId="0" borderId="1" xfId="8" applyNumberFormat="1" applyFont="1" applyBorder="1" applyAlignment="1">
      <alignment horizontal="center"/>
    </xf>
    <xf numFmtId="176" fontId="91" fillId="0" borderId="1" xfId="8" applyNumberFormat="1" applyFont="1" applyFill="1" applyBorder="1" applyAlignment="1">
      <alignment horizontal="center"/>
    </xf>
    <xf numFmtId="0" fontId="65" fillId="17" borderId="1" xfId="8" applyNumberFormat="1" applyFont="1" applyFill="1" applyBorder="1" applyAlignment="1">
      <alignment horizontal="center"/>
    </xf>
    <xf numFmtId="0" fontId="65" fillId="17" borderId="1" xfId="8" applyFont="1" applyFill="1" applyBorder="1" applyAlignment="1">
      <alignment horizontal="center"/>
    </xf>
    <xf numFmtId="49" fontId="67" fillId="0" borderId="1" xfId="8" applyNumberFormat="1" applyFont="1" applyBorder="1" applyAlignment="1">
      <alignment horizontal="center"/>
    </xf>
    <xf numFmtId="1" fontId="65" fillId="0" borderId="1" xfId="8" applyNumberFormat="1" applyFont="1" applyFill="1" applyBorder="1" applyAlignment="1">
      <alignment horizontal="center"/>
    </xf>
    <xf numFmtId="49" fontId="67" fillId="0" borderId="1" xfId="8" applyNumberFormat="1" applyFont="1" applyFill="1" applyBorder="1" applyAlignment="1">
      <alignment horizontal="center"/>
    </xf>
    <xf numFmtId="2" fontId="96" fillId="0" borderId="1" xfId="8" applyNumberFormat="1" applyFont="1" applyFill="1" applyBorder="1" applyAlignment="1">
      <alignment horizontal="center"/>
    </xf>
    <xf numFmtId="4" fontId="96" fillId="0" borderId="1" xfId="8" applyNumberFormat="1" applyFont="1" applyFill="1" applyBorder="1" applyAlignment="1">
      <alignment horizontal="center"/>
    </xf>
    <xf numFmtId="49" fontId="67" fillId="13" borderId="1" xfId="8" applyNumberFormat="1" applyFont="1" applyFill="1" applyBorder="1" applyAlignment="1">
      <alignment horizontal="center"/>
    </xf>
    <xf numFmtId="1" fontId="67" fillId="0" borderId="1" xfId="8" applyNumberFormat="1" applyFont="1" applyFill="1" applyBorder="1" applyAlignment="1">
      <alignment horizontal="center"/>
    </xf>
    <xf numFmtId="2" fontId="96" fillId="16" borderId="1" xfId="8" applyNumberFormat="1" applyFont="1" applyFill="1" applyBorder="1" applyAlignment="1">
      <alignment horizontal="center"/>
    </xf>
    <xf numFmtId="4" fontId="96" fillId="58" borderId="1" xfId="8" applyNumberFormat="1" applyFont="1" applyFill="1" applyBorder="1" applyAlignment="1">
      <alignment horizontal="center"/>
    </xf>
    <xf numFmtId="4" fontId="96" fillId="16" borderId="1" xfId="8" applyNumberFormat="1" applyFont="1" applyFill="1" applyBorder="1" applyAlignment="1">
      <alignment horizontal="center"/>
    </xf>
    <xf numFmtId="0" fontId="67" fillId="0" borderId="1" xfId="8" applyNumberFormat="1" applyFont="1" applyFill="1" applyBorder="1" applyAlignment="1">
      <alignment horizontal="center"/>
    </xf>
    <xf numFmtId="2" fontId="96" fillId="66" borderId="1" xfId="8" applyNumberFormat="1" applyFont="1" applyFill="1" applyBorder="1" applyAlignment="1">
      <alignment horizontal="center"/>
    </xf>
    <xf numFmtId="4" fontId="96" fillId="66" borderId="1" xfId="8" applyNumberFormat="1" applyFont="1" applyFill="1" applyBorder="1" applyAlignment="1">
      <alignment horizontal="center"/>
    </xf>
    <xf numFmtId="0" fontId="67" fillId="0" borderId="1" xfId="8" applyFont="1" applyFill="1" applyBorder="1" applyAlignment="1">
      <alignment horizontal="center"/>
    </xf>
    <xf numFmtId="4" fontId="92" fillId="0" borderId="1" xfId="8" applyNumberFormat="1" applyFont="1" applyBorder="1" applyAlignment="1">
      <alignment horizontal="center"/>
    </xf>
    <xf numFmtId="4" fontId="93" fillId="0" borderId="1" xfId="8" applyNumberFormat="1" applyFont="1" applyBorder="1" applyAlignment="1">
      <alignment horizontal="center"/>
    </xf>
    <xf numFmtId="4" fontId="94" fillId="0" borderId="1" xfId="8" applyNumberFormat="1" applyFont="1" applyBorder="1" applyAlignment="1">
      <alignment horizontal="center"/>
    </xf>
    <xf numFmtId="49" fontId="65" fillId="0" borderId="1" xfId="8" applyNumberFormat="1" applyFont="1" applyFill="1" applyBorder="1" applyAlignment="1">
      <alignment horizontal="center"/>
    </xf>
    <xf numFmtId="0" fontId="65" fillId="0" borderId="1" xfId="8" applyFont="1" applyFill="1" applyBorder="1" applyAlignment="1">
      <alignment horizontal="center"/>
    </xf>
    <xf numFmtId="49" fontId="67" fillId="3" borderId="1" xfId="8" applyNumberFormat="1" applyFont="1" applyFill="1" applyBorder="1" applyAlignment="1">
      <alignment horizontal="center"/>
    </xf>
    <xf numFmtId="1" fontId="67" fillId="3" borderId="1" xfId="8" applyNumberFormat="1" applyFont="1" applyFill="1" applyBorder="1" applyAlignment="1">
      <alignment horizontal="center"/>
    </xf>
    <xf numFmtId="2" fontId="96" fillId="3" borderId="1" xfId="8" applyNumberFormat="1" applyFont="1" applyFill="1" applyBorder="1" applyAlignment="1">
      <alignment horizontal="center"/>
    </xf>
    <xf numFmtId="4" fontId="96" fillId="3" borderId="1" xfId="8" applyNumberFormat="1" applyFont="1" applyFill="1" applyBorder="1" applyAlignment="1">
      <alignment horizontal="center"/>
    </xf>
    <xf numFmtId="0" fontId="67" fillId="3" borderId="1" xfId="8" applyFont="1" applyFill="1" applyBorder="1" applyAlignment="1">
      <alignment horizontal="center"/>
    </xf>
    <xf numFmtId="0" fontId="67" fillId="3" borderId="1" xfId="8" applyNumberFormat="1" applyFont="1" applyFill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2" fontId="1" fillId="3" borderId="9" xfId="0" applyNumberFormat="1" applyFont="1" applyFill="1" applyBorder="1" applyAlignment="1">
      <alignment horizontal="center"/>
    </xf>
    <xf numFmtId="0" fontId="1" fillId="58" borderId="3" xfId="0" applyFont="1" applyFill="1" applyBorder="1" applyAlignment="1">
      <alignment horizontal="center"/>
    </xf>
    <xf numFmtId="0" fontId="1" fillId="21" borderId="26" xfId="0" applyFont="1" applyFill="1" applyBorder="1" applyAlignment="1">
      <alignment horizontal="center"/>
    </xf>
    <xf numFmtId="0" fontId="1" fillId="21" borderId="9" xfId="0" applyFont="1" applyFill="1" applyBorder="1" applyAlignment="1">
      <alignment horizontal="center" wrapText="1"/>
    </xf>
    <xf numFmtId="0" fontId="1" fillId="21" borderId="9" xfId="0" applyFont="1" applyFill="1" applyBorder="1" applyAlignment="1">
      <alignment horizontal="center"/>
    </xf>
    <xf numFmtId="2" fontId="1" fillId="21" borderId="26" xfId="0" applyNumberFormat="1" applyFont="1" applyFill="1" applyBorder="1" applyAlignment="1">
      <alignment horizontal="center"/>
    </xf>
    <xf numFmtId="2" fontId="1" fillId="21" borderId="9" xfId="0" applyNumberFormat="1" applyFont="1" applyFill="1" applyBorder="1" applyAlignment="1">
      <alignment horizontal="center"/>
    </xf>
    <xf numFmtId="0" fontId="1" fillId="21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82" fillId="21" borderId="9" xfId="0" applyFont="1" applyFill="1" applyBorder="1" applyAlignment="1">
      <alignment horizontal="center"/>
    </xf>
    <xf numFmtId="0" fontId="82" fillId="0" borderId="9" xfId="0" applyFont="1" applyBorder="1" applyAlignment="1">
      <alignment horizontal="center"/>
    </xf>
    <xf numFmtId="49" fontId="0" fillId="0" borderId="0" xfId="0" applyNumberFormat="1" applyBorder="1"/>
    <xf numFmtId="0" fontId="98" fillId="21" borderId="0" xfId="0" applyFont="1" applyFill="1" applyBorder="1" applyAlignment="1">
      <alignment wrapText="1"/>
    </xf>
    <xf numFmtId="0" fontId="79" fillId="2" borderId="1" xfId="0" applyFont="1" applyFill="1" applyBorder="1" applyAlignment="1">
      <alignment horizontal="center"/>
    </xf>
    <xf numFmtId="0" fontId="80" fillId="2" borderId="1" xfId="0" applyFont="1" applyFill="1" applyBorder="1" applyAlignment="1">
      <alignment horizontal="center"/>
    </xf>
    <xf numFmtId="0" fontId="99" fillId="67" borderId="67" xfId="0" applyFont="1" applyFill="1" applyBorder="1" applyAlignment="1">
      <alignment horizontal="left" vertical="top" wrapText="1" indent="2"/>
    </xf>
    <xf numFmtId="1" fontId="103" fillId="0" borderId="70" xfId="0" applyNumberFormat="1" applyFont="1" applyFill="1" applyBorder="1" applyAlignment="1">
      <alignment horizontal="center" vertical="top" shrinkToFit="1"/>
    </xf>
    <xf numFmtId="0" fontId="102" fillId="0" borderId="70" xfId="0" applyFont="1" applyFill="1" applyBorder="1" applyAlignment="1">
      <alignment horizontal="left" vertical="top" wrapText="1"/>
    </xf>
    <xf numFmtId="0" fontId="102" fillId="0" borderId="70" xfId="0" applyFont="1" applyFill="1" applyBorder="1" applyAlignment="1">
      <alignment horizontal="right" vertical="top" wrapText="1"/>
    </xf>
    <xf numFmtId="0" fontId="102" fillId="0" borderId="70" xfId="0" applyFont="1" applyFill="1" applyBorder="1" applyAlignment="1">
      <alignment horizontal="center" vertical="top" wrapText="1"/>
    </xf>
    <xf numFmtId="0" fontId="99" fillId="67" borderId="67" xfId="0" applyFont="1" applyFill="1" applyBorder="1" applyAlignment="1">
      <alignment horizontal="left" vertical="top" wrapText="1" indent="1"/>
    </xf>
    <xf numFmtId="1" fontId="103" fillId="0" borderId="70" xfId="0" applyNumberFormat="1" applyFont="1" applyFill="1" applyBorder="1" applyAlignment="1">
      <alignment horizontal="right" vertical="top" indent="1" shrinkToFit="1"/>
    </xf>
    <xf numFmtId="0" fontId="102" fillId="0" borderId="70" xfId="0" applyFont="1" applyFill="1" applyBorder="1" applyAlignment="1">
      <alignment horizontal="right" vertical="top" wrapText="1" indent="1"/>
    </xf>
    <xf numFmtId="0" fontId="101" fillId="67" borderId="68" xfId="0" applyFont="1" applyFill="1" applyBorder="1" applyAlignment="1">
      <alignment horizontal="center" vertical="top" wrapText="1"/>
    </xf>
    <xf numFmtId="0" fontId="102" fillId="32" borderId="70" xfId="0" applyFont="1" applyFill="1" applyBorder="1" applyAlignment="1">
      <alignment horizontal="center" vertical="top" wrapText="1"/>
    </xf>
    <xf numFmtId="1" fontId="103" fillId="32" borderId="70" xfId="0" applyNumberFormat="1" applyFont="1" applyFill="1" applyBorder="1" applyAlignment="1">
      <alignment horizontal="left" vertical="top" indent="1" shrinkToFit="1"/>
    </xf>
    <xf numFmtId="0" fontId="102" fillId="32" borderId="70" xfId="0" applyFont="1" applyFill="1" applyBorder="1" applyAlignment="1">
      <alignment horizontal="left" vertical="top" wrapText="1"/>
    </xf>
    <xf numFmtId="2" fontId="103" fillId="0" borderId="70" xfId="0" applyNumberFormat="1" applyFont="1" applyFill="1" applyBorder="1" applyAlignment="1">
      <alignment horizontal="center" vertical="top" shrinkToFit="1"/>
    </xf>
    <xf numFmtId="0" fontId="101" fillId="0" borderId="70" xfId="0" applyFont="1" applyFill="1" applyBorder="1" applyAlignment="1">
      <alignment horizontal="left" wrapText="1"/>
    </xf>
    <xf numFmtId="0" fontId="102" fillId="0" borderId="70" xfId="0" applyFont="1" applyFill="1" applyBorder="1" applyAlignment="1">
      <alignment horizontal="left" vertical="top" wrapText="1" indent="2"/>
    </xf>
    <xf numFmtId="2" fontId="0" fillId="12" borderId="0" xfId="0" applyNumberFormat="1" applyFill="1"/>
    <xf numFmtId="2" fontId="0" fillId="0" borderId="0" xfId="0" applyNumberFormat="1" applyBorder="1"/>
    <xf numFmtId="0" fontId="1" fillId="0" borderId="0" xfId="0" applyFont="1" applyBorder="1" applyAlignment="1">
      <alignment horizontal="left"/>
    </xf>
    <xf numFmtId="9" fontId="1" fillId="0" borderId="0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0" fillId="42" borderId="1" xfId="0" applyFill="1" applyBorder="1" applyAlignment="1">
      <alignment horizontal="center"/>
    </xf>
    <xf numFmtId="0" fontId="0" fillId="12" borderId="2" xfId="0" applyFill="1" applyBorder="1"/>
    <xf numFmtId="0" fontId="1" fillId="2" borderId="9" xfId="0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0" fontId="1" fillId="19" borderId="9" xfId="0" applyFont="1" applyFill="1" applyBorder="1" applyAlignment="1">
      <alignment horizontal="center"/>
    </xf>
    <xf numFmtId="2" fontId="1" fillId="19" borderId="9" xfId="0" applyNumberFormat="1" applyFont="1" applyFill="1" applyBorder="1" applyAlignment="1">
      <alignment horizontal="center"/>
    </xf>
    <xf numFmtId="0" fontId="1" fillId="29" borderId="71" xfId="0" applyFont="1" applyFill="1" applyBorder="1" applyAlignment="1">
      <alignment horizontal="center"/>
    </xf>
    <xf numFmtId="0" fontId="1" fillId="29" borderId="0" xfId="0" applyFont="1" applyFill="1" applyBorder="1" applyAlignment="1">
      <alignment horizontal="center"/>
    </xf>
    <xf numFmtId="0" fontId="1" fillId="29" borderId="85" xfId="0" applyFont="1" applyFill="1" applyBorder="1" applyAlignment="1">
      <alignment horizontal="center"/>
    </xf>
    <xf numFmtId="0" fontId="78" fillId="0" borderId="26" xfId="0" applyFont="1" applyBorder="1"/>
    <xf numFmtId="0" fontId="78" fillId="0" borderId="26" xfId="0" applyFont="1" applyBorder="1" applyAlignment="1">
      <alignment horizontal="center"/>
    </xf>
    <xf numFmtId="0" fontId="68" fillId="0" borderId="26" xfId="0" applyFont="1" applyBorder="1"/>
    <xf numFmtId="1" fontId="1" fillId="0" borderId="0" xfId="0" applyNumberFormat="1" applyFont="1"/>
    <xf numFmtId="1" fontId="1" fillId="29" borderId="1" xfId="0" applyNumberFormat="1" applyFont="1" applyFill="1" applyBorder="1" applyAlignment="1">
      <alignment horizontal="center"/>
    </xf>
    <xf numFmtId="1" fontId="1" fillId="0" borderId="1" xfId="0" applyNumberFormat="1" applyFont="1" applyBorder="1"/>
    <xf numFmtId="4" fontId="1" fillId="65" borderId="1" xfId="0" applyNumberFormat="1" applyFont="1" applyFill="1" applyBorder="1" applyAlignment="1">
      <alignment horizontal="center" wrapText="1"/>
    </xf>
    <xf numFmtId="4" fontId="1" fillId="65" borderId="1" xfId="0" applyNumberFormat="1" applyFont="1" applyFill="1" applyBorder="1" applyAlignment="1">
      <alignment horizontal="center"/>
    </xf>
    <xf numFmtId="4" fontId="1" fillId="0" borderId="0" xfId="0" applyNumberFormat="1" applyFont="1" applyAlignment="1">
      <alignment horizontal="center" wrapText="1"/>
    </xf>
    <xf numFmtId="0" fontId="1" fillId="11" borderId="22" xfId="0" applyFont="1" applyFill="1" applyBorder="1" applyAlignment="1">
      <alignment horizontal="center"/>
    </xf>
    <xf numFmtId="0" fontId="1" fillId="11" borderId="24" xfId="0" applyFont="1" applyFill="1" applyBorder="1" applyAlignment="1">
      <alignment horizontal="center"/>
    </xf>
    <xf numFmtId="0" fontId="1" fillId="11" borderId="28" xfId="0" applyFont="1" applyFill="1" applyBorder="1" applyAlignment="1">
      <alignment horizontal="center"/>
    </xf>
    <xf numFmtId="0" fontId="1" fillId="11" borderId="30" xfId="0" applyFont="1" applyFill="1" applyBorder="1" applyAlignment="1">
      <alignment horizontal="center" wrapText="1"/>
    </xf>
    <xf numFmtId="0" fontId="1" fillId="11" borderId="32" xfId="0" applyFont="1" applyFill="1" applyBorder="1" applyAlignment="1">
      <alignment horizontal="center"/>
    </xf>
    <xf numFmtId="1" fontId="1" fillId="12" borderId="1" xfId="0" applyNumberFormat="1" applyFont="1" applyFill="1" applyBorder="1"/>
    <xf numFmtId="4" fontId="1" fillId="12" borderId="1" xfId="0" applyNumberFormat="1" applyFont="1" applyFill="1" applyBorder="1" applyAlignment="1">
      <alignment horizontal="center"/>
    </xf>
    <xf numFmtId="4" fontId="1" fillId="0" borderId="60" xfId="0" applyNumberFormat="1" applyFont="1" applyBorder="1" applyAlignment="1">
      <alignment horizontal="center"/>
    </xf>
    <xf numFmtId="0" fontId="1" fillId="12" borderId="8" xfId="0" applyFont="1" applyFill="1" applyBorder="1" applyAlignment="1">
      <alignment horizontal="center"/>
    </xf>
    <xf numFmtId="4" fontId="1" fillId="12" borderId="8" xfId="0" applyNumberFormat="1" applyFont="1" applyFill="1" applyBorder="1" applyAlignment="1">
      <alignment horizontal="center"/>
    </xf>
    <xf numFmtId="4" fontId="1" fillId="0" borderId="57" xfId="0" applyNumberFormat="1" applyFont="1" applyBorder="1" applyAlignment="1">
      <alignment horizontal="center" wrapText="1"/>
    </xf>
    <xf numFmtId="168" fontId="1" fillId="12" borderId="2" xfId="0" applyNumberFormat="1" applyFont="1" applyFill="1" applyBorder="1" applyAlignment="1">
      <alignment horizontal="center" wrapText="1"/>
    </xf>
    <xf numFmtId="168" fontId="0" fillId="0" borderId="0" xfId="0" applyNumberFormat="1" applyBorder="1"/>
    <xf numFmtId="0" fontId="0" fillId="68" borderId="1" xfId="0" applyFill="1" applyBorder="1"/>
    <xf numFmtId="0" fontId="0" fillId="29" borderId="1" xfId="0" applyFill="1" applyBorder="1"/>
    <xf numFmtId="0" fontId="1" fillId="2" borderId="0" xfId="0" applyFont="1" applyFill="1" applyBorder="1" applyAlignment="1">
      <alignment wrapText="1"/>
    </xf>
    <xf numFmtId="0" fontId="79" fillId="21" borderId="1" xfId="0" applyFont="1" applyFill="1" applyBorder="1" applyAlignment="1">
      <alignment horizontal="center"/>
    </xf>
    <xf numFmtId="14" fontId="1" fillId="3" borderId="25" xfId="0" applyNumberFormat="1" applyFont="1" applyFill="1" applyBorder="1" applyAlignment="1">
      <alignment horizontal="center"/>
    </xf>
    <xf numFmtId="4" fontId="1" fillId="3" borderId="26" xfId="0" applyNumberFormat="1" applyFont="1" applyFill="1" applyBorder="1" applyAlignment="1">
      <alignment horizontal="center"/>
    </xf>
    <xf numFmtId="0" fontId="0" fillId="3" borderId="26" xfId="0" applyFont="1" applyFill="1" applyBorder="1" applyAlignment="1">
      <alignment horizontal="center"/>
    </xf>
    <xf numFmtId="14" fontId="0" fillId="3" borderId="0" xfId="0" applyNumberFormat="1" applyFill="1" applyAlignment="1">
      <alignment horizontal="center"/>
    </xf>
    <xf numFmtId="0" fontId="69" fillId="7" borderId="64" xfId="0" applyFont="1" applyFill="1" applyBorder="1" applyAlignment="1">
      <alignment horizontal="center" wrapText="1"/>
    </xf>
    <xf numFmtId="0" fontId="78" fillId="7" borderId="66" xfId="0" applyFont="1" applyFill="1" applyBorder="1" applyAlignment="1">
      <alignment horizontal="center"/>
    </xf>
    <xf numFmtId="0" fontId="6" fillId="7" borderId="33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7" borderId="50" xfId="0" applyFont="1" applyFill="1" applyBorder="1" applyAlignment="1">
      <alignment horizontal="center"/>
    </xf>
    <xf numFmtId="0" fontId="1" fillId="0" borderId="41" xfId="0" applyFont="1" applyFill="1" applyBorder="1"/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14" fontId="1" fillId="3" borderId="28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70" fillId="3" borderId="1" xfId="0" applyFon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01" fillId="0" borderId="0" xfId="0" applyFont="1" applyFill="1" applyBorder="1" applyAlignment="1">
      <alignment horizontal="left" vertical="top"/>
    </xf>
    <xf numFmtId="0" fontId="101" fillId="67" borderId="70" xfId="0" applyFont="1" applyFill="1" applyBorder="1" applyAlignment="1">
      <alignment horizontal="left" vertical="top" wrapText="1"/>
    </xf>
    <xf numFmtId="0" fontId="101" fillId="67" borderId="70" xfId="0" applyFont="1" applyFill="1" applyBorder="1" applyAlignment="1">
      <alignment horizontal="left" vertical="top" wrapText="1" indent="1"/>
    </xf>
    <xf numFmtId="0" fontId="101" fillId="67" borderId="70" xfId="0" applyFont="1" applyFill="1" applyBorder="1" applyAlignment="1">
      <alignment horizontal="center" vertical="top" wrapText="1"/>
    </xf>
    <xf numFmtId="0" fontId="99" fillId="67" borderId="70" xfId="0" applyFont="1" applyFill="1" applyBorder="1" applyAlignment="1">
      <alignment horizontal="center" vertical="top" wrapText="1"/>
    </xf>
    <xf numFmtId="0" fontId="99" fillId="67" borderId="70" xfId="0" applyFont="1" applyFill="1" applyBorder="1" applyAlignment="1">
      <alignment horizontal="left" vertical="top" wrapText="1" indent="2"/>
    </xf>
    <xf numFmtId="2" fontId="103" fillId="0" borderId="70" xfId="0" applyNumberFormat="1" applyFont="1" applyFill="1" applyBorder="1" applyAlignment="1">
      <alignment horizontal="right" vertical="top" shrinkToFit="1"/>
    </xf>
    <xf numFmtId="0" fontId="101" fillId="67" borderId="67" xfId="0" applyFont="1" applyFill="1" applyBorder="1" applyAlignment="1">
      <alignment horizontal="center" vertical="top" wrapText="1"/>
    </xf>
    <xf numFmtId="0" fontId="99" fillId="67" borderId="67" xfId="0" applyFont="1" applyFill="1" applyBorder="1" applyAlignment="1">
      <alignment horizontal="center" vertical="top" wrapText="1"/>
    </xf>
    <xf numFmtId="0" fontId="102" fillId="0" borderId="70" xfId="0" applyFont="1" applyFill="1" applyBorder="1" applyAlignment="1">
      <alignment horizontal="left" vertical="top" wrapText="1" indent="3"/>
    </xf>
    <xf numFmtId="1" fontId="103" fillId="32" borderId="70" xfId="0" applyNumberFormat="1" applyFont="1" applyFill="1" applyBorder="1" applyAlignment="1">
      <alignment horizontal="center" vertical="top" shrinkToFit="1"/>
    </xf>
    <xf numFmtId="0" fontId="0" fillId="19" borderId="1" xfId="0" applyFill="1" applyBorder="1"/>
    <xf numFmtId="0" fontId="73" fillId="0" borderId="48" xfId="0" applyFont="1" applyBorder="1" applyAlignment="1">
      <alignment horizontal="center" wrapText="1"/>
    </xf>
    <xf numFmtId="0" fontId="62" fillId="3" borderId="1" xfId="3" applyFont="1" applyFill="1" applyBorder="1" applyAlignment="1">
      <alignment horizontal="center" vertical="center" wrapText="1"/>
    </xf>
    <xf numFmtId="0" fontId="0" fillId="30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05" fillId="0" borderId="0" xfId="0" applyFont="1"/>
    <xf numFmtId="0" fontId="105" fillId="0" borderId="0" xfId="0" applyFont="1" applyAlignment="1">
      <alignment horizontal="center"/>
    </xf>
    <xf numFmtId="0" fontId="28" fillId="0" borderId="0" xfId="0" applyFont="1"/>
    <xf numFmtId="0" fontId="107" fillId="0" borderId="1" xfId="0" applyFont="1" applyFill="1" applyBorder="1" applyAlignment="1">
      <alignment horizontal="center" vertical="top"/>
    </xf>
    <xf numFmtId="0" fontId="105" fillId="0" borderId="1" xfId="0" applyFont="1" applyBorder="1" applyAlignment="1">
      <alignment horizontal="center"/>
    </xf>
    <xf numFmtId="0" fontId="28" fillId="0" borderId="1" xfId="0" applyFont="1" applyBorder="1"/>
    <xf numFmtId="3" fontId="105" fillId="0" borderId="1" xfId="0" applyNumberFormat="1" applyFont="1" applyBorder="1" applyAlignment="1">
      <alignment horizontal="center"/>
    </xf>
    <xf numFmtId="1" fontId="107" fillId="0" borderId="1" xfId="0" applyNumberFormat="1" applyFont="1" applyFill="1" applyBorder="1" applyAlignment="1">
      <alignment horizontal="center" vertical="top" shrinkToFit="1"/>
    </xf>
    <xf numFmtId="0" fontId="106" fillId="0" borderId="1" xfId="0" applyFont="1" applyFill="1" applyBorder="1" applyAlignment="1">
      <alignment horizontal="left" vertical="top" wrapText="1"/>
    </xf>
    <xf numFmtId="2" fontId="107" fillId="0" borderId="1" xfId="0" applyNumberFormat="1" applyFont="1" applyFill="1" applyBorder="1" applyAlignment="1">
      <alignment horizontal="center" vertical="top" shrinkToFit="1"/>
    </xf>
    <xf numFmtId="1" fontId="105" fillId="0" borderId="1" xfId="0" applyNumberFormat="1" applyFont="1" applyBorder="1" applyAlignment="1">
      <alignment horizontal="center"/>
    </xf>
    <xf numFmtId="0" fontId="106" fillId="0" borderId="1" xfId="0" applyFont="1" applyFill="1" applyBorder="1" applyAlignment="1">
      <alignment horizontal="center" vertical="top" wrapText="1"/>
    </xf>
    <xf numFmtId="1" fontId="107" fillId="0" borderId="1" xfId="0" applyNumberFormat="1" applyFont="1" applyFill="1" applyBorder="1" applyAlignment="1">
      <alignment horizontal="right" vertical="top" indent="1" shrinkToFit="1"/>
    </xf>
    <xf numFmtId="0" fontId="106" fillId="0" borderId="1" xfId="0" applyFont="1" applyFill="1" applyBorder="1" applyAlignment="1">
      <alignment horizontal="right" vertical="top" wrapText="1" indent="1"/>
    </xf>
    <xf numFmtId="1" fontId="107" fillId="32" borderId="1" xfId="0" applyNumberFormat="1" applyFont="1" applyFill="1" applyBorder="1" applyAlignment="1">
      <alignment horizontal="left" vertical="top" indent="1" shrinkToFit="1"/>
    </xf>
    <xf numFmtId="0" fontId="106" fillId="32" borderId="1" xfId="0" applyFont="1" applyFill="1" applyBorder="1" applyAlignment="1">
      <alignment horizontal="left" vertical="top" wrapText="1"/>
    </xf>
    <xf numFmtId="0" fontId="107" fillId="0" borderId="1" xfId="0" applyFont="1" applyFill="1" applyBorder="1" applyAlignment="1">
      <alignment horizontal="left" wrapText="1"/>
    </xf>
    <xf numFmtId="0" fontId="107" fillId="32" borderId="1" xfId="0" applyFont="1" applyFill="1" applyBorder="1" applyAlignment="1">
      <alignment horizontal="left" wrapText="1"/>
    </xf>
    <xf numFmtId="0" fontId="107" fillId="0" borderId="1" xfId="0" applyFont="1" applyFill="1" applyBorder="1" applyAlignment="1">
      <alignment horizontal="left" vertical="top"/>
    </xf>
    <xf numFmtId="0" fontId="107" fillId="0" borderId="1" xfId="0" applyFont="1" applyFill="1" applyBorder="1" applyAlignment="1">
      <alignment horizontal="left" vertical="top" wrapText="1"/>
    </xf>
    <xf numFmtId="0" fontId="107" fillId="0" borderId="0" xfId="0" applyFont="1" applyFill="1" applyBorder="1" applyAlignment="1">
      <alignment horizontal="left" vertical="top"/>
    </xf>
    <xf numFmtId="0" fontId="107" fillId="0" borderId="0" xfId="0" applyFont="1" applyFill="1" applyBorder="1" applyAlignment="1">
      <alignment horizontal="center" vertical="top"/>
    </xf>
    <xf numFmtId="3" fontId="105" fillId="0" borderId="0" xfId="0" applyNumberFormat="1" applyFont="1" applyAlignment="1">
      <alignment horizontal="center"/>
    </xf>
    <xf numFmtId="0" fontId="1" fillId="3" borderId="9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98" fillId="21" borderId="0" xfId="0" applyFont="1" applyFill="1" applyBorder="1" applyAlignment="1"/>
    <xf numFmtId="0" fontId="1" fillId="3" borderId="3" xfId="0" applyFont="1" applyFill="1" applyBorder="1" applyAlignment="1">
      <alignment horizontal="center" wrapText="1"/>
    </xf>
    <xf numFmtId="0" fontId="1" fillId="21" borderId="13" xfId="0" applyFont="1" applyFill="1" applyBorder="1" applyAlignment="1">
      <alignment horizontal="center" wrapText="1"/>
    </xf>
    <xf numFmtId="0" fontId="1" fillId="21" borderId="13" xfId="0" applyFont="1" applyFill="1" applyBorder="1" applyAlignment="1">
      <alignment horizontal="center"/>
    </xf>
    <xf numFmtId="0" fontId="1" fillId="21" borderId="74" xfId="0" applyFont="1" applyFill="1" applyBorder="1" applyAlignment="1">
      <alignment horizontal="center"/>
    </xf>
    <xf numFmtId="0" fontId="1" fillId="21" borderId="86" xfId="0" applyFont="1" applyFill="1" applyBorder="1" applyAlignment="1">
      <alignment horizontal="center"/>
    </xf>
    <xf numFmtId="0" fontId="1" fillId="21" borderId="4" xfId="0" applyFont="1" applyFill="1" applyBorder="1" applyAlignment="1">
      <alignment horizontal="center"/>
    </xf>
    <xf numFmtId="0" fontId="1" fillId="21" borderId="10" xfId="0" applyFont="1" applyFill="1" applyBorder="1" applyAlignment="1">
      <alignment horizontal="center"/>
    </xf>
    <xf numFmtId="0" fontId="0" fillId="0" borderId="66" xfId="0" applyBorder="1" applyAlignment="1">
      <alignment horizontal="center"/>
    </xf>
    <xf numFmtId="0" fontId="1" fillId="6" borderId="23" xfId="0" applyFont="1" applyFill="1" applyBorder="1" applyAlignment="1">
      <alignment horizontal="center" wrapText="1"/>
    </xf>
    <xf numFmtId="0" fontId="1" fillId="58" borderId="23" xfId="0" applyFont="1" applyFill="1" applyBorder="1" applyAlignment="1">
      <alignment horizontal="center" wrapText="1"/>
    </xf>
    <xf numFmtId="0" fontId="1" fillId="58" borderId="34" xfId="0" applyFont="1" applyFill="1" applyBorder="1" applyAlignment="1">
      <alignment horizontal="center" wrapText="1"/>
    </xf>
    <xf numFmtId="0" fontId="1" fillId="21" borderId="27" xfId="0" applyFont="1" applyFill="1" applyBorder="1" applyAlignment="1">
      <alignment horizontal="center"/>
    </xf>
    <xf numFmtId="0" fontId="1" fillId="21" borderId="29" xfId="0" applyFont="1" applyFill="1" applyBorder="1" applyAlignment="1">
      <alignment horizontal="center"/>
    </xf>
    <xf numFmtId="0" fontId="1" fillId="21" borderId="59" xfId="0" applyFont="1" applyFill="1" applyBorder="1" applyAlignment="1">
      <alignment horizontal="center"/>
    </xf>
    <xf numFmtId="0" fontId="0" fillId="0" borderId="50" xfId="0" applyBorder="1"/>
    <xf numFmtId="0" fontId="1" fillId="21" borderId="11" xfId="0" applyFont="1" applyFill="1" applyBorder="1" applyAlignment="1">
      <alignment horizontal="center"/>
    </xf>
    <xf numFmtId="0" fontId="1" fillId="0" borderId="11" xfId="0" applyFont="1" applyBorder="1"/>
    <xf numFmtId="0" fontId="1" fillId="21" borderId="63" xfId="0" applyFont="1" applyFill="1" applyBorder="1" applyAlignment="1">
      <alignment horizontal="center"/>
    </xf>
    <xf numFmtId="0" fontId="0" fillId="0" borderId="9" xfId="0" applyBorder="1"/>
    <xf numFmtId="0" fontId="1" fillId="0" borderId="25" xfId="0" applyFont="1" applyBorder="1"/>
    <xf numFmtId="0" fontId="1" fillId="0" borderId="9" xfId="0" applyFont="1" applyBorder="1"/>
    <xf numFmtId="0" fontId="1" fillId="0" borderId="41" xfId="0" applyFont="1" applyBorder="1"/>
    <xf numFmtId="3" fontId="0" fillId="0" borderId="0" xfId="0" applyNumberFormat="1"/>
    <xf numFmtId="3" fontId="0" fillId="0" borderId="0" xfId="7" applyNumberFormat="1" applyFont="1"/>
    <xf numFmtId="3" fontId="0" fillId="2" borderId="0" xfId="0" applyNumberFormat="1" applyFill="1"/>
    <xf numFmtId="3" fontId="1" fillId="53" borderId="1" xfId="0" applyNumberFormat="1" applyFont="1" applyFill="1" applyBorder="1" applyAlignment="1">
      <alignment horizont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5" xfId="0" applyBorder="1" applyAlignment="1">
      <alignment horizontal="center"/>
    </xf>
    <xf numFmtId="0" fontId="1" fillId="12" borderId="87" xfId="0" applyFont="1" applyFill="1" applyBorder="1" applyAlignment="1">
      <alignment horizontal="center" wrapText="1"/>
    </xf>
    <xf numFmtId="0" fontId="1" fillId="0" borderId="89" xfId="0" applyFont="1" applyBorder="1" applyAlignment="1">
      <alignment horizontal="center" wrapText="1"/>
    </xf>
    <xf numFmtId="0" fontId="72" fillId="7" borderId="0" xfId="0" applyFont="1" applyFill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0" borderId="86" xfId="0" applyFont="1" applyBorder="1" applyAlignment="1">
      <alignment horizontal="center"/>
    </xf>
    <xf numFmtId="0" fontId="1" fillId="0" borderId="92" xfId="0" applyFont="1" applyBorder="1" applyAlignment="1">
      <alignment horizontal="center"/>
    </xf>
    <xf numFmtId="3" fontId="1" fillId="0" borderId="26" xfId="0" applyNumberFormat="1" applyFont="1" applyBorder="1" applyAlignment="1">
      <alignment horizontal="center" wrapText="1"/>
    </xf>
    <xf numFmtId="0" fontId="1" fillId="0" borderId="9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0" fontId="3" fillId="0" borderId="0" xfId="0" applyFont="1"/>
    <xf numFmtId="178" fontId="3" fillId="0" borderId="0" xfId="7" applyNumberFormat="1" applyFont="1" applyFill="1" applyAlignment="1">
      <alignment horizontal="right"/>
    </xf>
    <xf numFmtId="9" fontId="108" fillId="0" borderId="0" xfId="7" applyNumberFormat="1" applyFont="1" applyFill="1" applyAlignment="1">
      <alignment horizontal="right"/>
    </xf>
    <xf numFmtId="178" fontId="3" fillId="0" borderId="0" xfId="7" applyNumberFormat="1" applyFont="1" applyAlignment="1">
      <alignment horizontal="right"/>
    </xf>
    <xf numFmtId="178" fontId="108" fillId="0" borderId="0" xfId="7" applyNumberFormat="1" applyFont="1" applyAlignment="1">
      <alignment horizontal="center"/>
    </xf>
    <xf numFmtId="178" fontId="0" fillId="0" borderId="0" xfId="7" applyNumberFormat="1" applyFont="1" applyAlignment="1">
      <alignment horizontal="right"/>
    </xf>
    <xf numFmtId="178" fontId="108" fillId="0" borderId="0" xfId="7" applyNumberFormat="1" applyFont="1" applyFill="1" applyAlignment="1">
      <alignment horizontal="right"/>
    </xf>
    <xf numFmtId="178" fontId="108" fillId="0" borderId="0" xfId="7" applyNumberFormat="1" applyFont="1" applyAlignment="1">
      <alignment horizontal="right"/>
    </xf>
    <xf numFmtId="178" fontId="109" fillId="0" borderId="0" xfId="7" applyNumberFormat="1" applyFont="1" applyAlignment="1">
      <alignment horizontal="right"/>
    </xf>
    <xf numFmtId="43" fontId="0" fillId="0" borderId="0" xfId="7" applyFont="1" applyAlignment="1">
      <alignment horizontal="right"/>
    </xf>
    <xf numFmtId="0" fontId="108" fillId="0" borderId="0" xfId="0" applyFont="1"/>
    <xf numFmtId="0" fontId="17" fillId="0" borderId="0" xfId="0" applyFont="1" applyAlignment="1">
      <alignment horizontal="left"/>
    </xf>
    <xf numFmtId="2" fontId="111" fillId="0" borderId="0" xfId="0" applyNumberFormat="1" applyFont="1" applyAlignment="1">
      <alignment horizontal="left"/>
    </xf>
    <xf numFmtId="0" fontId="112" fillId="0" borderId="0" xfId="0" applyFont="1" applyAlignment="1">
      <alignment horizontal="left"/>
    </xf>
    <xf numFmtId="43" fontId="0" fillId="0" borderId="0" xfId="7" applyFont="1"/>
    <xf numFmtId="0" fontId="3" fillId="2" borderId="0" xfId="0" applyFont="1" applyFill="1"/>
    <xf numFmtId="178" fontId="3" fillId="2" borderId="0" xfId="7" applyNumberFormat="1" applyFont="1" applyFill="1" applyAlignment="1">
      <alignment horizontal="right"/>
    </xf>
    <xf numFmtId="1" fontId="0" fillId="0" borderId="0" xfId="0" applyNumberFormat="1" applyAlignment="1">
      <alignment horizontal="center" vertical="center"/>
    </xf>
    <xf numFmtId="43" fontId="1" fillId="0" borderId="0" xfId="7" applyFont="1" applyFill="1" applyAlignment="1">
      <alignment horizontal="center" vertical="center"/>
    </xf>
    <xf numFmtId="179" fontId="0" fillId="0" borderId="0" xfId="7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0" fontId="0" fillId="0" borderId="0" xfId="1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43" fontId="1" fillId="22" borderId="66" xfId="7" applyFont="1" applyFill="1" applyBorder="1" applyAlignment="1">
      <alignment horizontal="center" vertical="center"/>
    </xf>
    <xf numFmtId="180" fontId="113" fillId="0" borderId="13" xfId="0" applyNumberFormat="1" applyFont="1" applyBorder="1" applyAlignment="1">
      <alignment horizontal="center" vertical="center"/>
    </xf>
    <xf numFmtId="0" fontId="1" fillId="70" borderId="16" xfId="0" applyFont="1" applyFill="1" applyBorder="1" applyAlignment="1">
      <alignment horizontal="center" vertical="center" wrapText="1"/>
    </xf>
    <xf numFmtId="0" fontId="1" fillId="70" borderId="20" xfId="0" applyFont="1" applyFill="1" applyBorder="1" applyAlignment="1">
      <alignment horizontal="center" vertical="center" wrapText="1"/>
    </xf>
    <xf numFmtId="43" fontId="1" fillId="70" borderId="20" xfId="7" applyFont="1" applyFill="1" applyBorder="1" applyAlignment="1">
      <alignment horizontal="center" vertical="center" wrapText="1"/>
    </xf>
    <xf numFmtId="43" fontId="1" fillId="70" borderId="93" xfId="7" applyFont="1" applyFill="1" applyBorder="1" applyAlignment="1">
      <alignment horizontal="center" vertical="center" wrapText="1"/>
    </xf>
    <xf numFmtId="43" fontId="1" fillId="70" borderId="16" xfId="7" applyFont="1" applyFill="1" applyBorder="1" applyAlignment="1">
      <alignment horizontal="center" vertical="center" wrapText="1"/>
    </xf>
    <xf numFmtId="43" fontId="1" fillId="70" borderId="17" xfId="7" applyFont="1" applyFill="1" applyBorder="1" applyAlignment="1">
      <alignment horizontal="center" vertical="center" wrapText="1"/>
    </xf>
    <xf numFmtId="43" fontId="1" fillId="70" borderId="94" xfId="7" applyFont="1" applyFill="1" applyBorder="1" applyAlignment="1">
      <alignment horizontal="center" vertical="center" wrapText="1"/>
    </xf>
    <xf numFmtId="179" fontId="2" fillId="23" borderId="23" xfId="7" applyNumberFormat="1" applyFont="1" applyFill="1" applyBorder="1" applyAlignment="1">
      <alignment horizontal="center" vertical="center" wrapText="1"/>
    </xf>
    <xf numFmtId="0" fontId="76" fillId="70" borderId="23" xfId="0" applyFont="1" applyFill="1" applyBorder="1" applyAlignment="1">
      <alignment horizontal="center" vertical="center" wrapText="1"/>
    </xf>
    <xf numFmtId="43" fontId="76" fillId="70" borderId="24" xfId="7" applyFont="1" applyFill="1" applyBorder="1" applyAlignment="1">
      <alignment horizontal="center" vertical="center" wrapText="1"/>
    </xf>
    <xf numFmtId="0" fontId="76" fillId="70" borderId="24" xfId="0" applyFont="1" applyFill="1" applyBorder="1" applyAlignment="1">
      <alignment horizontal="center" vertical="center" wrapText="1"/>
    </xf>
    <xf numFmtId="43" fontId="1" fillId="70" borderId="31" xfId="7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114" fillId="0" borderId="28" xfId="0" applyNumberFormat="1" applyFont="1" applyBorder="1" applyAlignment="1">
      <alignment horizontal="center"/>
    </xf>
    <xf numFmtId="181" fontId="55" fillId="0" borderId="1" xfId="8" applyNumberFormat="1" applyFont="1" applyBorder="1" applyAlignment="1">
      <alignment horizontal="center" vertical="center" wrapText="1"/>
    </xf>
    <xf numFmtId="0" fontId="55" fillId="0" borderId="1" xfId="8" applyFont="1" applyBorder="1" applyAlignment="1">
      <alignment horizontal="left" vertical="center" wrapText="1"/>
    </xf>
    <xf numFmtId="0" fontId="115" fillId="0" borderId="1" xfId="8" applyFont="1" applyBorder="1" applyAlignment="1">
      <alignment horizontal="center" vertical="center" wrapText="1"/>
    </xf>
    <xf numFmtId="2" fontId="1" fillId="70" borderId="26" xfId="7" applyNumberFormat="1" applyFont="1" applyFill="1" applyBorder="1" applyAlignment="1">
      <alignment horizontal="center" vertical="center" wrapText="1"/>
    </xf>
    <xf numFmtId="2" fontId="48" fillId="0" borderId="35" xfId="7" applyNumberFormat="1" applyFont="1" applyFill="1" applyBorder="1" applyAlignment="1">
      <alignment horizontal="center" vertical="center" wrapText="1"/>
    </xf>
    <xf numFmtId="2" fontId="48" fillId="0" borderId="3" xfId="7" applyNumberFormat="1" applyFont="1" applyFill="1" applyBorder="1" applyAlignment="1">
      <alignment horizontal="center" vertical="center" wrapText="1"/>
    </xf>
    <xf numFmtId="2" fontId="48" fillId="0" borderId="28" xfId="7" applyNumberFormat="1" applyFont="1" applyFill="1" applyBorder="1" applyAlignment="1">
      <alignment horizontal="center" vertical="center" wrapText="1"/>
    </xf>
    <xf numFmtId="2" fontId="48" fillId="0" borderId="1" xfId="7" applyNumberFormat="1" applyFont="1" applyFill="1" applyBorder="1" applyAlignment="1">
      <alignment horizontal="center" vertical="center" wrapText="1"/>
    </xf>
    <xf numFmtId="2" fontId="48" fillId="0" borderId="29" xfId="7" applyNumberFormat="1" applyFont="1" applyFill="1" applyBorder="1" applyAlignment="1">
      <alignment horizontal="center" vertical="center" wrapText="1"/>
    </xf>
    <xf numFmtId="43" fontId="1" fillId="70" borderId="4" xfId="7" applyFont="1" applyFill="1" applyBorder="1" applyAlignment="1">
      <alignment horizontal="center" vertical="center" wrapText="1"/>
    </xf>
    <xf numFmtId="43" fontId="114" fillId="0" borderId="1" xfId="7" applyFont="1" applyFill="1" applyBorder="1"/>
    <xf numFmtId="0" fontId="114" fillId="0" borderId="1" xfId="0" applyFont="1" applyBorder="1" applyAlignment="1">
      <alignment horizontal="center"/>
    </xf>
    <xf numFmtId="43" fontId="114" fillId="0" borderId="29" xfId="7" applyFont="1" applyFill="1" applyBorder="1" applyAlignment="1">
      <alignment horizontal="center"/>
    </xf>
    <xf numFmtId="43" fontId="114" fillId="0" borderId="29" xfId="0" applyNumberFormat="1" applyFont="1" applyBorder="1" applyAlignment="1">
      <alignment horizontal="center"/>
    </xf>
    <xf numFmtId="0" fontId="116" fillId="0" borderId="26" xfId="0" applyFont="1" applyBorder="1" applyAlignment="1">
      <alignment horizontal="center"/>
    </xf>
    <xf numFmtId="0" fontId="114" fillId="0" borderId="0" xfId="0" applyFont="1"/>
    <xf numFmtId="1" fontId="0" fillId="0" borderId="28" xfId="0" applyNumberForma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55" fillId="2" borderId="1" xfId="0" applyFont="1" applyFill="1" applyBorder="1" applyAlignment="1">
      <alignment horizontal="center" wrapText="1"/>
    </xf>
    <xf numFmtId="0" fontId="55" fillId="0" borderId="1" xfId="12" applyFont="1" applyBorder="1" applyAlignment="1">
      <alignment horizontal="left" vertical="center" wrapText="1"/>
    </xf>
    <xf numFmtId="0" fontId="115" fillId="0" borderId="1" xfId="12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3" fontId="1" fillId="0" borderId="4" xfId="7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center" wrapText="1"/>
    </xf>
    <xf numFmtId="181" fontId="55" fillId="0" borderId="1" xfId="8" quotePrefix="1" applyNumberFormat="1" applyFont="1" applyBorder="1" applyAlignment="1">
      <alignment horizontal="center" vertical="center" wrapText="1"/>
    </xf>
    <xf numFmtId="179" fontId="55" fillId="0" borderId="1" xfId="7" quotePrefix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43" fontId="1" fillId="0" borderId="0" xfId="7" applyFont="1" applyAlignment="1">
      <alignment horizontal="center" vertical="center"/>
    </xf>
    <xf numFmtId="43" fontId="48" fillId="0" borderId="0" xfId="7" applyAlignment="1">
      <alignment horizontal="center" vertical="center"/>
    </xf>
    <xf numFmtId="43" fontId="48" fillId="0" borderId="0" xfId="7" applyFont="1" applyAlignment="1">
      <alignment horizontal="center" vertical="center"/>
    </xf>
    <xf numFmtId="179" fontId="17" fillId="0" borderId="22" xfId="7" applyNumberFormat="1" applyFont="1" applyBorder="1" applyAlignment="1">
      <alignment horizontal="center" vertical="center"/>
    </xf>
    <xf numFmtId="43" fontId="17" fillId="0" borderId="23" xfId="7" applyFont="1" applyBorder="1" applyAlignment="1">
      <alignment horizontal="center" vertical="center"/>
    </xf>
    <xf numFmtId="179" fontId="60" fillId="0" borderId="28" xfId="0" applyNumberFormat="1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43" fontId="48" fillId="0" borderId="0" xfId="7" applyFont="1" applyFill="1" applyAlignment="1">
      <alignment horizontal="center" vertical="center"/>
    </xf>
    <xf numFmtId="43" fontId="48" fillId="0" borderId="0" xfId="0" applyNumberFormat="1" applyFont="1" applyAlignment="1">
      <alignment horizontal="center" vertical="center"/>
    </xf>
    <xf numFmtId="43" fontId="1" fillId="0" borderId="0" xfId="7" applyFont="1" applyAlignment="1">
      <alignment horizontal="center"/>
    </xf>
    <xf numFmtId="43" fontId="0" fillId="0" borderId="0" xfId="7" applyFont="1" applyAlignment="1">
      <alignment horizontal="center"/>
    </xf>
    <xf numFmtId="179" fontId="0" fillId="0" borderId="0" xfId="7" applyNumberFormat="1" applyFont="1" applyFill="1" applyBorder="1"/>
    <xf numFmtId="43" fontId="0" fillId="0" borderId="0" xfId="7" applyFont="1" applyFill="1" applyAlignment="1">
      <alignment horizontal="center"/>
    </xf>
    <xf numFmtId="0" fontId="108" fillId="0" borderId="0" xfId="0" applyFont="1" applyFill="1"/>
    <xf numFmtId="0" fontId="17" fillId="0" borderId="0" xfId="0" applyFont="1" applyAlignment="1">
      <alignment horizontal="center" wrapText="1"/>
    </xf>
    <xf numFmtId="1" fontId="0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180" fontId="113" fillId="0" borderId="1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70" borderId="76" xfId="0" applyFont="1" applyFill="1" applyBorder="1" applyAlignment="1">
      <alignment horizontal="center" vertical="center" wrapText="1"/>
    </xf>
    <xf numFmtId="43" fontId="1" fillId="70" borderId="20" xfId="7" applyNumberFormat="1" applyFont="1" applyFill="1" applyBorder="1" applyAlignment="1">
      <alignment horizontal="center" vertical="center" wrapText="1"/>
    </xf>
    <xf numFmtId="43" fontId="1" fillId="70" borderId="93" xfId="7" applyNumberFormat="1" applyFont="1" applyFill="1" applyBorder="1" applyAlignment="1">
      <alignment horizontal="center" vertical="center" wrapText="1"/>
    </xf>
    <xf numFmtId="43" fontId="1" fillId="70" borderId="17" xfId="7" applyNumberFormat="1" applyFont="1" applyFill="1" applyBorder="1" applyAlignment="1">
      <alignment horizontal="center" vertical="center" wrapText="1"/>
    </xf>
    <xf numFmtId="43" fontId="1" fillId="70" borderId="16" xfId="7" applyNumberFormat="1" applyFont="1" applyFill="1" applyBorder="1" applyAlignment="1">
      <alignment horizontal="center" vertical="center" wrapText="1"/>
    </xf>
    <xf numFmtId="43" fontId="1" fillId="70" borderId="94" xfId="7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" fontId="114" fillId="0" borderId="0" xfId="0" applyNumberFormat="1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117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2" fontId="1" fillId="70" borderId="35" xfId="7" applyNumberFormat="1" applyFont="1" applyFill="1" applyBorder="1" applyAlignment="1">
      <alignment horizontal="center" vertical="center" wrapText="1"/>
    </xf>
    <xf numFmtId="0" fontId="114" fillId="0" borderId="1" xfId="0" applyFont="1" applyFill="1" applyBorder="1" applyAlignment="1">
      <alignment horizontal="center"/>
    </xf>
    <xf numFmtId="43" fontId="114" fillId="0" borderId="29" xfId="0" applyNumberFormat="1" applyFont="1" applyFill="1" applyBorder="1" applyAlignment="1">
      <alignment horizontal="center"/>
    </xf>
    <xf numFmtId="0" fontId="48" fillId="0" borderId="0" xfId="0" applyFont="1" applyFill="1" applyAlignment="1">
      <alignment vertical="center"/>
    </xf>
    <xf numFmtId="1" fontId="114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/>
    </xf>
    <xf numFmtId="43" fontId="1" fillId="0" borderId="0" xfId="7" applyNumberFormat="1" applyFont="1" applyAlignment="1">
      <alignment horizontal="center"/>
    </xf>
    <xf numFmtId="43" fontId="0" fillId="0" borderId="0" xfId="7" applyNumberFormat="1" applyFont="1" applyAlignment="1">
      <alignment horizontal="center"/>
    </xf>
    <xf numFmtId="43" fontId="48" fillId="0" borderId="24" xfId="0" applyNumberFormat="1" applyFont="1" applyFill="1" applyBorder="1" applyAlignment="1">
      <alignment vertical="center"/>
    </xf>
    <xf numFmtId="43" fontId="48" fillId="0" borderId="29" xfId="0" applyNumberFormat="1" applyFont="1" applyFill="1" applyBorder="1" applyAlignment="1">
      <alignment vertical="center"/>
    </xf>
    <xf numFmtId="43" fontId="48" fillId="0" borderId="0" xfId="0" applyNumberFormat="1" applyFont="1" applyFill="1" applyAlignment="1">
      <alignment vertical="center"/>
    </xf>
    <xf numFmtId="43" fontId="1" fillId="0" borderId="32" xfId="0" applyNumberFormat="1" applyFont="1" applyFill="1" applyBorder="1" applyAlignment="1">
      <alignment vertical="center"/>
    </xf>
    <xf numFmtId="182" fontId="0" fillId="0" borderId="0" xfId="0" applyNumberFormat="1" applyFill="1"/>
    <xf numFmtId="1" fontId="0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/>
    <xf numFmtId="43" fontId="1" fillId="0" borderId="0" xfId="7" applyNumberFormat="1" applyFont="1" applyFill="1" applyAlignment="1">
      <alignment horizontal="center"/>
    </xf>
    <xf numFmtId="43" fontId="0" fillId="0" borderId="0" xfId="7" applyNumberFormat="1" applyFont="1" applyFill="1" applyAlignment="1">
      <alignment horizontal="center"/>
    </xf>
    <xf numFmtId="9" fontId="108" fillId="29" borderId="0" xfId="7" applyNumberFormat="1" applyFont="1" applyFill="1" applyAlignment="1">
      <alignment horizontal="right"/>
    </xf>
    <xf numFmtId="178" fontId="108" fillId="29" borderId="0" xfId="7" applyNumberFormat="1" applyFont="1" applyFill="1" applyAlignment="1">
      <alignment horizontal="right"/>
    </xf>
    <xf numFmtId="0" fontId="17" fillId="29" borderId="0" xfId="0" applyFont="1" applyFill="1" applyAlignment="1">
      <alignment horizontal="left"/>
    </xf>
    <xf numFmtId="0" fontId="112" fillId="29" borderId="0" xfId="0" applyFont="1" applyFill="1" applyAlignment="1">
      <alignment horizontal="left"/>
    </xf>
    <xf numFmtId="178" fontId="3" fillId="29" borderId="0" xfId="7" applyNumberFormat="1" applyFont="1" applyFill="1" applyAlignment="1">
      <alignment horizontal="right"/>
    </xf>
    <xf numFmtId="43" fontId="1" fillId="29" borderId="93" xfId="7" applyFont="1" applyFill="1" applyBorder="1" applyAlignment="1">
      <alignment horizontal="center" vertical="center" wrapText="1"/>
    </xf>
    <xf numFmtId="2" fontId="48" fillId="29" borderId="35" xfId="7" applyNumberFormat="1" applyFont="1" applyFill="1" applyBorder="1" applyAlignment="1">
      <alignment horizontal="center" vertical="center" wrapText="1"/>
    </xf>
    <xf numFmtId="43" fontId="1" fillId="29" borderId="0" xfId="7" applyFont="1" applyFill="1" applyAlignment="1">
      <alignment horizontal="center" vertical="center"/>
    </xf>
    <xf numFmtId="43" fontId="1" fillId="29" borderId="0" xfId="7" applyFont="1" applyFill="1" applyAlignment="1">
      <alignment horizontal="center"/>
    </xf>
    <xf numFmtId="2" fontId="48" fillId="64" borderId="35" xfId="7" applyNumberFormat="1" applyFont="1" applyFill="1" applyBorder="1" applyAlignment="1">
      <alignment horizontal="center" vertical="center" wrapText="1"/>
    </xf>
    <xf numFmtId="178" fontId="0" fillId="0" borderId="0" xfId="7" applyNumberFormat="1" applyFont="1" applyAlignment="1">
      <alignment horizontal="center"/>
    </xf>
    <xf numFmtId="179" fontId="0" fillId="0" borderId="0" xfId="7" applyNumberFormat="1" applyFont="1" applyFill="1" applyBorder="1" applyAlignment="1">
      <alignment horizontal="center" vertical="center"/>
    </xf>
    <xf numFmtId="43" fontId="114" fillId="0" borderId="1" xfId="7" applyFont="1" applyFill="1" applyBorder="1" applyAlignment="1">
      <alignment horizontal="center"/>
    </xf>
    <xf numFmtId="0" fontId="114" fillId="0" borderId="0" xfId="0" applyFont="1" applyAlignment="1">
      <alignment horizontal="center"/>
    </xf>
    <xf numFmtId="10" fontId="114" fillId="0" borderId="1" xfId="1" applyNumberFormat="1" applyFont="1" applyFill="1" applyBorder="1" applyAlignment="1">
      <alignment horizontal="center"/>
    </xf>
    <xf numFmtId="9" fontId="114" fillId="0" borderId="1" xfId="1" applyFont="1" applyFill="1" applyBorder="1" applyAlignment="1">
      <alignment horizontal="center"/>
    </xf>
    <xf numFmtId="179" fontId="114" fillId="0" borderId="1" xfId="7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43" fontId="48" fillId="0" borderId="24" xfId="0" applyNumberFormat="1" applyFont="1" applyBorder="1" applyAlignment="1">
      <alignment horizontal="center" vertical="center"/>
    </xf>
    <xf numFmtId="43" fontId="48" fillId="0" borderId="29" xfId="0" applyNumberFormat="1" applyFont="1" applyBorder="1" applyAlignment="1">
      <alignment horizontal="center" vertical="center"/>
    </xf>
    <xf numFmtId="43" fontId="48" fillId="0" borderId="32" xfId="0" applyNumberFormat="1" applyFont="1" applyBorder="1" applyAlignment="1">
      <alignment horizontal="center" vertical="center"/>
    </xf>
    <xf numFmtId="179" fontId="48" fillId="0" borderId="0" xfId="7" applyNumberFormat="1" applyFont="1" applyFill="1" applyBorder="1" applyAlignment="1">
      <alignment horizontal="center" vertical="center"/>
    </xf>
    <xf numFmtId="179" fontId="0" fillId="0" borderId="0" xfId="7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0" fillId="0" borderId="64" xfId="0" applyBorder="1" applyAlignment="1"/>
    <xf numFmtId="0" fontId="0" fillId="0" borderId="11" xfId="0" applyBorder="1"/>
    <xf numFmtId="0" fontId="1" fillId="2" borderId="9" xfId="0" applyFont="1" applyFill="1" applyBorder="1" applyAlignment="1">
      <alignment horizontal="center" wrapText="1"/>
    </xf>
    <xf numFmtId="3" fontId="0" fillId="2" borderId="9" xfId="0" applyNumberFormat="1" applyFill="1" applyBorder="1" applyAlignment="1">
      <alignment horizontal="center" wrapText="1"/>
    </xf>
    <xf numFmtId="0" fontId="1" fillId="2" borderId="3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1" fontId="1" fillId="21" borderId="1" xfId="0" applyNumberFormat="1" applyFont="1" applyFill="1" applyBorder="1" applyAlignment="1">
      <alignment horizontal="center"/>
    </xf>
    <xf numFmtId="0" fontId="1" fillId="53" borderId="26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wrapText="1"/>
    </xf>
    <xf numFmtId="2" fontId="0" fillId="0" borderId="13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wrapText="1"/>
    </xf>
    <xf numFmtId="2" fontId="0" fillId="0" borderId="9" xfId="0" applyNumberFormat="1" applyBorder="1" applyAlignment="1">
      <alignment horizontal="center"/>
    </xf>
    <xf numFmtId="16" fontId="105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105" fillId="0" borderId="1" xfId="0" applyFont="1" applyBorder="1" applyAlignment="1">
      <alignment horizontal="center" wrapText="1"/>
    </xf>
    <xf numFmtId="2" fontId="28" fillId="0" borderId="1" xfId="0" applyNumberFormat="1" applyFont="1" applyBorder="1" applyAlignment="1">
      <alignment horizontal="center"/>
    </xf>
    <xf numFmtId="2" fontId="0" fillId="3" borderId="1" xfId="0" applyNumberFormat="1" applyFont="1" applyFill="1" applyBorder="1" applyAlignment="1">
      <alignment horizontal="center"/>
    </xf>
    <xf numFmtId="9" fontId="1" fillId="0" borderId="9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 wrapText="1"/>
    </xf>
    <xf numFmtId="0" fontId="1" fillId="30" borderId="8" xfId="0" applyFont="1" applyFill="1" applyBorder="1" applyAlignment="1">
      <alignment horizontal="center" wrapText="1"/>
    </xf>
    <xf numFmtId="0" fontId="1" fillId="0" borderId="7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21" borderId="0" xfId="0" applyFont="1" applyFill="1"/>
    <xf numFmtId="0" fontId="0" fillId="2" borderId="3" xfId="0" applyFill="1" applyBorder="1" applyAlignment="1">
      <alignment horizontal="center"/>
    </xf>
    <xf numFmtId="0" fontId="76" fillId="2" borderId="1" xfId="0" applyFon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49" fontId="1" fillId="30" borderId="1" xfId="0" applyNumberFormat="1" applyFont="1" applyFill="1" applyBorder="1"/>
    <xf numFmtId="1" fontId="1" fillId="30" borderId="51" xfId="0" applyNumberFormat="1" applyFont="1" applyFill="1" applyBorder="1" applyAlignment="1">
      <alignment horizontal="center"/>
    </xf>
    <xf numFmtId="1" fontId="1" fillId="30" borderId="51" xfId="0" applyNumberFormat="1" applyFont="1" applyFill="1" applyBorder="1" applyAlignment="1">
      <alignment horizontal="center" wrapText="1"/>
    </xf>
    <xf numFmtId="0" fontId="1" fillId="30" borderId="23" xfId="0" applyFont="1" applyFill="1" applyBorder="1" applyAlignment="1">
      <alignment horizontal="center"/>
    </xf>
    <xf numFmtId="1" fontId="1" fillId="30" borderId="60" xfId="0" applyNumberFormat="1" applyFont="1" applyFill="1" applyBorder="1" applyAlignment="1">
      <alignment horizontal="center"/>
    </xf>
    <xf numFmtId="2" fontId="1" fillId="30" borderId="23" xfId="0" applyNumberFormat="1" applyFont="1" applyFill="1" applyBorder="1" applyAlignment="1">
      <alignment horizontal="center"/>
    </xf>
    <xf numFmtId="0" fontId="0" fillId="0" borderId="47" xfId="0" applyBorder="1"/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14" borderId="34" xfId="0" applyFill="1" applyBorder="1" applyAlignment="1">
      <alignment horizontal="center" wrapText="1"/>
    </xf>
    <xf numFmtId="0" fontId="1" fillId="30" borderId="87" xfId="0" applyFont="1" applyFill="1" applyBorder="1" applyAlignment="1">
      <alignment horizontal="left"/>
    </xf>
    <xf numFmtId="0" fontId="0" fillId="30" borderId="0" xfId="0" applyFill="1" applyAlignment="1">
      <alignment horizontal="left"/>
    </xf>
    <xf numFmtId="0" fontId="1" fillId="30" borderId="4" xfId="0" applyFont="1" applyFill="1" applyBorder="1" applyAlignment="1">
      <alignment horizontal="left"/>
    </xf>
    <xf numFmtId="0" fontId="1" fillId="30" borderId="10" xfId="0" applyFont="1" applyFill="1" applyBorder="1" applyAlignment="1">
      <alignment horizontal="left"/>
    </xf>
    <xf numFmtId="0" fontId="1" fillId="30" borderId="89" xfId="0" applyFont="1" applyFill="1" applyBorder="1" applyAlignment="1">
      <alignment horizontal="left"/>
    </xf>
    <xf numFmtId="0" fontId="0" fillId="0" borderId="71" xfId="0" applyFill="1" applyBorder="1" applyAlignment="1">
      <alignment horizontal="center"/>
    </xf>
    <xf numFmtId="0" fontId="1" fillId="3" borderId="0" xfId="0" applyFont="1" applyFill="1" applyAlignment="1">
      <alignment horizontal="center" wrapText="1"/>
    </xf>
    <xf numFmtId="0" fontId="118" fillId="19" borderId="1" xfId="0" applyFont="1" applyFill="1" applyBorder="1" applyAlignment="1">
      <alignment horizontal="center" vertical="top" wrapText="1"/>
    </xf>
    <xf numFmtId="0" fontId="119" fillId="19" borderId="1" xfId="0" applyFont="1" applyFill="1" applyBorder="1" applyAlignment="1">
      <alignment horizontal="center" vertical="top"/>
    </xf>
    <xf numFmtId="0" fontId="119" fillId="0" borderId="1" xfId="0" applyFont="1" applyFill="1" applyBorder="1" applyAlignment="1">
      <alignment horizontal="center" vertical="top"/>
    </xf>
    <xf numFmtId="0" fontId="120" fillId="67" borderId="1" xfId="0" applyFont="1" applyFill="1" applyBorder="1" applyAlignment="1">
      <alignment horizontal="center" vertical="top" wrapText="1"/>
    </xf>
    <xf numFmtId="0" fontId="121" fillId="0" borderId="1" xfId="0" applyFont="1" applyBorder="1" applyAlignment="1">
      <alignment horizontal="center"/>
    </xf>
    <xf numFmtId="3" fontId="120" fillId="69" borderId="1" xfId="0" applyNumberFormat="1" applyFont="1" applyFill="1" applyBorder="1" applyAlignment="1">
      <alignment horizontal="center"/>
    </xf>
    <xf numFmtId="0" fontId="122" fillId="0" borderId="1" xfId="0" applyFont="1" applyBorder="1"/>
    <xf numFmtId="0" fontId="122" fillId="0" borderId="0" xfId="0" applyFont="1"/>
    <xf numFmtId="0" fontId="120" fillId="0" borderId="1" xfId="0" applyFont="1" applyBorder="1" applyAlignment="1">
      <alignment horizontal="center"/>
    </xf>
    <xf numFmtId="3" fontId="121" fillId="0" borderId="1" xfId="0" applyNumberFormat="1" applyFont="1" applyBorder="1" applyAlignment="1">
      <alignment horizontal="center"/>
    </xf>
    <xf numFmtId="1" fontId="119" fillId="0" borderId="1" xfId="0" applyNumberFormat="1" applyFont="1" applyFill="1" applyBorder="1" applyAlignment="1">
      <alignment horizontal="center" vertical="top" shrinkToFit="1"/>
    </xf>
    <xf numFmtId="0" fontId="118" fillId="0" borderId="1" xfId="0" applyFont="1" applyFill="1" applyBorder="1" applyAlignment="1">
      <alignment horizontal="left" vertical="top" wrapText="1"/>
    </xf>
    <xf numFmtId="2" fontId="119" fillId="0" borderId="1" xfId="0" applyNumberFormat="1" applyFont="1" applyFill="1" applyBorder="1" applyAlignment="1">
      <alignment horizontal="center" vertical="top" shrinkToFit="1"/>
    </xf>
    <xf numFmtId="1" fontId="121" fillId="0" borderId="1" xfId="0" applyNumberFormat="1" applyFont="1" applyBorder="1" applyAlignment="1">
      <alignment horizontal="center"/>
    </xf>
    <xf numFmtId="0" fontId="118" fillId="67" borderId="1" xfId="0" applyFont="1" applyFill="1" applyBorder="1" applyAlignment="1">
      <alignment horizontal="center" vertical="top" wrapText="1"/>
    </xf>
    <xf numFmtId="0" fontId="118" fillId="0" borderId="1" xfId="0" applyFont="1" applyFill="1" applyBorder="1" applyAlignment="1">
      <alignment horizontal="center" vertical="top" wrapText="1"/>
    </xf>
    <xf numFmtId="0" fontId="119" fillId="67" borderId="1" xfId="0" applyFont="1" applyFill="1" applyBorder="1" applyAlignment="1">
      <alignment horizontal="center" vertical="top" wrapText="1"/>
    </xf>
    <xf numFmtId="0" fontId="119" fillId="0" borderId="1" xfId="0" applyFont="1" applyFill="1" applyBorder="1" applyAlignment="1">
      <alignment vertical="center" wrapText="1"/>
    </xf>
    <xf numFmtId="0" fontId="122" fillId="5" borderId="6" xfId="0" applyFont="1" applyFill="1" applyBorder="1"/>
    <xf numFmtId="49" fontId="122" fillId="5" borderId="6" xfId="0" applyNumberFormat="1" applyFont="1" applyFill="1" applyBorder="1" applyAlignment="1">
      <alignment wrapText="1"/>
    </xf>
    <xf numFmtId="1" fontId="119" fillId="3" borderId="1" xfId="0" applyNumberFormat="1" applyFont="1" applyFill="1" applyBorder="1" applyAlignment="1">
      <alignment horizontal="center" vertical="top" shrinkToFit="1"/>
    </xf>
    <xf numFmtId="2" fontId="119" fillId="3" borderId="1" xfId="0" applyNumberFormat="1" applyFont="1" applyFill="1" applyBorder="1" applyAlignment="1">
      <alignment horizontal="center" vertical="top" shrinkToFit="1"/>
    </xf>
    <xf numFmtId="0" fontId="119" fillId="3" borderId="1" xfId="0" applyFont="1" applyFill="1" applyBorder="1" applyAlignment="1">
      <alignment horizontal="center" vertical="top"/>
    </xf>
    <xf numFmtId="1" fontId="121" fillId="3" borderId="1" xfId="0" applyNumberFormat="1" applyFont="1" applyFill="1" applyBorder="1" applyAlignment="1">
      <alignment horizontal="center"/>
    </xf>
    <xf numFmtId="0" fontId="121" fillId="3" borderId="1" xfId="0" applyFont="1" applyFill="1" applyBorder="1" applyAlignment="1">
      <alignment horizontal="center"/>
    </xf>
    <xf numFmtId="3" fontId="121" fillId="3" borderId="1" xfId="0" applyNumberFormat="1" applyFont="1" applyFill="1" applyBorder="1" applyAlignment="1">
      <alignment horizontal="center"/>
    </xf>
    <xf numFmtId="0" fontId="122" fillId="3" borderId="0" xfId="0" applyFont="1" applyFill="1" applyAlignment="1">
      <alignment horizontal="center"/>
    </xf>
    <xf numFmtId="0" fontId="122" fillId="0" borderId="6" xfId="0" applyFont="1" applyBorder="1"/>
    <xf numFmtId="49" fontId="122" fillId="0" borderId="6" xfId="0" applyNumberFormat="1" applyFont="1" applyBorder="1" applyAlignment="1">
      <alignment wrapText="1"/>
    </xf>
    <xf numFmtId="1" fontId="119" fillId="0" borderId="1" xfId="0" applyNumberFormat="1" applyFont="1" applyFill="1" applyBorder="1" applyAlignment="1">
      <alignment horizontal="right" vertical="top" indent="1" shrinkToFit="1"/>
    </xf>
    <xf numFmtId="1" fontId="119" fillId="0" borderId="1" xfId="0" applyNumberFormat="1" applyFont="1" applyFill="1" applyBorder="1" applyAlignment="1">
      <alignment horizontal="left" vertical="top" indent="2" shrinkToFit="1"/>
    </xf>
    <xf numFmtId="0" fontId="118" fillId="0" borderId="1" xfId="0" applyFont="1" applyFill="1" applyBorder="1" applyAlignment="1">
      <alignment horizontal="right" vertical="top" wrapText="1" indent="1"/>
    </xf>
    <xf numFmtId="1" fontId="119" fillId="0" borderId="1" xfId="0" applyNumberFormat="1" applyFont="1" applyFill="1" applyBorder="1" applyAlignment="1">
      <alignment horizontal="left" vertical="top" indent="1" shrinkToFit="1"/>
    </xf>
    <xf numFmtId="0" fontId="124" fillId="0" borderId="0" xfId="0" applyFont="1"/>
    <xf numFmtId="0" fontId="125" fillId="19" borderId="1" xfId="0" applyFont="1" applyFill="1" applyBorder="1" applyAlignment="1">
      <alignment horizontal="left" vertical="top" wrapText="1" indent="2"/>
    </xf>
    <xf numFmtId="0" fontId="125" fillId="0" borderId="1" xfId="0" applyFont="1" applyFill="1" applyBorder="1" applyAlignment="1">
      <alignment horizontal="left" vertical="top" wrapText="1" indent="1"/>
    </xf>
    <xf numFmtId="0" fontId="125" fillId="0" borderId="1" xfId="0" applyFont="1" applyFill="1" applyBorder="1" applyAlignment="1">
      <alignment horizontal="right" vertical="top" wrapText="1"/>
    </xf>
    <xf numFmtId="0" fontId="125" fillId="67" borderId="1" xfId="0" applyFont="1" applyFill="1" applyBorder="1" applyAlignment="1">
      <alignment horizontal="center" vertical="top" wrapText="1"/>
    </xf>
    <xf numFmtId="0" fontId="125" fillId="0" borderId="1" xfId="0" applyFont="1" applyFill="1" applyBorder="1" applyAlignment="1">
      <alignment horizontal="center" vertical="top" wrapText="1"/>
    </xf>
    <xf numFmtId="0" fontId="127" fillId="67" borderId="1" xfId="0" applyFont="1" applyFill="1" applyBorder="1" applyAlignment="1">
      <alignment horizontal="center" vertical="top" wrapText="1"/>
    </xf>
    <xf numFmtId="0" fontId="125" fillId="67" borderId="1" xfId="0" applyFont="1" applyFill="1" applyBorder="1" applyAlignment="1">
      <alignment horizontal="left" vertical="top" wrapText="1" indent="1"/>
    </xf>
    <xf numFmtId="0" fontId="125" fillId="3" borderId="1" xfId="0" applyFont="1" applyFill="1" applyBorder="1" applyAlignment="1">
      <alignment horizontal="center" vertical="top" wrapText="1"/>
    </xf>
    <xf numFmtId="0" fontId="125" fillId="67" borderId="1" xfId="0" applyFont="1" applyFill="1" applyBorder="1" applyAlignment="1">
      <alignment horizontal="left" vertical="top" wrapText="1" indent="2"/>
    </xf>
    <xf numFmtId="0" fontId="125" fillId="67" borderId="1" xfId="0" applyFont="1" applyFill="1" applyBorder="1" applyAlignment="1">
      <alignment horizontal="left" vertical="top" wrapText="1"/>
    </xf>
    <xf numFmtId="0" fontId="125" fillId="0" borderId="1" xfId="0" applyFont="1" applyFill="1" applyBorder="1" applyAlignment="1">
      <alignment horizontal="left" vertical="top" wrapText="1"/>
    </xf>
    <xf numFmtId="0" fontId="125" fillId="32" borderId="1" xfId="0" applyFont="1" applyFill="1" applyBorder="1" applyAlignment="1">
      <alignment horizontal="center" vertical="top" wrapText="1"/>
    </xf>
    <xf numFmtId="0" fontId="125" fillId="0" borderId="1" xfId="0" applyFont="1" applyFill="1" applyBorder="1" applyAlignment="1">
      <alignment horizontal="left" vertical="top" wrapText="1" indent="2"/>
    </xf>
    <xf numFmtId="0" fontId="127" fillId="0" borderId="1" xfId="0" applyFont="1" applyFill="1" applyBorder="1" applyAlignment="1">
      <alignment horizontal="left" vertical="top"/>
    </xf>
    <xf numFmtId="0" fontId="127" fillId="0" borderId="0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 wrapText="1"/>
    </xf>
    <xf numFmtId="2" fontId="1" fillId="0" borderId="4" xfId="0" applyNumberFormat="1" applyFont="1" applyBorder="1" applyAlignment="1">
      <alignment horizontal="center"/>
    </xf>
    <xf numFmtId="1" fontId="1" fillId="30" borderId="53" xfId="0" applyNumberFormat="1" applyFont="1" applyFill="1" applyBorder="1" applyAlignment="1">
      <alignment horizontal="center"/>
    </xf>
    <xf numFmtId="1" fontId="1" fillId="30" borderId="53" xfId="0" applyNumberFormat="1" applyFont="1" applyFill="1" applyBorder="1" applyAlignment="1">
      <alignment horizontal="center" wrapText="1"/>
    </xf>
    <xf numFmtId="0" fontId="1" fillId="2" borderId="86" xfId="0" applyFont="1" applyFill="1" applyBorder="1" applyAlignment="1">
      <alignment horizontal="center"/>
    </xf>
    <xf numFmtId="2" fontId="1" fillId="2" borderId="34" xfId="0" applyNumberFormat="1" applyFont="1" applyFill="1" applyBorder="1" applyAlignment="1">
      <alignment horizontal="center"/>
    </xf>
    <xf numFmtId="0" fontId="0" fillId="60" borderId="0" xfId="0" applyFill="1" applyAlignment="1">
      <alignment horizontal="center"/>
    </xf>
    <xf numFmtId="0" fontId="0" fillId="60" borderId="0" xfId="0" applyNumberFormat="1" applyFill="1" applyAlignment="1">
      <alignment horizontal="center"/>
    </xf>
    <xf numFmtId="0" fontId="0" fillId="60" borderId="0" xfId="0" applyFill="1"/>
    <xf numFmtId="2" fontId="0" fillId="60" borderId="0" xfId="0" applyNumberFormat="1" applyFill="1"/>
    <xf numFmtId="0" fontId="1" fillId="60" borderId="0" xfId="0" applyFont="1" applyFill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1" fillId="2" borderId="87" xfId="0" applyFont="1" applyFill="1" applyBorder="1" applyAlignment="1">
      <alignment horizontal="center"/>
    </xf>
    <xf numFmtId="0" fontId="1" fillId="11" borderId="9" xfId="0" applyFont="1" applyFill="1" applyBorder="1" applyAlignment="1">
      <alignment horizontal="center"/>
    </xf>
    <xf numFmtId="0" fontId="1" fillId="11" borderId="10" xfId="0" applyFont="1" applyFill="1" applyBorder="1" applyAlignment="1">
      <alignment horizontal="center"/>
    </xf>
    <xf numFmtId="0" fontId="1" fillId="11" borderId="37" xfId="0" applyFont="1" applyFill="1" applyBorder="1" applyAlignment="1">
      <alignment horizontal="center" wrapText="1"/>
    </xf>
    <xf numFmtId="0" fontId="1" fillId="2" borderId="48" xfId="0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 wrapText="1"/>
    </xf>
    <xf numFmtId="0" fontId="1" fillId="11" borderId="75" xfId="0" applyFont="1" applyFill="1" applyBorder="1" applyAlignment="1">
      <alignment horizontal="center" wrapText="1"/>
    </xf>
    <xf numFmtId="0" fontId="1" fillId="11" borderId="77" xfId="0" applyFont="1" applyFill="1" applyBorder="1" applyAlignment="1">
      <alignment horizontal="center" wrapText="1"/>
    </xf>
    <xf numFmtId="2" fontId="1" fillId="0" borderId="57" xfId="0" applyNumberFormat="1" applyFont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2" fontId="1" fillId="2" borderId="24" xfId="0" applyNumberFormat="1" applyFont="1" applyFill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0" fontId="1" fillId="2" borderId="29" xfId="0" applyNumberFormat="1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2" fontId="1" fillId="2" borderId="31" xfId="0" applyNumberFormat="1" applyFont="1" applyFill="1" applyBorder="1" applyAlignment="1">
      <alignment horizontal="center"/>
    </xf>
    <xf numFmtId="0" fontId="1" fillId="2" borderId="24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60" borderId="2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12" borderId="9" xfId="0" applyFont="1" applyFill="1" applyBorder="1" applyAlignment="1">
      <alignment horizontal="center"/>
    </xf>
    <xf numFmtId="0" fontId="1" fillId="12" borderId="50" xfId="0" applyFont="1" applyFill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2" fillId="21" borderId="0" xfId="0" applyFont="1" applyFill="1" applyBorder="1" applyAlignment="1">
      <alignment horizontal="center"/>
    </xf>
    <xf numFmtId="2" fontId="1" fillId="21" borderId="0" xfId="0" applyNumberFormat="1" applyFont="1" applyFill="1" applyBorder="1" applyAlignment="1">
      <alignment horizontal="center"/>
    </xf>
    <xf numFmtId="9" fontId="82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0" borderId="71" xfId="0" applyFont="1" applyFill="1" applyBorder="1" applyAlignment="1">
      <alignment horizontal="center" wrapText="1"/>
    </xf>
    <xf numFmtId="0" fontId="1" fillId="12" borderId="9" xfId="0" applyFont="1" applyFill="1" applyBorder="1" applyAlignment="1">
      <alignment horizontal="center" wrapText="1"/>
    </xf>
    <xf numFmtId="0" fontId="1" fillId="21" borderId="9" xfId="0" applyFont="1" applyFill="1" applyBorder="1"/>
    <xf numFmtId="0" fontId="1" fillId="53" borderId="26" xfId="0" applyFont="1" applyFill="1" applyBorder="1"/>
    <xf numFmtId="0" fontId="1" fillId="53" borderId="1" xfId="0" applyFont="1" applyFill="1" applyBorder="1"/>
    <xf numFmtId="0" fontId="0" fillId="0" borderId="3" xfId="0" applyFill="1" applyBorder="1" applyAlignment="1">
      <alignment horizontal="center"/>
    </xf>
    <xf numFmtId="0" fontId="1" fillId="21" borderId="2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28" fillId="0" borderId="0" xfId="0" applyFont="1"/>
    <xf numFmtId="0" fontId="129" fillId="0" borderId="0" xfId="0" applyFont="1"/>
    <xf numFmtId="0" fontId="128" fillId="7" borderId="1" xfId="0" applyFont="1" applyFill="1" applyBorder="1" applyAlignment="1">
      <alignment horizontal="center"/>
    </xf>
    <xf numFmtId="0" fontId="128" fillId="7" borderId="1" xfId="0" applyFont="1" applyFill="1" applyBorder="1" applyAlignment="1">
      <alignment horizontal="center" wrapText="1"/>
    </xf>
    <xf numFmtId="0" fontId="128" fillId="7" borderId="2" xfId="0" applyFont="1" applyFill="1" applyBorder="1" applyAlignment="1">
      <alignment horizontal="center"/>
    </xf>
    <xf numFmtId="0" fontId="128" fillId="7" borderId="91" xfId="0" applyFont="1" applyFill="1" applyBorder="1" applyAlignment="1">
      <alignment horizontal="center"/>
    </xf>
    <xf numFmtId="14" fontId="128" fillId="7" borderId="1" xfId="0" applyNumberFormat="1" applyFont="1" applyFill="1" applyBorder="1" applyAlignment="1">
      <alignment horizontal="center"/>
    </xf>
    <xf numFmtId="2" fontId="128" fillId="7" borderId="1" xfId="0" applyNumberFormat="1" applyFont="1" applyFill="1" applyBorder="1" applyAlignment="1">
      <alignment horizontal="center" wrapText="1"/>
    </xf>
    <xf numFmtId="2" fontId="128" fillId="7" borderId="1" xfId="0" applyNumberFormat="1" applyFont="1" applyFill="1" applyBorder="1" applyAlignment="1">
      <alignment horizontal="center"/>
    </xf>
    <xf numFmtId="14" fontId="128" fillId="3" borderId="1" xfId="0" applyNumberFormat="1" applyFont="1" applyFill="1" applyBorder="1" applyAlignment="1">
      <alignment horizontal="center"/>
    </xf>
    <xf numFmtId="0" fontId="128" fillId="3" borderId="1" xfId="0" applyFont="1" applyFill="1" applyBorder="1" applyAlignment="1">
      <alignment horizontal="center"/>
    </xf>
    <xf numFmtId="0" fontId="128" fillId="3" borderId="1" xfId="0" applyFont="1" applyFill="1" applyBorder="1" applyAlignment="1">
      <alignment horizontal="center" wrapText="1"/>
    </xf>
    <xf numFmtId="2" fontId="128" fillId="3" borderId="1" xfId="0" applyNumberFormat="1" applyFont="1" applyFill="1" applyBorder="1" applyAlignment="1">
      <alignment horizontal="center" wrapText="1"/>
    </xf>
    <xf numFmtId="2" fontId="128" fillId="3" borderId="1" xfId="0" applyNumberFormat="1" applyFont="1" applyFill="1" applyBorder="1" applyAlignment="1">
      <alignment horizontal="center"/>
    </xf>
    <xf numFmtId="0" fontId="128" fillId="30" borderId="1" xfId="0" applyFont="1" applyFill="1" applyBorder="1" applyAlignment="1">
      <alignment horizontal="center"/>
    </xf>
    <xf numFmtId="0" fontId="128" fillId="3" borderId="1" xfId="0" applyFont="1" applyFill="1" applyBorder="1"/>
    <xf numFmtId="14" fontId="128" fillId="30" borderId="1" xfId="0" applyNumberFormat="1" applyFont="1" applyFill="1" applyBorder="1" applyAlignment="1">
      <alignment horizontal="center"/>
    </xf>
    <xf numFmtId="0" fontId="128" fillId="30" borderId="1" xfId="0" applyFont="1" applyFill="1" applyBorder="1" applyAlignment="1">
      <alignment horizontal="center" wrapText="1"/>
    </xf>
    <xf numFmtId="2" fontId="128" fillId="30" borderId="1" xfId="0" applyNumberFormat="1" applyFont="1" applyFill="1" applyBorder="1" applyAlignment="1">
      <alignment horizontal="center"/>
    </xf>
    <xf numFmtId="0" fontId="128" fillId="0" borderId="1" xfId="0" applyFont="1" applyBorder="1"/>
    <xf numFmtId="14" fontId="128" fillId="2" borderId="1" xfId="0" applyNumberFormat="1" applyFont="1" applyFill="1" applyBorder="1" applyAlignment="1">
      <alignment horizontal="center"/>
    </xf>
    <xf numFmtId="0" fontId="128" fillId="2" borderId="1" xfId="0" applyFont="1" applyFill="1" applyBorder="1" applyAlignment="1">
      <alignment horizontal="center"/>
    </xf>
    <xf numFmtId="0" fontId="128" fillId="2" borderId="1" xfId="0" applyFont="1" applyFill="1" applyBorder="1" applyAlignment="1">
      <alignment horizontal="center" wrapText="1"/>
    </xf>
    <xf numFmtId="0" fontId="128" fillId="0" borderId="1" xfId="0" applyFont="1" applyBorder="1" applyAlignment="1">
      <alignment horizontal="center"/>
    </xf>
    <xf numFmtId="2" fontId="128" fillId="11" borderId="1" xfId="0" applyNumberFormat="1" applyFont="1" applyFill="1" applyBorder="1" applyAlignment="1">
      <alignment horizontal="center"/>
    </xf>
    <xf numFmtId="0" fontId="128" fillId="11" borderId="1" xfId="0" applyFont="1" applyFill="1" applyBorder="1" applyAlignment="1">
      <alignment horizontal="center"/>
    </xf>
    <xf numFmtId="2" fontId="128" fillId="0" borderId="1" xfId="0" applyNumberFormat="1" applyFont="1" applyBorder="1" applyAlignment="1">
      <alignment horizontal="center"/>
    </xf>
    <xf numFmtId="2" fontId="128" fillId="18" borderId="1" xfId="0" applyNumberFormat="1" applyFont="1" applyFill="1" applyBorder="1" applyAlignment="1">
      <alignment horizontal="center"/>
    </xf>
    <xf numFmtId="0" fontId="128" fillId="0" borderId="26" xfId="0" applyFont="1" applyBorder="1" applyAlignment="1">
      <alignment horizontal="center"/>
    </xf>
    <xf numFmtId="14" fontId="128" fillId="53" borderId="1" xfId="0" applyNumberFormat="1" applyFont="1" applyFill="1" applyBorder="1" applyAlignment="1">
      <alignment horizontal="center"/>
    </xf>
    <xf numFmtId="0" fontId="128" fillId="53" borderId="1" xfId="0" applyFont="1" applyFill="1" applyBorder="1" applyAlignment="1">
      <alignment horizontal="center"/>
    </xf>
    <xf numFmtId="2" fontId="128" fillId="53" borderId="1" xfId="0" applyNumberFormat="1" applyFont="1" applyFill="1" applyBorder="1" applyAlignment="1">
      <alignment horizontal="center"/>
    </xf>
    <xf numFmtId="0" fontId="128" fillId="2" borderId="1" xfId="0" applyFont="1" applyFill="1" applyBorder="1"/>
    <xf numFmtId="2" fontId="128" fillId="2" borderId="1" xfId="0" applyNumberFormat="1" applyFont="1" applyFill="1" applyBorder="1" applyAlignment="1">
      <alignment horizontal="center"/>
    </xf>
    <xf numFmtId="0" fontId="128" fillId="2" borderId="3" xfId="0" applyFont="1" applyFill="1" applyBorder="1" applyAlignment="1">
      <alignment horizontal="center"/>
    </xf>
    <xf numFmtId="0" fontId="128" fillId="0" borderId="9" xfId="0" applyFont="1" applyBorder="1" applyAlignment="1">
      <alignment horizontal="center" wrapText="1"/>
    </xf>
    <xf numFmtId="14" fontId="128" fillId="14" borderId="1" xfId="0" applyNumberFormat="1" applyFont="1" applyFill="1" applyBorder="1" applyAlignment="1">
      <alignment horizontal="center"/>
    </xf>
    <xf numFmtId="0" fontId="128" fillId="14" borderId="1" xfId="0" applyFont="1" applyFill="1" applyBorder="1" applyAlignment="1">
      <alignment horizontal="center"/>
    </xf>
    <xf numFmtId="2" fontId="128" fillId="14" borderId="1" xfId="0" applyNumberFormat="1" applyFont="1" applyFill="1" applyBorder="1" applyAlignment="1">
      <alignment horizontal="center"/>
    </xf>
    <xf numFmtId="0" fontId="128" fillId="3" borderId="3" xfId="0" applyFont="1" applyFill="1" applyBorder="1"/>
    <xf numFmtId="14" fontId="128" fillId="61" borderId="1" xfId="0" applyNumberFormat="1" applyFont="1" applyFill="1" applyBorder="1" applyAlignment="1">
      <alignment horizontal="center"/>
    </xf>
    <xf numFmtId="0" fontId="128" fillId="61" borderId="1" xfId="0" applyFont="1" applyFill="1" applyBorder="1" applyAlignment="1">
      <alignment horizontal="center"/>
    </xf>
    <xf numFmtId="2" fontId="128" fillId="61" borderId="1" xfId="0" applyNumberFormat="1" applyFont="1" applyFill="1" applyBorder="1" applyAlignment="1">
      <alignment horizontal="center"/>
    </xf>
    <xf numFmtId="0" fontId="0" fillId="0" borderId="13" xfId="0" applyFont="1" applyBorder="1" applyAlignment="1">
      <alignment horizontal="center" wrapText="1"/>
    </xf>
    <xf numFmtId="1" fontId="82" fillId="21" borderId="0" xfId="0" applyNumberFormat="1" applyFont="1" applyFill="1" applyBorder="1" applyAlignment="1">
      <alignment horizontal="center"/>
    </xf>
    <xf numFmtId="1" fontId="1" fillId="3" borderId="9" xfId="0" applyNumberFormat="1" applyFont="1" applyFill="1" applyBorder="1" applyAlignment="1">
      <alignment horizontal="center"/>
    </xf>
    <xf numFmtId="0" fontId="82" fillId="21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3" xfId="0" applyFont="1" applyFill="1" applyBorder="1"/>
    <xf numFmtId="0" fontId="76" fillId="2" borderId="1" xfId="0" applyFont="1" applyFill="1" applyBorder="1"/>
    <xf numFmtId="0" fontId="82" fillId="5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4" fontId="128" fillId="0" borderId="1" xfId="0" applyNumberFormat="1" applyFont="1" applyBorder="1" applyAlignment="1">
      <alignment horizontal="center"/>
    </xf>
    <xf numFmtId="0" fontId="73" fillId="7" borderId="1" xfId="0" applyFont="1" applyFill="1" applyBorder="1" applyAlignment="1">
      <alignment horizontal="center"/>
    </xf>
    <xf numFmtId="171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3" borderId="12" xfId="0" applyFill="1" applyBorder="1"/>
    <xf numFmtId="0" fontId="0" fillId="3" borderId="15" xfId="0" applyFill="1" applyBorder="1"/>
    <xf numFmtId="0" fontId="0" fillId="3" borderId="21" xfId="0" applyFill="1" applyBorder="1"/>
    <xf numFmtId="0" fontId="0" fillId="3" borderId="46" xfId="0" applyFill="1" applyBorder="1"/>
    <xf numFmtId="0" fontId="0" fillId="3" borderId="38" xfId="0" applyFill="1" applyBorder="1"/>
    <xf numFmtId="0" fontId="0" fillId="2" borderId="8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2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11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52" xfId="0" applyFont="1" applyBorder="1" applyAlignment="1">
      <alignment horizontal="center" wrapText="1"/>
    </xf>
    <xf numFmtId="0" fontId="1" fillId="2" borderId="15" xfId="0" applyFont="1" applyFill="1" applyBorder="1" applyAlignment="1">
      <alignment horizontal="left"/>
    </xf>
    <xf numFmtId="0" fontId="1" fillId="2" borderId="52" xfId="0" applyFont="1" applyFill="1" applyBorder="1" applyAlignment="1"/>
    <xf numFmtId="0" fontId="1" fillId="2" borderId="52" xfId="0" applyFont="1" applyFill="1" applyBorder="1" applyAlignment="1">
      <alignment horizontal="left"/>
    </xf>
    <xf numFmtId="0" fontId="0" fillId="12" borderId="0" xfId="0" applyFill="1" applyBorder="1"/>
    <xf numFmtId="0" fontId="130" fillId="0" borderId="67" xfId="0" applyFont="1" applyFill="1" applyBorder="1" applyAlignment="1">
      <alignment vertical="top" wrapText="1"/>
    </xf>
    <xf numFmtId="0" fontId="130" fillId="0" borderId="97" xfId="0" applyFont="1" applyFill="1" applyBorder="1" applyAlignment="1">
      <alignment vertical="top" wrapText="1"/>
    </xf>
    <xf numFmtId="1" fontId="133" fillId="0" borderId="67" xfId="0" applyNumberFormat="1" applyFont="1" applyFill="1" applyBorder="1" applyAlignment="1">
      <alignment vertical="top" shrinkToFit="1"/>
    </xf>
    <xf numFmtId="1" fontId="131" fillId="0" borderId="67" xfId="0" applyNumberFormat="1" applyFont="1" applyFill="1" applyBorder="1" applyAlignment="1">
      <alignment vertical="top" shrinkToFit="1"/>
    </xf>
    <xf numFmtId="1" fontId="132" fillId="0" borderId="67" xfId="0" applyNumberFormat="1" applyFont="1" applyFill="1" applyBorder="1" applyAlignment="1">
      <alignment vertical="top" shrinkToFit="1"/>
    </xf>
    <xf numFmtId="0" fontId="130" fillId="0" borderId="67" xfId="0" applyFont="1" applyFill="1" applyBorder="1" applyAlignment="1">
      <alignment horizontal="center" vertical="top" wrapText="1"/>
    </xf>
    <xf numFmtId="1" fontId="133" fillId="0" borderId="67" xfId="0" applyNumberFormat="1" applyFont="1" applyFill="1" applyBorder="1" applyAlignment="1">
      <alignment horizontal="center" vertical="top" shrinkToFit="1"/>
    </xf>
    <xf numFmtId="1" fontId="131" fillId="0" borderId="67" xfId="0" applyNumberFormat="1" applyFont="1" applyFill="1" applyBorder="1" applyAlignment="1">
      <alignment horizontal="center" vertical="top" shrinkToFit="1"/>
    </xf>
    <xf numFmtId="1" fontId="132" fillId="0" borderId="67" xfId="0" applyNumberFormat="1" applyFont="1" applyFill="1" applyBorder="1" applyAlignment="1">
      <alignment horizontal="center" vertical="top" shrinkToFit="1"/>
    </xf>
    <xf numFmtId="0" fontId="130" fillId="0" borderId="97" xfId="0" applyFont="1" applyFill="1" applyBorder="1" applyAlignment="1">
      <alignment horizontal="center" vertical="top" wrapText="1"/>
    </xf>
    <xf numFmtId="1" fontId="133" fillId="0" borderId="1" xfId="0" applyNumberFormat="1" applyFont="1" applyFill="1" applyBorder="1" applyAlignment="1">
      <alignment horizontal="center" vertical="top" shrinkToFit="1"/>
    </xf>
    <xf numFmtId="1" fontId="131" fillId="0" borderId="1" xfId="0" applyNumberFormat="1" applyFont="1" applyFill="1" applyBorder="1" applyAlignment="1">
      <alignment horizontal="center" vertical="top" shrinkToFit="1"/>
    </xf>
    <xf numFmtId="1" fontId="132" fillId="0" borderId="1" xfId="0" applyNumberFormat="1" applyFont="1" applyFill="1" applyBorder="1" applyAlignment="1">
      <alignment horizontal="center" vertical="top" shrinkToFit="1"/>
    </xf>
    <xf numFmtId="0" fontId="133" fillId="0" borderId="95" xfId="0" applyFont="1" applyFill="1" applyBorder="1" applyAlignment="1">
      <alignment horizontal="center" vertical="top" wrapText="1"/>
    </xf>
    <xf numFmtId="12" fontId="133" fillId="0" borderId="95" xfId="0" applyNumberFormat="1" applyFont="1" applyFill="1" applyBorder="1" applyAlignment="1">
      <alignment horizontal="center" vertical="top" wrapText="1"/>
    </xf>
    <xf numFmtId="0" fontId="141" fillId="0" borderId="96" xfId="0" applyFont="1" applyFill="1" applyBorder="1" applyAlignment="1">
      <alignment vertical="top" wrapText="1"/>
    </xf>
    <xf numFmtId="0" fontId="141" fillId="0" borderId="96" xfId="0" applyFont="1" applyFill="1" applyBorder="1" applyAlignment="1">
      <alignment horizontal="center" vertical="top" wrapText="1"/>
    </xf>
    <xf numFmtId="0" fontId="141" fillId="0" borderId="1" xfId="0" applyFont="1" applyFill="1" applyBorder="1" applyAlignment="1">
      <alignment horizontal="center" vertical="top" wrapText="1"/>
    </xf>
    <xf numFmtId="12" fontId="132" fillId="0" borderId="67" xfId="0" applyNumberFormat="1" applyFont="1" applyFill="1" applyBorder="1" applyAlignment="1">
      <alignment horizontal="center" vertical="top" shrinkToFit="1"/>
    </xf>
    <xf numFmtId="12" fontId="133" fillId="0" borderId="67" xfId="0" applyNumberFormat="1" applyFont="1" applyFill="1" applyBorder="1" applyAlignment="1">
      <alignment horizontal="center" vertical="top" shrinkToFit="1"/>
    </xf>
    <xf numFmtId="12" fontId="130" fillId="0" borderId="67" xfId="0" applyNumberFormat="1" applyFont="1" applyFill="1" applyBorder="1" applyAlignment="1">
      <alignment horizontal="center" vertical="top" wrapText="1"/>
    </xf>
    <xf numFmtId="1" fontId="135" fillId="0" borderId="67" xfId="0" applyNumberFormat="1" applyFont="1" applyFill="1" applyBorder="1" applyAlignment="1">
      <alignment vertical="top" shrinkToFit="1"/>
    </xf>
    <xf numFmtId="0" fontId="141" fillId="0" borderId="67" xfId="0" applyFont="1" applyFill="1" applyBorder="1" applyAlignment="1">
      <alignment horizontal="center" vertical="top" wrapText="1"/>
    </xf>
    <xf numFmtId="0" fontId="133" fillId="0" borderId="67" xfId="0" applyFont="1" applyFill="1" applyBorder="1" applyAlignment="1">
      <alignment vertical="top" wrapText="1"/>
    </xf>
    <xf numFmtId="12" fontId="141" fillId="0" borderId="67" xfId="0" applyNumberFormat="1" applyFont="1" applyFill="1" applyBorder="1" applyAlignment="1">
      <alignment horizontal="center" vertical="top" wrapText="1"/>
    </xf>
    <xf numFmtId="0" fontId="141" fillId="0" borderId="67" xfId="0" applyFont="1" applyFill="1" applyBorder="1" applyAlignment="1">
      <alignment vertical="top" wrapText="1"/>
    </xf>
    <xf numFmtId="12" fontId="141" fillId="0" borderId="67" xfId="0" applyNumberFormat="1" applyFont="1" applyFill="1" applyBorder="1" applyAlignment="1">
      <alignment vertical="top" wrapText="1"/>
    </xf>
    <xf numFmtId="1" fontId="135" fillId="0" borderId="67" xfId="0" applyNumberFormat="1" applyFont="1" applyFill="1" applyBorder="1" applyAlignment="1">
      <alignment horizontal="center" vertical="top" shrinkToFit="1"/>
    </xf>
    <xf numFmtId="0" fontId="141" fillId="0" borderId="97" xfId="0" applyFont="1" applyFill="1" applyBorder="1" applyAlignment="1">
      <alignment horizontal="center" vertical="top" wrapText="1"/>
    </xf>
    <xf numFmtId="12" fontId="130" fillId="0" borderId="97" xfId="0" applyNumberFormat="1" applyFont="1" applyFill="1" applyBorder="1" applyAlignment="1">
      <alignment horizontal="center" vertical="top" wrapText="1"/>
    </xf>
    <xf numFmtId="1" fontId="133" fillId="0" borderId="97" xfId="0" applyNumberFormat="1" applyFont="1" applyFill="1" applyBorder="1" applyAlignment="1">
      <alignment vertical="top" shrinkToFit="1"/>
    </xf>
    <xf numFmtId="12" fontId="132" fillId="0" borderId="97" xfId="0" applyNumberFormat="1" applyFont="1" applyFill="1" applyBorder="1" applyAlignment="1">
      <alignment horizontal="center" vertical="top" shrinkToFit="1"/>
    </xf>
    <xf numFmtId="1" fontId="132" fillId="0" borderId="97" xfId="0" applyNumberFormat="1" applyFont="1" applyFill="1" applyBorder="1" applyAlignment="1">
      <alignment vertical="top" shrinkToFit="1"/>
    </xf>
    <xf numFmtId="1" fontId="138" fillId="0" borderId="1" xfId="0" applyNumberFormat="1" applyFont="1" applyFill="1" applyBorder="1" applyAlignment="1">
      <alignment horizontal="center" vertical="top" shrinkToFit="1"/>
    </xf>
    <xf numFmtId="1" fontId="139" fillId="0" borderId="1" xfId="0" applyNumberFormat="1" applyFont="1" applyFill="1" applyBorder="1" applyAlignment="1">
      <alignment horizontal="center" vertical="top" shrinkToFit="1"/>
    </xf>
    <xf numFmtId="1" fontId="140" fillId="0" borderId="67" xfId="0" applyNumberFormat="1" applyFont="1" applyFill="1" applyBorder="1" applyAlignment="1">
      <alignment horizontal="center" vertical="top" shrinkToFit="1"/>
    </xf>
    <xf numFmtId="12" fontId="140" fillId="0" borderId="67" xfId="0" applyNumberFormat="1" applyFont="1" applyFill="1" applyBorder="1" applyAlignment="1">
      <alignment horizontal="center" vertical="top" shrinkToFit="1"/>
    </xf>
    <xf numFmtId="1" fontId="139" fillId="0" borderId="67" xfId="0" applyNumberFormat="1" applyFont="1" applyFill="1" applyBorder="1" applyAlignment="1">
      <alignment vertical="top" shrinkToFit="1"/>
    </xf>
    <xf numFmtId="1" fontId="139" fillId="0" borderId="67" xfId="0" applyNumberFormat="1" applyFont="1" applyFill="1" applyBorder="1" applyAlignment="1">
      <alignment horizontal="center" vertical="top" shrinkToFit="1"/>
    </xf>
    <xf numFmtId="12" fontId="146" fillId="0" borderId="67" xfId="0" applyNumberFormat="1" applyFont="1" applyFill="1" applyBorder="1" applyAlignment="1">
      <alignment horizontal="center" vertical="top" shrinkToFit="1"/>
    </xf>
    <xf numFmtId="1" fontId="136" fillId="0" borderId="67" xfId="0" applyNumberFormat="1" applyFont="1" applyFill="1" applyBorder="1" applyAlignment="1">
      <alignment vertical="top" shrinkToFit="1"/>
    </xf>
    <xf numFmtId="1" fontId="138" fillId="0" borderId="67" xfId="0" applyNumberFormat="1" applyFont="1" applyFill="1" applyBorder="1" applyAlignment="1">
      <alignment vertical="top" shrinkToFit="1"/>
    </xf>
    <xf numFmtId="1" fontId="136" fillId="0" borderId="1" xfId="0" applyNumberFormat="1" applyFont="1" applyFill="1" applyBorder="1" applyAlignment="1">
      <alignment horizontal="center" vertical="top" shrinkToFit="1"/>
    </xf>
    <xf numFmtId="1" fontId="146" fillId="0" borderId="67" xfId="0" applyNumberFormat="1" applyFont="1" applyFill="1" applyBorder="1" applyAlignment="1">
      <alignment horizontal="center" vertical="top" shrinkToFit="1"/>
    </xf>
    <xf numFmtId="12" fontId="139" fillId="0" borderId="67" xfId="0" applyNumberFormat="1" applyFont="1" applyFill="1" applyBorder="1" applyAlignment="1">
      <alignment horizontal="center" vertical="top" shrinkToFit="1"/>
    </xf>
    <xf numFmtId="0" fontId="139" fillId="0" borderId="67" xfId="0" applyFont="1" applyFill="1" applyBorder="1" applyAlignment="1">
      <alignment vertical="top" wrapText="1"/>
    </xf>
    <xf numFmtId="0" fontId="138" fillId="0" borderId="67" xfId="0" applyFont="1" applyFill="1" applyBorder="1" applyAlignment="1">
      <alignment vertical="top" wrapText="1"/>
    </xf>
    <xf numFmtId="1" fontId="147" fillId="0" borderId="67" xfId="0" applyNumberFormat="1" applyFont="1" applyFill="1" applyBorder="1" applyAlignment="1">
      <alignment horizontal="center" vertical="top" shrinkToFit="1"/>
    </xf>
    <xf numFmtId="1" fontId="137" fillId="0" borderId="1" xfId="0" applyNumberFormat="1" applyFont="1" applyFill="1" applyBorder="1" applyAlignment="1">
      <alignment horizontal="center" vertical="top" shrinkToFit="1"/>
    </xf>
    <xf numFmtId="1" fontId="140" fillId="0" borderId="67" xfId="0" applyNumberFormat="1" applyFont="1" applyFill="1" applyBorder="1" applyAlignment="1">
      <alignment vertical="top" shrinkToFit="1"/>
    </xf>
    <xf numFmtId="0" fontId="141" fillId="0" borderId="68" xfId="0" applyFont="1" applyFill="1" applyBorder="1" applyAlignment="1">
      <alignment horizontal="center" vertical="top" wrapText="1"/>
    </xf>
    <xf numFmtId="1" fontId="146" fillId="0" borderId="67" xfId="0" applyNumberFormat="1" applyFont="1" applyFill="1" applyBorder="1" applyAlignment="1">
      <alignment vertical="top" shrinkToFit="1"/>
    </xf>
    <xf numFmtId="0" fontId="130" fillId="0" borderId="1" xfId="0" applyFont="1" applyFill="1" applyBorder="1" applyAlignment="1">
      <alignment horizontal="center" vertical="top" wrapText="1"/>
    </xf>
    <xf numFmtId="1" fontId="138" fillId="0" borderId="67" xfId="0" applyNumberFormat="1" applyFont="1" applyFill="1" applyBorder="1" applyAlignment="1">
      <alignment horizontal="center" vertical="top" shrinkToFit="1"/>
    </xf>
    <xf numFmtId="1" fontId="136" fillId="0" borderId="67" xfId="0" applyNumberFormat="1" applyFont="1" applyFill="1" applyBorder="1" applyAlignment="1">
      <alignment horizontal="center" vertical="top" shrinkToFit="1"/>
    </xf>
    <xf numFmtId="1" fontId="146" fillId="0" borderId="1" xfId="0" applyNumberFormat="1" applyFont="1" applyFill="1" applyBorder="1" applyAlignment="1">
      <alignment horizontal="center" vertical="top" shrinkToFit="1"/>
    </xf>
    <xf numFmtId="1" fontId="137" fillId="0" borderId="67" xfId="0" applyNumberFormat="1" applyFont="1" applyFill="1" applyBorder="1" applyAlignment="1">
      <alignment vertical="top" shrinkToFit="1"/>
    </xf>
    <xf numFmtId="1" fontId="140" fillId="0" borderId="95" xfId="0" applyNumberFormat="1" applyFont="1" applyFill="1" applyBorder="1" applyAlignment="1">
      <alignment horizontal="center" vertical="top" shrinkToFit="1"/>
    </xf>
    <xf numFmtId="12" fontId="139" fillId="0" borderId="95" xfId="0" applyNumberFormat="1" applyFont="1" applyFill="1" applyBorder="1" applyAlignment="1">
      <alignment horizontal="center" vertical="top" shrinkToFit="1"/>
    </xf>
    <xf numFmtId="1" fontId="136" fillId="0" borderId="95" xfId="0" applyNumberFormat="1" applyFont="1" applyFill="1" applyBorder="1" applyAlignment="1">
      <alignment vertical="top" shrinkToFit="1"/>
    </xf>
    <xf numFmtId="0" fontId="130" fillId="0" borderId="95" xfId="0" applyFont="1" applyFill="1" applyBorder="1" applyAlignment="1">
      <alignment vertical="top"/>
    </xf>
    <xf numFmtId="0" fontId="130" fillId="0" borderId="95" xfId="0" applyFont="1" applyFill="1" applyBorder="1" applyAlignment="1">
      <alignment horizontal="center" vertical="top" wrapText="1"/>
    </xf>
    <xf numFmtId="12" fontId="69" fillId="0" borderId="1" xfId="0" applyNumberFormat="1" applyFont="1" applyBorder="1" applyAlignment="1">
      <alignment horizontal="center"/>
    </xf>
    <xf numFmtId="0" fontId="69" fillId="0" borderId="1" xfId="0" applyFont="1" applyBorder="1" applyAlignment="1"/>
    <xf numFmtId="0" fontId="130" fillId="0" borderId="3" xfId="0" applyFont="1" applyFill="1" applyBorder="1" applyAlignment="1">
      <alignment horizontal="center" vertical="top" wrapText="1"/>
    </xf>
    <xf numFmtId="12" fontId="1" fillId="0" borderId="0" xfId="0" applyNumberFormat="1" applyFont="1" applyAlignment="1">
      <alignment horizontal="center"/>
    </xf>
    <xf numFmtId="0" fontId="1" fillId="29" borderId="26" xfId="0" applyFont="1" applyFill="1" applyBorder="1" applyAlignment="1">
      <alignment horizontal="center"/>
    </xf>
    <xf numFmtId="3" fontId="1" fillId="29" borderId="26" xfId="0" applyNumberFormat="1" applyFont="1" applyFill="1" applyBorder="1" applyAlignment="1">
      <alignment horizontal="center"/>
    </xf>
    <xf numFmtId="3" fontId="1" fillId="29" borderId="1" xfId="0" applyNumberFormat="1" applyFont="1" applyFill="1" applyBorder="1" applyAlignment="1">
      <alignment horizontal="center"/>
    </xf>
    <xf numFmtId="3" fontId="0" fillId="29" borderId="1" xfId="0" applyNumberFormat="1" applyFill="1" applyBorder="1" applyAlignment="1">
      <alignment horizontal="center"/>
    </xf>
    <xf numFmtId="0" fontId="1" fillId="19" borderId="9" xfId="0" applyFont="1" applyFill="1" applyBorder="1" applyAlignment="1">
      <alignment horizontal="center" wrapText="1"/>
    </xf>
    <xf numFmtId="0" fontId="1" fillId="19" borderId="26" xfId="0" applyFont="1" applyFill="1" applyBorder="1" applyAlignment="1">
      <alignment horizontal="center"/>
    </xf>
    <xf numFmtId="0" fontId="1" fillId="19" borderId="0" xfId="0" applyFont="1" applyFill="1" applyAlignment="1">
      <alignment horizontal="center"/>
    </xf>
    <xf numFmtId="0" fontId="1" fillId="11" borderId="9" xfId="0" applyFont="1" applyFill="1" applyBorder="1" applyAlignment="1">
      <alignment horizontal="center" wrapText="1"/>
    </xf>
    <xf numFmtId="0" fontId="1" fillId="11" borderId="26" xfId="0" applyFont="1" applyFill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1" fillId="2" borderId="13" xfId="0" applyFont="1" applyFill="1" applyBorder="1"/>
    <xf numFmtId="0" fontId="1" fillId="0" borderId="15" xfId="0" applyFont="1" applyBorder="1" applyAlignment="1"/>
    <xf numFmtId="0" fontId="1" fillId="0" borderId="0" xfId="0" applyFont="1" applyBorder="1" applyAlignment="1"/>
    <xf numFmtId="14" fontId="78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5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51" fillId="0" borderId="1" xfId="0" applyFont="1" applyBorder="1" applyAlignment="1">
      <alignment horizontal="center"/>
    </xf>
    <xf numFmtId="1" fontId="151" fillId="0" borderId="1" xfId="0" applyNumberFormat="1" applyFont="1" applyBorder="1" applyAlignment="1">
      <alignment horizontal="center"/>
    </xf>
    <xf numFmtId="0" fontId="15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98" xfId="0" applyFont="1" applyBorder="1" applyAlignment="1"/>
    <xf numFmtId="0" fontId="1" fillId="0" borderId="77" xfId="0" applyFont="1" applyBorder="1" applyAlignment="1">
      <alignment wrapText="1"/>
    </xf>
    <xf numFmtId="0" fontId="1" fillId="0" borderId="98" xfId="0" applyFont="1" applyBorder="1" applyAlignment="1">
      <alignment horizontal="center"/>
    </xf>
    <xf numFmtId="0" fontId="1" fillId="0" borderId="77" xfId="0" applyFont="1" applyBorder="1" applyAlignment="1">
      <alignment horizontal="center" wrapText="1"/>
    </xf>
    <xf numFmtId="0" fontId="1" fillId="3" borderId="4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65" xfId="0" applyFont="1" applyFill="1" applyBorder="1" applyAlignment="1">
      <alignment horizontal="center"/>
    </xf>
    <xf numFmtId="0" fontId="60" fillId="0" borderId="56" xfId="0" applyFont="1" applyBorder="1" applyAlignment="1">
      <alignment horizontal="center" vertical="center"/>
    </xf>
    <xf numFmtId="0" fontId="60" fillId="0" borderId="55" xfId="0" applyFont="1" applyBorder="1" applyAlignment="1">
      <alignment horizontal="center" vertical="center"/>
    </xf>
    <xf numFmtId="0" fontId="60" fillId="0" borderId="89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178" fontId="112" fillId="0" borderId="33" xfId="7" applyNumberFormat="1" applyFont="1" applyBorder="1" applyAlignment="1">
      <alignment horizontal="center" vertical="center"/>
    </xf>
    <xf numFmtId="178" fontId="110" fillId="0" borderId="66" xfId="7" applyNumberFormat="1" applyFont="1" applyBorder="1" applyAlignment="1">
      <alignment horizontal="center" vertical="center"/>
    </xf>
    <xf numFmtId="178" fontId="112" fillId="0" borderId="66" xfId="7" applyNumberFormat="1" applyFont="1" applyBorder="1" applyAlignment="1">
      <alignment horizontal="center" vertical="center"/>
    </xf>
    <xf numFmtId="178" fontId="112" fillId="0" borderId="64" xfId="7" applyNumberFormat="1" applyFont="1" applyBorder="1" applyAlignment="1">
      <alignment horizontal="center" vertical="center"/>
    </xf>
    <xf numFmtId="178" fontId="112" fillId="0" borderId="50" xfId="7" applyNumberFormat="1" applyFont="1" applyBorder="1" applyAlignment="1">
      <alignment horizontal="center" vertical="center"/>
    </xf>
    <xf numFmtId="178" fontId="110" fillId="0" borderId="11" xfId="7" applyNumberFormat="1" applyFont="1" applyBorder="1" applyAlignment="1">
      <alignment horizontal="center" vertical="center"/>
    </xf>
    <xf numFmtId="178" fontId="112" fillId="0" borderId="11" xfId="7" applyNumberFormat="1" applyFont="1" applyBorder="1" applyAlignment="1">
      <alignment horizontal="center" vertical="center"/>
    </xf>
    <xf numFmtId="178" fontId="112" fillId="0" borderId="74" xfId="7" applyNumberFormat="1" applyFont="1" applyBorder="1" applyAlignment="1">
      <alignment horizontal="center" vertical="center"/>
    </xf>
    <xf numFmtId="0" fontId="112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79" fontId="1" fillId="0" borderId="12" xfId="7" applyNumberFormat="1" applyFont="1" applyFill="1" applyBorder="1" applyAlignment="1">
      <alignment horizontal="right" vertical="center"/>
    </xf>
    <xf numFmtId="179" fontId="1" fillId="0" borderId="15" xfId="7" applyNumberFormat="1" applyFont="1" applyFill="1" applyBorder="1" applyAlignment="1">
      <alignment horizontal="right" vertical="center"/>
    </xf>
    <xf numFmtId="178" fontId="110" fillId="0" borderId="33" xfId="7" applyNumberFormat="1" applyFont="1" applyBorder="1" applyAlignment="1">
      <alignment horizontal="center" vertical="center"/>
    </xf>
    <xf numFmtId="178" fontId="110" fillId="0" borderId="64" xfId="7" applyNumberFormat="1" applyFont="1" applyBorder="1" applyAlignment="1">
      <alignment horizontal="center" vertical="center"/>
    </xf>
    <xf numFmtId="178" fontId="110" fillId="0" borderId="50" xfId="7" applyNumberFormat="1" applyFont="1" applyBorder="1" applyAlignment="1">
      <alignment horizontal="center" vertical="center"/>
    </xf>
    <xf numFmtId="178" fontId="110" fillId="0" borderId="74" xfId="7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179" fontId="1" fillId="0" borderId="12" xfId="7" applyNumberFormat="1" applyFont="1" applyFill="1" applyBorder="1" applyAlignment="1">
      <alignment horizontal="center" vertical="center"/>
    </xf>
    <xf numFmtId="179" fontId="1" fillId="0" borderId="15" xfId="7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98" xfId="0" applyFont="1" applyBorder="1" applyAlignment="1">
      <alignment horizontal="center"/>
    </xf>
    <xf numFmtId="0" fontId="1" fillId="0" borderId="86" xfId="0" applyFont="1" applyBorder="1" applyAlignment="1">
      <alignment horizontal="center"/>
    </xf>
    <xf numFmtId="0" fontId="1" fillId="0" borderId="77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77" fillId="0" borderId="33" xfId="0" applyFont="1" applyBorder="1" applyAlignment="1">
      <alignment horizontal="center"/>
    </xf>
    <xf numFmtId="0" fontId="77" fillId="0" borderId="64" xfId="0" applyFont="1" applyBorder="1" applyAlignment="1">
      <alignment horizontal="center"/>
    </xf>
    <xf numFmtId="0" fontId="1" fillId="21" borderId="33" xfId="0" applyFont="1" applyFill="1" applyBorder="1" applyAlignment="1">
      <alignment horizontal="center"/>
    </xf>
    <xf numFmtId="0" fontId="1" fillId="21" borderId="66" xfId="0" applyFont="1" applyFill="1" applyBorder="1" applyAlignment="1">
      <alignment horizontal="center"/>
    </xf>
    <xf numFmtId="0" fontId="1" fillId="42" borderId="1" xfId="0" applyFont="1" applyFill="1" applyBorder="1" applyAlignment="1">
      <alignment horizontal="center" wrapText="1"/>
    </xf>
    <xf numFmtId="0" fontId="1" fillId="4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90" fillId="0" borderId="0" xfId="8" applyFont="1" applyFill="1" applyAlignment="1">
      <alignment horizontal="left"/>
    </xf>
    <xf numFmtId="4" fontId="90" fillId="0" borderId="0" xfId="8" applyNumberFormat="1" applyFont="1" applyAlignment="1">
      <alignment horizontal="center"/>
    </xf>
    <xf numFmtId="0" fontId="65" fillId="0" borderId="1" xfId="8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97" fillId="0" borderId="3" xfId="8" applyNumberFormat="1" applyFont="1" applyFill="1" applyBorder="1" applyAlignment="1">
      <alignment horizontal="center"/>
    </xf>
    <xf numFmtId="0" fontId="97" fillId="0" borderId="4" xfId="8" applyNumberFormat="1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3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29" borderId="71" xfId="0" applyFont="1" applyFill="1" applyBorder="1" applyAlignment="1">
      <alignment horizontal="center"/>
    </xf>
    <xf numFmtId="0" fontId="1" fillId="29" borderId="0" xfId="0" applyFont="1" applyFill="1" applyBorder="1" applyAlignment="1">
      <alignment horizontal="center"/>
    </xf>
    <xf numFmtId="0" fontId="1" fillId="29" borderId="8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9" fillId="56" borderId="80" xfId="0" applyFont="1" applyFill="1" applyBorder="1" applyAlignment="1">
      <alignment horizontal="center" vertical="center" wrapText="1"/>
    </xf>
    <xf numFmtId="0" fontId="59" fillId="56" borderId="82" xfId="0" applyFont="1" applyFill="1" applyBorder="1" applyAlignment="1">
      <alignment horizontal="center" vertical="center" wrapText="1"/>
    </xf>
    <xf numFmtId="0" fontId="56" fillId="0" borderId="79" xfId="0" applyFont="1" applyFill="1" applyBorder="1" applyAlignment="1">
      <alignment horizontal="center" vertical="top" wrapText="1"/>
    </xf>
    <xf numFmtId="2" fontId="1" fillId="0" borderId="83" xfId="0" applyNumberFormat="1" applyFont="1" applyBorder="1" applyAlignment="1">
      <alignment horizontal="center" wrapText="1"/>
    </xf>
    <xf numFmtId="2" fontId="1" fillId="0" borderId="84" xfId="0" applyNumberFormat="1" applyFont="1" applyBorder="1" applyAlignment="1">
      <alignment horizontal="center" wrapText="1"/>
    </xf>
    <xf numFmtId="0" fontId="128" fillId="53" borderId="8" xfId="0" applyFont="1" applyFill="1" applyBorder="1" applyAlignment="1">
      <alignment horizontal="center"/>
    </xf>
    <xf numFmtId="0" fontId="128" fillId="53" borderId="2" xfId="0" applyFont="1" applyFill="1" applyBorder="1" applyAlignment="1">
      <alignment horizontal="center"/>
    </xf>
    <xf numFmtId="0" fontId="128" fillId="53" borderId="26" xfId="0" applyFont="1" applyFill="1" applyBorder="1" applyAlignment="1">
      <alignment horizontal="center"/>
    </xf>
    <xf numFmtId="0" fontId="128" fillId="30" borderId="8" xfId="0" applyFont="1" applyFill="1" applyBorder="1" applyAlignment="1">
      <alignment horizontal="center"/>
    </xf>
    <xf numFmtId="0" fontId="128" fillId="30" borderId="2" xfId="0" applyFont="1" applyFill="1" applyBorder="1" applyAlignment="1">
      <alignment horizontal="center"/>
    </xf>
    <xf numFmtId="0" fontId="128" fillId="30" borderId="26" xfId="0" applyFont="1" applyFill="1" applyBorder="1" applyAlignment="1">
      <alignment horizontal="center"/>
    </xf>
    <xf numFmtId="0" fontId="128" fillId="7" borderId="8" xfId="0" applyFont="1" applyFill="1" applyBorder="1" applyAlignment="1">
      <alignment horizontal="center"/>
    </xf>
    <xf numFmtId="0" fontId="128" fillId="7" borderId="2" xfId="0" applyFont="1" applyFill="1" applyBorder="1" applyAlignment="1">
      <alignment horizontal="center"/>
    </xf>
    <xf numFmtId="0" fontId="128" fillId="7" borderId="26" xfId="0" applyFont="1" applyFill="1" applyBorder="1" applyAlignment="1">
      <alignment horizontal="center"/>
    </xf>
    <xf numFmtId="0" fontId="128" fillId="0" borderId="0" xfId="0" applyFont="1" applyAlignment="1">
      <alignment horizontal="center"/>
    </xf>
    <xf numFmtId="0" fontId="128" fillId="0" borderId="48" xfId="0" applyFont="1" applyBorder="1" applyAlignment="1">
      <alignment horizontal="center"/>
    </xf>
    <xf numFmtId="0" fontId="128" fillId="0" borderId="1" xfId="0" applyFont="1" applyBorder="1" applyAlignment="1">
      <alignment horizontal="center" wrapText="1"/>
    </xf>
    <xf numFmtId="2" fontId="128" fillId="0" borderId="1" xfId="0" applyNumberFormat="1" applyFont="1" applyBorder="1" applyAlignment="1">
      <alignment horizontal="center"/>
    </xf>
    <xf numFmtId="0" fontId="128" fillId="0" borderId="1" xfId="0" applyFont="1" applyBorder="1" applyAlignment="1">
      <alignment horizontal="center"/>
    </xf>
    <xf numFmtId="2" fontId="128" fillId="2" borderId="8" xfId="0" applyNumberFormat="1" applyFont="1" applyFill="1" applyBorder="1" applyAlignment="1">
      <alignment horizontal="center"/>
    </xf>
    <xf numFmtId="2" fontId="128" fillId="2" borderId="26" xfId="0" applyNumberFormat="1" applyFont="1" applyFill="1" applyBorder="1" applyAlignment="1">
      <alignment horizontal="center"/>
    </xf>
    <xf numFmtId="0" fontId="128" fillId="2" borderId="8" xfId="0" applyFont="1" applyFill="1" applyBorder="1" applyAlignment="1">
      <alignment horizontal="center"/>
    </xf>
    <xf numFmtId="0" fontId="128" fillId="2" borderId="26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11" borderId="52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74" xfId="0" applyFont="1" applyBorder="1" applyAlignment="1">
      <alignment horizontal="center"/>
    </xf>
    <xf numFmtId="0" fontId="98" fillId="21" borderId="33" xfId="0" applyFont="1" applyFill="1" applyBorder="1" applyAlignment="1">
      <alignment horizontal="center"/>
    </xf>
    <xf numFmtId="0" fontId="98" fillId="21" borderId="66" xfId="0" applyFont="1" applyFill="1" applyBorder="1" applyAlignment="1">
      <alignment horizontal="center"/>
    </xf>
    <xf numFmtId="0" fontId="98" fillId="21" borderId="64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119" fillId="0" borderId="1" xfId="0" applyFont="1" applyFill="1" applyBorder="1" applyAlignment="1">
      <alignment horizontal="left" wrapText="1"/>
    </xf>
    <xf numFmtId="0" fontId="107" fillId="0" borderId="1" xfId="0" applyFont="1" applyFill="1" applyBorder="1" applyAlignment="1">
      <alignment horizontal="left" vertical="top" wrapText="1"/>
    </xf>
    <xf numFmtId="0" fontId="107" fillId="0" borderId="1" xfId="0" applyFont="1" applyFill="1" applyBorder="1" applyAlignment="1">
      <alignment horizontal="left" vertical="center" wrapText="1"/>
    </xf>
    <xf numFmtId="0" fontId="107" fillId="0" borderId="1" xfId="0" applyFont="1" applyFill="1" applyBorder="1" applyAlignment="1">
      <alignment horizontal="left" wrapText="1"/>
    </xf>
    <xf numFmtId="0" fontId="118" fillId="19" borderId="1" xfId="0" applyFont="1" applyFill="1" applyBorder="1" applyAlignment="1">
      <alignment horizontal="left" wrapText="1"/>
    </xf>
    <xf numFmtId="0" fontId="1" fillId="3" borderId="0" xfId="0" applyFont="1" applyFill="1" applyAlignment="1">
      <alignment horizontal="center"/>
    </xf>
    <xf numFmtId="0" fontId="101" fillId="0" borderId="79" xfId="0" applyFont="1" applyFill="1" applyBorder="1" applyAlignment="1">
      <alignment horizontal="left" wrapText="1"/>
    </xf>
    <xf numFmtId="0" fontId="101" fillId="0" borderId="0" xfId="0" applyFont="1" applyFill="1" applyBorder="1" applyAlignment="1">
      <alignment horizontal="left" vertical="top" wrapText="1"/>
    </xf>
    <xf numFmtId="0" fontId="101" fillId="0" borderId="79" xfId="0" applyFont="1" applyFill="1" applyBorder="1" applyAlignment="1">
      <alignment horizontal="left" vertical="top" wrapText="1"/>
    </xf>
    <xf numFmtId="0" fontId="101" fillId="0" borderId="79" xfId="0" applyFont="1" applyFill="1" applyBorder="1" applyAlignment="1">
      <alignment horizontal="left" vertical="center" wrapText="1"/>
    </xf>
    <xf numFmtId="0" fontId="1" fillId="0" borderId="48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0" fillId="0" borderId="4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30" borderId="3" xfId="0" applyFill="1" applyBorder="1" applyAlignment="1">
      <alignment horizontal="center"/>
    </xf>
    <xf numFmtId="0" fontId="0" fillId="30" borderId="4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71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1" fillId="0" borderId="35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7" borderId="13" xfId="0" applyFont="1" applyFill="1" applyBorder="1" applyAlignment="1">
      <alignment horizontal="center"/>
    </xf>
    <xf numFmtId="0" fontId="1" fillId="7" borderId="66" xfId="0" applyFont="1" applyFill="1" applyBorder="1" applyAlignment="1">
      <alignment horizontal="center"/>
    </xf>
    <xf numFmtId="0" fontId="1" fillId="7" borderId="64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2" fontId="1" fillId="2" borderId="12" xfId="0" applyNumberFormat="1" applyFont="1" applyFill="1" applyBorder="1" applyAlignment="1">
      <alignment horizontal="center" wrapText="1"/>
    </xf>
    <xf numFmtId="2" fontId="1" fillId="2" borderId="1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61" xfId="0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0" fontId="1" fillId="11" borderId="1" xfId="0" applyFon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166" fontId="1" fillId="18" borderId="0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66" fontId="1" fillId="17" borderId="11" xfId="0" applyNumberFormat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8" fillId="3" borderId="12" xfId="0" applyFont="1" applyFill="1" applyBorder="1" applyAlignment="1">
      <alignment horizontal="center" wrapText="1"/>
    </xf>
    <xf numFmtId="0" fontId="8" fillId="3" borderId="13" xfId="0" applyFont="1" applyFill="1" applyBorder="1" applyAlignment="1">
      <alignment horizontal="center" wrapText="1"/>
    </xf>
    <xf numFmtId="167" fontId="7" fillId="0" borderId="18" xfId="0" applyNumberFormat="1" applyFont="1" applyBorder="1" applyAlignment="1">
      <alignment horizontal="center"/>
    </xf>
    <xf numFmtId="167" fontId="7" fillId="0" borderId="19" xfId="0" applyNumberFormat="1" applyFont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166" fontId="0" fillId="3" borderId="0" xfId="0" applyNumberFormat="1" applyFill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16" borderId="12" xfId="0" applyFont="1" applyFill="1" applyBorder="1" applyAlignment="1">
      <alignment horizontal="center" wrapText="1"/>
    </xf>
    <xf numFmtId="0" fontId="8" fillId="16" borderId="15" xfId="0" applyFont="1" applyFill="1" applyBorder="1" applyAlignment="1">
      <alignment horizontal="center" wrapText="1"/>
    </xf>
    <xf numFmtId="0" fontId="8" fillId="16" borderId="13" xfId="0" applyFont="1" applyFill="1" applyBorder="1" applyAlignment="1">
      <alignment horizontal="center" wrapText="1"/>
    </xf>
    <xf numFmtId="166" fontId="7" fillId="16" borderId="16" xfId="0" applyNumberFormat="1" applyFont="1" applyFill="1" applyBorder="1" applyAlignment="1">
      <alignment horizontal="center"/>
    </xf>
    <xf numFmtId="166" fontId="7" fillId="16" borderId="20" xfId="0" applyNumberFormat="1" applyFont="1" applyFill="1" applyBorder="1" applyAlignment="1">
      <alignment horizontal="center"/>
    </xf>
    <xf numFmtId="166" fontId="7" fillId="16" borderId="17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5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5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6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2" borderId="35" xfId="0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7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30" fillId="27" borderId="43" xfId="0" applyFont="1" applyFill="1" applyBorder="1" applyAlignment="1">
      <alignment horizontal="center" vertical="center" wrapText="1"/>
    </xf>
    <xf numFmtId="0" fontId="30" fillId="27" borderId="51" xfId="0" applyFont="1" applyFill="1" applyBorder="1" applyAlignment="1">
      <alignment horizontal="center" vertical="center" wrapText="1"/>
    </xf>
    <xf numFmtId="0" fontId="30" fillId="27" borderId="54" xfId="0" applyFont="1" applyFill="1" applyBorder="1" applyAlignment="1">
      <alignment horizontal="center" vertical="center" wrapText="1"/>
    </xf>
    <xf numFmtId="0" fontId="29" fillId="24" borderId="12" xfId="0" applyFont="1" applyFill="1" applyBorder="1" applyAlignment="1">
      <alignment horizontal="center" vertical="center" wrapText="1"/>
    </xf>
    <xf numFmtId="0" fontId="29" fillId="24" borderId="15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32" fillId="27" borderId="21" xfId="0" applyFont="1" applyFill="1" applyBorder="1" applyAlignment="1">
      <alignment horizontal="center" vertical="center" wrapText="1"/>
    </xf>
    <xf numFmtId="0" fontId="32" fillId="27" borderId="46" xfId="0" applyFont="1" applyFill="1" applyBorder="1" applyAlignment="1">
      <alignment horizontal="center" vertical="center" wrapText="1"/>
    </xf>
    <xf numFmtId="0" fontId="32" fillId="27" borderId="38" xfId="0" applyFont="1" applyFill="1" applyBorder="1" applyAlignment="1">
      <alignment horizontal="center" vertical="center" wrapText="1"/>
    </xf>
    <xf numFmtId="0" fontId="30" fillId="27" borderId="21" xfId="0" applyFont="1" applyFill="1" applyBorder="1" applyAlignment="1">
      <alignment horizontal="center" vertical="center" wrapText="1"/>
    </xf>
    <xf numFmtId="0" fontId="30" fillId="27" borderId="46" xfId="0" applyFont="1" applyFill="1" applyBorder="1" applyAlignment="1">
      <alignment horizontal="center" vertical="center" wrapText="1"/>
    </xf>
    <xf numFmtId="0" fontId="30" fillId="27" borderId="38" xfId="0" applyFont="1" applyFill="1" applyBorder="1" applyAlignment="1">
      <alignment horizontal="center" vertical="center" wrapText="1"/>
    </xf>
    <xf numFmtId="0" fontId="32" fillId="27" borderId="21" xfId="0" applyFont="1" applyFill="1" applyBorder="1" applyAlignment="1">
      <alignment horizontal="center" vertical="center"/>
    </xf>
    <xf numFmtId="0" fontId="32" fillId="27" borderId="46" xfId="0" applyFont="1" applyFill="1" applyBorder="1" applyAlignment="1">
      <alignment horizontal="center" vertical="center"/>
    </xf>
    <xf numFmtId="0" fontId="32" fillId="27" borderId="38" xfId="0" applyFont="1" applyFill="1" applyBorder="1" applyAlignment="1">
      <alignment horizontal="center" vertical="center"/>
    </xf>
    <xf numFmtId="0" fontId="32" fillId="27" borderId="64" xfId="0" applyFont="1" applyFill="1" applyBorder="1" applyAlignment="1">
      <alignment horizontal="center" vertical="center"/>
    </xf>
    <xf numFmtId="0" fontId="32" fillId="27" borderId="65" xfId="0" applyFont="1" applyFill="1" applyBorder="1" applyAlignment="1">
      <alignment horizontal="center" vertical="center"/>
    </xf>
    <xf numFmtId="0" fontId="32" fillId="27" borderId="66" xfId="0" applyFont="1" applyFill="1" applyBorder="1" applyAlignment="1">
      <alignment horizontal="center" vertical="center"/>
    </xf>
    <xf numFmtId="0" fontId="32" fillId="27" borderId="0" xfId="0" applyFont="1" applyFill="1" applyBorder="1" applyAlignment="1">
      <alignment horizontal="center" vertical="center"/>
    </xf>
    <xf numFmtId="0" fontId="32" fillId="27" borderId="11" xfId="0" applyFont="1" applyFill="1" applyBorder="1" applyAlignment="1">
      <alignment horizontal="center" vertical="center"/>
    </xf>
    <xf numFmtId="0" fontId="30" fillId="27" borderId="33" xfId="0" applyFont="1" applyFill="1" applyBorder="1" applyAlignment="1">
      <alignment horizontal="center" vertical="center" wrapText="1"/>
    </xf>
    <xf numFmtId="0" fontId="30" fillId="27" borderId="50" xfId="0" applyFont="1" applyFill="1" applyBorder="1" applyAlignment="1">
      <alignment horizontal="center" vertical="center" wrapText="1"/>
    </xf>
    <xf numFmtId="0" fontId="42" fillId="37" borderId="67" xfId="0" applyFont="1" applyFill="1" applyBorder="1" applyAlignment="1">
      <alignment horizontal="left" vertical="top" wrapText="1" indent="6"/>
    </xf>
    <xf numFmtId="0" fontId="42" fillId="37" borderId="68" xfId="0" applyFont="1" applyFill="1" applyBorder="1" applyAlignment="1">
      <alignment horizontal="left" vertical="top" wrapText="1" indent="6"/>
    </xf>
    <xf numFmtId="0" fontId="42" fillId="38" borderId="67" xfId="0" applyFont="1" applyFill="1" applyBorder="1" applyAlignment="1">
      <alignment horizontal="left" vertical="top" wrapText="1" indent="5"/>
    </xf>
    <xf numFmtId="0" fontId="42" fillId="38" borderId="68" xfId="0" applyFont="1" applyFill="1" applyBorder="1" applyAlignment="1">
      <alignment horizontal="left" vertical="top" wrapText="1" indent="5"/>
    </xf>
    <xf numFmtId="0" fontId="42" fillId="39" borderId="67" xfId="0" applyFont="1" applyFill="1" applyBorder="1" applyAlignment="1">
      <alignment horizontal="left" vertical="top" wrapText="1" indent="7"/>
    </xf>
    <xf numFmtId="0" fontId="42" fillId="39" borderId="68" xfId="0" applyFont="1" applyFill="1" applyBorder="1" applyAlignment="1">
      <alignment horizontal="left" vertical="top" wrapText="1" indent="7"/>
    </xf>
    <xf numFmtId="0" fontId="35" fillId="40" borderId="67" xfId="0" applyFont="1" applyFill="1" applyBorder="1" applyAlignment="1">
      <alignment horizontal="left" vertical="top" wrapText="1" indent="7"/>
    </xf>
    <xf numFmtId="0" fontId="35" fillId="40" borderId="68" xfId="0" applyFont="1" applyFill="1" applyBorder="1" applyAlignment="1">
      <alignment horizontal="left" vertical="top" wrapText="1" indent="7"/>
    </xf>
    <xf numFmtId="0" fontId="35" fillId="40" borderId="69" xfId="0" applyFont="1" applyFill="1" applyBorder="1" applyAlignment="1">
      <alignment horizontal="left" vertical="top" wrapText="1" indent="7"/>
    </xf>
    <xf numFmtId="0" fontId="34" fillId="0" borderId="67" xfId="0" applyFont="1" applyFill="1" applyBorder="1" applyAlignment="1">
      <alignment horizontal="left" vertical="top" wrapText="1"/>
    </xf>
    <xf numFmtId="0" fontId="37" fillId="0" borderId="68" xfId="0" applyFont="1" applyFill="1" applyBorder="1" applyAlignment="1">
      <alignment horizontal="left" vertical="top" wrapText="1"/>
    </xf>
    <xf numFmtId="0" fontId="37" fillId="0" borderId="69" xfId="0" applyFont="1" applyFill="1" applyBorder="1" applyAlignment="1">
      <alignment horizontal="left" vertical="top" wrapText="1"/>
    </xf>
    <xf numFmtId="0" fontId="42" fillId="33" borderId="67" xfId="0" applyFont="1" applyFill="1" applyBorder="1" applyAlignment="1">
      <alignment horizontal="left" vertical="top" wrapText="1" indent="6"/>
    </xf>
    <xf numFmtId="0" fontId="42" fillId="33" borderId="68" xfId="0" applyFont="1" applyFill="1" applyBorder="1" applyAlignment="1">
      <alignment horizontal="left" vertical="top" wrapText="1" indent="6"/>
    </xf>
    <xf numFmtId="0" fontId="42" fillId="33" borderId="67" xfId="0" applyFont="1" applyFill="1" applyBorder="1" applyAlignment="1">
      <alignment horizontal="left" vertical="top" wrapText="1" indent="5"/>
    </xf>
    <xf numFmtId="0" fontId="42" fillId="33" borderId="68" xfId="0" applyFont="1" applyFill="1" applyBorder="1" applyAlignment="1">
      <alignment horizontal="left" vertical="top" wrapText="1" indent="5"/>
    </xf>
    <xf numFmtId="0" fontId="42" fillId="34" borderId="67" xfId="0" applyFont="1" applyFill="1" applyBorder="1" applyAlignment="1">
      <alignment horizontal="left" vertical="top" wrapText="1" indent="5"/>
    </xf>
    <xf numFmtId="0" fontId="42" fillId="34" borderId="68" xfId="0" applyFont="1" applyFill="1" applyBorder="1" applyAlignment="1">
      <alignment horizontal="left" vertical="top" wrapText="1" indent="5"/>
    </xf>
    <xf numFmtId="0" fontId="42" fillId="35" borderId="67" xfId="0" applyFont="1" applyFill="1" applyBorder="1" applyAlignment="1">
      <alignment horizontal="left" vertical="top" wrapText="1" indent="5"/>
    </xf>
    <xf numFmtId="0" fontId="42" fillId="35" borderId="68" xfId="0" applyFont="1" applyFill="1" applyBorder="1" applyAlignment="1">
      <alignment horizontal="left" vertical="top" wrapText="1" indent="5"/>
    </xf>
    <xf numFmtId="0" fontId="42" fillId="36" borderId="67" xfId="0" applyFont="1" applyFill="1" applyBorder="1" applyAlignment="1">
      <alignment horizontal="left" vertical="top" wrapText="1" indent="4"/>
    </xf>
    <xf numFmtId="0" fontId="42" fillId="36" borderId="68" xfId="0" applyFont="1" applyFill="1" applyBorder="1" applyAlignment="1">
      <alignment horizontal="left" vertical="top" wrapText="1" indent="4"/>
    </xf>
  </cellXfs>
  <cellStyles count="13">
    <cellStyle name="          _x000d__x000a_386grabber=VGA.3GR_x000d__x000a_" xfId="3"/>
    <cellStyle name="Millares" xfId="7" builtinId="3"/>
    <cellStyle name="Millares 2" xfId="11"/>
    <cellStyle name="Moneda" xfId="6" builtinId="4"/>
    <cellStyle name="Normal" xfId="0" builtinId="0"/>
    <cellStyle name="Normal 10" xfId="2"/>
    <cellStyle name="Normal 13" xfId="9"/>
    <cellStyle name="Normal 2" xfId="12"/>
    <cellStyle name="Normal 2 3" xfId="10"/>
    <cellStyle name="Normal 3" xfId="8"/>
    <cellStyle name="Normal 5" xfId="5"/>
    <cellStyle name="Normal_Lista de Precios Food Service - Precio Único 2" xfId="4"/>
    <cellStyle name="Porcentaje" xfId="1" builtinId="5"/>
  </cellStyles>
  <dxfs count="77"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bottom" textRotation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"/>
        <scheme val="none"/>
      </font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"/>
        <scheme val="none"/>
      </font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"/>
        <scheme val="none"/>
      </font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8"/>
        <color theme="1"/>
        <name val="Ari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Ari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Ari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Ari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Ari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Ari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Ari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Ari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"/>
        <scheme val="none"/>
      </font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Ari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"/>
        <scheme val="none"/>
      </font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Ari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"/>
        <scheme val="none"/>
      </font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Aria"/>
        <scheme val="none"/>
      </font>
    </dxf>
    <dxf>
      <border outline="0">
        <top style="medium">
          <color indexed="64"/>
        </top>
      </border>
    </dxf>
    <dxf>
      <font>
        <b/>
        <strike val="0"/>
        <outline val="0"/>
        <shadow val="0"/>
        <u val="none"/>
        <vertAlign val="baseline"/>
        <sz val="8"/>
        <color theme="1"/>
        <name val="Aria"/>
        <scheme val="none"/>
      </font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border>
        <bottom style="thin">
          <color indexed="64"/>
        </bottom>
      </border>
    </dxf>
    <dxf>
      <font>
        <b/>
      </font>
      <fill>
        <patternFill>
          <fgColor indexed="64"/>
          <bgColor theme="4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integer" name="Documento" form="unqualified"/>
                  <xsd:element minOccurs="0" nillable="true" type="xsd:string" name="Fecha" form="unqualified"/>
                  <xsd:element minOccurs="0" nillable="true" type="xsd:integer" name="Factura" form="unqualified"/>
                  <xsd:element minOccurs="0" nillable="true" type="xsd:string" name="Deposito_Origen" form="unqualified"/>
                  <xsd:element minOccurs="0" nillable="true" type="xsd:string" name="Deposito_Destino" form="unqualified"/>
                  <xsd:element minOccurs="0" nillable="true" type="xsd:string" name="Proveedor" form="unqualified"/>
                  <xsd:element minOccurs="0" maxOccurs="unbounded" nillable="true" name="Detalle" form="unqualified">
                    <xsd:complexType>
                      <xsd:sequence minOccurs="0">
                        <xsd:element minOccurs="0" nillable="true" type="xsd:integer" name="Articulo" form="unqualified"/>
                        <xsd:element minOccurs="0" nillable="true" type="xsd:integer" name="Cantidad" form="unqualified"/>
                        <xsd:element minOccurs="0" nillable="true" type="xsd:double" name="Costo" form="unqualified"/>
                        <xsd:element minOccurs="0" nillable="true" type="xsd:double" name="Subtotal" form="unqualified"/>
                        <xsd:element minOccurs="0" nillable="true" type="xsd:string" name="Descripcion" form="unqualified"/>
                        <xsd:element minOccurs="0" nillable="true" type="xsd:integer" name="Impuesto_1" form="unqualified"/>
                        <xsd:element minOccurs="0" nillable="true" type="xsd:integer" name="Impuesto_2" form="unqualified"/>
                        <xsd:element minOccurs="0" nillable="true" type="xsd:integer" name="Impuesto_3" form="unqualified"/>
                        <xsd:element minOccurs="0" nillable="true" type="xsd:double" name="Monto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styles" Target="style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2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connections" Target="connection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xmlMaps" Target="xmlMap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401805</xdr:colOff>
      <xdr:row>51</xdr:row>
      <xdr:rowOff>0</xdr:rowOff>
    </xdr:from>
    <xdr:ext cx="6097905" cy="0"/>
    <xdr:sp macro="" textlink="">
      <xdr:nvSpPr>
        <xdr:cNvPr id="2" name="Shape 2"/>
        <xdr:cNvSpPr/>
      </xdr:nvSpPr>
      <xdr:spPr>
        <a:xfrm>
          <a:off x="1001880" y="12211050"/>
          <a:ext cx="6097905" cy="0"/>
        </a:xfrm>
        <a:custGeom>
          <a:avLst/>
          <a:gdLst/>
          <a:ahLst/>
          <a:cxnLst/>
          <a:rect l="0" t="0" r="0" b="0"/>
          <a:pathLst>
            <a:path w="6097905">
              <a:moveTo>
                <a:pt x="0" y="0"/>
              </a:moveTo>
              <a:lnTo>
                <a:pt x="6097318" y="0"/>
              </a:lnTo>
            </a:path>
          </a:pathLst>
        </a:custGeom>
        <a:ln w="12219">
          <a:solidFill>
            <a:srgbClr val="000000"/>
          </a:solidFill>
        </a:ln>
      </xdr:spPr>
    </xdr:sp>
    <xdr:clientData/>
  </xdr:oneCellAnchor>
  <xdr:oneCellAnchor>
    <xdr:from>
      <xdr:col>1</xdr:col>
      <xdr:colOff>414036</xdr:colOff>
      <xdr:row>51</xdr:row>
      <xdr:rowOff>0</xdr:rowOff>
    </xdr:from>
    <xdr:ext cx="6085205" cy="0"/>
    <xdr:sp macro="" textlink="">
      <xdr:nvSpPr>
        <xdr:cNvPr id="3" name="Shape 3"/>
        <xdr:cNvSpPr/>
      </xdr:nvSpPr>
      <xdr:spPr>
        <a:xfrm>
          <a:off x="1004586" y="12211050"/>
          <a:ext cx="6085205" cy="0"/>
        </a:xfrm>
        <a:custGeom>
          <a:avLst/>
          <a:gdLst/>
          <a:ahLst/>
          <a:cxnLst/>
          <a:rect l="0" t="0" r="0" b="0"/>
          <a:pathLst>
            <a:path w="6085205">
              <a:moveTo>
                <a:pt x="0" y="0"/>
              </a:moveTo>
              <a:lnTo>
                <a:pt x="6085087" y="0"/>
              </a:lnTo>
            </a:path>
          </a:pathLst>
        </a:custGeom>
        <a:ln w="12219">
          <a:solidFill>
            <a:srgbClr val="000000"/>
          </a:solidFill>
        </a:ln>
      </xdr:spPr>
    </xdr:sp>
    <xdr:clientData/>
  </xdr:oneCellAnchor>
  <xdr:oneCellAnchor>
    <xdr:from>
      <xdr:col>1</xdr:col>
      <xdr:colOff>0</xdr:colOff>
      <xdr:row>51</xdr:row>
      <xdr:rowOff>0</xdr:rowOff>
    </xdr:from>
    <xdr:ext cx="6690995" cy="0"/>
    <xdr:sp macro="" textlink="">
      <xdr:nvSpPr>
        <xdr:cNvPr id="4" name="Shape 4"/>
        <xdr:cNvSpPr/>
      </xdr:nvSpPr>
      <xdr:spPr>
        <a:xfrm>
          <a:off x="340028" y="12211050"/>
          <a:ext cx="6690995" cy="0"/>
        </a:xfrm>
        <a:custGeom>
          <a:avLst/>
          <a:gdLst/>
          <a:ahLst/>
          <a:cxnLst/>
          <a:rect l="0" t="0" r="0" b="0"/>
          <a:pathLst>
            <a:path w="6690995">
              <a:moveTo>
                <a:pt x="0" y="0"/>
              </a:moveTo>
              <a:lnTo>
                <a:pt x="6690538" y="0"/>
              </a:lnTo>
            </a:path>
          </a:pathLst>
        </a:custGeom>
        <a:ln w="12219">
          <a:solidFill>
            <a:srgbClr val="000000"/>
          </a:solidFill>
        </a:ln>
      </xdr:spPr>
    </xdr:sp>
    <xdr:clientData/>
  </xdr:oneCellAnchor>
  <xdr:oneCellAnchor>
    <xdr:from>
      <xdr:col>6</xdr:col>
      <xdr:colOff>0</xdr:colOff>
      <xdr:row>82</xdr:row>
      <xdr:rowOff>0</xdr:rowOff>
    </xdr:from>
    <xdr:ext cx="2533015" cy="0"/>
    <xdr:sp macro="" textlink="">
      <xdr:nvSpPr>
        <xdr:cNvPr id="5" name="Shape 6"/>
        <xdr:cNvSpPr/>
      </xdr:nvSpPr>
      <xdr:spPr>
        <a:xfrm>
          <a:off x="9727929" y="21326475"/>
          <a:ext cx="2533015" cy="0"/>
        </a:xfrm>
        <a:custGeom>
          <a:avLst/>
          <a:gdLst/>
          <a:ahLst/>
          <a:cxnLst/>
          <a:rect l="0" t="0" r="0" b="0"/>
          <a:pathLst>
            <a:path w="2533015">
              <a:moveTo>
                <a:pt x="0" y="0"/>
              </a:moveTo>
              <a:lnTo>
                <a:pt x="2532987" y="0"/>
              </a:lnTo>
            </a:path>
          </a:pathLst>
        </a:custGeom>
        <a:ln w="18329">
          <a:solidFill>
            <a:srgbClr val="000000"/>
          </a:solidFill>
        </a:ln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314325</xdr:colOff>
      <xdr:row>3</xdr:row>
      <xdr:rowOff>581025</xdr:rowOff>
    </xdr:from>
    <xdr:ext cx="2057401" cy="600075"/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8650" y="1190625"/>
          <a:ext cx="2057401" cy="600075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27</xdr:row>
      <xdr:rowOff>95250</xdr:rowOff>
    </xdr:from>
    <xdr:to>
      <xdr:col>6</xdr:col>
      <xdr:colOff>314325</xdr:colOff>
      <xdr:row>27</xdr:row>
      <xdr:rowOff>695325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" y="5810250"/>
          <a:ext cx="3467100" cy="600075"/>
        </a:xfrm>
        <a:prstGeom prst="rect">
          <a:avLst/>
        </a:prstGeom>
      </xdr:spPr>
    </xdr:pic>
    <xdr:clientData/>
  </xdr:twoCellAnchor>
  <xdr:oneCellAnchor>
    <xdr:from>
      <xdr:col>2</xdr:col>
      <xdr:colOff>523875</xdr:colOff>
      <xdr:row>63</xdr:row>
      <xdr:rowOff>104775</xdr:rowOff>
    </xdr:from>
    <xdr:ext cx="3467100" cy="600075"/>
    <xdr:pic>
      <xdr:nvPicPr>
        <xdr:cNvPr id="4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11525250"/>
          <a:ext cx="3467100" cy="600075"/>
        </a:xfrm>
        <a:prstGeom prst="rect">
          <a:avLst/>
        </a:prstGeom>
      </xdr:spPr>
    </xdr:pic>
    <xdr:clientData/>
  </xdr:oneCellAnchor>
  <xdr:oneCellAnchor>
    <xdr:from>
      <xdr:col>2</xdr:col>
      <xdr:colOff>704850</xdr:colOff>
      <xdr:row>101</xdr:row>
      <xdr:rowOff>57150</xdr:rowOff>
    </xdr:from>
    <xdr:ext cx="3467100" cy="600075"/>
    <xdr:pic>
      <xdr:nvPicPr>
        <xdr:cNvPr id="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15754350"/>
          <a:ext cx="3467100" cy="600075"/>
        </a:xfrm>
        <a:prstGeom prst="rect">
          <a:avLst/>
        </a:prstGeom>
      </xdr:spPr>
    </xdr:pic>
    <xdr:clientData/>
  </xdr:oneCellAnchor>
  <xdr:oneCellAnchor>
    <xdr:from>
      <xdr:col>3</xdr:col>
      <xdr:colOff>238125</xdr:colOff>
      <xdr:row>124</xdr:row>
      <xdr:rowOff>133350</xdr:rowOff>
    </xdr:from>
    <xdr:ext cx="3467100" cy="600075"/>
    <xdr:pic>
      <xdr:nvPicPr>
        <xdr:cNvPr id="6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700" y="21031200"/>
          <a:ext cx="3467100" cy="600075"/>
        </a:xfrm>
        <a:prstGeom prst="rect">
          <a:avLst/>
        </a:prstGeom>
      </xdr:spPr>
    </xdr:pic>
    <xdr:clientData/>
  </xdr:oneCellAnchor>
  <xdr:oneCellAnchor>
    <xdr:from>
      <xdr:col>3</xdr:col>
      <xdr:colOff>133350</xdr:colOff>
      <xdr:row>173</xdr:row>
      <xdr:rowOff>114300</xdr:rowOff>
    </xdr:from>
    <xdr:ext cx="3467100" cy="600075"/>
    <xdr:pic>
      <xdr:nvPicPr>
        <xdr:cNvPr id="7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4925" y="28489275"/>
          <a:ext cx="3467100" cy="600075"/>
        </a:xfrm>
        <a:prstGeom prst="rect">
          <a:avLst/>
        </a:prstGeom>
      </xdr:spPr>
    </xdr:pic>
    <xdr:clientData/>
  </xdr:oneCellAnchor>
  <xdr:oneCellAnchor>
    <xdr:from>
      <xdr:col>3</xdr:col>
      <xdr:colOff>114300</xdr:colOff>
      <xdr:row>240</xdr:row>
      <xdr:rowOff>0</xdr:rowOff>
    </xdr:from>
    <xdr:ext cx="3467100" cy="600075"/>
    <xdr:pic>
      <xdr:nvPicPr>
        <xdr:cNvPr id="8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31442025"/>
          <a:ext cx="3467100" cy="600075"/>
        </a:xfrm>
        <a:prstGeom prst="rect">
          <a:avLst/>
        </a:prstGeom>
      </xdr:spPr>
    </xdr:pic>
    <xdr:clientData/>
  </xdr:oneCellAnchor>
  <xdr:oneCellAnchor>
    <xdr:from>
      <xdr:col>3</xdr:col>
      <xdr:colOff>114300</xdr:colOff>
      <xdr:row>307</xdr:row>
      <xdr:rowOff>133350</xdr:rowOff>
    </xdr:from>
    <xdr:ext cx="3467100" cy="600075"/>
    <xdr:pic>
      <xdr:nvPicPr>
        <xdr:cNvPr id="9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37547550"/>
          <a:ext cx="3467100" cy="600075"/>
        </a:xfrm>
        <a:prstGeom prst="rect">
          <a:avLst/>
        </a:prstGeom>
      </xdr:spPr>
    </xdr:pic>
    <xdr:clientData/>
  </xdr:oneCellAnchor>
  <xdr:oneCellAnchor>
    <xdr:from>
      <xdr:col>2</xdr:col>
      <xdr:colOff>657225</xdr:colOff>
      <xdr:row>422</xdr:row>
      <xdr:rowOff>66675</xdr:rowOff>
    </xdr:from>
    <xdr:ext cx="2733675" cy="600075"/>
    <xdr:pic>
      <xdr:nvPicPr>
        <xdr:cNvPr id="10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42195750"/>
          <a:ext cx="2733675" cy="600075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536</xdr:row>
      <xdr:rowOff>171450</xdr:rowOff>
    </xdr:from>
    <xdr:ext cx="2733675" cy="600075"/>
    <xdr:pic>
      <xdr:nvPicPr>
        <xdr:cNvPr id="11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0" y="48339375"/>
          <a:ext cx="2733675" cy="600075"/>
        </a:xfrm>
        <a:prstGeom prst="rect">
          <a:avLst/>
        </a:prstGeom>
      </xdr:spPr>
    </xdr:pic>
    <xdr:clientData/>
  </xdr:oneCellAnchor>
  <xdr:twoCellAnchor editAs="oneCell">
    <xdr:from>
      <xdr:col>2</xdr:col>
      <xdr:colOff>314325</xdr:colOff>
      <xdr:row>677</xdr:row>
      <xdr:rowOff>57150</xdr:rowOff>
    </xdr:from>
    <xdr:to>
      <xdr:col>5</xdr:col>
      <xdr:colOff>390525</xdr:colOff>
      <xdr:row>679</xdr:row>
      <xdr:rowOff>85725</xdr:rowOff>
    </xdr:to>
    <xdr:pic>
      <xdr:nvPicPr>
        <xdr:cNvPr id="1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61436250"/>
          <a:ext cx="3467100" cy="6000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695</xdr:row>
      <xdr:rowOff>0</xdr:rowOff>
    </xdr:from>
    <xdr:to>
      <xdr:col>6</xdr:col>
      <xdr:colOff>76200</xdr:colOff>
      <xdr:row>695</xdr:row>
      <xdr:rowOff>600075</xdr:rowOff>
    </xdr:to>
    <xdr:pic>
      <xdr:nvPicPr>
        <xdr:cNvPr id="1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64046100"/>
          <a:ext cx="3467100" cy="600075"/>
        </a:xfrm>
        <a:prstGeom prst="rect">
          <a:avLst/>
        </a:prstGeom>
      </xdr:spPr>
    </xdr:pic>
    <xdr:clientData/>
  </xdr:twoCellAnchor>
  <xdr:oneCellAnchor>
    <xdr:from>
      <xdr:col>2</xdr:col>
      <xdr:colOff>247650</xdr:colOff>
      <xdr:row>838</xdr:row>
      <xdr:rowOff>66675</xdr:rowOff>
    </xdr:from>
    <xdr:ext cx="3467100" cy="600075"/>
    <xdr:pic>
      <xdr:nvPicPr>
        <xdr:cNvPr id="14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71104125"/>
          <a:ext cx="3467100" cy="600075"/>
        </a:xfrm>
        <a:prstGeom prst="rect">
          <a:avLst/>
        </a:prstGeom>
      </xdr:spPr>
    </xdr:pic>
    <xdr:clientData/>
  </xdr:oneCellAnchor>
  <xdr:oneCellAnchor>
    <xdr:from>
      <xdr:col>3</xdr:col>
      <xdr:colOff>142875</xdr:colOff>
      <xdr:row>986</xdr:row>
      <xdr:rowOff>161925</xdr:rowOff>
    </xdr:from>
    <xdr:ext cx="3467100" cy="600075"/>
    <xdr:pic>
      <xdr:nvPicPr>
        <xdr:cNvPr id="1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5" y="73294875"/>
          <a:ext cx="3467100" cy="600075"/>
        </a:xfrm>
        <a:prstGeom prst="rect">
          <a:avLst/>
        </a:prstGeom>
      </xdr:spPr>
    </xdr:pic>
    <xdr:clientData/>
  </xdr:oneCellAnchor>
  <xdr:oneCellAnchor>
    <xdr:from>
      <xdr:col>3</xdr:col>
      <xdr:colOff>695325</xdr:colOff>
      <xdr:row>1143</xdr:row>
      <xdr:rowOff>0</xdr:rowOff>
    </xdr:from>
    <xdr:ext cx="3467100" cy="600075"/>
    <xdr:pic>
      <xdr:nvPicPr>
        <xdr:cNvPr id="16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0225" y="73132950"/>
          <a:ext cx="3467100" cy="600075"/>
        </a:xfrm>
        <a:prstGeom prst="rect">
          <a:avLst/>
        </a:prstGeom>
      </xdr:spPr>
    </xdr:pic>
    <xdr:clientData/>
  </xdr:oneCellAnchor>
  <xdr:oneCellAnchor>
    <xdr:from>
      <xdr:col>3</xdr:col>
      <xdr:colOff>295275</xdr:colOff>
      <xdr:row>1303</xdr:row>
      <xdr:rowOff>152400</xdr:rowOff>
    </xdr:from>
    <xdr:ext cx="3467100" cy="600075"/>
    <xdr:pic>
      <xdr:nvPicPr>
        <xdr:cNvPr id="17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175" y="80333850"/>
          <a:ext cx="3467100" cy="600075"/>
        </a:xfrm>
        <a:prstGeom prst="rect">
          <a:avLst/>
        </a:prstGeom>
      </xdr:spPr>
    </xdr:pic>
    <xdr:clientData/>
  </xdr:oneCellAnchor>
  <xdr:oneCellAnchor>
    <xdr:from>
      <xdr:col>3</xdr:col>
      <xdr:colOff>495299</xdr:colOff>
      <xdr:row>1470</xdr:row>
      <xdr:rowOff>180975</xdr:rowOff>
    </xdr:from>
    <xdr:ext cx="2057401" cy="600075"/>
    <xdr:pic>
      <xdr:nvPicPr>
        <xdr:cNvPr id="18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9324" y="87782400"/>
          <a:ext cx="2057401" cy="600075"/>
        </a:xfrm>
        <a:prstGeom prst="rect">
          <a:avLst/>
        </a:prstGeom>
      </xdr:spPr>
    </xdr:pic>
    <xdr:clientData/>
  </xdr:oneCellAnchor>
  <xdr:oneCellAnchor>
    <xdr:from>
      <xdr:col>3</xdr:col>
      <xdr:colOff>552449</xdr:colOff>
      <xdr:row>1574</xdr:row>
      <xdr:rowOff>228600</xdr:rowOff>
    </xdr:from>
    <xdr:ext cx="2057401" cy="600075"/>
    <xdr:pic>
      <xdr:nvPicPr>
        <xdr:cNvPr id="19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49" y="94345125"/>
          <a:ext cx="2057401" cy="600075"/>
        </a:xfrm>
        <a:prstGeom prst="rect">
          <a:avLst/>
        </a:prstGeom>
      </xdr:spPr>
    </xdr:pic>
    <xdr:clientData/>
  </xdr:oneCellAnchor>
  <xdr:oneCellAnchor>
    <xdr:from>
      <xdr:col>3</xdr:col>
      <xdr:colOff>1104900</xdr:colOff>
      <xdr:row>1652</xdr:row>
      <xdr:rowOff>161925</xdr:rowOff>
    </xdr:from>
    <xdr:ext cx="2333625" cy="600075"/>
    <xdr:pic>
      <xdr:nvPicPr>
        <xdr:cNvPr id="20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300" y="104403525"/>
          <a:ext cx="2333625" cy="600075"/>
        </a:xfrm>
        <a:prstGeom prst="rect">
          <a:avLst/>
        </a:prstGeom>
      </xdr:spPr>
    </xdr:pic>
    <xdr:clientData/>
  </xdr:oneCellAnchor>
  <xdr:oneCellAnchor>
    <xdr:from>
      <xdr:col>3</xdr:col>
      <xdr:colOff>857250</xdr:colOff>
      <xdr:row>1759</xdr:row>
      <xdr:rowOff>28575</xdr:rowOff>
    </xdr:from>
    <xdr:ext cx="2362200" cy="352425"/>
    <xdr:pic>
      <xdr:nvPicPr>
        <xdr:cNvPr id="21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650" y="124167900"/>
          <a:ext cx="2362200" cy="352425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504444</xdr:colOff>
      <xdr:row>37</xdr:row>
      <xdr:rowOff>170624</xdr:rowOff>
    </xdr:from>
    <xdr:ext cx="1784985" cy="617855"/>
    <xdr:sp macro="" textlink="">
      <xdr:nvSpPr>
        <xdr:cNvPr id="2" name="Shape 2"/>
        <xdr:cNvSpPr/>
      </xdr:nvSpPr>
      <xdr:spPr>
        <a:xfrm>
          <a:off x="2018919" y="2618549"/>
          <a:ext cx="1784985" cy="617855"/>
        </a:xfrm>
        <a:custGeom>
          <a:avLst/>
          <a:gdLst/>
          <a:ahLst/>
          <a:cxnLst/>
          <a:rect l="0" t="0" r="0" b="0"/>
          <a:pathLst>
            <a:path w="1784985" h="617855">
              <a:moveTo>
                <a:pt x="1784985" y="0"/>
              </a:moveTo>
              <a:lnTo>
                <a:pt x="0" y="0"/>
              </a:lnTo>
              <a:lnTo>
                <a:pt x="0" y="617562"/>
              </a:lnTo>
              <a:lnTo>
                <a:pt x="1784985" y="617562"/>
              </a:lnTo>
              <a:lnTo>
                <a:pt x="1784985" y="0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oneCellAnchor>
  <xdr:oneCellAnchor>
    <xdr:from>
      <xdr:col>1</xdr:col>
      <xdr:colOff>208011</xdr:colOff>
      <xdr:row>37</xdr:row>
      <xdr:rowOff>113050</xdr:rowOff>
    </xdr:from>
    <xdr:ext cx="1556058" cy="600821"/>
    <xdr:pic>
      <xdr:nvPicPr>
        <xdr:cNvPr id="3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011" y="2570500"/>
          <a:ext cx="1556058" cy="600821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1</xdr:row>
      <xdr:rowOff>19050</xdr:rowOff>
    </xdr:from>
    <xdr:to>
      <xdr:col>17</xdr:col>
      <xdr:colOff>266700</xdr:colOff>
      <xdr:row>1</xdr:row>
      <xdr:rowOff>752475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4625" y="219075"/>
          <a:ext cx="1762125" cy="7334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42</xdr:row>
      <xdr:rowOff>9525</xdr:rowOff>
    </xdr:from>
    <xdr:to>
      <xdr:col>8</xdr:col>
      <xdr:colOff>314325</xdr:colOff>
      <xdr:row>42</xdr:row>
      <xdr:rowOff>742950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6975" y="5915025"/>
          <a:ext cx="3228975" cy="7334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3</xdr:row>
      <xdr:rowOff>142875</xdr:rowOff>
    </xdr:from>
    <xdr:to>
      <xdr:col>3</xdr:col>
      <xdr:colOff>3419475</xdr:colOff>
      <xdr:row>3</xdr:row>
      <xdr:rowOff>876300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950" y="714375"/>
          <a:ext cx="3057525" cy="7334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6</xdr:row>
      <xdr:rowOff>295275</xdr:rowOff>
    </xdr:from>
    <xdr:to>
      <xdr:col>2</xdr:col>
      <xdr:colOff>3095625</xdr:colOff>
      <xdr:row>6</xdr:row>
      <xdr:rowOff>885825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450" y="1447800"/>
          <a:ext cx="2924175" cy="5905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0</xdr:rowOff>
    </xdr:from>
    <xdr:to>
      <xdr:col>8</xdr:col>
      <xdr:colOff>104775</xdr:colOff>
      <xdr:row>1</xdr:row>
      <xdr:rowOff>390525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0" y="247650"/>
          <a:ext cx="1914525" cy="3905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1</xdr:row>
      <xdr:rowOff>66675</xdr:rowOff>
    </xdr:from>
    <xdr:to>
      <xdr:col>4</xdr:col>
      <xdr:colOff>2438400</xdr:colOff>
      <xdr:row>1</xdr:row>
      <xdr:rowOff>666750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4675" y="390525"/>
          <a:ext cx="2371725" cy="60007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2</xdr:row>
      <xdr:rowOff>533400</xdr:rowOff>
    </xdr:from>
    <xdr:to>
      <xdr:col>4</xdr:col>
      <xdr:colOff>76200</xdr:colOff>
      <xdr:row>3</xdr:row>
      <xdr:rowOff>581025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75" y="1123950"/>
          <a:ext cx="3467100" cy="600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2</xdr:row>
      <xdr:rowOff>552450</xdr:rowOff>
    </xdr:from>
    <xdr:to>
      <xdr:col>2</xdr:col>
      <xdr:colOff>3419474</xdr:colOff>
      <xdr:row>2</xdr:row>
      <xdr:rowOff>1552574</xdr:rowOff>
    </xdr:to>
    <xdr:pic>
      <xdr:nvPicPr>
        <xdr:cNvPr id="4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0" y="933450"/>
          <a:ext cx="3000374" cy="100012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3</xdr:row>
      <xdr:rowOff>123825</xdr:rowOff>
    </xdr:from>
    <xdr:to>
      <xdr:col>10</xdr:col>
      <xdr:colOff>419100</xdr:colOff>
      <xdr:row>4</xdr:row>
      <xdr:rowOff>533400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1350" y="695325"/>
          <a:ext cx="3467100" cy="600075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323850</xdr:colOff>
      <xdr:row>35</xdr:row>
      <xdr:rowOff>161925</xdr:rowOff>
    </xdr:from>
    <xdr:to>
      <xdr:col>7</xdr:col>
      <xdr:colOff>133350</xdr:colOff>
      <xdr:row>36</xdr:row>
      <xdr:rowOff>571500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9850" y="5676900"/>
          <a:ext cx="3467100" cy="60007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523875</xdr:colOff>
      <xdr:row>8</xdr:row>
      <xdr:rowOff>171450</xdr:rowOff>
    </xdr:from>
    <xdr:to>
      <xdr:col>8</xdr:col>
      <xdr:colOff>736600</xdr:colOff>
      <xdr:row>13</xdr:row>
      <xdr:rowOff>142875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67400" y="1695450"/>
          <a:ext cx="15652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57151</xdr:colOff>
      <xdr:row>4</xdr:row>
      <xdr:rowOff>142876</xdr:rowOff>
    </xdr:from>
    <xdr:to>
      <xdr:col>8</xdr:col>
      <xdr:colOff>419100</xdr:colOff>
      <xdr:row>14</xdr:row>
      <xdr:rowOff>85725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5451" y="904876"/>
          <a:ext cx="5419724" cy="185737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29</xdr:row>
      <xdr:rowOff>47625</xdr:rowOff>
    </xdr:from>
    <xdr:to>
      <xdr:col>1</xdr:col>
      <xdr:colOff>3305174</xdr:colOff>
      <xdr:row>29</xdr:row>
      <xdr:rowOff>1047749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2100" y="1571625"/>
          <a:ext cx="3000374" cy="100012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371476</xdr:colOff>
      <xdr:row>5</xdr:row>
      <xdr:rowOff>971551</xdr:rowOff>
    </xdr:from>
    <xdr:to>
      <xdr:col>2</xdr:col>
      <xdr:colOff>3371850</xdr:colOff>
      <xdr:row>6</xdr:row>
      <xdr:rowOff>942975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5476" y="1924051"/>
          <a:ext cx="3000374" cy="100012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3</xdr:row>
      <xdr:rowOff>9525</xdr:rowOff>
    </xdr:from>
    <xdr:to>
      <xdr:col>7</xdr:col>
      <xdr:colOff>371474</xdr:colOff>
      <xdr:row>4</xdr:row>
      <xdr:rowOff>819149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5625" y="581025"/>
          <a:ext cx="3000374" cy="100012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28</xdr:row>
      <xdr:rowOff>38100</xdr:rowOff>
    </xdr:from>
    <xdr:to>
      <xdr:col>5</xdr:col>
      <xdr:colOff>2390774</xdr:colOff>
      <xdr:row>31</xdr:row>
      <xdr:rowOff>38100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425" y="5753100"/>
          <a:ext cx="3000374" cy="5715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4</xdr:row>
      <xdr:rowOff>95250</xdr:rowOff>
    </xdr:from>
    <xdr:to>
      <xdr:col>4</xdr:col>
      <xdr:colOff>266699</xdr:colOff>
      <xdr:row>6</xdr:row>
      <xdr:rowOff>714374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0" y="857250"/>
          <a:ext cx="3000374" cy="1000124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247650</xdr:colOff>
      <xdr:row>15</xdr:row>
      <xdr:rowOff>180975</xdr:rowOff>
    </xdr:from>
    <xdr:to>
      <xdr:col>3</xdr:col>
      <xdr:colOff>3248024</xdr:colOff>
      <xdr:row>17</xdr:row>
      <xdr:rowOff>800099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3650" y="3038475"/>
          <a:ext cx="3000374" cy="100012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3</xdr:row>
      <xdr:rowOff>9525</xdr:rowOff>
    </xdr:from>
    <xdr:to>
      <xdr:col>3</xdr:col>
      <xdr:colOff>47624</xdr:colOff>
      <xdr:row>3</xdr:row>
      <xdr:rowOff>1009649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5" y="590550"/>
          <a:ext cx="3000374" cy="100012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2</xdr:row>
      <xdr:rowOff>152400</xdr:rowOff>
    </xdr:from>
    <xdr:to>
      <xdr:col>5</xdr:col>
      <xdr:colOff>114299</xdr:colOff>
      <xdr:row>2</xdr:row>
      <xdr:rowOff>1152524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0" y="533400"/>
          <a:ext cx="3000374" cy="1000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6</xdr:row>
      <xdr:rowOff>161925</xdr:rowOff>
    </xdr:from>
    <xdr:to>
      <xdr:col>5</xdr:col>
      <xdr:colOff>371474</xdr:colOff>
      <xdr:row>8</xdr:row>
      <xdr:rowOff>781049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1675" y="1514475"/>
          <a:ext cx="3000374" cy="100012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209550</xdr:colOff>
      <xdr:row>2</xdr:row>
      <xdr:rowOff>171450</xdr:rowOff>
    </xdr:from>
    <xdr:to>
      <xdr:col>6</xdr:col>
      <xdr:colOff>276224</xdr:colOff>
      <xdr:row>3</xdr:row>
      <xdr:rowOff>981074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9550" y="552450"/>
          <a:ext cx="3000374" cy="1000124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161924</xdr:rowOff>
    </xdr:from>
    <xdr:to>
      <xdr:col>4</xdr:col>
      <xdr:colOff>2790825</xdr:colOff>
      <xdr:row>2</xdr:row>
      <xdr:rowOff>1190625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8025" y="542924"/>
          <a:ext cx="2590800" cy="1028701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2</xdr:row>
      <xdr:rowOff>152400</xdr:rowOff>
    </xdr:from>
    <xdr:to>
      <xdr:col>4</xdr:col>
      <xdr:colOff>104775</xdr:colOff>
      <xdr:row>3</xdr:row>
      <xdr:rowOff>466725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" y="533400"/>
          <a:ext cx="3762375" cy="50482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209550</xdr:colOff>
      <xdr:row>2</xdr:row>
      <xdr:rowOff>200025</xdr:rowOff>
    </xdr:from>
    <xdr:to>
      <xdr:col>4</xdr:col>
      <xdr:colOff>180975</xdr:colOff>
      <xdr:row>2</xdr:row>
      <xdr:rowOff>1219200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0" y="581025"/>
          <a:ext cx="2771775" cy="101917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704850</xdr:colOff>
      <xdr:row>22</xdr:row>
      <xdr:rowOff>76199</xdr:rowOff>
    </xdr:from>
    <xdr:to>
      <xdr:col>2</xdr:col>
      <xdr:colOff>2562225</xdr:colOff>
      <xdr:row>22</xdr:row>
      <xdr:rowOff>742950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8850" y="2933699"/>
          <a:ext cx="1857375" cy="66675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847725</xdr:colOff>
      <xdr:row>2</xdr:row>
      <xdr:rowOff>66675</xdr:rowOff>
    </xdr:from>
    <xdr:to>
      <xdr:col>3</xdr:col>
      <xdr:colOff>3619500</xdr:colOff>
      <xdr:row>3</xdr:row>
      <xdr:rowOff>552450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1725" y="447675"/>
          <a:ext cx="2771775" cy="68580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3</xdr:row>
      <xdr:rowOff>180975</xdr:rowOff>
    </xdr:from>
    <xdr:to>
      <xdr:col>5</xdr:col>
      <xdr:colOff>800100</xdr:colOff>
      <xdr:row>6</xdr:row>
      <xdr:rowOff>1466849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8375" y="752475"/>
          <a:ext cx="4810125" cy="1857374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809625</xdr:colOff>
      <xdr:row>1</xdr:row>
      <xdr:rowOff>161924</xdr:rowOff>
    </xdr:from>
    <xdr:to>
      <xdr:col>4</xdr:col>
      <xdr:colOff>2933700</xdr:colOff>
      <xdr:row>2</xdr:row>
      <xdr:rowOff>752473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352424"/>
          <a:ext cx="2124075" cy="781049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819150</xdr:colOff>
      <xdr:row>20</xdr:row>
      <xdr:rowOff>123825</xdr:rowOff>
    </xdr:from>
    <xdr:to>
      <xdr:col>4</xdr:col>
      <xdr:colOff>3267075</xdr:colOff>
      <xdr:row>21</xdr:row>
      <xdr:rowOff>523875</xdr:rowOff>
    </xdr:to>
    <xdr:pic>
      <xdr:nvPicPr>
        <xdr:cNvPr id="4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1150" y="8524875"/>
          <a:ext cx="2447925" cy="600075"/>
        </a:xfrm>
        <a:prstGeom prst="rect">
          <a:avLst/>
        </a:prstGeom>
      </xdr:spPr>
    </xdr:pic>
    <xdr:clientData/>
  </xdr:twoCellAnchor>
  <xdr:twoCellAnchor editAs="oneCell">
    <xdr:from>
      <xdr:col>4</xdr:col>
      <xdr:colOff>866775</xdr:colOff>
      <xdr:row>3</xdr:row>
      <xdr:rowOff>47625</xdr:rowOff>
    </xdr:from>
    <xdr:to>
      <xdr:col>4</xdr:col>
      <xdr:colOff>3314700</xdr:colOff>
      <xdr:row>4</xdr:row>
      <xdr:rowOff>457200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" y="5000625"/>
          <a:ext cx="2447925" cy="600075"/>
        </a:xfrm>
        <a:prstGeom prst="rect">
          <a:avLst/>
        </a:prstGeom>
      </xdr:spPr>
    </xdr:pic>
    <xdr:clientData/>
  </xdr:twoCellAnchor>
  <xdr:oneCellAnchor>
    <xdr:from>
      <xdr:col>4</xdr:col>
      <xdr:colOff>704850</xdr:colOff>
      <xdr:row>26</xdr:row>
      <xdr:rowOff>114300</xdr:rowOff>
    </xdr:from>
    <xdr:ext cx="2447925" cy="600075"/>
    <xdr:pic>
      <xdr:nvPicPr>
        <xdr:cNvPr id="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6850" y="10544175"/>
          <a:ext cx="2447925" cy="600075"/>
        </a:xfrm>
        <a:prstGeom prst="rect">
          <a:avLst/>
        </a:prstGeom>
      </xdr:spPr>
    </xdr:pic>
    <xdr:clientData/>
  </xdr:oneCellAnchor>
  <xdr:oneCellAnchor>
    <xdr:from>
      <xdr:col>4</xdr:col>
      <xdr:colOff>704850</xdr:colOff>
      <xdr:row>33</xdr:row>
      <xdr:rowOff>47625</xdr:rowOff>
    </xdr:from>
    <xdr:ext cx="2447925" cy="600075"/>
    <xdr:pic>
      <xdr:nvPicPr>
        <xdr:cNvPr id="7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6850" y="7391400"/>
          <a:ext cx="2447925" cy="600075"/>
        </a:xfrm>
        <a:prstGeom prst="rect">
          <a:avLst/>
        </a:prstGeom>
      </xdr:spPr>
    </xdr:pic>
    <xdr:clientData/>
  </xdr:oneCellAnchor>
  <xdr:oneCellAnchor>
    <xdr:from>
      <xdr:col>4</xdr:col>
      <xdr:colOff>581025</xdr:colOff>
      <xdr:row>45</xdr:row>
      <xdr:rowOff>152400</xdr:rowOff>
    </xdr:from>
    <xdr:ext cx="2447925" cy="600075"/>
    <xdr:pic>
      <xdr:nvPicPr>
        <xdr:cNvPr id="6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025" y="10125075"/>
          <a:ext cx="2447925" cy="600075"/>
        </a:xfrm>
        <a:prstGeom prst="rect">
          <a:avLst/>
        </a:prstGeom>
      </xdr:spPr>
    </xdr:pic>
    <xdr:clientData/>
  </xdr:oneCellAnchor>
  <xdr:oneCellAnchor>
    <xdr:from>
      <xdr:col>4</xdr:col>
      <xdr:colOff>581025</xdr:colOff>
      <xdr:row>74</xdr:row>
      <xdr:rowOff>152400</xdr:rowOff>
    </xdr:from>
    <xdr:ext cx="2447925" cy="600075"/>
    <xdr:pic>
      <xdr:nvPicPr>
        <xdr:cNvPr id="8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025" y="10125075"/>
          <a:ext cx="2447925" cy="600075"/>
        </a:xfrm>
        <a:prstGeom prst="rect">
          <a:avLst/>
        </a:prstGeom>
      </xdr:spPr>
    </xdr:pic>
    <xdr:clientData/>
  </xdr:oneCellAnchor>
  <xdr:oneCellAnchor>
    <xdr:from>
      <xdr:col>4</xdr:col>
      <xdr:colOff>76200</xdr:colOff>
      <xdr:row>93</xdr:row>
      <xdr:rowOff>95250</xdr:rowOff>
    </xdr:from>
    <xdr:ext cx="3762375" cy="600075"/>
    <xdr:pic>
      <xdr:nvPicPr>
        <xdr:cNvPr id="9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20259675"/>
          <a:ext cx="3762375" cy="600075"/>
        </a:xfrm>
        <a:prstGeom prst="rect">
          <a:avLst/>
        </a:prstGeom>
      </xdr:spPr>
    </xdr:pic>
    <xdr:clientData/>
  </xdr:oneCellAnchor>
  <xdr:oneCellAnchor>
    <xdr:from>
      <xdr:col>4</xdr:col>
      <xdr:colOff>581025</xdr:colOff>
      <xdr:row>107</xdr:row>
      <xdr:rowOff>152400</xdr:rowOff>
    </xdr:from>
    <xdr:ext cx="2447925" cy="600075"/>
    <xdr:pic>
      <xdr:nvPicPr>
        <xdr:cNvPr id="10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025" y="10125075"/>
          <a:ext cx="2447925" cy="600075"/>
        </a:xfrm>
        <a:prstGeom prst="rect">
          <a:avLst/>
        </a:prstGeom>
      </xdr:spPr>
    </xdr:pic>
    <xdr:clientData/>
  </xdr:oneCellAnchor>
  <xdr:oneCellAnchor>
    <xdr:from>
      <xdr:col>4</xdr:col>
      <xdr:colOff>895350</xdr:colOff>
      <xdr:row>118</xdr:row>
      <xdr:rowOff>133350</xdr:rowOff>
    </xdr:from>
    <xdr:ext cx="2447925" cy="600075"/>
    <xdr:pic>
      <xdr:nvPicPr>
        <xdr:cNvPr id="11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7350" y="25688925"/>
          <a:ext cx="2447925" cy="600075"/>
        </a:xfrm>
        <a:prstGeom prst="rect">
          <a:avLst/>
        </a:prstGeom>
      </xdr:spPr>
    </xdr:pic>
    <xdr:clientData/>
  </xdr:oneCellAnchor>
  <xdr:oneCellAnchor>
    <xdr:from>
      <xdr:col>4</xdr:col>
      <xdr:colOff>381000</xdr:colOff>
      <xdr:row>131</xdr:row>
      <xdr:rowOff>104775</xdr:rowOff>
    </xdr:from>
    <xdr:ext cx="3762375" cy="600075"/>
    <xdr:pic>
      <xdr:nvPicPr>
        <xdr:cNvPr id="1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28870275"/>
          <a:ext cx="3762375" cy="600075"/>
        </a:xfrm>
        <a:prstGeom prst="rect">
          <a:avLst/>
        </a:prstGeom>
      </xdr:spPr>
    </xdr:pic>
    <xdr:clientData/>
  </xdr:oneCellAnchor>
  <xdr:oneCellAnchor>
    <xdr:from>
      <xdr:col>4</xdr:col>
      <xdr:colOff>304800</xdr:colOff>
      <xdr:row>165</xdr:row>
      <xdr:rowOff>123825</xdr:rowOff>
    </xdr:from>
    <xdr:ext cx="3762375" cy="600075"/>
    <xdr:pic>
      <xdr:nvPicPr>
        <xdr:cNvPr id="14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" y="34832925"/>
          <a:ext cx="3762375" cy="600075"/>
        </a:xfrm>
        <a:prstGeom prst="rect">
          <a:avLst/>
        </a:prstGeom>
      </xdr:spPr>
    </xdr:pic>
    <xdr:clientData/>
  </xdr:oneCellAnchor>
  <xdr:oneCellAnchor>
    <xdr:from>
      <xdr:col>4</xdr:col>
      <xdr:colOff>114300</xdr:colOff>
      <xdr:row>142</xdr:row>
      <xdr:rowOff>114300</xdr:rowOff>
    </xdr:from>
    <xdr:ext cx="3762375" cy="600075"/>
    <xdr:pic>
      <xdr:nvPicPr>
        <xdr:cNvPr id="1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31489650"/>
          <a:ext cx="37623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177</xdr:row>
      <xdr:rowOff>219075</xdr:rowOff>
    </xdr:from>
    <xdr:ext cx="3324225" cy="600075"/>
    <xdr:pic>
      <xdr:nvPicPr>
        <xdr:cNvPr id="1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5709225"/>
          <a:ext cx="3324225" cy="600075"/>
        </a:xfrm>
        <a:prstGeom prst="rect">
          <a:avLst/>
        </a:prstGeom>
      </xdr:spPr>
    </xdr:pic>
    <xdr:clientData/>
  </xdr:oneCellAnchor>
  <xdr:oneCellAnchor>
    <xdr:from>
      <xdr:col>4</xdr:col>
      <xdr:colOff>304800</xdr:colOff>
      <xdr:row>189</xdr:row>
      <xdr:rowOff>123825</xdr:rowOff>
    </xdr:from>
    <xdr:ext cx="3762375" cy="600075"/>
    <xdr:pic>
      <xdr:nvPicPr>
        <xdr:cNvPr id="16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" y="38490525"/>
          <a:ext cx="3762375" cy="600075"/>
        </a:xfrm>
        <a:prstGeom prst="rect">
          <a:avLst/>
        </a:prstGeom>
      </xdr:spPr>
    </xdr:pic>
    <xdr:clientData/>
  </xdr:oneCellAnchor>
  <xdr:oneCellAnchor>
    <xdr:from>
      <xdr:col>4</xdr:col>
      <xdr:colOff>304800</xdr:colOff>
      <xdr:row>199</xdr:row>
      <xdr:rowOff>123825</xdr:rowOff>
    </xdr:from>
    <xdr:ext cx="3762375" cy="600075"/>
    <xdr:pic>
      <xdr:nvPicPr>
        <xdr:cNvPr id="17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" y="40967025"/>
          <a:ext cx="3762375" cy="600075"/>
        </a:xfrm>
        <a:prstGeom prst="rect">
          <a:avLst/>
        </a:prstGeom>
      </xdr:spPr>
    </xdr:pic>
    <xdr:clientData/>
  </xdr:oneCellAnchor>
  <xdr:oneCellAnchor>
    <xdr:from>
      <xdr:col>4</xdr:col>
      <xdr:colOff>95250</xdr:colOff>
      <xdr:row>211</xdr:row>
      <xdr:rowOff>238125</xdr:rowOff>
    </xdr:from>
    <xdr:ext cx="3762375" cy="600075"/>
    <xdr:pic>
      <xdr:nvPicPr>
        <xdr:cNvPr id="18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6350" y="47177325"/>
          <a:ext cx="3762375" cy="600075"/>
        </a:xfrm>
        <a:prstGeom prst="rect">
          <a:avLst/>
        </a:prstGeom>
      </xdr:spPr>
    </xdr:pic>
    <xdr:clientData/>
  </xdr:oneCellAnchor>
  <xdr:oneCellAnchor>
    <xdr:from>
      <xdr:col>4</xdr:col>
      <xdr:colOff>561975</xdr:colOff>
      <xdr:row>224</xdr:row>
      <xdr:rowOff>28575</xdr:rowOff>
    </xdr:from>
    <xdr:ext cx="2447925" cy="600075"/>
    <xdr:pic>
      <xdr:nvPicPr>
        <xdr:cNvPr id="20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6925" y="49739550"/>
          <a:ext cx="2447925" cy="600075"/>
        </a:xfrm>
        <a:prstGeom prst="rect">
          <a:avLst/>
        </a:prstGeom>
      </xdr:spPr>
    </xdr:pic>
    <xdr:clientData/>
  </xdr:oneCellAnchor>
  <xdr:oneCellAnchor>
    <xdr:from>
      <xdr:col>8</xdr:col>
      <xdr:colOff>200025</xdr:colOff>
      <xdr:row>237</xdr:row>
      <xdr:rowOff>152400</xdr:rowOff>
    </xdr:from>
    <xdr:ext cx="2447925" cy="600075"/>
    <xdr:pic>
      <xdr:nvPicPr>
        <xdr:cNvPr id="21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7150" y="54683025"/>
          <a:ext cx="2447925" cy="600075"/>
        </a:xfrm>
        <a:prstGeom prst="rect">
          <a:avLst/>
        </a:prstGeom>
      </xdr:spPr>
    </xdr:pic>
    <xdr:clientData/>
  </xdr:oneCellAnchor>
  <xdr:oneCellAnchor>
    <xdr:from>
      <xdr:col>3</xdr:col>
      <xdr:colOff>1114425</xdr:colOff>
      <xdr:row>351</xdr:row>
      <xdr:rowOff>142875</xdr:rowOff>
    </xdr:from>
    <xdr:ext cx="2486025" cy="600075"/>
    <xdr:pic>
      <xdr:nvPicPr>
        <xdr:cNvPr id="2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325" y="82381725"/>
          <a:ext cx="2486025" cy="600075"/>
        </a:xfrm>
        <a:prstGeom prst="rect">
          <a:avLst/>
        </a:prstGeom>
      </xdr:spPr>
    </xdr:pic>
    <xdr:clientData/>
  </xdr:oneCellAnchor>
  <xdr:oneCellAnchor>
    <xdr:from>
      <xdr:col>4</xdr:col>
      <xdr:colOff>180975</xdr:colOff>
      <xdr:row>241</xdr:row>
      <xdr:rowOff>76200</xdr:rowOff>
    </xdr:from>
    <xdr:ext cx="2486025" cy="600075"/>
    <xdr:pic>
      <xdr:nvPicPr>
        <xdr:cNvPr id="2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5050" y="55368825"/>
          <a:ext cx="2486025" cy="600075"/>
        </a:xfrm>
        <a:prstGeom prst="rect">
          <a:avLst/>
        </a:prstGeom>
      </xdr:spPr>
    </xdr:pic>
    <xdr:clientData/>
  </xdr:oneCellAnchor>
  <xdr:oneCellAnchor>
    <xdr:from>
      <xdr:col>4</xdr:col>
      <xdr:colOff>619125</xdr:colOff>
      <xdr:row>427</xdr:row>
      <xdr:rowOff>142875</xdr:rowOff>
    </xdr:from>
    <xdr:ext cx="3171825" cy="600075"/>
    <xdr:pic>
      <xdr:nvPicPr>
        <xdr:cNvPr id="24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1775" y="99431475"/>
          <a:ext cx="3171825" cy="600075"/>
        </a:xfrm>
        <a:prstGeom prst="rect">
          <a:avLst/>
        </a:prstGeom>
      </xdr:spPr>
    </xdr:pic>
    <xdr:clientData/>
  </xdr:oneCellAnchor>
  <xdr:oneCellAnchor>
    <xdr:from>
      <xdr:col>4</xdr:col>
      <xdr:colOff>447674</xdr:colOff>
      <xdr:row>456</xdr:row>
      <xdr:rowOff>38100</xdr:rowOff>
    </xdr:from>
    <xdr:ext cx="1866901" cy="600075"/>
    <xdr:pic>
      <xdr:nvPicPr>
        <xdr:cNvPr id="2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4024" y="104374950"/>
          <a:ext cx="1866901" cy="600075"/>
        </a:xfrm>
        <a:prstGeom prst="rect">
          <a:avLst/>
        </a:prstGeom>
      </xdr:spPr>
    </xdr:pic>
    <xdr:clientData/>
  </xdr:oneCellAnchor>
  <xdr:oneCellAnchor>
    <xdr:from>
      <xdr:col>4</xdr:col>
      <xdr:colOff>190500</xdr:colOff>
      <xdr:row>520</xdr:row>
      <xdr:rowOff>180976</xdr:rowOff>
    </xdr:from>
    <xdr:ext cx="1914525" cy="695324"/>
    <xdr:pic>
      <xdr:nvPicPr>
        <xdr:cNvPr id="26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119986426"/>
          <a:ext cx="1914525" cy="695324"/>
        </a:xfrm>
        <a:prstGeom prst="rect">
          <a:avLst/>
        </a:prstGeom>
      </xdr:spPr>
    </xdr:pic>
    <xdr:clientData/>
  </xdr:oneCellAnchor>
  <xdr:oneCellAnchor>
    <xdr:from>
      <xdr:col>4</xdr:col>
      <xdr:colOff>457200</xdr:colOff>
      <xdr:row>552</xdr:row>
      <xdr:rowOff>95250</xdr:rowOff>
    </xdr:from>
    <xdr:ext cx="1914525" cy="695324"/>
    <xdr:pic>
      <xdr:nvPicPr>
        <xdr:cNvPr id="27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3075" y="127663575"/>
          <a:ext cx="1914525" cy="695324"/>
        </a:xfrm>
        <a:prstGeom prst="rect">
          <a:avLst/>
        </a:prstGeom>
      </xdr:spPr>
    </xdr:pic>
    <xdr:clientData/>
  </xdr:oneCellAnchor>
  <xdr:oneCellAnchor>
    <xdr:from>
      <xdr:col>4</xdr:col>
      <xdr:colOff>352425</xdr:colOff>
      <xdr:row>571</xdr:row>
      <xdr:rowOff>171450</xdr:rowOff>
    </xdr:from>
    <xdr:ext cx="1666875" cy="600075"/>
    <xdr:pic>
      <xdr:nvPicPr>
        <xdr:cNvPr id="3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300" y="129416175"/>
          <a:ext cx="1666875" cy="600075"/>
        </a:xfrm>
        <a:prstGeom prst="rect">
          <a:avLst/>
        </a:prstGeom>
      </xdr:spPr>
    </xdr:pic>
    <xdr:clientData/>
  </xdr:oneCellAnchor>
  <xdr:oneCellAnchor>
    <xdr:from>
      <xdr:col>4</xdr:col>
      <xdr:colOff>352425</xdr:colOff>
      <xdr:row>589</xdr:row>
      <xdr:rowOff>171450</xdr:rowOff>
    </xdr:from>
    <xdr:ext cx="1666875" cy="723900"/>
    <xdr:pic>
      <xdr:nvPicPr>
        <xdr:cNvPr id="28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0" y="133588125"/>
          <a:ext cx="1666875" cy="723900"/>
        </a:xfrm>
        <a:prstGeom prst="rect">
          <a:avLst/>
        </a:prstGeom>
      </xdr:spPr>
    </xdr:pic>
    <xdr:clientData/>
  </xdr:oneCellAnchor>
  <xdr:oneCellAnchor>
    <xdr:from>
      <xdr:col>4</xdr:col>
      <xdr:colOff>190500</xdr:colOff>
      <xdr:row>623</xdr:row>
      <xdr:rowOff>180976</xdr:rowOff>
    </xdr:from>
    <xdr:ext cx="2124075" cy="695324"/>
    <xdr:pic>
      <xdr:nvPicPr>
        <xdr:cNvPr id="29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41122401"/>
          <a:ext cx="2124075" cy="695324"/>
        </a:xfrm>
        <a:prstGeom prst="rect">
          <a:avLst/>
        </a:prstGeom>
      </xdr:spPr>
    </xdr:pic>
    <xdr:clientData/>
  </xdr:oneCellAnchor>
  <xdr:oneCellAnchor>
    <xdr:from>
      <xdr:col>4</xdr:col>
      <xdr:colOff>419100</xdr:colOff>
      <xdr:row>639</xdr:row>
      <xdr:rowOff>190500</xdr:rowOff>
    </xdr:from>
    <xdr:ext cx="2905125" cy="438150"/>
    <xdr:pic>
      <xdr:nvPicPr>
        <xdr:cNvPr id="30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142741650"/>
          <a:ext cx="2905125" cy="438150"/>
        </a:xfrm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5</xdr:col>
      <xdr:colOff>9525</xdr:colOff>
      <xdr:row>7</xdr:row>
      <xdr:rowOff>28575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3650" y="762000"/>
          <a:ext cx="4295775" cy="6000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247650</xdr:colOff>
      <xdr:row>0</xdr:row>
      <xdr:rowOff>0</xdr:rowOff>
    </xdr:from>
    <xdr:to>
      <xdr:col>4</xdr:col>
      <xdr:colOff>3248024</xdr:colOff>
      <xdr:row>1</xdr:row>
      <xdr:rowOff>809624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7075" y="0"/>
          <a:ext cx="3000374" cy="1000124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1</xdr:row>
      <xdr:rowOff>85725</xdr:rowOff>
    </xdr:from>
    <xdr:to>
      <xdr:col>9</xdr:col>
      <xdr:colOff>219075</xdr:colOff>
      <xdr:row>4</xdr:row>
      <xdr:rowOff>114300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700" y="276225"/>
          <a:ext cx="4295775" cy="60007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771525</xdr:colOff>
      <xdr:row>2</xdr:row>
      <xdr:rowOff>123825</xdr:rowOff>
    </xdr:from>
    <xdr:ext cx="2447925" cy="600075"/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0" y="314325"/>
          <a:ext cx="2447925" cy="600075"/>
        </a:xfrm>
        <a:prstGeom prst="rect">
          <a:avLst/>
        </a:prstGeom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485775</xdr:colOff>
      <xdr:row>1</xdr:row>
      <xdr:rowOff>600075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0"/>
          <a:ext cx="3114675" cy="600075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5</xdr:row>
      <xdr:rowOff>0</xdr:rowOff>
    </xdr:from>
    <xdr:to>
      <xdr:col>2</xdr:col>
      <xdr:colOff>3286125</xdr:colOff>
      <xdr:row>5</xdr:row>
      <xdr:rowOff>600075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4025" y="952500"/>
          <a:ext cx="3086100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47</xdr:row>
      <xdr:rowOff>171450</xdr:rowOff>
    </xdr:from>
    <xdr:to>
      <xdr:col>2</xdr:col>
      <xdr:colOff>3105150</xdr:colOff>
      <xdr:row>48</xdr:row>
      <xdr:rowOff>581025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3050" y="7839075"/>
          <a:ext cx="3086100" cy="600075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4</xdr:row>
      <xdr:rowOff>57150</xdr:rowOff>
    </xdr:from>
    <xdr:to>
      <xdr:col>4</xdr:col>
      <xdr:colOff>3133724</xdr:colOff>
      <xdr:row>4</xdr:row>
      <xdr:rowOff>1057274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7350" y="819150"/>
          <a:ext cx="3000374" cy="1000124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2</xdr:row>
      <xdr:rowOff>266700</xdr:rowOff>
    </xdr:from>
    <xdr:to>
      <xdr:col>11</xdr:col>
      <xdr:colOff>428624</xdr:colOff>
      <xdr:row>2</xdr:row>
      <xdr:rowOff>1266824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2775" y="647700"/>
          <a:ext cx="3000374" cy="1000124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3</xdr:row>
      <xdr:rowOff>85725</xdr:rowOff>
    </xdr:from>
    <xdr:to>
      <xdr:col>6</xdr:col>
      <xdr:colOff>247649</xdr:colOff>
      <xdr:row>7</xdr:row>
      <xdr:rowOff>57150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" y="657225"/>
          <a:ext cx="5419724" cy="733425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190499</xdr:rowOff>
    </xdr:from>
    <xdr:to>
      <xdr:col>4</xdr:col>
      <xdr:colOff>323849</xdr:colOff>
      <xdr:row>8</xdr:row>
      <xdr:rowOff>161924</xdr:rowOff>
    </xdr:to>
    <xdr:pic>
      <xdr:nvPicPr>
        <xdr:cNvPr id="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952499"/>
          <a:ext cx="5419724" cy="733425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345281</xdr:colOff>
      <xdr:row>2</xdr:row>
      <xdr:rowOff>119062</xdr:rowOff>
    </xdr:from>
    <xdr:to>
      <xdr:col>5</xdr:col>
      <xdr:colOff>650081</xdr:colOff>
      <xdr:row>6</xdr:row>
      <xdr:rowOff>10205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76BC9D68-9942-45C3-96D0-5F76695EA4F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" t="1883" b="66537"/>
        <a:stretch/>
      </xdr:blipFill>
      <xdr:spPr bwMode="auto">
        <a:xfrm>
          <a:off x="345281" y="119062"/>
          <a:ext cx="8477250" cy="6531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656203</xdr:colOff>
      <xdr:row>3</xdr:row>
      <xdr:rowOff>47625</xdr:rowOff>
    </xdr:from>
    <xdr:to>
      <xdr:col>2</xdr:col>
      <xdr:colOff>56128</xdr:colOff>
      <xdr:row>6</xdr:row>
      <xdr:rowOff>66785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F91DE554-F9DA-4D74-A6AA-D9B6C5C07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03" y="238125"/>
          <a:ext cx="923925" cy="590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1509394</xdr:colOff>
      <xdr:row>60</xdr:row>
      <xdr:rowOff>77431</xdr:rowOff>
    </xdr:from>
    <xdr:ext cx="371970" cy="181267"/>
    <xdr:pic>
      <xdr:nvPicPr>
        <xdr:cNvPr id="7" name="image5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9394" y="39082306"/>
          <a:ext cx="371970" cy="18126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352425</xdr:colOff>
      <xdr:row>2</xdr:row>
      <xdr:rowOff>95250</xdr:rowOff>
    </xdr:from>
    <xdr:to>
      <xdr:col>7</xdr:col>
      <xdr:colOff>2228851</xdr:colOff>
      <xdr:row>3</xdr:row>
      <xdr:rowOff>504825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425" y="476250"/>
          <a:ext cx="1876426" cy="600075"/>
        </a:xfrm>
        <a:prstGeom prst="rect">
          <a:avLst/>
        </a:prstGeom>
      </xdr:spPr>
    </xdr:pic>
    <xdr:clientData/>
  </xdr:twoCellAnchor>
  <xdr:oneCellAnchor>
    <xdr:from>
      <xdr:col>7</xdr:col>
      <xdr:colOff>323850</xdr:colOff>
      <xdr:row>16</xdr:row>
      <xdr:rowOff>142875</xdr:rowOff>
    </xdr:from>
    <xdr:ext cx="2181225" cy="600075"/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7850" y="4105275"/>
          <a:ext cx="2181225" cy="600075"/>
        </a:xfrm>
        <a:prstGeom prst="rect">
          <a:avLst/>
        </a:prstGeom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3</xdr:row>
      <xdr:rowOff>161925</xdr:rowOff>
    </xdr:from>
    <xdr:to>
      <xdr:col>5</xdr:col>
      <xdr:colOff>171450</xdr:colOff>
      <xdr:row>4</xdr:row>
      <xdr:rowOff>504826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6575" y="733425"/>
          <a:ext cx="3057525" cy="5429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1</xdr:row>
      <xdr:rowOff>38100</xdr:rowOff>
    </xdr:from>
    <xdr:to>
      <xdr:col>2</xdr:col>
      <xdr:colOff>3638549</xdr:colOff>
      <xdr:row>2</xdr:row>
      <xdr:rowOff>838199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175" y="228600"/>
          <a:ext cx="3000374" cy="1000124"/>
        </a:xfrm>
        <a:prstGeom prst="rect">
          <a:avLst/>
        </a:prstGeom>
      </xdr:spPr>
    </xdr:pic>
    <xdr:clientData/>
  </xdr:twoCellAnchor>
  <xdr:oneCellAnchor>
    <xdr:from>
      <xdr:col>2</xdr:col>
      <xdr:colOff>314325</xdr:colOff>
      <xdr:row>28</xdr:row>
      <xdr:rowOff>142874</xdr:rowOff>
    </xdr:from>
    <xdr:ext cx="3000374" cy="381001"/>
    <xdr:pic>
      <xdr:nvPicPr>
        <xdr:cNvPr id="4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325" y="4267199"/>
          <a:ext cx="3000374" cy="381001"/>
        </a:xfrm>
        <a:prstGeom prst="rect">
          <a:avLst/>
        </a:prstGeom>
      </xdr:spPr>
    </xdr:pic>
    <xdr:clientData/>
  </xdr:oneCellAnchor>
  <xdr:oneCellAnchor>
    <xdr:from>
      <xdr:col>2</xdr:col>
      <xdr:colOff>371475</xdr:colOff>
      <xdr:row>11</xdr:row>
      <xdr:rowOff>190499</xdr:rowOff>
    </xdr:from>
    <xdr:ext cx="3000374" cy="381001"/>
    <xdr:pic>
      <xdr:nvPicPr>
        <xdr:cNvPr id="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5475" y="3162299"/>
          <a:ext cx="3000374" cy="381001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2</xdr:row>
      <xdr:rowOff>114300</xdr:rowOff>
    </xdr:from>
    <xdr:to>
      <xdr:col>5</xdr:col>
      <xdr:colOff>323849</xdr:colOff>
      <xdr:row>3</xdr:row>
      <xdr:rowOff>923924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495300"/>
          <a:ext cx="3000374" cy="10001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704850</xdr:colOff>
      <xdr:row>1</xdr:row>
      <xdr:rowOff>952500</xdr:rowOff>
    </xdr:from>
    <xdr:to>
      <xdr:col>4</xdr:col>
      <xdr:colOff>123825</xdr:colOff>
      <xdr:row>1</xdr:row>
      <xdr:rowOff>1552575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8850" y="1143000"/>
          <a:ext cx="3467100" cy="6000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5</xdr:row>
      <xdr:rowOff>85725</xdr:rowOff>
    </xdr:from>
    <xdr:to>
      <xdr:col>4</xdr:col>
      <xdr:colOff>104775</xdr:colOff>
      <xdr:row>5</xdr:row>
      <xdr:rowOff>685800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7925" y="1038225"/>
          <a:ext cx="2428875" cy="600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42\compartida\Users\rujbaroudi\Desktop\Listas%20Cambios%20de%20precios\Precios%2020211208%20(PCV)%20BsS%20-%20Lote%2025106%20IVA16%20(Dolar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ción"/>
      <sheetName val="INICIO"/>
      <sheetName val="Lista TF (Ref-Mezc-Agua)"/>
      <sheetName val="Lista TF (Resumen)"/>
      <sheetName val="Restauración"/>
      <sheetName val="Valor Depósito"/>
      <sheetName val="Vidrio Iny "/>
      <sheetName val="Lista Precios TF (DC)"/>
      <sheetName val="Lista Precios PL (DC)"/>
      <sheetName val="Lista Precios TF"/>
      <sheetName val="Lista Precios PL"/>
      <sheetName val="Resumen TF"/>
      <sheetName val="Resumen PL"/>
      <sheetName val="Retail Plus TF"/>
      <sheetName val="Retail Plus PL"/>
      <sheetName val="APC"/>
      <sheetName val="CSD Vzla"/>
      <sheetName val="CSD pto-l"/>
      <sheetName val="BIB Vzla"/>
      <sheetName val="H2O Vzla"/>
      <sheetName val="H2O pto-l"/>
      <sheetName val="Yuk Agen"/>
      <sheetName val="Té Lipton"/>
      <sheetName val="Jugos Dispensados"/>
      <sheetName val="Gatorade"/>
      <sheetName val="Maltín Vzla"/>
      <sheetName val="Ad-Rush"/>
      <sheetName val="Vending"/>
      <sheetName val="VendingCaja"/>
      <sheetName val="Vending (PL)"/>
      <sheetName val="VendingCaja (PL)"/>
      <sheetName val="Vtas Tierra Firme"/>
      <sheetName val="Vtas Mcbo Norte"/>
      <sheetName val="Vtas Pto Libre"/>
      <sheetName val="Bolsillo TF"/>
      <sheetName val="Bolsillo PL"/>
      <sheetName val="Guarenas"/>
      <sheetName val="Barquisimeto (OLD)"/>
      <sheetName val="Vtas Tierra Firme (OLD)"/>
      <sheetName val="PRECIOS VASOS 30JUL"/>
      <sheetName val="Detalle Productos (OLD)"/>
      <sheetName val="Detalle Material TF"/>
      <sheetName val="Detalle Material PL"/>
      <sheetName val="Franquici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23">
          <cell r="E123">
            <v>0.43032963249849387</v>
          </cell>
        </row>
        <row r="124">
          <cell r="E124">
            <v>0</v>
          </cell>
        </row>
      </sheetData>
      <sheetData sheetId="10" refreshError="1"/>
      <sheetData sheetId="11" refreshError="1"/>
      <sheetData sheetId="12" refreshError="1"/>
      <sheetData sheetId="13" refreshError="1">
        <row r="7">
          <cell r="J7">
            <v>80626</v>
          </cell>
          <cell r="K7" t="str">
            <v>PEPSI</v>
          </cell>
          <cell r="L7" t="str">
            <v>2L</v>
          </cell>
          <cell r="M7">
            <v>6</v>
          </cell>
          <cell r="O7">
            <v>1.64</v>
          </cell>
          <cell r="P7">
            <v>0.16</v>
          </cell>
          <cell r="Q7">
            <v>1.8999053274808504</v>
          </cell>
          <cell r="R7">
            <v>0.15284</v>
          </cell>
          <cell r="S7">
            <v>1.39</v>
          </cell>
        </row>
        <row r="8">
          <cell r="J8">
            <v>80628</v>
          </cell>
          <cell r="K8" t="str">
            <v>PEPSI LIGHT</v>
          </cell>
          <cell r="L8" t="str">
            <v>2L</v>
          </cell>
          <cell r="M8">
            <v>6</v>
          </cell>
          <cell r="O8">
            <v>1.64</v>
          </cell>
          <cell r="P8">
            <v>0.16</v>
          </cell>
          <cell r="Q8">
            <v>1.8999053274808504</v>
          </cell>
          <cell r="R8">
            <v>0.15284</v>
          </cell>
          <cell r="S8">
            <v>1.39</v>
          </cell>
        </row>
        <row r="9">
          <cell r="J9">
            <v>178392</v>
          </cell>
          <cell r="K9" t="str">
            <v>PEPSI</v>
          </cell>
          <cell r="L9" t="str">
            <v>1,5L</v>
          </cell>
          <cell r="M9">
            <v>6</v>
          </cell>
          <cell r="O9">
            <v>1.25</v>
          </cell>
          <cell r="P9">
            <v>0.16</v>
          </cell>
          <cell r="Q9">
            <v>1.4480592133574319</v>
          </cell>
          <cell r="R9">
            <v>0.18012</v>
          </cell>
          <cell r="S9">
            <v>1.02</v>
          </cell>
        </row>
        <row r="10">
          <cell r="J10">
            <v>1017051</v>
          </cell>
          <cell r="K10" t="str">
            <v>PEPSI</v>
          </cell>
          <cell r="L10" t="str">
            <v>1L</v>
          </cell>
          <cell r="M10">
            <v>6</v>
          </cell>
          <cell r="O10">
            <v>0.9</v>
          </cell>
          <cell r="P10">
            <v>0.16</v>
          </cell>
          <cell r="Q10">
            <v>1.0478526551338325</v>
          </cell>
          <cell r="R10">
            <v>0.1449</v>
          </cell>
          <cell r="S10">
            <v>0.77</v>
          </cell>
        </row>
        <row r="11">
          <cell r="J11">
            <v>80624</v>
          </cell>
          <cell r="K11" t="str">
            <v>PEPSI</v>
          </cell>
          <cell r="L11" t="str">
            <v>355 ml</v>
          </cell>
          <cell r="M11">
            <v>24</v>
          </cell>
          <cell r="O11">
            <v>0.82</v>
          </cell>
          <cell r="P11">
            <v>0.16</v>
          </cell>
          <cell r="Q11">
            <v>0.94887683965917902</v>
          </cell>
          <cell r="R11">
            <v>0.14499999999999999</v>
          </cell>
          <cell r="S11">
            <v>0.7</v>
          </cell>
        </row>
        <row r="12">
          <cell r="J12">
            <v>80625</v>
          </cell>
          <cell r="K12" t="str">
            <v>PEPSI LIGHT</v>
          </cell>
          <cell r="L12" t="str">
            <v>355 ml</v>
          </cell>
          <cell r="M12">
            <v>24</v>
          </cell>
          <cell r="O12">
            <v>0.82</v>
          </cell>
          <cell r="P12">
            <v>0.16</v>
          </cell>
          <cell r="Q12">
            <v>0.94887683965917902</v>
          </cell>
          <cell r="R12">
            <v>0.14499999999999999</v>
          </cell>
          <cell r="S12">
            <v>0.7</v>
          </cell>
        </row>
        <row r="13">
          <cell r="J13">
            <v>1016162</v>
          </cell>
          <cell r="K13" t="str">
            <v>PEPSI</v>
          </cell>
          <cell r="L13" t="str">
            <v>355 ml</v>
          </cell>
          <cell r="M13">
            <v>6</v>
          </cell>
          <cell r="O13">
            <v>0.82</v>
          </cell>
          <cell r="P13">
            <v>0.16</v>
          </cell>
          <cell r="Q13">
            <v>0.94887683965917902</v>
          </cell>
          <cell r="R13">
            <v>0.14510999999999999</v>
          </cell>
          <cell r="S13">
            <v>0.7</v>
          </cell>
        </row>
        <row r="14">
          <cell r="J14">
            <v>1016164</v>
          </cell>
          <cell r="K14" t="str">
            <v>PEPSI LIGHT</v>
          </cell>
          <cell r="L14" t="str">
            <v>355 ml</v>
          </cell>
          <cell r="M14">
            <v>6</v>
          </cell>
          <cell r="O14">
            <v>0.82</v>
          </cell>
          <cell r="P14">
            <v>0.16</v>
          </cell>
          <cell r="Q14">
            <v>0.94887683965917902</v>
          </cell>
          <cell r="R14">
            <v>0.14510999999999999</v>
          </cell>
          <cell r="S14">
            <v>0.7</v>
          </cell>
        </row>
        <row r="15">
          <cell r="J15">
            <v>1016811</v>
          </cell>
          <cell r="K15" t="str">
            <v>PEPSI</v>
          </cell>
          <cell r="L15" t="str">
            <v>320 ml</v>
          </cell>
          <cell r="M15">
            <v>24</v>
          </cell>
          <cell r="O15">
            <v>0.82</v>
          </cell>
          <cell r="P15">
            <v>0.16</v>
          </cell>
          <cell r="Q15">
            <v>0.94887683965917902</v>
          </cell>
          <cell r="R15">
            <v>0.14499999999999999</v>
          </cell>
          <cell r="S15">
            <v>0.7</v>
          </cell>
        </row>
        <row r="16">
          <cell r="J16">
            <v>1017081</v>
          </cell>
          <cell r="K16" t="str">
            <v>PEPSI</v>
          </cell>
          <cell r="L16" t="str">
            <v>320 ml</v>
          </cell>
          <cell r="M16">
            <v>6</v>
          </cell>
          <cell r="O16">
            <v>0.82</v>
          </cell>
          <cell r="P16">
            <v>0.16</v>
          </cell>
          <cell r="Q16">
            <v>0.94887683965917902</v>
          </cell>
          <cell r="R16">
            <v>0.14510999999999999</v>
          </cell>
          <cell r="S16">
            <v>0.7</v>
          </cell>
        </row>
        <row r="17">
          <cell r="J17">
            <v>157999</v>
          </cell>
          <cell r="K17" t="str">
            <v>BIB PEPSI 18.925 L CAJA PLASTICA</v>
          </cell>
          <cell r="M17">
            <v>1</v>
          </cell>
          <cell r="O17">
            <v>61.05</v>
          </cell>
          <cell r="P17">
            <v>0.16</v>
          </cell>
          <cell r="Q17">
            <v>70.819347620277128</v>
          </cell>
          <cell r="R17">
            <v>0</v>
          </cell>
          <cell r="S17">
            <v>61.05</v>
          </cell>
        </row>
        <row r="18">
          <cell r="J18">
            <v>1014106</v>
          </cell>
          <cell r="K18" t="str">
            <v>BIB PEPSI 18.925 L CAJA CARTÓN</v>
          </cell>
          <cell r="M18">
            <v>1</v>
          </cell>
          <cell r="O18">
            <v>61.05</v>
          </cell>
          <cell r="P18">
            <v>0.16</v>
          </cell>
          <cell r="Q18">
            <v>70.819347620277128</v>
          </cell>
          <cell r="R18">
            <v>0</v>
          </cell>
          <cell r="S18">
            <v>61.05</v>
          </cell>
        </row>
        <row r="19">
          <cell r="J19">
            <v>1016411</v>
          </cell>
          <cell r="K19" t="str">
            <v>BIB 1/2 CAP PEPSI  9.463 L C/CARTÓN</v>
          </cell>
          <cell r="M19">
            <v>1</v>
          </cell>
          <cell r="O19">
            <v>30.53</v>
          </cell>
          <cell r="P19">
            <v>0.16</v>
          </cell>
          <cell r="Q19">
            <v>35.409673810138564</v>
          </cell>
          <cell r="R19">
            <v>0</v>
          </cell>
          <cell r="S19">
            <v>30.53</v>
          </cell>
        </row>
        <row r="20">
          <cell r="J20">
            <v>1014109</v>
          </cell>
          <cell r="K20" t="str">
            <v>BIB 1/2 CAP PEPSI LIGHT 9.463 L C/CARTÓN</v>
          </cell>
          <cell r="M20">
            <v>1</v>
          </cell>
          <cell r="O20">
            <v>30.53</v>
          </cell>
          <cell r="P20">
            <v>0.16</v>
          </cell>
          <cell r="Q20">
            <v>35.409673810138564</v>
          </cell>
          <cell r="R20">
            <v>0</v>
          </cell>
          <cell r="S20">
            <v>30.53</v>
          </cell>
        </row>
        <row r="21">
          <cell r="J21">
            <v>80142</v>
          </cell>
          <cell r="K21" t="str">
            <v>PEPSI</v>
          </cell>
          <cell r="L21" t="str">
            <v>350 ml</v>
          </cell>
          <cell r="M21">
            <v>24</v>
          </cell>
          <cell r="O21">
            <v>0.43</v>
          </cell>
          <cell r="P21">
            <v>0.16</v>
          </cell>
          <cell r="Q21">
            <v>0.49918237369825286</v>
          </cell>
          <cell r="R21">
            <v>0.15104000000000001</v>
          </cell>
          <cell r="S21">
            <v>0.37</v>
          </cell>
        </row>
        <row r="22">
          <cell r="J22">
            <v>1017052</v>
          </cell>
          <cell r="K22" t="str">
            <v>PEPSI</v>
          </cell>
          <cell r="L22" t="str">
            <v>1,25L</v>
          </cell>
          <cell r="M22">
            <v>6</v>
          </cell>
          <cell r="O22">
            <v>0.78</v>
          </cell>
          <cell r="P22">
            <v>0.16</v>
          </cell>
          <cell r="Q22">
            <v>0.8993889319218521</v>
          </cell>
          <cell r="R22">
            <v>0.18733</v>
          </cell>
          <cell r="S22">
            <v>0.63</v>
          </cell>
        </row>
        <row r="23">
          <cell r="J23">
            <v>80623</v>
          </cell>
          <cell r="K23" t="str">
            <v>PEPSI PSH 250 ML N/R 24 UND</v>
          </cell>
          <cell r="L23" t="str">
            <v>250 ml</v>
          </cell>
          <cell r="M23">
            <v>24</v>
          </cell>
          <cell r="O23">
            <v>0.43</v>
          </cell>
          <cell r="P23">
            <v>0.16</v>
          </cell>
          <cell r="Q23">
            <v>0.49918237369825286</v>
          </cell>
          <cell r="R23">
            <v>0.14771000000000001</v>
          </cell>
          <cell r="S23">
            <v>0.37</v>
          </cell>
        </row>
        <row r="24">
          <cell r="J24">
            <v>1014771</v>
          </cell>
          <cell r="K24" t="str">
            <v>PEPSI MAX PSH 250 ML N/R 24 UND</v>
          </cell>
          <cell r="L24" t="str">
            <v>250 ml</v>
          </cell>
          <cell r="M24">
            <v>24</v>
          </cell>
          <cell r="O24">
            <v>0.43</v>
          </cell>
          <cell r="P24">
            <v>0.16</v>
          </cell>
          <cell r="Q24">
            <v>0.49918237369825286</v>
          </cell>
          <cell r="R24">
            <v>0.14771000000000001</v>
          </cell>
          <cell r="S24">
            <v>0.37</v>
          </cell>
        </row>
        <row r="25">
          <cell r="J25">
            <v>1016425</v>
          </cell>
          <cell r="K25" t="str">
            <v>PEPSI PSH 250MLx12UN</v>
          </cell>
          <cell r="L25" t="str">
            <v>250 ml</v>
          </cell>
          <cell r="M25">
            <v>12</v>
          </cell>
          <cell r="O25">
            <v>0.43</v>
          </cell>
          <cell r="P25">
            <v>0.16</v>
          </cell>
          <cell r="Q25">
            <v>0.49918237369825286</v>
          </cell>
          <cell r="R25">
            <v>0.14792</v>
          </cell>
          <cell r="S25">
            <v>0.37</v>
          </cell>
        </row>
        <row r="26">
          <cell r="J26">
            <v>80674</v>
          </cell>
          <cell r="K26" t="str">
            <v>7UP</v>
          </cell>
          <cell r="L26" t="str">
            <v>2L</v>
          </cell>
          <cell r="M26">
            <v>6</v>
          </cell>
          <cell r="O26">
            <v>1.64</v>
          </cell>
          <cell r="P26">
            <v>0.16</v>
          </cell>
          <cell r="Q26">
            <v>1.8999053274808504</v>
          </cell>
          <cell r="R26">
            <v>0.15284</v>
          </cell>
          <cell r="S26">
            <v>1.39</v>
          </cell>
        </row>
        <row r="27">
          <cell r="J27">
            <v>120154</v>
          </cell>
          <cell r="K27" t="str">
            <v>7UP LIGHT</v>
          </cell>
          <cell r="L27" t="str">
            <v>2L</v>
          </cell>
          <cell r="M27">
            <v>6</v>
          </cell>
          <cell r="O27">
            <v>1.64</v>
          </cell>
          <cell r="P27">
            <v>0.16</v>
          </cell>
          <cell r="Q27">
            <v>1.8999053274808504</v>
          </cell>
          <cell r="R27">
            <v>0.15284</v>
          </cell>
          <cell r="S27">
            <v>1.39</v>
          </cell>
        </row>
        <row r="28">
          <cell r="J28">
            <v>178395</v>
          </cell>
          <cell r="K28" t="str">
            <v>7UP</v>
          </cell>
          <cell r="L28" t="str">
            <v>1,5 L</v>
          </cell>
          <cell r="M28">
            <v>6</v>
          </cell>
          <cell r="O28">
            <v>1.25</v>
          </cell>
          <cell r="P28">
            <v>0.16</v>
          </cell>
          <cell r="Q28">
            <v>1.4480592133574319</v>
          </cell>
          <cell r="R28">
            <v>0.18012</v>
          </cell>
          <cell r="S28">
            <v>1.02</v>
          </cell>
        </row>
        <row r="29">
          <cell r="J29">
            <v>80676</v>
          </cell>
          <cell r="K29" t="str">
            <v>7UP</v>
          </cell>
          <cell r="L29" t="str">
            <v>355 ml</v>
          </cell>
          <cell r="M29">
            <v>24</v>
          </cell>
          <cell r="O29">
            <v>0.82</v>
          </cell>
          <cell r="P29">
            <v>0.16</v>
          </cell>
          <cell r="Q29">
            <v>0.94887683965917902</v>
          </cell>
          <cell r="R29">
            <v>0.14499999999999999</v>
          </cell>
          <cell r="S29">
            <v>0.7</v>
          </cell>
        </row>
        <row r="30">
          <cell r="J30">
            <v>1016166</v>
          </cell>
          <cell r="K30" t="str">
            <v>7UP</v>
          </cell>
          <cell r="L30" t="str">
            <v>355 ml</v>
          </cell>
          <cell r="M30">
            <v>6</v>
          </cell>
          <cell r="O30">
            <v>0.82</v>
          </cell>
          <cell r="P30">
            <v>0.16</v>
          </cell>
          <cell r="Q30">
            <v>0.94887683965917902</v>
          </cell>
          <cell r="R30">
            <v>0.14510999999999999</v>
          </cell>
          <cell r="S30">
            <v>0.7</v>
          </cell>
        </row>
        <row r="31">
          <cell r="J31">
            <v>1016812</v>
          </cell>
          <cell r="K31" t="str">
            <v>7UP</v>
          </cell>
          <cell r="L31" t="str">
            <v>320 ml</v>
          </cell>
          <cell r="M31">
            <v>24</v>
          </cell>
          <cell r="O31">
            <v>0.82</v>
          </cell>
          <cell r="P31">
            <v>0.16</v>
          </cell>
          <cell r="Q31">
            <v>0.94887683965917902</v>
          </cell>
          <cell r="R31">
            <v>0.14499999999999999</v>
          </cell>
          <cell r="S31">
            <v>0.7</v>
          </cell>
        </row>
        <row r="32">
          <cell r="J32">
            <v>158000</v>
          </cell>
          <cell r="K32" t="str">
            <v>BIB 7 UP 18.925 LT CAJA PLASTICA</v>
          </cell>
          <cell r="M32">
            <v>1</v>
          </cell>
          <cell r="O32">
            <v>61.05</v>
          </cell>
          <cell r="P32">
            <v>0.16</v>
          </cell>
          <cell r="Q32">
            <v>70.819347620277128</v>
          </cell>
          <cell r="R32">
            <v>0</v>
          </cell>
          <cell r="S32">
            <v>61.05</v>
          </cell>
        </row>
        <row r="33">
          <cell r="J33">
            <v>1014107</v>
          </cell>
          <cell r="K33" t="str">
            <v>BIB 7 UP 18.925 LT CAJA CARTÓN</v>
          </cell>
          <cell r="M33">
            <v>1</v>
          </cell>
          <cell r="O33">
            <v>61.05</v>
          </cell>
          <cell r="P33">
            <v>0.16</v>
          </cell>
          <cell r="Q33">
            <v>70.819347620277128</v>
          </cell>
          <cell r="R33">
            <v>0</v>
          </cell>
          <cell r="S33">
            <v>61.05</v>
          </cell>
        </row>
        <row r="34">
          <cell r="J34">
            <v>1016002</v>
          </cell>
          <cell r="K34" t="str">
            <v>7UP BIB C/CARTON 9,463Lx1CJ</v>
          </cell>
          <cell r="M34">
            <v>1</v>
          </cell>
          <cell r="O34">
            <v>30.53</v>
          </cell>
          <cell r="P34">
            <v>0.16</v>
          </cell>
          <cell r="Q34">
            <v>35.409673810138564</v>
          </cell>
          <cell r="R34">
            <v>0</v>
          </cell>
          <cell r="S34">
            <v>30.53</v>
          </cell>
        </row>
        <row r="35">
          <cell r="J35">
            <v>80147</v>
          </cell>
          <cell r="K35" t="str">
            <v>7UP</v>
          </cell>
          <cell r="L35" t="str">
            <v>350 ml</v>
          </cell>
          <cell r="M35">
            <v>24</v>
          </cell>
          <cell r="O35">
            <v>0.43</v>
          </cell>
          <cell r="P35">
            <v>0.16</v>
          </cell>
          <cell r="Q35">
            <v>0.49918237369825286</v>
          </cell>
          <cell r="R35">
            <v>0.15104000000000001</v>
          </cell>
          <cell r="S35">
            <v>0.37</v>
          </cell>
        </row>
        <row r="36">
          <cell r="J36">
            <v>80677</v>
          </cell>
          <cell r="K36" t="str">
            <v>7 UP PSH 250 ML N/R 24 UND.</v>
          </cell>
          <cell r="L36" t="str">
            <v>250 ml</v>
          </cell>
          <cell r="M36">
            <v>24</v>
          </cell>
          <cell r="O36">
            <v>0.43</v>
          </cell>
          <cell r="P36">
            <v>0.16</v>
          </cell>
          <cell r="Q36">
            <v>0.49918237369825286</v>
          </cell>
          <cell r="R36">
            <v>0.14771000000000001</v>
          </cell>
          <cell r="S36">
            <v>0.37</v>
          </cell>
        </row>
        <row r="37">
          <cell r="J37">
            <v>80642</v>
          </cell>
          <cell r="K37" t="str">
            <v>KOLA</v>
          </cell>
          <cell r="L37" t="str">
            <v>2L</v>
          </cell>
          <cell r="M37">
            <v>6</v>
          </cell>
          <cell r="O37">
            <v>1.64</v>
          </cell>
          <cell r="P37">
            <v>0.16</v>
          </cell>
          <cell r="Q37">
            <v>1.8999053274808504</v>
          </cell>
          <cell r="R37">
            <v>0.15284</v>
          </cell>
          <cell r="S37">
            <v>1.39</v>
          </cell>
        </row>
        <row r="38">
          <cell r="J38">
            <v>1017231</v>
          </cell>
          <cell r="K38" t="str">
            <v>MANZANA</v>
          </cell>
          <cell r="L38" t="str">
            <v>2L</v>
          </cell>
          <cell r="M38">
            <v>6</v>
          </cell>
          <cell r="O38">
            <v>1.64</v>
          </cell>
          <cell r="P38">
            <v>0.16</v>
          </cell>
          <cell r="Q38">
            <v>1.8999053274808504</v>
          </cell>
          <cell r="R38">
            <v>0.15284</v>
          </cell>
          <cell r="S38">
            <v>1.39</v>
          </cell>
        </row>
        <row r="39">
          <cell r="J39">
            <v>80644</v>
          </cell>
          <cell r="K39" t="str">
            <v>NARANJA</v>
          </cell>
          <cell r="L39" t="str">
            <v>2L</v>
          </cell>
          <cell r="M39">
            <v>6</v>
          </cell>
          <cell r="O39">
            <v>1.64</v>
          </cell>
          <cell r="P39">
            <v>0.16</v>
          </cell>
          <cell r="Q39">
            <v>1.8999053274808504</v>
          </cell>
          <cell r="R39">
            <v>0.15284</v>
          </cell>
          <cell r="S39">
            <v>1.39</v>
          </cell>
        </row>
        <row r="40">
          <cell r="J40">
            <v>178393</v>
          </cell>
          <cell r="K40" t="str">
            <v>KOLA</v>
          </cell>
          <cell r="L40" t="str">
            <v>1,5L</v>
          </cell>
          <cell r="M40">
            <v>6</v>
          </cell>
          <cell r="O40">
            <v>1.25</v>
          </cell>
          <cell r="P40">
            <v>0.16</v>
          </cell>
          <cell r="Q40">
            <v>1.4480592133574319</v>
          </cell>
          <cell r="R40">
            <v>0.18012</v>
          </cell>
          <cell r="S40">
            <v>1.02</v>
          </cell>
        </row>
        <row r="41">
          <cell r="J41">
            <v>178398</v>
          </cell>
          <cell r="K41" t="str">
            <v>PIÑA</v>
          </cell>
          <cell r="L41" t="str">
            <v>1,5L</v>
          </cell>
          <cell r="M41">
            <v>6</v>
          </cell>
          <cell r="O41">
            <v>1.25</v>
          </cell>
          <cell r="P41">
            <v>0.16</v>
          </cell>
          <cell r="Q41">
            <v>1.4480592133574319</v>
          </cell>
          <cell r="R41">
            <v>0.18012</v>
          </cell>
          <cell r="S41">
            <v>1.02</v>
          </cell>
        </row>
        <row r="42">
          <cell r="J42">
            <v>1016933</v>
          </cell>
          <cell r="K42" t="str">
            <v>NARA PARCHITA</v>
          </cell>
          <cell r="L42" t="str">
            <v>1,5L</v>
          </cell>
          <cell r="M42">
            <v>6</v>
          </cell>
          <cell r="O42">
            <v>1.25</v>
          </cell>
          <cell r="P42">
            <v>0.16</v>
          </cell>
          <cell r="Q42">
            <v>1.4480592133574319</v>
          </cell>
          <cell r="R42">
            <v>0.18012</v>
          </cell>
          <cell r="S42">
            <v>1.02</v>
          </cell>
        </row>
        <row r="43">
          <cell r="J43">
            <v>178397</v>
          </cell>
          <cell r="K43" t="str">
            <v>MANZANA</v>
          </cell>
          <cell r="L43" t="str">
            <v>1,5L</v>
          </cell>
          <cell r="M43">
            <v>6</v>
          </cell>
          <cell r="O43">
            <v>1.25</v>
          </cell>
          <cell r="P43">
            <v>0.16</v>
          </cell>
          <cell r="Q43">
            <v>1.4480592133574319</v>
          </cell>
          <cell r="R43">
            <v>0.18012</v>
          </cell>
          <cell r="S43">
            <v>1.02</v>
          </cell>
        </row>
        <row r="44">
          <cell r="J44">
            <v>178394</v>
          </cell>
          <cell r="K44" t="str">
            <v>NARANJA</v>
          </cell>
          <cell r="L44" t="str">
            <v>1,5L</v>
          </cell>
          <cell r="M44">
            <v>6</v>
          </cell>
          <cell r="O44">
            <v>1.25</v>
          </cell>
          <cell r="P44">
            <v>0.16</v>
          </cell>
          <cell r="Q44">
            <v>1.4480592133574319</v>
          </cell>
          <cell r="R44">
            <v>0.18012</v>
          </cell>
          <cell r="S44">
            <v>1.02</v>
          </cell>
        </row>
        <row r="45">
          <cell r="J45">
            <v>178396</v>
          </cell>
          <cell r="K45" t="str">
            <v>UVA</v>
          </cell>
          <cell r="L45" t="str">
            <v>1,5L</v>
          </cell>
          <cell r="M45">
            <v>6</v>
          </cell>
          <cell r="O45">
            <v>1.25</v>
          </cell>
          <cell r="P45">
            <v>0.16</v>
          </cell>
          <cell r="Q45">
            <v>1.4480592133574319</v>
          </cell>
          <cell r="R45">
            <v>0.18012</v>
          </cell>
          <cell r="S45">
            <v>1.02</v>
          </cell>
        </row>
        <row r="46">
          <cell r="J46">
            <v>1017221</v>
          </cell>
          <cell r="K46" t="str">
            <v>KOLA</v>
          </cell>
          <cell r="L46" t="str">
            <v>1L</v>
          </cell>
          <cell r="M46">
            <v>6</v>
          </cell>
          <cell r="O46">
            <v>0.9</v>
          </cell>
          <cell r="P46">
            <v>0.16</v>
          </cell>
          <cell r="Q46">
            <v>1.0478526551338325</v>
          </cell>
          <cell r="R46">
            <v>0.1449</v>
          </cell>
          <cell r="S46">
            <v>0.77</v>
          </cell>
        </row>
        <row r="47">
          <cell r="J47">
            <v>1017222</v>
          </cell>
          <cell r="K47" t="str">
            <v>NARANJA</v>
          </cell>
          <cell r="L47" t="str">
            <v>1L</v>
          </cell>
          <cell r="M47">
            <v>6</v>
          </cell>
          <cell r="O47">
            <v>0.9</v>
          </cell>
          <cell r="P47">
            <v>0.16</v>
          </cell>
          <cell r="Q47">
            <v>1.0478526551338325</v>
          </cell>
          <cell r="R47">
            <v>0.1449</v>
          </cell>
          <cell r="S47">
            <v>0.77</v>
          </cell>
        </row>
        <row r="48">
          <cell r="J48">
            <v>1017122</v>
          </cell>
          <cell r="K48" t="str">
            <v>NARA PARCHITA</v>
          </cell>
          <cell r="L48" t="str">
            <v>1L</v>
          </cell>
          <cell r="M48">
            <v>6</v>
          </cell>
          <cell r="O48">
            <v>0.9</v>
          </cell>
          <cell r="P48">
            <v>0.16</v>
          </cell>
          <cell r="Q48">
            <v>1.0478526551338325</v>
          </cell>
          <cell r="R48">
            <v>0.1449</v>
          </cell>
          <cell r="S48">
            <v>0.77</v>
          </cell>
        </row>
        <row r="49">
          <cell r="J49">
            <v>92228</v>
          </cell>
          <cell r="K49" t="str">
            <v>KOLA</v>
          </cell>
          <cell r="L49" t="str">
            <v>600 ml</v>
          </cell>
          <cell r="M49">
            <v>12</v>
          </cell>
          <cell r="O49">
            <v>0.71</v>
          </cell>
          <cell r="P49">
            <v>0.16</v>
          </cell>
          <cell r="Q49">
            <v>0.82408124623461576</v>
          </cell>
          <cell r="R49">
            <v>0.14285999999999999</v>
          </cell>
          <cell r="S49">
            <v>0.61</v>
          </cell>
        </row>
        <row r="50">
          <cell r="J50">
            <v>92218</v>
          </cell>
          <cell r="K50" t="str">
            <v>NARANJA</v>
          </cell>
          <cell r="L50" t="str">
            <v>600 ml</v>
          </cell>
          <cell r="M50">
            <v>12</v>
          </cell>
          <cell r="O50">
            <v>0.71</v>
          </cell>
          <cell r="P50">
            <v>0.16</v>
          </cell>
          <cell r="Q50">
            <v>0.82408124623461576</v>
          </cell>
          <cell r="R50">
            <v>0.14285999999999999</v>
          </cell>
          <cell r="S50">
            <v>0.61</v>
          </cell>
        </row>
        <row r="51">
          <cell r="J51">
            <v>80646</v>
          </cell>
          <cell r="K51" t="str">
            <v>KOLA</v>
          </cell>
          <cell r="L51" t="str">
            <v>355 ml</v>
          </cell>
          <cell r="M51">
            <v>24</v>
          </cell>
          <cell r="O51">
            <v>0.82</v>
          </cell>
          <cell r="P51">
            <v>0.16</v>
          </cell>
          <cell r="Q51">
            <v>0.94887683965917902</v>
          </cell>
          <cell r="R51">
            <v>0.14499999999999999</v>
          </cell>
          <cell r="S51">
            <v>0.7</v>
          </cell>
        </row>
        <row r="52">
          <cell r="J52">
            <v>80647</v>
          </cell>
          <cell r="K52" t="str">
            <v>NARANJA</v>
          </cell>
          <cell r="L52" t="str">
            <v>355 ml</v>
          </cell>
          <cell r="M52">
            <v>24</v>
          </cell>
          <cell r="O52">
            <v>0.82</v>
          </cell>
          <cell r="P52">
            <v>0.16</v>
          </cell>
          <cell r="Q52">
            <v>0.94887683965917902</v>
          </cell>
          <cell r="R52">
            <v>0.14499999999999999</v>
          </cell>
          <cell r="S52">
            <v>0.7</v>
          </cell>
        </row>
        <row r="53">
          <cell r="J53">
            <v>80649</v>
          </cell>
          <cell r="K53" t="str">
            <v>PIÑA</v>
          </cell>
          <cell r="L53" t="str">
            <v>355 ml</v>
          </cell>
          <cell r="M53">
            <v>24</v>
          </cell>
          <cell r="O53">
            <v>0.82</v>
          </cell>
          <cell r="P53">
            <v>0.16</v>
          </cell>
          <cell r="Q53">
            <v>0.94887683965917902</v>
          </cell>
          <cell r="R53">
            <v>0.14499999999999999</v>
          </cell>
          <cell r="S53">
            <v>0.7</v>
          </cell>
        </row>
        <row r="54">
          <cell r="J54">
            <v>80648</v>
          </cell>
          <cell r="K54" t="str">
            <v>MANZANA</v>
          </cell>
          <cell r="L54" t="str">
            <v>355 ml</v>
          </cell>
          <cell r="M54">
            <v>24</v>
          </cell>
          <cell r="O54">
            <v>0.82</v>
          </cell>
          <cell r="P54">
            <v>0.16</v>
          </cell>
          <cell r="Q54">
            <v>0.94887683965917902</v>
          </cell>
          <cell r="R54">
            <v>0.14499999999999999</v>
          </cell>
          <cell r="S54">
            <v>0.7</v>
          </cell>
        </row>
        <row r="55">
          <cell r="J55">
            <v>1016932</v>
          </cell>
          <cell r="K55" t="str">
            <v>NARA PARCHITA</v>
          </cell>
          <cell r="L55" t="str">
            <v>355 ml</v>
          </cell>
          <cell r="M55">
            <v>24</v>
          </cell>
          <cell r="O55">
            <v>0.82</v>
          </cell>
          <cell r="P55">
            <v>0.16</v>
          </cell>
          <cell r="Q55">
            <v>0.94887683965917902</v>
          </cell>
          <cell r="R55">
            <v>0.14499999999999999</v>
          </cell>
          <cell r="S55">
            <v>0.7</v>
          </cell>
        </row>
        <row r="56">
          <cell r="J56">
            <v>80650</v>
          </cell>
          <cell r="K56" t="str">
            <v>UVA</v>
          </cell>
          <cell r="L56" t="str">
            <v>355 ml</v>
          </cell>
          <cell r="M56">
            <v>24</v>
          </cell>
          <cell r="O56">
            <v>0.82</v>
          </cell>
          <cell r="P56">
            <v>0.16</v>
          </cell>
          <cell r="Q56">
            <v>0.94887683965917902</v>
          </cell>
          <cell r="R56">
            <v>0.14499999999999999</v>
          </cell>
          <cell r="S56">
            <v>0.7</v>
          </cell>
        </row>
        <row r="57">
          <cell r="J57">
            <v>1016167</v>
          </cell>
          <cell r="K57" t="str">
            <v>KOLA</v>
          </cell>
          <cell r="L57" t="str">
            <v>355 ml</v>
          </cell>
          <cell r="M57">
            <v>6</v>
          </cell>
          <cell r="O57">
            <v>0.82</v>
          </cell>
          <cell r="P57">
            <v>0.16</v>
          </cell>
          <cell r="Q57">
            <v>0.94887683965917902</v>
          </cell>
          <cell r="R57">
            <v>0.14510999999999999</v>
          </cell>
          <cell r="S57">
            <v>0.7</v>
          </cell>
        </row>
        <row r="58">
          <cell r="J58">
            <v>1016941</v>
          </cell>
          <cell r="K58" t="str">
            <v>NARA PARCHITA</v>
          </cell>
          <cell r="L58" t="str">
            <v>355 ml</v>
          </cell>
          <cell r="M58">
            <v>6</v>
          </cell>
          <cell r="O58">
            <v>0.82</v>
          </cell>
          <cell r="P58">
            <v>0.16</v>
          </cell>
          <cell r="Q58">
            <v>0.94887683965917902</v>
          </cell>
          <cell r="R58">
            <v>0.14510999999999999</v>
          </cell>
          <cell r="S58">
            <v>0.7</v>
          </cell>
        </row>
        <row r="59">
          <cell r="J59">
            <v>1016168</v>
          </cell>
          <cell r="K59" t="str">
            <v>NARANJA</v>
          </cell>
          <cell r="L59" t="str">
            <v>355 ml</v>
          </cell>
          <cell r="M59">
            <v>6</v>
          </cell>
          <cell r="O59">
            <v>0.82</v>
          </cell>
          <cell r="P59">
            <v>0.16</v>
          </cell>
          <cell r="Q59">
            <v>0.94887683965917902</v>
          </cell>
          <cell r="R59">
            <v>0.14510999999999999</v>
          </cell>
          <cell r="S59">
            <v>0.7</v>
          </cell>
        </row>
        <row r="60">
          <cell r="J60">
            <v>158001</v>
          </cell>
          <cell r="K60" t="str">
            <v>BIB 1/2 CAP NARANJA 9.463 LT C/PLASTICA</v>
          </cell>
          <cell r="M60">
            <v>1</v>
          </cell>
          <cell r="O60">
            <v>29.32</v>
          </cell>
          <cell r="P60">
            <v>0.16</v>
          </cell>
          <cell r="Q60">
            <v>34.008950856355973</v>
          </cell>
          <cell r="R60">
            <v>0</v>
          </cell>
          <cell r="S60">
            <v>29.32</v>
          </cell>
        </row>
        <row r="61">
          <cell r="J61">
            <v>1014108</v>
          </cell>
          <cell r="K61" t="str">
            <v>BIB 1/2 CAP NARANJA 9.463 LT C/CARTÓN</v>
          </cell>
          <cell r="M61">
            <v>1</v>
          </cell>
          <cell r="O61">
            <v>29.32</v>
          </cell>
          <cell r="P61">
            <v>0.16</v>
          </cell>
          <cell r="Q61">
            <v>34.008950856355973</v>
          </cell>
          <cell r="R61">
            <v>0</v>
          </cell>
          <cell r="S61">
            <v>29.32</v>
          </cell>
        </row>
        <row r="62">
          <cell r="J62">
            <v>1016001</v>
          </cell>
          <cell r="K62" t="str">
            <v>BIB 1/2 GOLDEN KOLA C/CARTÓN</v>
          </cell>
          <cell r="M62">
            <v>1</v>
          </cell>
          <cell r="O62">
            <v>29.32</v>
          </cell>
          <cell r="P62">
            <v>0.16</v>
          </cell>
          <cell r="Q62">
            <v>34.008950856355973</v>
          </cell>
          <cell r="R62">
            <v>0</v>
          </cell>
          <cell r="S62">
            <v>29.32</v>
          </cell>
        </row>
        <row r="63">
          <cell r="J63">
            <v>1016021</v>
          </cell>
          <cell r="K63" t="str">
            <v>BIB 1/2 GOLDEN UVA C/CARTÓN</v>
          </cell>
          <cell r="M63">
            <v>1</v>
          </cell>
          <cell r="O63">
            <v>29.32</v>
          </cell>
          <cell r="P63">
            <v>0.16</v>
          </cell>
          <cell r="Q63">
            <v>34.008950856355973</v>
          </cell>
          <cell r="R63">
            <v>0</v>
          </cell>
          <cell r="S63">
            <v>29.32</v>
          </cell>
        </row>
        <row r="64">
          <cell r="J64">
            <v>1016761</v>
          </cell>
          <cell r="K64" t="str">
            <v>BIB 1/2 GOLDEN MORA C/CARTÓN</v>
          </cell>
          <cell r="M64">
            <v>1</v>
          </cell>
          <cell r="O64">
            <v>29.32</v>
          </cell>
          <cell r="P64">
            <v>0.16</v>
          </cell>
          <cell r="Q64">
            <v>34.008950856355973</v>
          </cell>
          <cell r="R64">
            <v>0</v>
          </cell>
          <cell r="S64">
            <v>29.32</v>
          </cell>
        </row>
        <row r="65">
          <cell r="J65">
            <v>157998</v>
          </cell>
          <cell r="K65" t="str">
            <v>BIB KOLA 18.925 LT C/ PLASTICA</v>
          </cell>
          <cell r="M65">
            <v>1</v>
          </cell>
          <cell r="O65">
            <v>58.64</v>
          </cell>
          <cell r="P65">
            <v>0.16</v>
          </cell>
          <cell r="Q65">
            <v>68.017901712711947</v>
          </cell>
          <cell r="R65">
            <v>0</v>
          </cell>
          <cell r="S65">
            <v>58.64</v>
          </cell>
        </row>
        <row r="66">
          <cell r="J66">
            <v>1014105</v>
          </cell>
          <cell r="K66" t="str">
            <v>BIB KOLA 18.925 LT C/ CARTÓN</v>
          </cell>
          <cell r="M66">
            <v>1</v>
          </cell>
          <cell r="O66">
            <v>58.64</v>
          </cell>
          <cell r="P66">
            <v>0.16</v>
          </cell>
          <cell r="Q66">
            <v>68.017901712711947</v>
          </cell>
          <cell r="R66">
            <v>0</v>
          </cell>
          <cell r="S66">
            <v>58.64</v>
          </cell>
        </row>
        <row r="67">
          <cell r="J67">
            <v>1013161</v>
          </cell>
          <cell r="K67" t="str">
            <v>GOLDEN KOLA RET 350MLx24UN</v>
          </cell>
          <cell r="L67" t="str">
            <v>350 ml</v>
          </cell>
          <cell r="M67">
            <v>24</v>
          </cell>
          <cell r="O67">
            <v>0.43</v>
          </cell>
          <cell r="P67">
            <v>0.16</v>
          </cell>
          <cell r="Q67">
            <v>0.49918237369825286</v>
          </cell>
          <cell r="R67">
            <v>0.15104000000000001</v>
          </cell>
          <cell r="S67">
            <v>0.37</v>
          </cell>
        </row>
        <row r="68">
          <cell r="J68">
            <v>1013162</v>
          </cell>
          <cell r="K68" t="str">
            <v>GOLDEN PIﾑA RET 350MLx24UN</v>
          </cell>
          <cell r="L68" t="str">
            <v>350 ml</v>
          </cell>
          <cell r="M68">
            <v>24</v>
          </cell>
          <cell r="O68">
            <v>0.43</v>
          </cell>
          <cell r="P68">
            <v>0.16</v>
          </cell>
          <cell r="Q68">
            <v>0.49918237369825286</v>
          </cell>
          <cell r="R68">
            <v>0.15104000000000001</v>
          </cell>
          <cell r="S68">
            <v>0.37</v>
          </cell>
        </row>
        <row r="69">
          <cell r="J69">
            <v>1013163</v>
          </cell>
          <cell r="K69" t="str">
            <v>GOLDEN MANZANA RET 350MLx24UN</v>
          </cell>
          <cell r="L69" t="str">
            <v>350 ml</v>
          </cell>
          <cell r="M69">
            <v>24</v>
          </cell>
          <cell r="O69">
            <v>0.43</v>
          </cell>
          <cell r="P69">
            <v>0.16</v>
          </cell>
          <cell r="Q69">
            <v>0.49918237369825286</v>
          </cell>
          <cell r="R69">
            <v>0.15104000000000001</v>
          </cell>
          <cell r="S69">
            <v>0.37</v>
          </cell>
        </row>
        <row r="70">
          <cell r="J70">
            <v>1013164</v>
          </cell>
          <cell r="K70" t="str">
            <v>GOLDEN UVA RET 350MLx24UN</v>
          </cell>
          <cell r="L70" t="str">
            <v>350 ml</v>
          </cell>
          <cell r="M70">
            <v>24</v>
          </cell>
          <cell r="O70">
            <v>0.43</v>
          </cell>
          <cell r="P70">
            <v>0.16</v>
          </cell>
          <cell r="Q70">
            <v>0.49918237369825286</v>
          </cell>
          <cell r="R70">
            <v>0.15104000000000001</v>
          </cell>
          <cell r="S70">
            <v>0.37</v>
          </cell>
        </row>
        <row r="71">
          <cell r="J71">
            <v>1013165</v>
          </cell>
          <cell r="K71" t="str">
            <v>GOLDEN NARANJA RET 350MLx24UN</v>
          </cell>
          <cell r="L71" t="str">
            <v>350 ml</v>
          </cell>
          <cell r="M71">
            <v>24</v>
          </cell>
          <cell r="O71">
            <v>0.43</v>
          </cell>
          <cell r="P71">
            <v>0.16</v>
          </cell>
          <cell r="Q71">
            <v>0.49918237369825286</v>
          </cell>
          <cell r="R71">
            <v>0.15104000000000001</v>
          </cell>
          <cell r="S71">
            <v>0.37</v>
          </cell>
        </row>
        <row r="72">
          <cell r="J72">
            <v>1016931</v>
          </cell>
          <cell r="K72" t="str">
            <v>GOLDEN NARA PARCHITA RET 350MLx24UN</v>
          </cell>
          <cell r="L72" t="str">
            <v>350 ml</v>
          </cell>
          <cell r="M72">
            <v>24</v>
          </cell>
          <cell r="O72">
            <v>0.43</v>
          </cell>
          <cell r="P72">
            <v>0.16</v>
          </cell>
          <cell r="Q72">
            <v>0.49918237369825286</v>
          </cell>
          <cell r="R72">
            <v>0.15104000000000001</v>
          </cell>
          <cell r="S72">
            <v>0.37</v>
          </cell>
        </row>
        <row r="73">
          <cell r="J73">
            <v>127115</v>
          </cell>
          <cell r="K73" t="str">
            <v>SODA</v>
          </cell>
          <cell r="L73" t="str">
            <v>355 ml</v>
          </cell>
          <cell r="M73">
            <v>24</v>
          </cell>
          <cell r="O73">
            <v>0.73</v>
          </cell>
          <cell r="P73">
            <v>0.16</v>
          </cell>
          <cell r="Q73">
            <v>0.84774937602203293</v>
          </cell>
          <cell r="R73">
            <v>0.15112999999999999</v>
          </cell>
          <cell r="S73">
            <v>0.62</v>
          </cell>
        </row>
        <row r="74">
          <cell r="J74">
            <v>1016169</v>
          </cell>
          <cell r="K74" t="str">
            <v>SODA</v>
          </cell>
          <cell r="L74" t="str">
            <v>355 ml</v>
          </cell>
          <cell r="M74">
            <v>6</v>
          </cell>
          <cell r="O74">
            <v>0.73</v>
          </cell>
          <cell r="P74">
            <v>0.16</v>
          </cell>
          <cell r="Q74">
            <v>0.84774937602203293</v>
          </cell>
          <cell r="R74">
            <v>0.15112999999999999</v>
          </cell>
          <cell r="S74">
            <v>0.62</v>
          </cell>
        </row>
        <row r="75">
          <cell r="J75">
            <v>127117</v>
          </cell>
          <cell r="K75" t="str">
            <v>SODA</v>
          </cell>
          <cell r="L75" t="str">
            <v>600 ml</v>
          </cell>
          <cell r="M75">
            <v>12</v>
          </cell>
          <cell r="O75">
            <v>0.88</v>
          </cell>
          <cell r="P75">
            <v>0.16</v>
          </cell>
          <cell r="Q75">
            <v>1.0155779326964456</v>
          </cell>
          <cell r="R75">
            <v>0.1454</v>
          </cell>
          <cell r="S75">
            <v>0.75</v>
          </cell>
        </row>
        <row r="76">
          <cell r="J76">
            <v>126897</v>
          </cell>
          <cell r="K76" t="str">
            <v>SODA</v>
          </cell>
          <cell r="L76" t="str">
            <v>250 ml</v>
          </cell>
          <cell r="M76">
            <v>24</v>
          </cell>
          <cell r="O76">
            <v>0.43</v>
          </cell>
          <cell r="P76">
            <v>0.16</v>
          </cell>
          <cell r="Q76">
            <v>0.49918237369825286</v>
          </cell>
          <cell r="R76">
            <v>0.14666999999999999</v>
          </cell>
          <cell r="S76">
            <v>0.37</v>
          </cell>
        </row>
        <row r="77">
          <cell r="J77">
            <v>1016391</v>
          </cell>
          <cell r="K77" t="str">
            <v>EVERVESS SODA PSH 250MLx12UN</v>
          </cell>
          <cell r="L77" t="str">
            <v>250 ml</v>
          </cell>
          <cell r="M77">
            <v>12</v>
          </cell>
          <cell r="O77">
            <v>0.43</v>
          </cell>
          <cell r="P77">
            <v>0.16</v>
          </cell>
          <cell r="Q77">
            <v>0.49918237369825286</v>
          </cell>
          <cell r="R77">
            <v>0.14666999999999999</v>
          </cell>
          <cell r="S77">
            <v>0.37</v>
          </cell>
        </row>
        <row r="78">
          <cell r="J78">
            <v>148963</v>
          </cell>
          <cell r="K78" t="str">
            <v>AGUA MINALBA</v>
          </cell>
          <cell r="L78" t="str">
            <v>330 ml</v>
          </cell>
          <cell r="M78">
            <v>24</v>
          </cell>
          <cell r="O78">
            <v>206.9</v>
          </cell>
          <cell r="P78">
            <v>0.16</v>
          </cell>
          <cell r="Q78">
            <v>239.99999999999997</v>
          </cell>
          <cell r="R78">
            <v>0.9749633333333334</v>
          </cell>
          <cell r="S78">
            <v>5.18</v>
          </cell>
        </row>
        <row r="79">
          <cell r="J79">
            <v>1013371</v>
          </cell>
          <cell r="K79" t="str">
            <v>AGUA MINALBA</v>
          </cell>
          <cell r="L79" t="str">
            <v>355 ml</v>
          </cell>
          <cell r="M79">
            <v>24</v>
          </cell>
          <cell r="O79">
            <v>0.33</v>
          </cell>
          <cell r="P79">
            <v>0.16</v>
          </cell>
          <cell r="Q79">
            <v>0.3786900765986746</v>
          </cell>
          <cell r="R79">
            <v>0.16094</v>
          </cell>
          <cell r="S79">
            <v>0.27</v>
          </cell>
        </row>
        <row r="80">
          <cell r="J80">
            <v>123517</v>
          </cell>
          <cell r="K80" t="str">
            <v>AGUA MINALBA TAPA DE ROSCA</v>
          </cell>
          <cell r="L80" t="str">
            <v>600 ml</v>
          </cell>
          <cell r="M80">
            <v>24</v>
          </cell>
          <cell r="O80">
            <v>0.43</v>
          </cell>
          <cell r="P80">
            <v>0.16</v>
          </cell>
          <cell r="Q80">
            <v>0.49918237369825286</v>
          </cell>
          <cell r="R80">
            <v>0.15917000000000001</v>
          </cell>
          <cell r="S80">
            <v>0.36</v>
          </cell>
        </row>
        <row r="81">
          <cell r="J81">
            <v>95722</v>
          </cell>
          <cell r="K81" t="str">
            <v>AGUA MINALBA</v>
          </cell>
          <cell r="L81" t="str">
            <v>1,5L</v>
          </cell>
          <cell r="M81">
            <v>12</v>
          </cell>
          <cell r="O81">
            <v>0.73</v>
          </cell>
          <cell r="P81">
            <v>0.16</v>
          </cell>
          <cell r="Q81">
            <v>0.84774937602203293</v>
          </cell>
          <cell r="R81">
            <v>0.15260000000000001</v>
          </cell>
          <cell r="S81">
            <v>0.62</v>
          </cell>
        </row>
        <row r="82">
          <cell r="J82">
            <v>1015393</v>
          </cell>
          <cell r="K82" t="str">
            <v>AGUA MINALBA</v>
          </cell>
          <cell r="L82" t="str">
            <v>1,5L</v>
          </cell>
          <cell r="M82">
            <v>6</v>
          </cell>
          <cell r="O82">
            <v>0.73</v>
          </cell>
          <cell r="P82">
            <v>0.16</v>
          </cell>
          <cell r="Q82">
            <v>0.84774937602203293</v>
          </cell>
          <cell r="R82">
            <v>0.15260000000000001</v>
          </cell>
          <cell r="S82">
            <v>0.62</v>
          </cell>
        </row>
        <row r="83">
          <cell r="J83">
            <v>95723</v>
          </cell>
          <cell r="K83" t="str">
            <v>AGUA MINALBA</v>
          </cell>
          <cell r="L83" t="str">
            <v>5L</v>
          </cell>
          <cell r="M83">
            <v>2</v>
          </cell>
          <cell r="O83">
            <v>2.35</v>
          </cell>
          <cell r="P83">
            <v>0.16</v>
          </cell>
          <cell r="Q83">
            <v>2.728289870040451</v>
          </cell>
          <cell r="R83">
            <v>0.15919</v>
          </cell>
          <cell r="S83">
            <v>1.98</v>
          </cell>
        </row>
        <row r="84">
          <cell r="J84">
            <v>1016331</v>
          </cell>
          <cell r="K84" t="str">
            <v>MINALBA SPARKLING</v>
          </cell>
          <cell r="L84" t="str">
            <v>500 ml</v>
          </cell>
          <cell r="M84">
            <v>24</v>
          </cell>
          <cell r="O84">
            <v>0.73</v>
          </cell>
          <cell r="P84">
            <v>0.16</v>
          </cell>
          <cell r="Q84">
            <v>0.84774937602203293</v>
          </cell>
          <cell r="R84">
            <v>0.16413</v>
          </cell>
          <cell r="S84">
            <v>0.61</v>
          </cell>
        </row>
        <row r="85">
          <cell r="J85">
            <v>1016691</v>
          </cell>
          <cell r="K85" t="str">
            <v>MINALBA SPARKLING C/G PET 500MLx12U</v>
          </cell>
          <cell r="L85" t="str">
            <v>500 ml</v>
          </cell>
          <cell r="M85">
            <v>12</v>
          </cell>
          <cell r="O85">
            <v>0.73</v>
          </cell>
          <cell r="P85">
            <v>0.16</v>
          </cell>
          <cell r="Q85">
            <v>0.84774937602203293</v>
          </cell>
          <cell r="R85">
            <v>0.16413</v>
          </cell>
          <cell r="S85">
            <v>0.61</v>
          </cell>
        </row>
        <row r="86">
          <cell r="J86">
            <v>1016621</v>
          </cell>
          <cell r="K86" t="str">
            <v>MINALBA SPARKLING LIMON</v>
          </cell>
          <cell r="L86" t="str">
            <v>500 ml</v>
          </cell>
          <cell r="M86">
            <v>24</v>
          </cell>
          <cell r="O86">
            <v>0.73</v>
          </cell>
          <cell r="P86">
            <v>0.16</v>
          </cell>
          <cell r="Q86">
            <v>0.84774937602203293</v>
          </cell>
          <cell r="R86">
            <v>0.16413</v>
          </cell>
          <cell r="S86">
            <v>0.61</v>
          </cell>
        </row>
        <row r="87">
          <cell r="J87">
            <v>1017271</v>
          </cell>
          <cell r="K87" t="str">
            <v>MINALBA SPARKLING  PET 1Lx6U</v>
          </cell>
          <cell r="L87" t="str">
            <v>1L</v>
          </cell>
          <cell r="M87">
            <v>6</v>
          </cell>
          <cell r="O87">
            <v>0.88</v>
          </cell>
          <cell r="P87">
            <v>0.16</v>
          </cell>
          <cell r="Q87">
            <v>1.0155779326964456</v>
          </cell>
          <cell r="R87">
            <v>0.17862</v>
          </cell>
          <cell r="S87">
            <v>0.72</v>
          </cell>
        </row>
        <row r="88">
          <cell r="J88">
            <v>1017272</v>
          </cell>
          <cell r="K88" t="str">
            <v>MINALBA SPARKLING  PET LIMON 1Lx6U</v>
          </cell>
          <cell r="L88" t="str">
            <v>1L</v>
          </cell>
          <cell r="M88">
            <v>6</v>
          </cell>
          <cell r="O88">
            <v>0.88</v>
          </cell>
          <cell r="P88">
            <v>0.16</v>
          </cell>
          <cell r="Q88">
            <v>1.0155779326964456</v>
          </cell>
          <cell r="R88">
            <v>0.17862</v>
          </cell>
          <cell r="S88">
            <v>0.72</v>
          </cell>
        </row>
        <row r="89">
          <cell r="J89">
            <v>1017031</v>
          </cell>
          <cell r="K89" t="str">
            <v>MINALBA SPARKLING TORONJA C/G PET500MLx12U</v>
          </cell>
          <cell r="L89" t="str">
            <v>500 ml</v>
          </cell>
          <cell r="M89">
            <v>12</v>
          </cell>
          <cell r="O89">
            <v>0.73</v>
          </cell>
          <cell r="P89">
            <v>0.16</v>
          </cell>
          <cell r="Q89">
            <v>0.84774937602203293</v>
          </cell>
          <cell r="R89">
            <v>0.16413</v>
          </cell>
          <cell r="S89">
            <v>0.61</v>
          </cell>
        </row>
        <row r="90">
          <cell r="J90">
            <v>1016692</v>
          </cell>
          <cell r="K90" t="str">
            <v>MINALBA SPARKLING LIMÓN C/G PET500MLx12U</v>
          </cell>
          <cell r="L90" t="str">
            <v>500 ml</v>
          </cell>
          <cell r="M90">
            <v>12</v>
          </cell>
          <cell r="O90">
            <v>0.73</v>
          </cell>
          <cell r="P90">
            <v>0.16</v>
          </cell>
          <cell r="Q90">
            <v>0.84774937602203293</v>
          </cell>
          <cell r="R90">
            <v>0.16413</v>
          </cell>
          <cell r="S90">
            <v>0.61</v>
          </cell>
        </row>
        <row r="91">
          <cell r="J91">
            <v>129036</v>
          </cell>
          <cell r="K91" t="str">
            <v>YUKERY DURAZNO BOT 1LX12UN</v>
          </cell>
          <cell r="L91" t="str">
            <v>1L</v>
          </cell>
          <cell r="M91">
            <v>12</v>
          </cell>
          <cell r="O91">
            <v>1.53</v>
          </cell>
          <cell r="P91">
            <v>0.16</v>
          </cell>
          <cell r="Q91">
            <v>1.7772613822187797</v>
          </cell>
          <cell r="R91">
            <v>0.18665999999999999</v>
          </cell>
          <cell r="S91">
            <v>1.25</v>
          </cell>
        </row>
        <row r="92">
          <cell r="J92">
            <v>129037</v>
          </cell>
          <cell r="K92" t="str">
            <v>YUKERY MANZANA BOT 1LX12UN</v>
          </cell>
          <cell r="L92" t="str">
            <v>1L</v>
          </cell>
          <cell r="M92">
            <v>12</v>
          </cell>
          <cell r="O92">
            <v>1.53</v>
          </cell>
          <cell r="P92">
            <v>0.16</v>
          </cell>
          <cell r="Q92">
            <v>1.7772613822187797</v>
          </cell>
          <cell r="R92">
            <v>0.18665999999999999</v>
          </cell>
          <cell r="S92">
            <v>1.25</v>
          </cell>
        </row>
        <row r="93">
          <cell r="J93">
            <v>129049</v>
          </cell>
          <cell r="K93" t="str">
            <v>Yukery NARANJA 1 Litro x 12UN</v>
          </cell>
          <cell r="L93" t="str">
            <v>1L</v>
          </cell>
          <cell r="M93">
            <v>12</v>
          </cell>
          <cell r="O93">
            <v>1.53</v>
          </cell>
          <cell r="P93">
            <v>0.16</v>
          </cell>
          <cell r="Q93">
            <v>1.7772613822187797</v>
          </cell>
          <cell r="R93">
            <v>0.18665999999999999</v>
          </cell>
          <cell r="S93">
            <v>1.25</v>
          </cell>
        </row>
        <row r="94">
          <cell r="J94">
            <v>135726</v>
          </cell>
          <cell r="K94" t="str">
            <v>YUKERY MANGO BOT 1Lx12UN</v>
          </cell>
          <cell r="L94" t="str">
            <v>1L</v>
          </cell>
          <cell r="M94">
            <v>12</v>
          </cell>
          <cell r="O94">
            <v>1.53</v>
          </cell>
          <cell r="P94">
            <v>0.16</v>
          </cell>
          <cell r="Q94">
            <v>1.7772613822187797</v>
          </cell>
          <cell r="R94">
            <v>0.18665999999999999</v>
          </cell>
          <cell r="S94">
            <v>1.25</v>
          </cell>
        </row>
        <row r="95">
          <cell r="J95">
            <v>1014693</v>
          </cell>
          <cell r="K95" t="str">
            <v>YUKERY PIÑA BOT 1Lx12UN</v>
          </cell>
          <cell r="L95" t="str">
            <v>1L</v>
          </cell>
          <cell r="M95">
            <v>12</v>
          </cell>
          <cell r="O95">
            <v>1.53</v>
          </cell>
          <cell r="P95">
            <v>0.16</v>
          </cell>
          <cell r="Q95">
            <v>1.7772613822187797</v>
          </cell>
          <cell r="R95">
            <v>0.18665999999999999</v>
          </cell>
          <cell r="S95">
            <v>1.25</v>
          </cell>
        </row>
        <row r="96">
          <cell r="J96">
            <v>129048</v>
          </cell>
          <cell r="K96" t="str">
            <v>YUKERY PERA BOT 1LX12UN</v>
          </cell>
          <cell r="L96" t="str">
            <v>1L</v>
          </cell>
          <cell r="M96">
            <v>12</v>
          </cell>
          <cell r="O96">
            <v>1.53</v>
          </cell>
          <cell r="P96">
            <v>0.16</v>
          </cell>
          <cell r="Q96">
            <v>1.7772613822187797</v>
          </cell>
          <cell r="R96">
            <v>0.18665999999999999</v>
          </cell>
          <cell r="S96">
            <v>1.25</v>
          </cell>
        </row>
        <row r="97">
          <cell r="J97">
            <v>1012523</v>
          </cell>
          <cell r="K97" t="str">
            <v>YUK. DURAZNO C.P. BOT 250MLX12UN</v>
          </cell>
          <cell r="L97" t="str">
            <v>250 ml</v>
          </cell>
          <cell r="M97">
            <v>12</v>
          </cell>
          <cell r="O97">
            <v>0.6</v>
          </cell>
          <cell r="P97">
            <v>0.16</v>
          </cell>
          <cell r="Q97">
            <v>0.6992856528100525</v>
          </cell>
          <cell r="R97">
            <v>0.18887999999999999</v>
          </cell>
          <cell r="S97">
            <v>0.49</v>
          </cell>
        </row>
        <row r="98">
          <cell r="J98">
            <v>1016381</v>
          </cell>
          <cell r="K98" t="str">
            <v>YUK. MANGO C.P. BOT 250MLX12UN</v>
          </cell>
          <cell r="L98" t="str">
            <v>250 ml</v>
          </cell>
          <cell r="M98">
            <v>12</v>
          </cell>
          <cell r="O98">
            <v>0.6</v>
          </cell>
          <cell r="P98">
            <v>0.16</v>
          </cell>
          <cell r="Q98">
            <v>0.6992856528100525</v>
          </cell>
          <cell r="R98">
            <v>0.18887999999999999</v>
          </cell>
          <cell r="S98">
            <v>0.49</v>
          </cell>
        </row>
        <row r="99">
          <cell r="J99">
            <v>1012522</v>
          </cell>
          <cell r="K99" t="str">
            <v>YUK. MANZANA C.P. BOT 250MLX12UN</v>
          </cell>
          <cell r="L99" t="str">
            <v>250 ml</v>
          </cell>
          <cell r="M99">
            <v>12</v>
          </cell>
          <cell r="O99">
            <v>0.6</v>
          </cell>
          <cell r="P99">
            <v>0.16</v>
          </cell>
          <cell r="Q99">
            <v>0.6992856528100525</v>
          </cell>
          <cell r="R99">
            <v>0.18887999999999999</v>
          </cell>
          <cell r="S99">
            <v>0.49</v>
          </cell>
        </row>
        <row r="100">
          <cell r="J100">
            <v>1012916</v>
          </cell>
          <cell r="K100" t="str">
            <v>YUK. PERA C.P. BOT 250MLX12UN</v>
          </cell>
          <cell r="L100" t="str">
            <v>250 ml</v>
          </cell>
          <cell r="M100">
            <v>12</v>
          </cell>
          <cell r="O100">
            <v>0.6</v>
          </cell>
          <cell r="P100">
            <v>0.16</v>
          </cell>
          <cell r="Q100">
            <v>0.6992856528100525</v>
          </cell>
          <cell r="R100">
            <v>0.18887999999999999</v>
          </cell>
          <cell r="S100">
            <v>0.49</v>
          </cell>
        </row>
        <row r="101">
          <cell r="J101">
            <v>1012942</v>
          </cell>
          <cell r="K101" t="str">
            <v>YUK. NARANJADA C.P. BOT 250MLX12UN</v>
          </cell>
          <cell r="L101" t="str">
            <v>250 ml</v>
          </cell>
          <cell r="M101">
            <v>12</v>
          </cell>
          <cell r="O101">
            <v>0.6</v>
          </cell>
          <cell r="P101">
            <v>0.16</v>
          </cell>
          <cell r="Q101">
            <v>0.6992856528100525</v>
          </cell>
          <cell r="R101">
            <v>0.18887999999999999</v>
          </cell>
          <cell r="S101">
            <v>0.49</v>
          </cell>
        </row>
        <row r="102">
          <cell r="J102">
            <v>133580</v>
          </cell>
          <cell r="K102" t="str">
            <v>DURAZNO</v>
          </cell>
          <cell r="L102" t="str">
            <v>335 ml</v>
          </cell>
          <cell r="M102">
            <v>24</v>
          </cell>
          <cell r="O102">
            <v>0.65</v>
          </cell>
          <cell r="P102">
            <v>0.16</v>
          </cell>
          <cell r="Q102">
            <v>0.75522850503485672</v>
          </cell>
          <cell r="R102">
            <v>0.18851999999999999</v>
          </cell>
          <cell r="S102">
            <v>0.53</v>
          </cell>
        </row>
        <row r="103">
          <cell r="J103">
            <v>135761</v>
          </cell>
          <cell r="K103" t="str">
            <v>MANGO</v>
          </cell>
          <cell r="L103" t="str">
            <v>335 ml</v>
          </cell>
          <cell r="M103">
            <v>24</v>
          </cell>
          <cell r="O103">
            <v>0.65</v>
          </cell>
          <cell r="P103">
            <v>0.16</v>
          </cell>
          <cell r="Q103">
            <v>0.75522850503485672</v>
          </cell>
          <cell r="R103">
            <v>0.18851999999999999</v>
          </cell>
          <cell r="S103">
            <v>0.53</v>
          </cell>
        </row>
        <row r="104">
          <cell r="J104">
            <v>133582</v>
          </cell>
          <cell r="K104" t="str">
            <v>MANZANA</v>
          </cell>
          <cell r="L104" t="str">
            <v>335 ml</v>
          </cell>
          <cell r="M104">
            <v>24</v>
          </cell>
          <cell r="O104">
            <v>0.65</v>
          </cell>
          <cell r="P104">
            <v>0.16</v>
          </cell>
          <cell r="Q104">
            <v>0.75522850503485672</v>
          </cell>
          <cell r="R104">
            <v>0.18851999999999999</v>
          </cell>
          <cell r="S104">
            <v>0.53</v>
          </cell>
        </row>
        <row r="105">
          <cell r="J105">
            <v>133581</v>
          </cell>
          <cell r="K105" t="str">
            <v>PERA</v>
          </cell>
          <cell r="L105" t="str">
            <v>335 ml</v>
          </cell>
          <cell r="M105">
            <v>24</v>
          </cell>
          <cell r="O105">
            <v>0.65</v>
          </cell>
          <cell r="P105">
            <v>0.16</v>
          </cell>
          <cell r="Q105">
            <v>0.75522850503485672</v>
          </cell>
          <cell r="R105">
            <v>0.18851999999999999</v>
          </cell>
          <cell r="S105">
            <v>0.53</v>
          </cell>
        </row>
        <row r="106">
          <cell r="J106">
            <v>183797</v>
          </cell>
          <cell r="K106" t="str">
            <v>MANZANA</v>
          </cell>
          <cell r="L106" t="str">
            <v>335 ml</v>
          </cell>
          <cell r="M106">
            <v>6</v>
          </cell>
          <cell r="O106">
            <v>0.65</v>
          </cell>
          <cell r="P106">
            <v>0.16</v>
          </cell>
          <cell r="Q106">
            <v>0.75522850503485672</v>
          </cell>
          <cell r="R106">
            <v>0.18833</v>
          </cell>
          <cell r="S106">
            <v>0.53</v>
          </cell>
        </row>
        <row r="107">
          <cell r="J107">
            <v>183796</v>
          </cell>
          <cell r="K107" t="str">
            <v>DURAZNO</v>
          </cell>
          <cell r="L107" t="str">
            <v>335 ml</v>
          </cell>
          <cell r="M107">
            <v>6</v>
          </cell>
          <cell r="O107">
            <v>0.65</v>
          </cell>
          <cell r="P107">
            <v>0.16</v>
          </cell>
          <cell r="Q107">
            <v>0.75522850503485672</v>
          </cell>
          <cell r="R107">
            <v>0.18833</v>
          </cell>
          <cell r="S107">
            <v>0.53</v>
          </cell>
        </row>
        <row r="108">
          <cell r="J108">
            <v>183798</v>
          </cell>
          <cell r="K108" t="str">
            <v>PERA</v>
          </cell>
          <cell r="L108" t="str">
            <v>335 ml</v>
          </cell>
          <cell r="M108">
            <v>6</v>
          </cell>
          <cell r="O108">
            <v>0.65</v>
          </cell>
          <cell r="P108">
            <v>0.16</v>
          </cell>
          <cell r="Q108">
            <v>0.75522850503485672</v>
          </cell>
          <cell r="R108">
            <v>0.18833</v>
          </cell>
          <cell r="S108">
            <v>0.53</v>
          </cell>
        </row>
        <row r="109">
          <cell r="J109">
            <v>183799</v>
          </cell>
          <cell r="K109" t="str">
            <v>MANGO</v>
          </cell>
          <cell r="L109" t="str">
            <v>335 ml</v>
          </cell>
          <cell r="M109">
            <v>6</v>
          </cell>
          <cell r="O109">
            <v>0.65</v>
          </cell>
          <cell r="P109">
            <v>0.16</v>
          </cell>
          <cell r="Q109">
            <v>0.75522850503485672</v>
          </cell>
          <cell r="R109">
            <v>0.18833</v>
          </cell>
          <cell r="S109">
            <v>0.53</v>
          </cell>
        </row>
        <row r="110">
          <cell r="J110">
            <v>1015711</v>
          </cell>
          <cell r="K110" t="str">
            <v>DURAZNO</v>
          </cell>
          <cell r="L110" t="str">
            <v>500 ml</v>
          </cell>
          <cell r="M110">
            <v>12</v>
          </cell>
          <cell r="O110">
            <v>1.03</v>
          </cell>
          <cell r="P110">
            <v>0.16</v>
          </cell>
          <cell r="Q110">
            <v>1.1984680265083054</v>
          </cell>
          <cell r="R110">
            <v>0.18657000000000001</v>
          </cell>
          <cell r="S110">
            <v>0.84</v>
          </cell>
        </row>
        <row r="111">
          <cell r="J111">
            <v>1015712</v>
          </cell>
          <cell r="K111" t="str">
            <v>MANGO</v>
          </cell>
          <cell r="L111" t="str">
            <v>500 ml</v>
          </cell>
          <cell r="M111">
            <v>12</v>
          </cell>
          <cell r="O111">
            <v>1.03</v>
          </cell>
          <cell r="P111">
            <v>0.16</v>
          </cell>
          <cell r="Q111">
            <v>1.1984680265083054</v>
          </cell>
          <cell r="R111">
            <v>0.18657000000000001</v>
          </cell>
          <cell r="S111">
            <v>0.84</v>
          </cell>
        </row>
        <row r="112">
          <cell r="J112">
            <v>166715</v>
          </cell>
          <cell r="K112" t="str">
            <v>DURAZNO</v>
          </cell>
          <cell r="L112" t="str">
            <v>1L</v>
          </cell>
          <cell r="M112">
            <v>12</v>
          </cell>
          <cell r="O112">
            <v>1.53</v>
          </cell>
          <cell r="P112">
            <v>0.16</v>
          </cell>
          <cell r="Q112">
            <v>1.7772613822187797</v>
          </cell>
          <cell r="R112">
            <v>0.18665999999999999</v>
          </cell>
          <cell r="S112">
            <v>1.25</v>
          </cell>
        </row>
        <row r="113">
          <cell r="J113">
            <v>166719</v>
          </cell>
          <cell r="K113" t="str">
            <v>MANGO</v>
          </cell>
          <cell r="L113" t="str">
            <v>1L</v>
          </cell>
          <cell r="M113">
            <v>12</v>
          </cell>
          <cell r="O113">
            <v>1.53</v>
          </cell>
          <cell r="P113">
            <v>0.16</v>
          </cell>
          <cell r="Q113">
            <v>1.7772613822187797</v>
          </cell>
          <cell r="R113">
            <v>0.18665999999999999</v>
          </cell>
          <cell r="S113">
            <v>1.25</v>
          </cell>
        </row>
        <row r="114">
          <cell r="J114">
            <v>166718</v>
          </cell>
          <cell r="K114" t="str">
            <v>MANZANA</v>
          </cell>
          <cell r="L114" t="str">
            <v>1L</v>
          </cell>
          <cell r="M114">
            <v>12</v>
          </cell>
          <cell r="O114">
            <v>1.53</v>
          </cell>
          <cell r="P114">
            <v>0.16</v>
          </cell>
          <cell r="Q114">
            <v>1.7772613822187797</v>
          </cell>
          <cell r="R114">
            <v>0.18665999999999999</v>
          </cell>
          <cell r="S114">
            <v>1.25</v>
          </cell>
        </row>
        <row r="115">
          <cell r="J115">
            <v>166716</v>
          </cell>
          <cell r="K115" t="str">
            <v>NARANJADA 60%</v>
          </cell>
          <cell r="L115" t="str">
            <v>1L</v>
          </cell>
          <cell r="M115">
            <v>12</v>
          </cell>
          <cell r="O115">
            <v>1.53</v>
          </cell>
          <cell r="P115">
            <v>0.16</v>
          </cell>
          <cell r="Q115">
            <v>1.7772613822187797</v>
          </cell>
          <cell r="R115">
            <v>0.18665999999999999</v>
          </cell>
          <cell r="S115">
            <v>1.25</v>
          </cell>
        </row>
        <row r="116">
          <cell r="J116">
            <v>166717</v>
          </cell>
          <cell r="K116" t="str">
            <v>PERA</v>
          </cell>
          <cell r="L116" t="str">
            <v>1L</v>
          </cell>
          <cell r="M116">
            <v>12</v>
          </cell>
          <cell r="O116">
            <v>1.53</v>
          </cell>
          <cell r="P116">
            <v>0.16</v>
          </cell>
          <cell r="Q116">
            <v>1.7772613822187797</v>
          </cell>
          <cell r="R116">
            <v>0.18665999999999999</v>
          </cell>
          <cell r="S116">
            <v>1.25</v>
          </cell>
        </row>
        <row r="117">
          <cell r="J117">
            <v>1011040</v>
          </cell>
          <cell r="K117" t="str">
            <v>NARANJA 100%</v>
          </cell>
          <cell r="L117" t="str">
            <v>1L</v>
          </cell>
          <cell r="M117">
            <v>12</v>
          </cell>
          <cell r="O117">
            <v>0</v>
          </cell>
          <cell r="P117">
            <v>0.16</v>
          </cell>
          <cell r="Q117">
            <v>8.2600000000000005E-6</v>
          </cell>
          <cell r="R117">
            <v>0.18665999999999999</v>
          </cell>
          <cell r="S117">
            <v>0</v>
          </cell>
        </row>
        <row r="118">
          <cell r="J118">
            <v>1016072</v>
          </cell>
          <cell r="K118" t="str">
            <v>DURAZNO</v>
          </cell>
          <cell r="L118" t="str">
            <v>1,5L</v>
          </cell>
          <cell r="M118">
            <v>6</v>
          </cell>
          <cell r="O118">
            <v>2.58</v>
          </cell>
          <cell r="P118">
            <v>0.16</v>
          </cell>
          <cell r="Q118">
            <v>2.9972458903520098</v>
          </cell>
          <cell r="R118">
            <v>0.18698000000000001</v>
          </cell>
          <cell r="S118">
            <v>2.1</v>
          </cell>
        </row>
        <row r="119">
          <cell r="J119">
            <v>1016191</v>
          </cell>
          <cell r="K119" t="str">
            <v>PIÑA</v>
          </cell>
          <cell r="L119" t="str">
            <v>1,5L</v>
          </cell>
          <cell r="M119">
            <v>6</v>
          </cell>
          <cell r="O119">
            <v>2.58</v>
          </cell>
          <cell r="P119">
            <v>0.16</v>
          </cell>
          <cell r="Q119">
            <v>2.9972458903520098</v>
          </cell>
          <cell r="R119">
            <v>0.18698000000000001</v>
          </cell>
          <cell r="S119">
            <v>2.1</v>
          </cell>
        </row>
        <row r="120">
          <cell r="J120">
            <v>1015931</v>
          </cell>
          <cell r="K120" t="str">
            <v>NARANJADA</v>
          </cell>
          <cell r="L120" t="str">
            <v>1,5L</v>
          </cell>
          <cell r="M120">
            <v>6</v>
          </cell>
          <cell r="O120">
            <v>2.58</v>
          </cell>
          <cell r="P120">
            <v>0.16</v>
          </cell>
          <cell r="Q120">
            <v>2.9972458903520098</v>
          </cell>
          <cell r="R120">
            <v>0.18695000000000001</v>
          </cell>
          <cell r="S120">
            <v>2.1</v>
          </cell>
        </row>
        <row r="121">
          <cell r="J121">
            <v>1016713</v>
          </cell>
          <cell r="K121" t="str">
            <v>MANZANA</v>
          </cell>
          <cell r="L121" t="str">
            <v>1,5L</v>
          </cell>
          <cell r="M121">
            <v>6</v>
          </cell>
          <cell r="O121">
            <v>2.58</v>
          </cell>
          <cell r="P121">
            <v>0.16</v>
          </cell>
          <cell r="Q121">
            <v>2.9972458903520098</v>
          </cell>
          <cell r="R121">
            <v>0.18695000000000001</v>
          </cell>
          <cell r="S121">
            <v>2.1</v>
          </cell>
        </row>
        <row r="122">
          <cell r="J122">
            <v>1016821</v>
          </cell>
          <cell r="K122" t="str">
            <v>PERA</v>
          </cell>
          <cell r="L122" t="str">
            <v>1,5L</v>
          </cell>
          <cell r="M122">
            <v>6</v>
          </cell>
          <cell r="O122">
            <v>2.58</v>
          </cell>
          <cell r="P122">
            <v>0.16</v>
          </cell>
          <cell r="Q122">
            <v>2.9972458903520098</v>
          </cell>
          <cell r="R122">
            <v>0.18695000000000001</v>
          </cell>
          <cell r="S122">
            <v>2.1</v>
          </cell>
        </row>
        <row r="123">
          <cell r="J123">
            <v>1017012</v>
          </cell>
          <cell r="K123" t="str">
            <v>NARA MANGO</v>
          </cell>
          <cell r="L123" t="str">
            <v>1,5L</v>
          </cell>
          <cell r="M123">
            <v>6</v>
          </cell>
          <cell r="O123">
            <v>2.58</v>
          </cell>
          <cell r="P123">
            <v>0.16</v>
          </cell>
          <cell r="Q123">
            <v>2.9972458903520098</v>
          </cell>
          <cell r="R123">
            <v>0.18695000000000001</v>
          </cell>
          <cell r="S123">
            <v>2.1</v>
          </cell>
        </row>
        <row r="124">
          <cell r="J124">
            <v>1015932</v>
          </cell>
          <cell r="K124" t="str">
            <v>MANGO</v>
          </cell>
          <cell r="L124" t="str">
            <v>1,5L</v>
          </cell>
          <cell r="M124">
            <v>6</v>
          </cell>
          <cell r="O124">
            <v>2.58</v>
          </cell>
          <cell r="P124">
            <v>0.16</v>
          </cell>
          <cell r="Q124">
            <v>2.9972458903520098</v>
          </cell>
          <cell r="R124">
            <v>0.18695000000000001</v>
          </cell>
          <cell r="S124">
            <v>2.1</v>
          </cell>
        </row>
        <row r="125">
          <cell r="J125">
            <v>1011284</v>
          </cell>
          <cell r="K125" t="str">
            <v>DURAZNO</v>
          </cell>
          <cell r="L125" t="str">
            <v>250 ml</v>
          </cell>
          <cell r="M125">
            <v>24</v>
          </cell>
          <cell r="O125">
            <v>0.6</v>
          </cell>
          <cell r="P125">
            <v>0.16</v>
          </cell>
          <cell r="Q125">
            <v>0.6992856528100525</v>
          </cell>
          <cell r="R125">
            <v>0.18887999999999999</v>
          </cell>
          <cell r="S125">
            <v>0.49</v>
          </cell>
        </row>
        <row r="126">
          <cell r="J126">
            <v>168288</v>
          </cell>
          <cell r="K126" t="str">
            <v>MANGO</v>
          </cell>
          <cell r="L126" t="str">
            <v>250 ml</v>
          </cell>
          <cell r="M126">
            <v>24</v>
          </cell>
          <cell r="O126">
            <v>0.6</v>
          </cell>
          <cell r="P126">
            <v>0.16</v>
          </cell>
          <cell r="Q126">
            <v>0.6992856528100525</v>
          </cell>
          <cell r="R126">
            <v>0.18887999999999999</v>
          </cell>
          <cell r="S126">
            <v>0.49</v>
          </cell>
        </row>
        <row r="127">
          <cell r="J127">
            <v>1011283</v>
          </cell>
          <cell r="K127" t="str">
            <v>MANZANA</v>
          </cell>
          <cell r="L127" t="str">
            <v>250 ml</v>
          </cell>
          <cell r="M127">
            <v>24</v>
          </cell>
          <cell r="O127">
            <v>0.6</v>
          </cell>
          <cell r="P127">
            <v>0.16</v>
          </cell>
          <cell r="Q127">
            <v>0.6992856528100525</v>
          </cell>
          <cell r="R127">
            <v>0.18887999999999999</v>
          </cell>
          <cell r="S127">
            <v>0.49</v>
          </cell>
        </row>
        <row r="128">
          <cell r="J128">
            <v>1011282</v>
          </cell>
          <cell r="K128" t="str">
            <v>NARANJA</v>
          </cell>
          <cell r="L128" t="str">
            <v>250 ml</v>
          </cell>
          <cell r="M128">
            <v>24</v>
          </cell>
          <cell r="O128">
            <v>0.6</v>
          </cell>
          <cell r="P128">
            <v>0.16</v>
          </cell>
          <cell r="Q128">
            <v>0.6992856528100525</v>
          </cell>
          <cell r="R128">
            <v>0.18887999999999999</v>
          </cell>
          <cell r="S128">
            <v>0.49</v>
          </cell>
        </row>
        <row r="129">
          <cell r="J129">
            <v>1013712</v>
          </cell>
          <cell r="K129" t="str">
            <v>UVA</v>
          </cell>
          <cell r="L129" t="str">
            <v>250 ml</v>
          </cell>
          <cell r="M129">
            <v>24</v>
          </cell>
          <cell r="O129">
            <v>0.6</v>
          </cell>
          <cell r="P129">
            <v>0.16</v>
          </cell>
          <cell r="Q129">
            <v>0.6992856528100525</v>
          </cell>
          <cell r="R129">
            <v>0.18887999999999999</v>
          </cell>
          <cell r="S129">
            <v>0.49</v>
          </cell>
        </row>
        <row r="130">
          <cell r="J130">
            <v>1011285</v>
          </cell>
          <cell r="K130" t="str">
            <v>PERA</v>
          </cell>
          <cell r="L130" t="str">
            <v>250 ml</v>
          </cell>
          <cell r="M130">
            <v>24</v>
          </cell>
          <cell r="O130">
            <v>0.6</v>
          </cell>
          <cell r="P130">
            <v>0.16</v>
          </cell>
          <cell r="Q130">
            <v>0.6992856528100525</v>
          </cell>
          <cell r="R130">
            <v>0.18887999999999999</v>
          </cell>
          <cell r="S130">
            <v>0.49</v>
          </cell>
        </row>
        <row r="131">
          <cell r="J131">
            <v>178401</v>
          </cell>
          <cell r="K131" t="str">
            <v>GATORADE TROPICAL</v>
          </cell>
          <cell r="L131" t="str">
            <v>500 ml</v>
          </cell>
          <cell r="M131">
            <v>12</v>
          </cell>
          <cell r="O131">
            <v>1.29</v>
          </cell>
          <cell r="P131">
            <v>0.16</v>
          </cell>
          <cell r="Q131">
            <v>1.4975471210947586</v>
          </cell>
          <cell r="R131">
            <v>0.18722</v>
          </cell>
          <cell r="S131">
            <v>1.05</v>
          </cell>
        </row>
        <row r="132">
          <cell r="J132">
            <v>1015384</v>
          </cell>
          <cell r="K132" t="str">
            <v>GATORADE FIERCE MORA</v>
          </cell>
          <cell r="L132" t="str">
            <v>500 ml</v>
          </cell>
          <cell r="M132">
            <v>12</v>
          </cell>
          <cell r="O132">
            <v>1.29</v>
          </cell>
          <cell r="P132">
            <v>0.16</v>
          </cell>
          <cell r="Q132">
            <v>1.4975471210947586</v>
          </cell>
          <cell r="R132">
            <v>0.18722</v>
          </cell>
          <cell r="S132">
            <v>1.05</v>
          </cell>
        </row>
        <row r="133">
          <cell r="J133">
            <v>1012281</v>
          </cell>
          <cell r="K133" t="str">
            <v>GATORADE UVA PET 500MLx12UN</v>
          </cell>
          <cell r="L133" t="str">
            <v>500 ml</v>
          </cell>
          <cell r="M133">
            <v>12</v>
          </cell>
          <cell r="O133">
            <v>1.29</v>
          </cell>
          <cell r="P133">
            <v>0.16</v>
          </cell>
          <cell r="Q133">
            <v>1.4975471210947586</v>
          </cell>
          <cell r="R133">
            <v>0.18722</v>
          </cell>
          <cell r="S133">
            <v>1.05</v>
          </cell>
        </row>
        <row r="134">
          <cell r="J134">
            <v>178402</v>
          </cell>
          <cell r="K134" t="str">
            <v>GATORADE BERRY</v>
          </cell>
          <cell r="L134" t="str">
            <v>500 ml</v>
          </cell>
          <cell r="M134">
            <v>12</v>
          </cell>
          <cell r="O134">
            <v>1.29</v>
          </cell>
          <cell r="P134">
            <v>0.16</v>
          </cell>
          <cell r="Q134">
            <v>1.4975471210947586</v>
          </cell>
          <cell r="R134">
            <v>0.18722</v>
          </cell>
          <cell r="S134">
            <v>1.05</v>
          </cell>
        </row>
        <row r="135">
          <cell r="J135">
            <v>185304</v>
          </cell>
          <cell r="K135" t="str">
            <v>GATORADE MELON</v>
          </cell>
          <cell r="L135" t="str">
            <v>500 ml</v>
          </cell>
          <cell r="M135">
            <v>12</v>
          </cell>
          <cell r="O135">
            <v>1.29</v>
          </cell>
          <cell r="P135">
            <v>0.16</v>
          </cell>
          <cell r="Q135">
            <v>1.4975471210947586</v>
          </cell>
          <cell r="R135">
            <v>0.18722</v>
          </cell>
          <cell r="S135">
            <v>1.05</v>
          </cell>
        </row>
        <row r="136">
          <cell r="J136">
            <v>178399</v>
          </cell>
          <cell r="K136" t="str">
            <v>GATORADE MANDARINA</v>
          </cell>
          <cell r="L136" t="str">
            <v>500 ml</v>
          </cell>
          <cell r="M136">
            <v>12</v>
          </cell>
          <cell r="O136">
            <v>1.29</v>
          </cell>
          <cell r="P136">
            <v>0.16</v>
          </cell>
          <cell r="Q136">
            <v>1.4975471210947586</v>
          </cell>
          <cell r="R136">
            <v>0.18722</v>
          </cell>
          <cell r="S136">
            <v>1.05</v>
          </cell>
        </row>
        <row r="137">
          <cell r="J137">
            <v>183787</v>
          </cell>
          <cell r="K137" t="str">
            <v>GATORADE MANDARINA</v>
          </cell>
          <cell r="L137" t="str">
            <v>500 ml</v>
          </cell>
          <cell r="M137">
            <v>1</v>
          </cell>
          <cell r="O137">
            <v>7.75</v>
          </cell>
          <cell r="P137">
            <v>0.16</v>
          </cell>
          <cell r="Q137">
            <v>8.9852827265685509</v>
          </cell>
          <cell r="R137">
            <v>0.18722</v>
          </cell>
          <cell r="S137">
            <v>6.3</v>
          </cell>
        </row>
        <row r="138">
          <cell r="J138">
            <v>183790</v>
          </cell>
          <cell r="K138" t="str">
            <v xml:space="preserve">GATORADE TROPICAL F </v>
          </cell>
          <cell r="L138" t="str">
            <v>500 ml</v>
          </cell>
          <cell r="M138">
            <v>1</v>
          </cell>
          <cell r="O138">
            <v>7.75</v>
          </cell>
          <cell r="P138">
            <v>0.16</v>
          </cell>
          <cell r="Q138">
            <v>8.9852827265685509</v>
          </cell>
          <cell r="R138">
            <v>0.18722</v>
          </cell>
          <cell r="S138">
            <v>6.3</v>
          </cell>
        </row>
        <row r="139">
          <cell r="J139">
            <v>1016532</v>
          </cell>
          <cell r="K139" t="str">
            <v xml:space="preserve">GATORADE MORA </v>
          </cell>
          <cell r="L139" t="str">
            <v>500 ml</v>
          </cell>
          <cell r="M139">
            <v>1</v>
          </cell>
          <cell r="O139">
            <v>7.75</v>
          </cell>
          <cell r="P139">
            <v>0.16</v>
          </cell>
          <cell r="Q139">
            <v>8.9852827265685509</v>
          </cell>
          <cell r="R139">
            <v>0.18722</v>
          </cell>
          <cell r="S139">
            <v>6.3</v>
          </cell>
        </row>
        <row r="140">
          <cell r="J140">
            <v>1010143</v>
          </cell>
          <cell r="K140" t="str">
            <v xml:space="preserve">GATORADE MELÓN </v>
          </cell>
          <cell r="L140" t="str">
            <v>500 ml</v>
          </cell>
          <cell r="M140">
            <v>1</v>
          </cell>
          <cell r="O140">
            <v>7.75</v>
          </cell>
          <cell r="P140">
            <v>0.16</v>
          </cell>
          <cell r="Q140">
            <v>8.9852827265685509</v>
          </cell>
          <cell r="R140">
            <v>0.18722</v>
          </cell>
          <cell r="S140">
            <v>6.3</v>
          </cell>
        </row>
        <row r="141">
          <cell r="J141">
            <v>1014162</v>
          </cell>
          <cell r="K141" t="str">
            <v>GATORADE MANDARINA PET 500 ml  4-PACK</v>
          </cell>
          <cell r="L141" t="str">
            <v>500 ml</v>
          </cell>
          <cell r="M141">
            <v>1</v>
          </cell>
          <cell r="O141">
            <v>6.89</v>
          </cell>
          <cell r="P141">
            <v>0.16</v>
          </cell>
          <cell r="Q141">
            <v>7.9901884843790345</v>
          </cell>
          <cell r="R141">
            <v>0.18722</v>
          </cell>
          <cell r="S141">
            <v>5.6</v>
          </cell>
        </row>
        <row r="142">
          <cell r="J142">
            <v>1014164</v>
          </cell>
          <cell r="K142" t="str">
            <v>GATORADE MORA PET 500 ml  4-PACK</v>
          </cell>
          <cell r="L142" t="str">
            <v>500 ml</v>
          </cell>
          <cell r="M142">
            <v>1</v>
          </cell>
          <cell r="O142">
            <v>6.89</v>
          </cell>
          <cell r="P142">
            <v>0.16</v>
          </cell>
          <cell r="Q142">
            <v>7.9901884843790345</v>
          </cell>
          <cell r="R142">
            <v>0.18722</v>
          </cell>
          <cell r="S142">
            <v>5.6</v>
          </cell>
        </row>
        <row r="143">
          <cell r="J143">
            <v>1010362</v>
          </cell>
          <cell r="K143" t="str">
            <v>LIPTON CONCENT DURAZNO 4X3L C/P</v>
          </cell>
          <cell r="M143">
            <v>1</v>
          </cell>
          <cell r="O143">
            <v>62.07</v>
          </cell>
          <cell r="P143">
            <v>0.16</v>
          </cell>
          <cell r="Q143">
            <v>71.998450813323004</v>
          </cell>
          <cell r="R143">
            <v>0</v>
          </cell>
          <cell r="S143">
            <v>62.07</v>
          </cell>
        </row>
        <row r="144">
          <cell r="J144">
            <v>1014111</v>
          </cell>
          <cell r="K144" t="str">
            <v>LIPTON CONCENT DURAZNO 4X3L C/CARTÓN</v>
          </cell>
          <cell r="M144">
            <v>1</v>
          </cell>
          <cell r="O144">
            <v>62.07</v>
          </cell>
          <cell r="P144">
            <v>0.16</v>
          </cell>
          <cell r="Q144">
            <v>71.998450813323004</v>
          </cell>
          <cell r="R144">
            <v>0</v>
          </cell>
          <cell r="S144">
            <v>62.07</v>
          </cell>
        </row>
        <row r="145">
          <cell r="J145">
            <v>1010361</v>
          </cell>
          <cell r="K145" t="str">
            <v>LIPTON CONCENT LIMON 4X3L C/P</v>
          </cell>
          <cell r="M145">
            <v>1</v>
          </cell>
          <cell r="O145">
            <v>62.07</v>
          </cell>
          <cell r="P145">
            <v>0.16</v>
          </cell>
          <cell r="Q145">
            <v>71.998450813323004</v>
          </cell>
          <cell r="R145">
            <v>0</v>
          </cell>
          <cell r="S145">
            <v>62.07</v>
          </cell>
        </row>
        <row r="146">
          <cell r="J146">
            <v>1014110</v>
          </cell>
          <cell r="K146" t="str">
            <v>LIPTON CONCENT LIMON 4X3L C/CARTÓN</v>
          </cell>
          <cell r="M146">
            <v>1</v>
          </cell>
          <cell r="O146">
            <v>62.07</v>
          </cell>
          <cell r="P146">
            <v>0.16</v>
          </cell>
          <cell r="Q146">
            <v>71.998450813323004</v>
          </cell>
          <cell r="R146">
            <v>0</v>
          </cell>
          <cell r="S146">
            <v>62.07</v>
          </cell>
        </row>
        <row r="147">
          <cell r="J147">
            <v>1016711</v>
          </cell>
          <cell r="K147" t="str">
            <v>LIPTON CONCENT LIMON 2X3L C/CARTÓN</v>
          </cell>
          <cell r="M147">
            <v>1</v>
          </cell>
          <cell r="O147">
            <v>31.03</v>
          </cell>
          <cell r="P147">
            <v>0.16</v>
          </cell>
          <cell r="Q147">
            <v>35.999225406661502</v>
          </cell>
          <cell r="R147">
            <v>0.18709000000000001</v>
          </cell>
          <cell r="S147">
            <v>31.03</v>
          </cell>
        </row>
        <row r="148">
          <cell r="J148">
            <v>1016712</v>
          </cell>
          <cell r="K148" t="str">
            <v>LIPTON CONCENT DURAZNO 2X3L C/CARTÓN</v>
          </cell>
          <cell r="M148">
            <v>1</v>
          </cell>
          <cell r="O148">
            <v>31.03</v>
          </cell>
          <cell r="P148">
            <v>0.16</v>
          </cell>
          <cell r="Q148">
            <v>35.999225406661502</v>
          </cell>
          <cell r="R148">
            <v>0.18709000000000001</v>
          </cell>
          <cell r="S148">
            <v>31.03</v>
          </cell>
        </row>
        <row r="149">
          <cell r="J149">
            <v>1012201</v>
          </cell>
          <cell r="K149" t="str">
            <v>LIMON</v>
          </cell>
          <cell r="L149" t="str">
            <v>500 ml</v>
          </cell>
          <cell r="M149">
            <v>12</v>
          </cell>
          <cell r="O149">
            <v>1.03</v>
          </cell>
          <cell r="P149">
            <v>0.16</v>
          </cell>
          <cell r="Q149">
            <v>1.1984680265083054</v>
          </cell>
          <cell r="R149">
            <v>0.18709000000000001</v>
          </cell>
          <cell r="S149">
            <v>0.84</v>
          </cell>
        </row>
        <row r="150">
          <cell r="J150">
            <v>1012213</v>
          </cell>
          <cell r="K150" t="str">
            <v>DURAZNO</v>
          </cell>
          <cell r="L150" t="str">
            <v>500 ml</v>
          </cell>
          <cell r="M150">
            <v>12</v>
          </cell>
          <cell r="O150">
            <v>1.03</v>
          </cell>
          <cell r="P150">
            <v>0.16</v>
          </cell>
          <cell r="Q150">
            <v>1.1984680265083054</v>
          </cell>
          <cell r="R150">
            <v>0.18709000000000001</v>
          </cell>
          <cell r="S150">
            <v>0.84</v>
          </cell>
        </row>
        <row r="151">
          <cell r="J151">
            <v>1015024</v>
          </cell>
          <cell r="K151" t="str">
            <v>TE VERDE</v>
          </cell>
          <cell r="L151" t="str">
            <v>500 ml</v>
          </cell>
          <cell r="M151">
            <v>12</v>
          </cell>
          <cell r="O151">
            <v>1.03</v>
          </cell>
          <cell r="P151">
            <v>0.16</v>
          </cell>
          <cell r="Q151">
            <v>1.1984680265083054</v>
          </cell>
          <cell r="R151">
            <v>0.18709000000000001</v>
          </cell>
          <cell r="S151">
            <v>0.84</v>
          </cell>
        </row>
        <row r="152">
          <cell r="J152">
            <v>1016081</v>
          </cell>
          <cell r="K152" t="str">
            <v>LIMON</v>
          </cell>
          <cell r="L152" t="str">
            <v>1.5 L</v>
          </cell>
          <cell r="M152">
            <v>6</v>
          </cell>
          <cell r="O152">
            <v>2.41</v>
          </cell>
          <cell r="P152">
            <v>0.16</v>
          </cell>
          <cell r="Q152">
            <v>2.79714261124021</v>
          </cell>
          <cell r="R152">
            <v>0.18709000000000001</v>
          </cell>
          <cell r="S152">
            <v>1.96</v>
          </cell>
        </row>
        <row r="153">
          <cell r="J153">
            <v>1016083</v>
          </cell>
          <cell r="K153" t="str">
            <v>DURAZNO</v>
          </cell>
          <cell r="L153" t="str">
            <v>1.5 L</v>
          </cell>
          <cell r="M153">
            <v>6</v>
          </cell>
          <cell r="O153">
            <v>2.41</v>
          </cell>
          <cell r="P153">
            <v>0.16</v>
          </cell>
          <cell r="Q153">
            <v>2.79714261124021</v>
          </cell>
          <cell r="R153">
            <v>0.18709000000000001</v>
          </cell>
          <cell r="S153">
            <v>1.96</v>
          </cell>
        </row>
        <row r="154">
          <cell r="J154">
            <v>1016082</v>
          </cell>
          <cell r="K154" t="str">
            <v>TE VERDE</v>
          </cell>
          <cell r="L154" t="str">
            <v>1.5 L</v>
          </cell>
          <cell r="M154">
            <v>6</v>
          </cell>
          <cell r="O154">
            <v>2.41</v>
          </cell>
          <cell r="P154">
            <v>0.16</v>
          </cell>
          <cell r="Q154">
            <v>2.79714261124021</v>
          </cell>
          <cell r="R154">
            <v>0.18709000000000001</v>
          </cell>
          <cell r="S154">
            <v>1.96</v>
          </cell>
        </row>
        <row r="155">
          <cell r="J155">
            <v>1010139</v>
          </cell>
          <cell r="K155" t="str">
            <v>BOMBONAS CO2 9KG</v>
          </cell>
          <cell r="L155">
            <v>1</v>
          </cell>
          <cell r="M155">
            <v>1</v>
          </cell>
          <cell r="O155">
            <v>12.91</v>
          </cell>
          <cell r="P155">
            <v>0.16</v>
          </cell>
          <cell r="Q155">
            <v>14.973319562785095</v>
          </cell>
          <cell r="R155">
            <v>0</v>
          </cell>
          <cell r="S155">
            <v>12.91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ables/table1.xml><?xml version="1.0" encoding="utf-8"?>
<table xmlns="http://schemas.openxmlformats.org/spreadsheetml/2006/main" id="1" name="Tabla12" displayName="Tabla12" ref="A10:F13" totalsRowShown="0" headerRowDxfId="76" dataDxfId="74" headerRowBorderDxfId="75" tableBorderDxfId="73" totalsRowBorderDxfId="72">
  <autoFilter ref="A10:F13"/>
  <tableColumns count="6">
    <tableColumn id="7" name="Articulo" dataDxfId="71"/>
    <tableColumn id="8" name="Cantidad" dataDxfId="70"/>
    <tableColumn id="11" name="PEDIDO 13 DE abril" dataDxfId="69"/>
    <tableColumn id="16" name="VENT" dataDxfId="68"/>
    <tableColumn id="17" name="INV" dataDxfId="67"/>
    <tableColumn id="18" name="PEDIDO NUEVO" dataDxfId="6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1" displayName="Tabla1" ref="B5:G8" totalsRowShown="0" headerRowDxfId="65" headerRowBorderDxfId="64" tableBorderDxfId="63" totalsRowBorderDxfId="62">
  <autoFilter ref="B5:G8"/>
  <tableColumns count="6">
    <tableColumn id="7" name="Articulo" dataDxfId="61"/>
    <tableColumn id="8" name="Cantidad" dataDxfId="60"/>
    <tableColumn id="9" name="Costo" dataDxfId="59"/>
    <tableColumn id="11" name="Descripcion" dataDxfId="58"/>
    <tableColumn id="16" name="Columna1"/>
    <tableColumn id="17" name="Columna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7" name="Tabla7" displayName="Tabla7" ref="D4:P13" totalsRowCount="1" headerRowDxfId="57" dataDxfId="55" totalsRowDxfId="53" headerRowBorderDxfId="56" tableBorderDxfId="54" totalsRowBorderDxfId="52">
  <autoFilter ref="D4:P12"/>
  <tableColumns count="13">
    <tableColumn id="1" name="Columna1" dataDxfId="51" totalsRowDxfId="50"/>
    <tableColumn id="2" name="Columna2" dataDxfId="49" totalsRowDxfId="48"/>
    <tableColumn id="5" name="Columna5" dataDxfId="47" totalsRowDxfId="46"/>
    <tableColumn id="6" name="Columna6" dataDxfId="45" totalsRowDxfId="44"/>
    <tableColumn id="7" name="Columna7" dataDxfId="43" totalsRowDxfId="42"/>
    <tableColumn id="8" name="Columna8" dataDxfId="41" totalsRowDxfId="40"/>
    <tableColumn id="9" name="Columna9" totalsRowLabel="TOTAL" dataDxfId="39" totalsRowDxfId="38"/>
    <tableColumn id="10" name="Columna10" totalsRowFunction="custom" dataDxfId="37" totalsRowDxfId="36">
      <totalsRowFormula>+K11+K12</totalsRowFormula>
    </tableColumn>
    <tableColumn id="11" name="Columna11" dataDxfId="35" totalsRowDxfId="34"/>
    <tableColumn id="12" name="Columna12" totalsRowLabel="PAGADO" dataDxfId="33" totalsRowDxfId="32"/>
    <tableColumn id="13" name="Columna13" dataDxfId="31" totalsRowDxfId="30"/>
    <tableColumn id="3" name="Columna14" dataDxfId="29" totalsRowDxfId="28"/>
    <tableColumn id="4" name="RESTA" dataDxfId="27" totalsRowDxfId="2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B23:S102" totalsRowShown="0" headerRowDxfId="25" dataDxfId="24" tableBorderDxfId="23">
  <autoFilter ref="B23:S102">
    <filterColumn colId="3">
      <customFilters>
        <customFilter operator="notEqual" val=" "/>
      </customFilters>
    </filterColumn>
  </autoFilter>
  <sortState ref="B24:O101">
    <sortCondition ref="C23:C101"/>
  </sortState>
  <tableColumns count="18">
    <tableColumn id="1" name="Columna1" dataDxfId="22"/>
    <tableColumn id="2" name="Columna2" dataDxfId="21"/>
    <tableColumn id="15" name="Columna22" dataDxfId="20"/>
    <tableColumn id="3" name="Columna3" dataDxfId="19"/>
    <tableColumn id="4" name="Columna4" dataDxfId="18"/>
    <tableColumn id="17" name="Columna42" dataDxfId="17"/>
    <tableColumn id="5" name="Columna5" dataDxfId="16"/>
    <tableColumn id="6" name="Columna6" dataDxfId="15"/>
    <tableColumn id="7" name="Columna7" dataDxfId="14"/>
    <tableColumn id="8" name="Columna8" dataDxfId="13"/>
    <tableColumn id="9" name="Columna9" dataDxfId="12">
      <calculatedColumnFormula>J24/Z$9</calculatedColumnFormula>
    </tableColumn>
    <tableColumn id="10" name="Columna10" dataDxfId="11">
      <calculatedColumnFormula>L24-F24</calculatedColumnFormula>
    </tableColumn>
    <tableColumn id="11" name="Columna11" dataDxfId="10"/>
    <tableColumn id="12" name="Columna12" dataDxfId="9"/>
    <tableColumn id="13" name="Columna13" dataDxfId="8"/>
    <tableColumn id="14" name="Columna14" dataDxfId="7"/>
    <tableColumn id="16" name="Columna15" dataDxfId="6"/>
    <tableColumn id="18" name="Columna16" dataDxfId="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la14" displayName="Tabla14" ref="A45:D50" totalsRowShown="0" headerRowDxfId="4">
  <autoFilter ref="A45:D50"/>
  <tableColumns count="4">
    <tableColumn id="2" name="Fecha" dataDxfId="3"/>
    <tableColumn id="7" name="Articulo" dataDxfId="2"/>
    <tableColumn id="8" name="Cantidad" dataDxfId="1"/>
    <tableColumn id="11" name="C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10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4.bin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95.bin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96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107.bin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08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111.bin"/></Relationships>
</file>

<file path=xl/worksheets/_rels/sheet1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12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11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6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50.bin"/><Relationship Id="rId4" Type="http://schemas.openxmlformats.org/officeDocument/2006/relationships/comments" Target="../comments4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58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59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61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62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64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65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66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67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69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70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71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72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73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74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7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77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78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79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80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8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8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1"/>
  <sheetViews>
    <sheetView topLeftCell="A47" workbookViewId="0">
      <selection activeCell="B3" sqref="B3:D80"/>
    </sheetView>
  </sheetViews>
  <sheetFormatPr baseColWidth="10" defaultRowHeight="15"/>
  <cols>
    <col min="1" max="1" width="11.42578125" style="25"/>
    <col min="2" max="2" width="11.42578125" style="2109"/>
    <col min="3" max="3" width="46" style="25" customWidth="1"/>
    <col min="4" max="5" width="11.42578125" style="2109"/>
    <col min="6" max="8" width="11.42578125" style="25"/>
    <col min="12" max="12" width="4" customWidth="1"/>
    <col min="13" max="13" width="10" hidden="1" customWidth="1"/>
    <col min="19" max="19" width="3.5703125" customWidth="1"/>
  </cols>
  <sheetData>
    <row r="1" spans="2:5">
      <c r="E1" s="2109" t="s">
        <v>3520</v>
      </c>
    </row>
    <row r="2" spans="2:5">
      <c r="E2" s="2109">
        <v>4.4400000000000004</v>
      </c>
    </row>
    <row r="3" spans="2:5">
      <c r="B3" s="2107" t="s">
        <v>116</v>
      </c>
      <c r="C3" s="2107" t="s">
        <v>5632</v>
      </c>
      <c r="D3" s="2107"/>
      <c r="E3" s="2107"/>
    </row>
    <row r="4" spans="2:5">
      <c r="B4" s="2107">
        <v>326</v>
      </c>
      <c r="C4" s="21" t="s">
        <v>593</v>
      </c>
      <c r="D4" s="2107">
        <v>3</v>
      </c>
      <c r="E4" s="2107">
        <f>+D4*E$2</f>
        <v>13.32</v>
      </c>
    </row>
    <row r="5" spans="2:5">
      <c r="B5" s="2107">
        <v>88</v>
      </c>
      <c r="C5" s="21" t="s">
        <v>3205</v>
      </c>
      <c r="D5" s="2107"/>
      <c r="E5" s="2107">
        <f t="shared" ref="E5:E68" si="0">+D5*E$2</f>
        <v>0</v>
      </c>
    </row>
    <row r="6" spans="2:5">
      <c r="B6" s="2107">
        <v>5149</v>
      </c>
      <c r="C6" s="21" t="s">
        <v>594</v>
      </c>
      <c r="D6" s="2107"/>
      <c r="E6" s="2107">
        <f t="shared" si="0"/>
        <v>0</v>
      </c>
    </row>
    <row r="7" spans="2:5">
      <c r="B7" s="2107">
        <v>1893</v>
      </c>
      <c r="C7" s="21" t="s">
        <v>595</v>
      </c>
      <c r="D7" s="2107"/>
      <c r="E7" s="2107">
        <f t="shared" si="0"/>
        <v>0</v>
      </c>
    </row>
    <row r="8" spans="2:5">
      <c r="B8" s="2107">
        <v>5148</v>
      </c>
      <c r="C8" s="21" t="s">
        <v>596</v>
      </c>
      <c r="D8" s="2107"/>
      <c r="E8" s="2107">
        <f t="shared" si="0"/>
        <v>0</v>
      </c>
    </row>
    <row r="9" spans="2:5">
      <c r="B9" s="2107">
        <v>1889</v>
      </c>
      <c r="C9" s="21" t="s">
        <v>5633</v>
      </c>
      <c r="D9" s="2107"/>
      <c r="E9" s="2107">
        <f t="shared" si="0"/>
        <v>0</v>
      </c>
    </row>
    <row r="10" spans="2:5">
      <c r="B10" s="2107">
        <v>1986</v>
      </c>
      <c r="C10" s="21" t="s">
        <v>597</v>
      </c>
      <c r="D10" s="2107"/>
      <c r="E10" s="2107">
        <f t="shared" si="0"/>
        <v>0</v>
      </c>
    </row>
    <row r="11" spans="2:5">
      <c r="B11" s="2107">
        <v>1937</v>
      </c>
      <c r="C11" s="21" t="s">
        <v>598</v>
      </c>
      <c r="D11" s="2107"/>
      <c r="E11" s="2107">
        <f t="shared" si="0"/>
        <v>0</v>
      </c>
    </row>
    <row r="12" spans="2:5">
      <c r="B12" s="2107">
        <v>1887</v>
      </c>
      <c r="C12" s="21" t="s">
        <v>599</v>
      </c>
      <c r="D12" s="2107"/>
      <c r="E12" s="2107">
        <f t="shared" si="0"/>
        <v>0</v>
      </c>
    </row>
    <row r="13" spans="2:5">
      <c r="B13" s="2107">
        <v>1947</v>
      </c>
      <c r="C13" s="21" t="s">
        <v>600</v>
      </c>
      <c r="D13" s="2107"/>
      <c r="E13" s="2107">
        <f t="shared" si="0"/>
        <v>0</v>
      </c>
    </row>
    <row r="14" spans="2:5">
      <c r="B14" s="2107"/>
      <c r="C14" s="21" t="s">
        <v>5516</v>
      </c>
      <c r="D14" s="2107"/>
      <c r="E14" s="2107">
        <f t="shared" si="0"/>
        <v>0</v>
      </c>
    </row>
    <row r="15" spans="2:5">
      <c r="B15" s="2107"/>
      <c r="C15" s="21" t="s">
        <v>5265</v>
      </c>
      <c r="D15" s="2107"/>
      <c r="E15" s="2107">
        <f t="shared" si="0"/>
        <v>0</v>
      </c>
    </row>
    <row r="16" spans="2:5">
      <c r="B16" s="2107"/>
      <c r="C16" s="21" t="s">
        <v>5664</v>
      </c>
      <c r="D16" s="2107"/>
      <c r="E16" s="2107">
        <f t="shared" si="0"/>
        <v>0</v>
      </c>
    </row>
    <row r="17" spans="2:19">
      <c r="B17" s="2107"/>
      <c r="C17" s="21" t="s">
        <v>5665</v>
      </c>
      <c r="D17" s="2107"/>
      <c r="E17" s="2107">
        <f t="shared" si="0"/>
        <v>0</v>
      </c>
    </row>
    <row r="18" spans="2:19">
      <c r="B18" s="2107"/>
      <c r="C18" s="21" t="s">
        <v>5264</v>
      </c>
      <c r="D18" s="2107"/>
      <c r="E18" s="2107">
        <f t="shared" si="0"/>
        <v>0</v>
      </c>
    </row>
    <row r="19" spans="2:19">
      <c r="B19" s="2107"/>
      <c r="C19" s="21" t="s">
        <v>5666</v>
      </c>
      <c r="D19" s="2107"/>
      <c r="E19" s="2107">
        <f t="shared" si="0"/>
        <v>0</v>
      </c>
    </row>
    <row r="20" spans="2:19" ht="15.75" thickBot="1">
      <c r="B20" s="2107"/>
      <c r="C20" s="21" t="s">
        <v>5667</v>
      </c>
      <c r="D20" s="2107"/>
      <c r="E20" s="2107">
        <f t="shared" si="0"/>
        <v>0</v>
      </c>
    </row>
    <row r="21" spans="2:19" ht="15.75" thickBot="1">
      <c r="B21" s="2107"/>
      <c r="C21" s="21" t="s">
        <v>5668</v>
      </c>
      <c r="D21" s="2107"/>
      <c r="E21" s="2107">
        <f t="shared" si="0"/>
        <v>0</v>
      </c>
      <c r="L21" s="2124"/>
      <c r="M21" s="2125"/>
      <c r="N21" s="2125"/>
      <c r="O21" s="2125"/>
      <c r="P21" s="2125"/>
      <c r="Q21" s="2125"/>
      <c r="R21" s="2125"/>
      <c r="S21" s="122"/>
    </row>
    <row r="22" spans="2:19">
      <c r="B22" s="2107"/>
      <c r="C22" s="21" t="s">
        <v>5669</v>
      </c>
      <c r="D22" s="2107"/>
      <c r="E22" s="2107">
        <f t="shared" si="0"/>
        <v>0</v>
      </c>
      <c r="L22" s="2126"/>
      <c r="S22" s="2126"/>
    </row>
    <row r="23" spans="2:19">
      <c r="B23" s="2107"/>
      <c r="C23" s="21" t="s">
        <v>5669</v>
      </c>
      <c r="D23" s="2107"/>
      <c r="E23" s="2107">
        <f t="shared" si="0"/>
        <v>0</v>
      </c>
      <c r="L23" s="2127"/>
      <c r="M23" s="2260" t="s">
        <v>5688</v>
      </c>
      <c r="N23" s="2261"/>
      <c r="O23" s="2261"/>
      <c r="P23" s="2261"/>
      <c r="Q23" s="2261"/>
      <c r="R23" s="2262"/>
      <c r="S23" s="2127"/>
    </row>
    <row r="24" spans="2:19">
      <c r="B24" s="2107"/>
      <c r="C24" s="21" t="s">
        <v>5669</v>
      </c>
      <c r="D24" s="2107"/>
      <c r="E24" s="2107">
        <f t="shared" si="0"/>
        <v>0</v>
      </c>
      <c r="L24" s="2127"/>
      <c r="S24" s="2127"/>
    </row>
    <row r="25" spans="2:19" ht="30">
      <c r="B25" s="2107"/>
      <c r="C25" s="21" t="s">
        <v>5670</v>
      </c>
      <c r="D25" s="2107"/>
      <c r="E25" s="2107">
        <f t="shared" si="0"/>
        <v>0</v>
      </c>
      <c r="L25" s="2127"/>
      <c r="Q25" s="2114" t="s">
        <v>3520</v>
      </c>
      <c r="S25" s="2127"/>
    </row>
    <row r="26" spans="2:19">
      <c r="B26" s="2107"/>
      <c r="C26" s="21" t="s">
        <v>5671</v>
      </c>
      <c r="D26" s="2107"/>
      <c r="E26" s="2107">
        <f t="shared" si="0"/>
        <v>0</v>
      </c>
      <c r="L26" s="2127"/>
      <c r="P26" t="s">
        <v>65</v>
      </c>
      <c r="Q26" s="2114">
        <v>4.4348999999999998</v>
      </c>
      <c r="R26" s="1176" t="s">
        <v>65</v>
      </c>
      <c r="S26" s="2127"/>
    </row>
    <row r="27" spans="2:19">
      <c r="B27" s="2107"/>
      <c r="C27" s="21" t="s">
        <v>5672</v>
      </c>
      <c r="D27" s="2107"/>
      <c r="E27" s="2107">
        <f t="shared" si="0"/>
        <v>0</v>
      </c>
      <c r="L27" s="2127"/>
      <c r="S27" s="2127"/>
    </row>
    <row r="28" spans="2:19">
      <c r="B28" s="2107"/>
      <c r="C28" s="21" t="s">
        <v>5673</v>
      </c>
      <c r="D28" s="2107"/>
      <c r="E28" s="2107">
        <f t="shared" si="0"/>
        <v>0</v>
      </c>
      <c r="L28" s="2127"/>
      <c r="S28" s="2127"/>
    </row>
    <row r="29" spans="2:19">
      <c r="B29" s="2107"/>
      <c r="C29" s="21" t="s">
        <v>5673</v>
      </c>
      <c r="D29" s="2107"/>
      <c r="E29" s="2107">
        <f t="shared" si="0"/>
        <v>0</v>
      </c>
      <c r="L29" s="2127"/>
      <c r="N29" s="2107">
        <v>35</v>
      </c>
      <c r="O29" s="2107">
        <v>0.86</v>
      </c>
      <c r="P29" s="2107">
        <f>+N29*O29</f>
        <v>30.099999999999998</v>
      </c>
      <c r="Q29" s="2107">
        <f>+P29*16%</f>
        <v>4.8159999999999998</v>
      </c>
      <c r="R29" s="2108">
        <f>+P29+Q29</f>
        <v>34.915999999999997</v>
      </c>
      <c r="S29" s="2127"/>
    </row>
    <row r="30" spans="2:19">
      <c r="B30" s="2107"/>
      <c r="C30" s="21" t="s">
        <v>5674</v>
      </c>
      <c r="D30" s="2107"/>
      <c r="E30" s="2107">
        <f t="shared" si="0"/>
        <v>0</v>
      </c>
      <c r="L30" s="2127"/>
      <c r="N30" s="2107">
        <v>35</v>
      </c>
      <c r="O30" s="2107">
        <f>+O29*Q26</f>
        <v>3.8140139999999998</v>
      </c>
      <c r="P30" s="2107">
        <f>+O30*N30</f>
        <v>133.49048999999999</v>
      </c>
      <c r="Q30" s="2107">
        <f>+P30*16%</f>
        <v>21.358478399999999</v>
      </c>
      <c r="R30" s="2108">
        <f>+P30+Q30</f>
        <v>154.84896839999999</v>
      </c>
      <c r="S30" s="2127"/>
    </row>
    <row r="31" spans="2:19" ht="15.75" thickBot="1">
      <c r="B31" s="2107"/>
      <c r="C31" s="21" t="s">
        <v>5675</v>
      </c>
      <c r="D31" s="2107"/>
      <c r="E31" s="2107">
        <f t="shared" si="0"/>
        <v>0</v>
      </c>
      <c r="L31" s="2128"/>
      <c r="S31" s="2128"/>
    </row>
    <row r="32" spans="2:19" ht="15.75" thickBot="1">
      <c r="B32" s="2107"/>
      <c r="C32" s="21" t="s">
        <v>5676</v>
      </c>
      <c r="D32" s="2107"/>
      <c r="E32" s="2107">
        <f t="shared" si="0"/>
        <v>0</v>
      </c>
      <c r="L32" s="2124"/>
      <c r="M32" s="2125"/>
      <c r="N32" s="2125"/>
      <c r="O32" s="2125"/>
      <c r="P32" s="2125"/>
      <c r="Q32" s="2125"/>
      <c r="R32" s="2125"/>
      <c r="S32" s="122"/>
    </row>
    <row r="33" spans="2:5">
      <c r="B33" s="2107"/>
      <c r="C33" s="21" t="s">
        <v>3763</v>
      </c>
      <c r="D33" s="2107"/>
      <c r="E33" s="2107">
        <f t="shared" si="0"/>
        <v>0</v>
      </c>
    </row>
    <row r="34" spans="2:5">
      <c r="B34" s="2107"/>
      <c r="C34" s="21" t="s">
        <v>3763</v>
      </c>
      <c r="D34" s="2107"/>
      <c r="E34" s="2107">
        <f t="shared" si="0"/>
        <v>0</v>
      </c>
    </row>
    <row r="35" spans="2:5">
      <c r="B35" s="2107"/>
      <c r="C35" s="21" t="s">
        <v>3763</v>
      </c>
      <c r="D35" s="2107"/>
      <c r="E35" s="2107">
        <f t="shared" si="0"/>
        <v>0</v>
      </c>
    </row>
    <row r="36" spans="2:5">
      <c r="B36" s="2107"/>
      <c r="C36" s="21" t="s">
        <v>3763</v>
      </c>
      <c r="D36" s="2107"/>
      <c r="E36" s="2107">
        <f t="shared" si="0"/>
        <v>0</v>
      </c>
    </row>
    <row r="37" spans="2:5">
      <c r="B37" s="2107"/>
      <c r="C37" s="21" t="s">
        <v>5677</v>
      </c>
      <c r="D37" s="2107"/>
      <c r="E37" s="2107">
        <f t="shared" si="0"/>
        <v>0</v>
      </c>
    </row>
    <row r="38" spans="2:5">
      <c r="B38" s="2107"/>
      <c r="C38" s="21" t="s">
        <v>5677</v>
      </c>
      <c r="D38" s="2107"/>
      <c r="E38" s="2107">
        <f t="shared" si="0"/>
        <v>0</v>
      </c>
    </row>
    <row r="39" spans="2:5">
      <c r="B39" s="2107"/>
      <c r="C39" s="21" t="s">
        <v>5677</v>
      </c>
      <c r="D39" s="2107"/>
      <c r="E39" s="2107">
        <f t="shared" si="0"/>
        <v>0</v>
      </c>
    </row>
    <row r="40" spans="2:5">
      <c r="B40" s="2107"/>
      <c r="C40" s="21" t="s">
        <v>5677</v>
      </c>
      <c r="D40" s="2107"/>
      <c r="E40" s="2107">
        <f t="shared" si="0"/>
        <v>0</v>
      </c>
    </row>
    <row r="41" spans="2:5">
      <c r="B41" s="2107"/>
      <c r="C41" s="21" t="s">
        <v>5678</v>
      </c>
      <c r="D41" s="2107"/>
      <c r="E41" s="2107">
        <f t="shared" si="0"/>
        <v>0</v>
      </c>
    </row>
    <row r="42" spans="2:5">
      <c r="B42" s="2107"/>
      <c r="C42" s="21" t="s">
        <v>5679</v>
      </c>
      <c r="D42" s="2107"/>
      <c r="E42" s="2107">
        <f t="shared" si="0"/>
        <v>0</v>
      </c>
    </row>
    <row r="43" spans="2:5">
      <c r="B43" s="2107"/>
      <c r="C43" s="21" t="s">
        <v>5680</v>
      </c>
      <c r="D43" s="2107"/>
      <c r="E43" s="2107">
        <f t="shared" si="0"/>
        <v>0</v>
      </c>
    </row>
    <row r="44" spans="2:5">
      <c r="B44" s="2107"/>
      <c r="C44" s="21" t="s">
        <v>5681</v>
      </c>
      <c r="D44" s="2107"/>
      <c r="E44" s="2107">
        <f t="shared" si="0"/>
        <v>0</v>
      </c>
    </row>
    <row r="45" spans="2:5">
      <c r="B45" s="2107"/>
      <c r="C45" s="21" t="s">
        <v>5682</v>
      </c>
      <c r="D45" s="2107"/>
      <c r="E45" s="2107">
        <f t="shared" si="0"/>
        <v>0</v>
      </c>
    </row>
    <row r="46" spans="2:5">
      <c r="B46" s="2107"/>
      <c r="C46" s="21" t="s">
        <v>5683</v>
      </c>
      <c r="D46" s="2107"/>
      <c r="E46" s="2107">
        <f t="shared" si="0"/>
        <v>0</v>
      </c>
    </row>
    <row r="47" spans="2:5">
      <c r="B47" s="2107"/>
      <c r="C47" s="21" t="s">
        <v>5684</v>
      </c>
      <c r="D47" s="2107"/>
      <c r="E47" s="2107">
        <f t="shared" si="0"/>
        <v>0</v>
      </c>
    </row>
    <row r="48" spans="2:5">
      <c r="B48" s="2107"/>
      <c r="C48" s="21" t="s">
        <v>5685</v>
      </c>
      <c r="D48" s="2107"/>
      <c r="E48" s="2107">
        <f t="shared" si="0"/>
        <v>0</v>
      </c>
    </row>
    <row r="49" spans="2:5">
      <c r="B49" s="2107"/>
      <c r="C49" s="21" t="s">
        <v>5686</v>
      </c>
      <c r="D49" s="2107"/>
      <c r="E49" s="2107">
        <f t="shared" si="0"/>
        <v>0</v>
      </c>
    </row>
    <row r="50" spans="2:5">
      <c r="B50" s="2107"/>
      <c r="C50" s="21" t="s">
        <v>3942</v>
      </c>
      <c r="D50" s="2107"/>
      <c r="E50" s="2107">
        <f t="shared" si="0"/>
        <v>0</v>
      </c>
    </row>
    <row r="51" spans="2:5">
      <c r="B51" s="2107"/>
      <c r="C51" s="21" t="s">
        <v>5687</v>
      </c>
      <c r="D51" s="2107"/>
      <c r="E51" s="2107">
        <f t="shared" si="0"/>
        <v>0</v>
      </c>
    </row>
    <row r="52" spans="2:5">
      <c r="B52" s="2107"/>
      <c r="C52" s="21"/>
      <c r="D52" s="2107"/>
      <c r="E52" s="2107">
        <f t="shared" si="0"/>
        <v>0</v>
      </c>
    </row>
    <row r="53" spans="2:5">
      <c r="B53" s="2107"/>
      <c r="C53" s="21"/>
      <c r="D53" s="2107"/>
      <c r="E53" s="2107">
        <f t="shared" si="0"/>
        <v>0</v>
      </c>
    </row>
    <row r="54" spans="2:5">
      <c r="B54" s="2107"/>
      <c r="C54" s="21"/>
      <c r="D54" s="2107"/>
      <c r="E54" s="2107">
        <f t="shared" si="0"/>
        <v>0</v>
      </c>
    </row>
    <row r="55" spans="2:5">
      <c r="B55" s="2107"/>
      <c r="C55" s="21"/>
      <c r="D55" s="2107"/>
      <c r="E55" s="2107">
        <f t="shared" si="0"/>
        <v>0</v>
      </c>
    </row>
    <row r="56" spans="2:5">
      <c r="B56" s="2107"/>
      <c r="C56" s="21"/>
      <c r="D56" s="2107"/>
      <c r="E56" s="2107">
        <f t="shared" si="0"/>
        <v>0</v>
      </c>
    </row>
    <row r="57" spans="2:5">
      <c r="B57" s="2107"/>
      <c r="C57" s="21"/>
      <c r="D57" s="2107"/>
      <c r="E57" s="2107">
        <f t="shared" si="0"/>
        <v>0</v>
      </c>
    </row>
    <row r="58" spans="2:5">
      <c r="B58" s="2107"/>
      <c r="C58" s="21"/>
      <c r="D58" s="2107"/>
      <c r="E58" s="2107">
        <f t="shared" si="0"/>
        <v>0</v>
      </c>
    </row>
    <row r="59" spans="2:5">
      <c r="B59" s="2107"/>
      <c r="C59" s="21"/>
      <c r="D59" s="2107"/>
      <c r="E59" s="2107">
        <f t="shared" si="0"/>
        <v>0</v>
      </c>
    </row>
    <row r="60" spans="2:5">
      <c r="B60" s="2107"/>
      <c r="C60" s="21"/>
      <c r="D60" s="2107"/>
      <c r="E60" s="2107">
        <f t="shared" si="0"/>
        <v>0</v>
      </c>
    </row>
    <row r="61" spans="2:5">
      <c r="B61" s="2107"/>
      <c r="C61" s="21"/>
      <c r="D61" s="2107"/>
      <c r="E61" s="2107">
        <f t="shared" si="0"/>
        <v>0</v>
      </c>
    </row>
    <row r="62" spans="2:5">
      <c r="B62" s="2107"/>
      <c r="C62" s="21"/>
      <c r="D62" s="2107"/>
      <c r="E62" s="2107">
        <f t="shared" si="0"/>
        <v>0</v>
      </c>
    </row>
    <row r="63" spans="2:5">
      <c r="B63" s="2107"/>
      <c r="C63" s="21"/>
      <c r="D63" s="2107"/>
      <c r="E63" s="2107">
        <f t="shared" si="0"/>
        <v>0</v>
      </c>
    </row>
    <row r="64" spans="2:5">
      <c r="B64" s="2107"/>
      <c r="C64" s="21"/>
      <c r="D64" s="2107"/>
      <c r="E64" s="2107">
        <f t="shared" si="0"/>
        <v>0</v>
      </c>
    </row>
    <row r="65" spans="2:5">
      <c r="B65" s="2107"/>
      <c r="C65" s="21"/>
      <c r="D65" s="2107"/>
      <c r="E65" s="2107">
        <f t="shared" si="0"/>
        <v>0</v>
      </c>
    </row>
    <row r="66" spans="2:5">
      <c r="B66" s="2107"/>
      <c r="C66" s="21"/>
      <c r="D66" s="2107"/>
      <c r="E66" s="2107">
        <f t="shared" si="0"/>
        <v>0</v>
      </c>
    </row>
    <row r="67" spans="2:5">
      <c r="B67" s="2107"/>
      <c r="C67" s="21"/>
      <c r="D67" s="2107"/>
      <c r="E67" s="2107">
        <f t="shared" si="0"/>
        <v>0</v>
      </c>
    </row>
    <row r="68" spans="2:5">
      <c r="B68" s="2107"/>
      <c r="C68" s="21"/>
      <c r="D68" s="2107"/>
      <c r="E68" s="2107">
        <f t="shared" si="0"/>
        <v>0</v>
      </c>
    </row>
    <row r="69" spans="2:5">
      <c r="B69" s="2107"/>
      <c r="C69" s="21"/>
      <c r="D69" s="2107"/>
      <c r="E69" s="2107">
        <f t="shared" ref="E69:E111" si="1">+D69*E$2</f>
        <v>0</v>
      </c>
    </row>
    <row r="70" spans="2:5">
      <c r="B70" s="2107"/>
      <c r="C70" s="21"/>
      <c r="D70" s="2107"/>
      <c r="E70" s="2107">
        <f t="shared" si="1"/>
        <v>0</v>
      </c>
    </row>
    <row r="71" spans="2:5">
      <c r="B71" s="2107"/>
      <c r="C71" s="21"/>
      <c r="D71" s="2107"/>
      <c r="E71" s="2107">
        <f t="shared" si="1"/>
        <v>0</v>
      </c>
    </row>
    <row r="72" spans="2:5">
      <c r="B72" s="2107"/>
      <c r="C72" s="21"/>
      <c r="D72" s="2107"/>
      <c r="E72" s="2107">
        <f t="shared" si="1"/>
        <v>0</v>
      </c>
    </row>
    <row r="73" spans="2:5">
      <c r="B73" s="2107"/>
      <c r="C73" s="21"/>
      <c r="D73" s="2107"/>
      <c r="E73" s="2107">
        <f t="shared" si="1"/>
        <v>0</v>
      </c>
    </row>
    <row r="74" spans="2:5">
      <c r="B74" s="2107"/>
      <c r="C74" s="21"/>
      <c r="D74" s="2107"/>
      <c r="E74" s="2107">
        <f t="shared" si="1"/>
        <v>0</v>
      </c>
    </row>
    <row r="75" spans="2:5">
      <c r="B75" s="2107"/>
      <c r="C75" s="21"/>
      <c r="D75" s="2107"/>
      <c r="E75" s="2107">
        <f t="shared" si="1"/>
        <v>0</v>
      </c>
    </row>
    <row r="76" spans="2:5">
      <c r="B76" s="2107"/>
      <c r="C76" s="21"/>
      <c r="D76" s="2107"/>
      <c r="E76" s="2107">
        <f t="shared" si="1"/>
        <v>0</v>
      </c>
    </row>
    <row r="77" spans="2:5">
      <c r="B77" s="2107"/>
      <c r="C77" s="21"/>
      <c r="D77" s="2107"/>
      <c r="E77" s="2107">
        <f t="shared" si="1"/>
        <v>0</v>
      </c>
    </row>
    <row r="78" spans="2:5">
      <c r="B78" s="2107"/>
      <c r="C78" s="21"/>
      <c r="D78" s="2107"/>
      <c r="E78" s="2107">
        <f t="shared" si="1"/>
        <v>0</v>
      </c>
    </row>
    <row r="79" spans="2:5">
      <c r="B79" s="2107"/>
      <c r="C79" s="21"/>
      <c r="D79" s="2107"/>
      <c r="E79" s="2107">
        <f t="shared" si="1"/>
        <v>0</v>
      </c>
    </row>
    <row r="80" spans="2:5">
      <c r="B80" s="2107"/>
      <c r="C80" s="21"/>
      <c r="D80" s="2107"/>
      <c r="E80" s="2107">
        <f t="shared" si="1"/>
        <v>0</v>
      </c>
    </row>
    <row r="81" spans="2:5">
      <c r="B81" s="2107"/>
      <c r="C81" s="21"/>
      <c r="D81" s="2107"/>
      <c r="E81" s="2107">
        <f t="shared" si="1"/>
        <v>0</v>
      </c>
    </row>
    <row r="82" spans="2:5">
      <c r="B82" s="2107"/>
      <c r="C82" s="21"/>
      <c r="D82" s="2107"/>
      <c r="E82" s="2107">
        <f t="shared" si="1"/>
        <v>0</v>
      </c>
    </row>
    <row r="83" spans="2:5">
      <c r="B83" s="2107"/>
      <c r="C83" s="21"/>
      <c r="D83" s="2107"/>
      <c r="E83" s="2107">
        <f t="shared" si="1"/>
        <v>0</v>
      </c>
    </row>
    <row r="84" spans="2:5">
      <c r="B84" s="2107"/>
      <c r="C84" s="21"/>
      <c r="D84" s="2107"/>
      <c r="E84" s="2107">
        <f t="shared" si="1"/>
        <v>0</v>
      </c>
    </row>
    <row r="85" spans="2:5">
      <c r="B85" s="2107"/>
      <c r="C85" s="21"/>
      <c r="D85" s="2107"/>
      <c r="E85" s="2107">
        <f t="shared" si="1"/>
        <v>0</v>
      </c>
    </row>
    <row r="86" spans="2:5">
      <c r="B86" s="2107"/>
      <c r="C86" s="21"/>
      <c r="D86" s="2107"/>
      <c r="E86" s="2107">
        <f t="shared" si="1"/>
        <v>0</v>
      </c>
    </row>
    <row r="87" spans="2:5">
      <c r="B87" s="2107"/>
      <c r="C87" s="21"/>
      <c r="D87" s="2107"/>
      <c r="E87" s="2107">
        <f t="shared" si="1"/>
        <v>0</v>
      </c>
    </row>
    <row r="88" spans="2:5">
      <c r="B88" s="2107"/>
      <c r="C88" s="21"/>
      <c r="D88" s="2107"/>
      <c r="E88" s="2107">
        <f t="shared" si="1"/>
        <v>0</v>
      </c>
    </row>
    <row r="89" spans="2:5">
      <c r="B89" s="2107"/>
      <c r="C89" s="21"/>
      <c r="D89" s="2107"/>
      <c r="E89" s="2107">
        <f t="shared" si="1"/>
        <v>0</v>
      </c>
    </row>
    <row r="90" spans="2:5">
      <c r="B90" s="2107"/>
      <c r="C90" s="21"/>
      <c r="D90" s="2107"/>
      <c r="E90" s="2107">
        <f t="shared" si="1"/>
        <v>0</v>
      </c>
    </row>
    <row r="91" spans="2:5">
      <c r="B91" s="2107"/>
      <c r="C91" s="21"/>
      <c r="D91" s="2107"/>
      <c r="E91" s="2107">
        <f t="shared" si="1"/>
        <v>0</v>
      </c>
    </row>
    <row r="92" spans="2:5">
      <c r="B92" s="2107"/>
      <c r="C92" s="21"/>
      <c r="D92" s="2107"/>
      <c r="E92" s="2107">
        <f t="shared" si="1"/>
        <v>0</v>
      </c>
    </row>
    <row r="93" spans="2:5">
      <c r="B93" s="2107"/>
      <c r="C93" s="21"/>
      <c r="D93" s="2107"/>
      <c r="E93" s="2107">
        <f t="shared" si="1"/>
        <v>0</v>
      </c>
    </row>
    <row r="94" spans="2:5">
      <c r="B94" s="2107"/>
      <c r="C94" s="21"/>
      <c r="D94" s="2107"/>
      <c r="E94" s="2107">
        <f t="shared" si="1"/>
        <v>0</v>
      </c>
    </row>
    <row r="95" spans="2:5">
      <c r="B95" s="2107"/>
      <c r="C95" s="21"/>
      <c r="D95" s="2107"/>
      <c r="E95" s="2107">
        <f t="shared" si="1"/>
        <v>0</v>
      </c>
    </row>
    <row r="96" spans="2:5">
      <c r="B96" s="2107"/>
      <c r="C96" s="21"/>
      <c r="D96" s="2107"/>
      <c r="E96" s="2107">
        <f t="shared" si="1"/>
        <v>0</v>
      </c>
    </row>
    <row r="97" spans="2:5">
      <c r="B97" s="2107"/>
      <c r="C97" s="21"/>
      <c r="D97" s="2107"/>
      <c r="E97" s="2107">
        <f t="shared" si="1"/>
        <v>0</v>
      </c>
    </row>
    <row r="98" spans="2:5">
      <c r="B98" s="2107"/>
      <c r="C98" s="21"/>
      <c r="D98" s="2107"/>
      <c r="E98" s="2107">
        <f t="shared" si="1"/>
        <v>0</v>
      </c>
    </row>
    <row r="99" spans="2:5">
      <c r="B99" s="2107"/>
      <c r="C99" s="21"/>
      <c r="D99" s="2107"/>
      <c r="E99" s="2107">
        <f t="shared" si="1"/>
        <v>0</v>
      </c>
    </row>
    <row r="100" spans="2:5">
      <c r="B100" s="2107"/>
      <c r="C100" s="21"/>
      <c r="D100" s="2107"/>
      <c r="E100" s="2107">
        <f t="shared" si="1"/>
        <v>0</v>
      </c>
    </row>
    <row r="101" spans="2:5">
      <c r="B101" s="2107"/>
      <c r="C101" s="21"/>
      <c r="D101" s="2107"/>
      <c r="E101" s="2107">
        <f t="shared" si="1"/>
        <v>0</v>
      </c>
    </row>
    <row r="102" spans="2:5">
      <c r="B102" s="2107"/>
      <c r="C102" s="21"/>
      <c r="D102" s="2107"/>
      <c r="E102" s="2107">
        <f t="shared" si="1"/>
        <v>0</v>
      </c>
    </row>
    <row r="103" spans="2:5">
      <c r="B103" s="2107"/>
      <c r="C103" s="21"/>
      <c r="D103" s="2107"/>
      <c r="E103" s="2107">
        <f t="shared" si="1"/>
        <v>0</v>
      </c>
    </row>
    <row r="104" spans="2:5">
      <c r="B104" s="2107"/>
      <c r="C104" s="21"/>
      <c r="D104" s="2107"/>
      <c r="E104" s="2107">
        <f t="shared" si="1"/>
        <v>0</v>
      </c>
    </row>
    <row r="105" spans="2:5">
      <c r="B105" s="2107"/>
      <c r="C105" s="21"/>
      <c r="D105" s="2107"/>
      <c r="E105" s="2107">
        <f t="shared" si="1"/>
        <v>0</v>
      </c>
    </row>
    <row r="106" spans="2:5">
      <c r="B106" s="2107"/>
      <c r="C106" s="21"/>
      <c r="D106" s="2107"/>
      <c r="E106" s="2107">
        <f t="shared" si="1"/>
        <v>0</v>
      </c>
    </row>
    <row r="107" spans="2:5">
      <c r="B107" s="2107"/>
      <c r="C107" s="21"/>
      <c r="D107" s="2107"/>
      <c r="E107" s="2107">
        <f t="shared" si="1"/>
        <v>0</v>
      </c>
    </row>
    <row r="108" spans="2:5">
      <c r="B108" s="2107"/>
      <c r="C108" s="21"/>
      <c r="D108" s="2107"/>
      <c r="E108" s="2107">
        <f t="shared" si="1"/>
        <v>0</v>
      </c>
    </row>
    <row r="109" spans="2:5">
      <c r="B109" s="2107"/>
      <c r="C109" s="21"/>
      <c r="D109" s="2107"/>
      <c r="E109" s="2107">
        <f t="shared" si="1"/>
        <v>0</v>
      </c>
    </row>
    <row r="110" spans="2:5">
      <c r="B110" s="2107"/>
      <c r="C110" s="21"/>
      <c r="D110" s="2107"/>
      <c r="E110" s="2107">
        <f t="shared" si="1"/>
        <v>0</v>
      </c>
    </row>
    <row r="111" spans="2:5">
      <c r="B111" s="2107"/>
      <c r="C111" s="21"/>
      <c r="D111" s="2107"/>
      <c r="E111" s="2107">
        <f t="shared" si="1"/>
        <v>0</v>
      </c>
    </row>
  </sheetData>
  <mergeCells count="1">
    <mergeCell ref="M23:R2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C2:P44"/>
  <sheetViews>
    <sheetView topLeftCell="A2" workbookViewId="0">
      <selection activeCell="O23" sqref="O23"/>
    </sheetView>
  </sheetViews>
  <sheetFormatPr baseColWidth="10" defaultRowHeight="15"/>
  <cols>
    <col min="3" max="3" width="42.5703125" customWidth="1"/>
  </cols>
  <sheetData>
    <row r="2" spans="3:16">
      <c r="C2" t="s">
        <v>3934</v>
      </c>
    </row>
    <row r="4" spans="3:16">
      <c r="D4" t="s">
        <v>3135</v>
      </c>
      <c r="P4">
        <v>4.7699999999999996</v>
      </c>
    </row>
    <row r="5" spans="3:16" ht="45">
      <c r="C5" s="1011" t="s">
        <v>617</v>
      </c>
      <c r="D5" s="1011"/>
      <c r="E5" s="1021" t="s">
        <v>3928</v>
      </c>
      <c r="F5" s="375" t="s">
        <v>3929</v>
      </c>
      <c r="G5" s="892" t="s">
        <v>3931</v>
      </c>
      <c r="H5" s="378" t="s">
        <v>3935</v>
      </c>
      <c r="I5" s="1016" t="s">
        <v>68</v>
      </c>
      <c r="J5" s="1016" t="s">
        <v>560</v>
      </c>
      <c r="M5" s="1018" t="s">
        <v>3954</v>
      </c>
      <c r="N5" s="1018" t="s">
        <v>3955</v>
      </c>
      <c r="O5" s="1018" t="s">
        <v>3956</v>
      </c>
      <c r="P5" s="836" t="s">
        <v>3952</v>
      </c>
    </row>
    <row r="6" spans="3:16">
      <c r="C6" s="1011" t="s">
        <v>3916</v>
      </c>
      <c r="D6" s="1011">
        <v>2</v>
      </c>
      <c r="E6" s="1021">
        <v>2</v>
      </c>
      <c r="F6" s="1021">
        <v>9.5399999999999991</v>
      </c>
      <c r="G6">
        <f>9/4</f>
        <v>2.25</v>
      </c>
      <c r="H6" s="326">
        <v>11</v>
      </c>
      <c r="I6" s="1016">
        <v>5</v>
      </c>
      <c r="J6" s="1016">
        <f>+I6*H6</f>
        <v>55</v>
      </c>
      <c r="M6" s="1016">
        <v>47.7</v>
      </c>
      <c r="N6" s="1016">
        <v>5</v>
      </c>
      <c r="O6" s="1016">
        <f>+M6/N6</f>
        <v>9.5400000000000009</v>
      </c>
    </row>
    <row r="7" spans="3:16">
      <c r="C7" s="1011" t="s">
        <v>3917</v>
      </c>
      <c r="D7" s="1011">
        <v>1.6</v>
      </c>
      <c r="E7" s="1021">
        <v>1.6</v>
      </c>
      <c r="F7" s="1021">
        <v>4.5</v>
      </c>
      <c r="G7">
        <f>+F7/2</f>
        <v>2.25</v>
      </c>
      <c r="H7" s="326">
        <f>+F7+E7</f>
        <v>6.1</v>
      </c>
      <c r="I7" s="1016">
        <v>10</v>
      </c>
      <c r="J7" s="1016">
        <f>+I7*H7</f>
        <v>61</v>
      </c>
      <c r="M7" s="1016">
        <v>76.3</v>
      </c>
      <c r="N7" s="1016">
        <v>10</v>
      </c>
      <c r="O7" s="1016">
        <f t="shared" ref="O7:O19" si="0">+M7/N7</f>
        <v>7.63</v>
      </c>
    </row>
    <row r="8" spans="3:16">
      <c r="C8" s="1011" t="s">
        <v>3918</v>
      </c>
      <c r="D8" s="1011">
        <v>1.2</v>
      </c>
      <c r="E8" s="1021">
        <v>1.2</v>
      </c>
      <c r="F8" s="1021">
        <v>2.2000000000000002</v>
      </c>
      <c r="G8">
        <v>2.2000000000000002</v>
      </c>
      <c r="H8" s="326">
        <f>+F8+E8</f>
        <v>3.4000000000000004</v>
      </c>
      <c r="I8" s="1016">
        <v>10</v>
      </c>
      <c r="J8" s="1016">
        <f>+I8*H8</f>
        <v>34</v>
      </c>
      <c r="K8">
        <f>+F8-E8</f>
        <v>1.0000000000000002</v>
      </c>
      <c r="M8" s="1016">
        <v>57.2</v>
      </c>
      <c r="N8" s="1016">
        <v>10</v>
      </c>
      <c r="O8" s="1016">
        <f t="shared" si="0"/>
        <v>5.7200000000000006</v>
      </c>
    </row>
    <row r="9" spans="3:16">
      <c r="C9" s="1011" t="s">
        <v>3919</v>
      </c>
      <c r="D9" s="1011">
        <v>1.2</v>
      </c>
      <c r="E9" s="1021">
        <v>1.2</v>
      </c>
      <c r="F9" s="1021">
        <v>1.1200000000000001</v>
      </c>
      <c r="G9" s="57">
        <f>+G7/2</f>
        <v>1.125</v>
      </c>
      <c r="H9" s="326">
        <f>+F9+E9</f>
        <v>2.3200000000000003</v>
      </c>
      <c r="I9" s="1016">
        <v>10</v>
      </c>
      <c r="J9" s="1016">
        <f>+I9*H9</f>
        <v>23.200000000000003</v>
      </c>
      <c r="K9">
        <f>+E9+F9</f>
        <v>2.3200000000000003</v>
      </c>
      <c r="M9" s="1016">
        <v>57.2</v>
      </c>
      <c r="N9" s="1016">
        <v>10</v>
      </c>
      <c r="O9" s="1016">
        <f t="shared" si="0"/>
        <v>5.7200000000000006</v>
      </c>
    </row>
    <row r="10" spans="3:16" hidden="1">
      <c r="C10" s="1011" t="s">
        <v>3930</v>
      </c>
      <c r="D10" s="1011">
        <v>3</v>
      </c>
      <c r="E10" s="1021"/>
      <c r="F10" s="1021"/>
      <c r="H10" s="326"/>
      <c r="I10" s="1016">
        <v>0</v>
      </c>
      <c r="J10" s="1016">
        <f>+I10*H10</f>
        <v>0</v>
      </c>
      <c r="M10" s="1016"/>
      <c r="N10" s="1016"/>
      <c r="O10" s="1016" t="e">
        <f t="shared" si="0"/>
        <v>#DIV/0!</v>
      </c>
    </row>
    <row r="11" spans="3:16">
      <c r="C11" s="1011" t="s">
        <v>3920</v>
      </c>
      <c r="D11" s="1011" t="s">
        <v>3921</v>
      </c>
      <c r="E11" s="1021"/>
      <c r="F11" s="1021"/>
      <c r="H11" s="326">
        <v>2.8</v>
      </c>
      <c r="I11" s="1016">
        <v>19</v>
      </c>
      <c r="J11" s="1016">
        <f>+H11*I11</f>
        <v>53.199999999999996</v>
      </c>
      <c r="M11" s="1016">
        <v>260.52</v>
      </c>
      <c r="N11" s="1016">
        <v>13.36</v>
      </c>
      <c r="O11" s="1016">
        <f t="shared" si="0"/>
        <v>19.5</v>
      </c>
      <c r="P11" s="336">
        <f>+N11/P$4</f>
        <v>2.8008385744234801</v>
      </c>
    </row>
    <row r="12" spans="3:16">
      <c r="C12" s="1011" t="s">
        <v>3922</v>
      </c>
      <c r="D12" s="1011">
        <v>10</v>
      </c>
      <c r="E12" s="1021"/>
      <c r="F12" s="1021"/>
      <c r="H12" s="326">
        <v>10</v>
      </c>
      <c r="I12" s="1016">
        <v>4</v>
      </c>
      <c r="J12" s="1016">
        <f>+I12*H12</f>
        <v>40</v>
      </c>
      <c r="M12" s="1016">
        <v>114.56</v>
      </c>
      <c r="N12" s="1016">
        <v>16.7</v>
      </c>
      <c r="O12" s="52">
        <f t="shared" si="0"/>
        <v>6.8598802395209582</v>
      </c>
      <c r="P12" s="336">
        <f t="shared" ref="P12:P19" si="1">+N12/P$4</f>
        <v>3.5010482180293501</v>
      </c>
    </row>
    <row r="13" spans="3:16" ht="15.75" thickBot="1">
      <c r="C13" s="1011" t="s">
        <v>3923</v>
      </c>
      <c r="D13" s="1011" t="s">
        <v>3924</v>
      </c>
      <c r="E13" s="1021"/>
      <c r="F13" s="1021"/>
      <c r="H13" s="326">
        <v>3.3</v>
      </c>
      <c r="I13" s="1016">
        <v>50</v>
      </c>
      <c r="J13" s="438">
        <f>+I13*H13</f>
        <v>165</v>
      </c>
      <c r="M13" s="1016">
        <v>128.91999999999999</v>
      </c>
      <c r="N13" s="1016">
        <v>16.7</v>
      </c>
      <c r="O13" s="52">
        <f t="shared" si="0"/>
        <v>7.7197604790419154</v>
      </c>
      <c r="P13" s="336">
        <f t="shared" si="1"/>
        <v>3.5010482180293501</v>
      </c>
    </row>
    <row r="14" spans="3:16" ht="15.75" thickBot="1">
      <c r="C14" s="1011"/>
      <c r="D14" s="1011"/>
      <c r="E14" s="1021"/>
      <c r="F14" s="1021"/>
      <c r="H14" s="326"/>
      <c r="I14" s="374"/>
      <c r="J14" s="1019">
        <f>SUM(J6:J13)</f>
        <v>431.4</v>
      </c>
      <c r="K14" s="1035" t="s">
        <v>560</v>
      </c>
      <c r="M14" s="1016">
        <v>131.26</v>
      </c>
      <c r="N14" s="1016">
        <v>16.7</v>
      </c>
      <c r="O14" s="52">
        <f t="shared" si="0"/>
        <v>7.8598802395209582</v>
      </c>
      <c r="P14" s="336">
        <f t="shared" si="1"/>
        <v>3.5010482180293501</v>
      </c>
    </row>
    <row r="15" spans="3:16">
      <c r="C15" s="1011"/>
      <c r="D15" s="1011"/>
      <c r="E15" s="1021"/>
      <c r="F15" s="1021"/>
      <c r="H15" s="326"/>
      <c r="I15" s="1016"/>
      <c r="J15" s="524"/>
      <c r="M15" s="1016">
        <v>123.91</v>
      </c>
      <c r="N15" s="1016">
        <v>16.7</v>
      </c>
      <c r="O15" s="52">
        <f t="shared" si="0"/>
        <v>7.4197604790419165</v>
      </c>
      <c r="P15" s="336">
        <f t="shared" si="1"/>
        <v>3.5010482180293501</v>
      </c>
    </row>
    <row r="16" spans="3:16">
      <c r="C16" s="1011"/>
      <c r="D16" s="1011"/>
      <c r="E16" s="1021"/>
      <c r="F16" s="1021"/>
      <c r="H16" s="326"/>
      <c r="I16" s="1016"/>
      <c r="J16" s="1016"/>
      <c r="M16" s="1016">
        <v>118.57</v>
      </c>
      <c r="N16" s="1016">
        <v>16.7</v>
      </c>
      <c r="O16" s="52">
        <f t="shared" si="0"/>
        <v>7.1</v>
      </c>
      <c r="P16" s="336">
        <f t="shared" si="1"/>
        <v>3.5010482180293501</v>
      </c>
    </row>
    <row r="17" spans="3:16">
      <c r="C17" s="1011"/>
      <c r="D17" s="1011"/>
      <c r="E17" s="1021"/>
      <c r="F17" s="1021"/>
      <c r="H17" s="326"/>
      <c r="I17" s="1016"/>
      <c r="J17" s="1016"/>
      <c r="M17" s="1016">
        <v>112.55</v>
      </c>
      <c r="N17" s="1016">
        <v>16.7</v>
      </c>
      <c r="O17" s="52">
        <f t="shared" si="0"/>
        <v>6.7395209580838324</v>
      </c>
      <c r="P17" s="336">
        <f t="shared" si="1"/>
        <v>3.5010482180293501</v>
      </c>
    </row>
    <row r="18" spans="3:16">
      <c r="C18" s="1011"/>
      <c r="D18" s="1011"/>
      <c r="E18" s="1021"/>
      <c r="F18" s="1021"/>
      <c r="H18" s="326"/>
      <c r="I18" s="1016"/>
      <c r="J18" s="1016"/>
      <c r="M18" s="1016">
        <v>131.59</v>
      </c>
      <c r="N18" s="1016">
        <v>16.7</v>
      </c>
      <c r="O18" s="52">
        <f t="shared" si="0"/>
        <v>7.8796407185628752</v>
      </c>
      <c r="P18" s="336">
        <f t="shared" si="1"/>
        <v>3.5010482180293501</v>
      </c>
    </row>
    <row r="19" spans="3:16">
      <c r="C19" s="1011"/>
      <c r="D19" s="1011"/>
      <c r="E19" s="1021"/>
      <c r="F19" s="1021"/>
      <c r="H19" s="326"/>
      <c r="I19" s="1016"/>
      <c r="J19" s="1016"/>
      <c r="M19" s="1016">
        <v>190.8</v>
      </c>
      <c r="N19" s="1016">
        <v>47.7</v>
      </c>
      <c r="O19" s="1016">
        <f t="shared" si="0"/>
        <v>4</v>
      </c>
      <c r="P19" s="336">
        <f t="shared" si="1"/>
        <v>10.000000000000002</v>
      </c>
    </row>
    <row r="21" spans="3:16">
      <c r="O21" s="57">
        <f>+M6+M7+M8+M9+O11+O12+O13+O19</f>
        <v>276.47964071856285</v>
      </c>
    </row>
    <row r="24" spans="3:16">
      <c r="H24">
        <v>214.65</v>
      </c>
      <c r="I24">
        <v>4.7699999999999996</v>
      </c>
      <c r="J24">
        <v>45.000000000000007</v>
      </c>
    </row>
    <row r="25" spans="3:16">
      <c r="H25">
        <v>214.6</v>
      </c>
      <c r="J25">
        <v>44.989517819706499</v>
      </c>
    </row>
    <row r="26" spans="3:16">
      <c r="H26">
        <v>107.3</v>
      </c>
      <c r="J26">
        <v>22.49475890985325</v>
      </c>
    </row>
    <row r="27" spans="3:16">
      <c r="H27">
        <v>53.4</v>
      </c>
      <c r="J27">
        <v>11.19496855345912</v>
      </c>
    </row>
    <row r="28" spans="3:16">
      <c r="H28">
        <v>260.52</v>
      </c>
      <c r="J28">
        <v>54.616352201257861</v>
      </c>
    </row>
    <row r="29" spans="3:16">
      <c r="H29">
        <v>114.56</v>
      </c>
      <c r="J29">
        <v>24.016771488469605</v>
      </c>
    </row>
    <row r="30" spans="3:16">
      <c r="H30">
        <v>128.91999999999999</v>
      </c>
      <c r="J30">
        <v>27.027253668763102</v>
      </c>
    </row>
    <row r="31" spans="3:16">
      <c r="H31">
        <v>131.26</v>
      </c>
      <c r="J31">
        <v>27.517819706498951</v>
      </c>
    </row>
    <row r="32" spans="3:16">
      <c r="H32">
        <v>123.91</v>
      </c>
      <c r="J32">
        <v>25.976939203354299</v>
      </c>
    </row>
    <row r="33" spans="8:11">
      <c r="H33">
        <v>118.57</v>
      </c>
      <c r="J33">
        <v>24.857442348008387</v>
      </c>
    </row>
    <row r="34" spans="8:11">
      <c r="H34">
        <v>112.55</v>
      </c>
      <c r="J34">
        <v>23.59538784067086</v>
      </c>
    </row>
    <row r="35" spans="8:11">
      <c r="H35">
        <v>131.59</v>
      </c>
      <c r="J35">
        <v>27.587002096436063</v>
      </c>
    </row>
    <row r="36" spans="8:11">
      <c r="H36">
        <v>190.8</v>
      </c>
      <c r="J36">
        <v>40.000000000000007</v>
      </c>
    </row>
    <row r="37" spans="8:11">
      <c r="J37">
        <v>398.87421383647791</v>
      </c>
    </row>
    <row r="40" spans="8:11">
      <c r="J40">
        <v>190.8</v>
      </c>
      <c r="K40">
        <v>40.000000000000007</v>
      </c>
    </row>
    <row r="41" spans="8:11">
      <c r="J41">
        <v>1950.23</v>
      </c>
      <c r="K41">
        <v>408.853249475891</v>
      </c>
    </row>
    <row r="42" spans="8:11">
      <c r="I42" t="s">
        <v>3346</v>
      </c>
      <c r="J42">
        <v>2141.0300000000002</v>
      </c>
    </row>
    <row r="43" spans="8:11">
      <c r="I43" t="s">
        <v>3952</v>
      </c>
      <c r="J43">
        <v>4.7699999999999996</v>
      </c>
    </row>
    <row r="44" spans="8:11">
      <c r="I44" t="s">
        <v>245</v>
      </c>
      <c r="J44">
        <v>448.85324947589106</v>
      </c>
    </row>
  </sheetData>
  <pageMargins left="0.7" right="0.7" top="0.75" bottom="0.75" header="0.3" footer="0.3"/>
  <pageSetup paperSize="9"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4:G43"/>
  <sheetViews>
    <sheetView workbookViewId="0">
      <selection activeCell="B4" sqref="B4:G27"/>
    </sheetView>
  </sheetViews>
  <sheetFormatPr baseColWidth="10" defaultRowHeight="15"/>
  <cols>
    <col min="2" max="2" width="12.28515625" customWidth="1"/>
    <col min="3" max="3" width="29.140625" style="65" customWidth="1"/>
  </cols>
  <sheetData>
    <row r="4" spans="2:7" ht="30">
      <c r="C4" s="2" t="s">
        <v>19</v>
      </c>
    </row>
    <row r="5" spans="2:7">
      <c r="B5" s="5" t="s">
        <v>616</v>
      </c>
      <c r="C5" s="15" t="s">
        <v>617</v>
      </c>
      <c r="D5" s="5" t="s">
        <v>120</v>
      </c>
      <c r="E5" s="5" t="s">
        <v>110</v>
      </c>
      <c r="F5" s="5" t="s">
        <v>111</v>
      </c>
      <c r="G5" s="5" t="s">
        <v>68</v>
      </c>
    </row>
    <row r="6" spans="2:7">
      <c r="B6" s="5">
        <v>251</v>
      </c>
      <c r="C6" s="15" t="s">
        <v>618</v>
      </c>
      <c r="D6" s="5"/>
      <c r="E6" s="5"/>
      <c r="F6" s="5"/>
      <c r="G6" s="5"/>
    </row>
    <row r="7" spans="2:7">
      <c r="B7" s="5">
        <v>1793</v>
      </c>
      <c r="C7" s="15" t="s">
        <v>619</v>
      </c>
      <c r="D7" s="5"/>
      <c r="E7" s="5"/>
      <c r="F7" s="5"/>
      <c r="G7" s="5"/>
    </row>
    <row r="8" spans="2:7">
      <c r="B8" s="5">
        <v>1794</v>
      </c>
      <c r="C8" s="15" t="s">
        <v>620</v>
      </c>
      <c r="D8" s="5"/>
      <c r="E8" s="5"/>
      <c r="F8" s="5"/>
      <c r="G8" s="5"/>
    </row>
    <row r="9" spans="2:7">
      <c r="B9" s="5">
        <v>5742</v>
      </c>
      <c r="C9" s="15" t="s">
        <v>621</v>
      </c>
      <c r="D9" s="5"/>
      <c r="E9" s="5"/>
      <c r="F9" s="5"/>
      <c r="G9" s="5"/>
    </row>
    <row r="10" spans="2:7">
      <c r="B10" s="5">
        <v>1824</v>
      </c>
      <c r="C10" s="15" t="s">
        <v>622</v>
      </c>
      <c r="D10" s="5"/>
      <c r="E10" s="5"/>
      <c r="F10" s="5"/>
      <c r="G10" s="5"/>
    </row>
    <row r="11" spans="2:7">
      <c r="B11" s="5">
        <v>9947</v>
      </c>
      <c r="C11" s="15" t="s">
        <v>623</v>
      </c>
      <c r="D11" s="5"/>
      <c r="E11" s="5"/>
      <c r="F11" s="5"/>
      <c r="G11" s="5"/>
    </row>
    <row r="12" spans="2:7" ht="23.25" customHeight="1">
      <c r="C12" s="2" t="s">
        <v>20</v>
      </c>
    </row>
    <row r="13" spans="2:7">
      <c r="B13" s="5" t="s">
        <v>616</v>
      </c>
      <c r="C13" s="15" t="s">
        <v>617</v>
      </c>
      <c r="D13" s="5" t="s">
        <v>120</v>
      </c>
      <c r="E13" s="5" t="s">
        <v>110</v>
      </c>
      <c r="F13" s="5" t="s">
        <v>111</v>
      </c>
      <c r="G13" s="5" t="s">
        <v>68</v>
      </c>
    </row>
    <row r="14" spans="2:7">
      <c r="B14" s="5">
        <v>251</v>
      </c>
      <c r="C14" s="15" t="s">
        <v>618</v>
      </c>
      <c r="D14" s="5"/>
      <c r="E14" s="5"/>
      <c r="F14" s="5"/>
      <c r="G14" s="5"/>
    </row>
    <row r="15" spans="2:7">
      <c r="B15" s="5">
        <v>1793</v>
      </c>
      <c r="C15" s="15" t="s">
        <v>619</v>
      </c>
      <c r="D15" s="5"/>
      <c r="E15" s="5"/>
      <c r="F15" s="5"/>
      <c r="G15" s="5"/>
    </row>
    <row r="16" spans="2:7">
      <c r="B16" s="5">
        <v>1794</v>
      </c>
      <c r="C16" s="15" t="s">
        <v>620</v>
      </c>
      <c r="D16" s="5"/>
      <c r="E16" s="5"/>
      <c r="F16" s="5"/>
      <c r="G16" s="5"/>
    </row>
    <row r="17" spans="2:7">
      <c r="B17" s="5">
        <v>5742</v>
      </c>
      <c r="C17" s="15" t="s">
        <v>621</v>
      </c>
      <c r="D17" s="5"/>
      <c r="E17" s="5"/>
      <c r="F17" s="5"/>
      <c r="G17" s="5"/>
    </row>
    <row r="18" spans="2:7">
      <c r="B18" s="5">
        <v>1824</v>
      </c>
      <c r="C18" s="15" t="s">
        <v>622</v>
      </c>
      <c r="D18" s="5"/>
      <c r="E18" s="5"/>
      <c r="F18" s="5"/>
      <c r="G18" s="5"/>
    </row>
    <row r="19" spans="2:7">
      <c r="B19" s="5">
        <v>9947</v>
      </c>
      <c r="C19" s="15" t="s">
        <v>623</v>
      </c>
      <c r="D19" s="5"/>
      <c r="E19" s="5"/>
      <c r="F19" s="5"/>
      <c r="G19" s="5"/>
    </row>
    <row r="20" spans="2:7" ht="24.75" customHeight="1">
      <c r="C20" s="2" t="s">
        <v>21</v>
      </c>
    </row>
    <row r="21" spans="2:7">
      <c r="B21" s="5" t="s">
        <v>616</v>
      </c>
      <c r="C21" s="15" t="s">
        <v>617</v>
      </c>
      <c r="D21" s="5" t="s">
        <v>120</v>
      </c>
      <c r="E21" s="5" t="s">
        <v>110</v>
      </c>
      <c r="F21" s="5" t="s">
        <v>111</v>
      </c>
      <c r="G21" s="5" t="s">
        <v>68</v>
      </c>
    </row>
    <row r="22" spans="2:7">
      <c r="B22" s="5">
        <v>251</v>
      </c>
      <c r="C22" s="15" t="s">
        <v>618</v>
      </c>
      <c r="D22" s="5"/>
      <c r="E22" s="5"/>
      <c r="F22" s="5"/>
      <c r="G22" s="5"/>
    </row>
    <row r="23" spans="2:7">
      <c r="B23" s="5">
        <v>1793</v>
      </c>
      <c r="C23" s="15" t="s">
        <v>619</v>
      </c>
      <c r="D23" s="5"/>
      <c r="E23" s="5"/>
      <c r="F23" s="5"/>
      <c r="G23" s="5"/>
    </row>
    <row r="24" spans="2:7">
      <c r="B24" s="5">
        <v>1794</v>
      </c>
      <c r="C24" s="15" t="s">
        <v>620</v>
      </c>
      <c r="D24" s="5"/>
      <c r="E24" s="5"/>
      <c r="F24" s="5"/>
      <c r="G24" s="5"/>
    </row>
    <row r="25" spans="2:7">
      <c r="B25" s="5">
        <v>5742</v>
      </c>
      <c r="C25" s="15" t="s">
        <v>621</v>
      </c>
      <c r="D25" s="5"/>
      <c r="E25" s="5"/>
      <c r="F25" s="5"/>
      <c r="G25" s="5"/>
    </row>
    <row r="26" spans="2:7">
      <c r="B26" s="5">
        <v>1824</v>
      </c>
      <c r="C26" s="15" t="s">
        <v>622</v>
      </c>
      <c r="D26" s="5"/>
      <c r="E26" s="5"/>
      <c r="F26" s="5"/>
      <c r="G26" s="5"/>
    </row>
    <row r="27" spans="2:7">
      <c r="B27" s="5">
        <v>9947</v>
      </c>
      <c r="C27" s="15" t="s">
        <v>623</v>
      </c>
      <c r="D27" s="5"/>
      <c r="E27" s="5"/>
      <c r="F27" s="5"/>
      <c r="G27" s="5"/>
    </row>
    <row r="28" spans="2:7" ht="25.5" customHeight="1">
      <c r="C28" s="2" t="s">
        <v>23</v>
      </c>
    </row>
    <row r="29" spans="2:7">
      <c r="B29" s="5" t="s">
        <v>616</v>
      </c>
      <c r="C29" s="15" t="s">
        <v>617</v>
      </c>
      <c r="D29" s="5" t="s">
        <v>120</v>
      </c>
      <c r="E29" s="5" t="s">
        <v>110</v>
      </c>
      <c r="F29" s="5" t="s">
        <v>111</v>
      </c>
      <c r="G29" s="5" t="s">
        <v>68</v>
      </c>
    </row>
    <row r="30" spans="2:7">
      <c r="B30" s="5">
        <v>251</v>
      </c>
      <c r="C30" s="15" t="s">
        <v>618</v>
      </c>
      <c r="D30" s="5"/>
      <c r="E30" s="5"/>
      <c r="F30" s="5"/>
      <c r="G30" s="5"/>
    </row>
    <row r="31" spans="2:7">
      <c r="B31" s="5">
        <v>1793</v>
      </c>
      <c r="C31" s="15" t="s">
        <v>619</v>
      </c>
      <c r="D31" s="5"/>
      <c r="E31" s="5"/>
      <c r="F31" s="5"/>
      <c r="G31" s="5"/>
    </row>
    <row r="32" spans="2:7">
      <c r="B32" s="5">
        <v>1794</v>
      </c>
      <c r="C32" s="15" t="s">
        <v>620</v>
      </c>
      <c r="D32" s="5"/>
      <c r="E32" s="5"/>
      <c r="F32" s="5"/>
      <c r="G32" s="5"/>
    </row>
    <row r="33" spans="2:7">
      <c r="B33" s="5">
        <v>5742</v>
      </c>
      <c r="C33" s="15" t="s">
        <v>621</v>
      </c>
      <c r="D33" s="5"/>
      <c r="E33" s="5"/>
      <c r="F33" s="5"/>
      <c r="G33" s="5"/>
    </row>
    <row r="34" spans="2:7">
      <c r="B34" s="5">
        <v>1824</v>
      </c>
      <c r="C34" s="15" t="s">
        <v>622</v>
      </c>
      <c r="D34" s="5"/>
      <c r="E34" s="5"/>
      <c r="F34" s="5"/>
      <c r="G34" s="5"/>
    </row>
    <row r="35" spans="2:7">
      <c r="B35" s="5">
        <v>9947</v>
      </c>
      <c r="C35" s="15" t="s">
        <v>623</v>
      </c>
      <c r="D35" s="5"/>
      <c r="E35" s="5"/>
      <c r="F35" s="5"/>
      <c r="G35" s="5"/>
    </row>
    <row r="36" spans="2:7" ht="21.75" customHeight="1">
      <c r="C36" s="2" t="s">
        <v>624</v>
      </c>
    </row>
    <row r="37" spans="2:7">
      <c r="B37" s="5" t="s">
        <v>616</v>
      </c>
      <c r="C37" s="15" t="s">
        <v>617</v>
      </c>
      <c r="D37" s="5" t="s">
        <v>120</v>
      </c>
      <c r="E37" s="5" t="s">
        <v>110</v>
      </c>
      <c r="F37" s="5" t="s">
        <v>111</v>
      </c>
      <c r="G37" s="5" t="s">
        <v>68</v>
      </c>
    </row>
    <row r="38" spans="2:7">
      <c r="B38" s="5">
        <v>251</v>
      </c>
      <c r="C38" s="15" t="s">
        <v>618</v>
      </c>
      <c r="D38" s="5"/>
      <c r="E38" s="5"/>
      <c r="F38" s="5"/>
      <c r="G38" s="5"/>
    </row>
    <row r="39" spans="2:7">
      <c r="B39" s="5">
        <v>1793</v>
      </c>
      <c r="C39" s="15" t="s">
        <v>619</v>
      </c>
      <c r="D39" s="5"/>
      <c r="E39" s="5"/>
      <c r="F39" s="5"/>
      <c r="G39" s="5"/>
    </row>
    <row r="40" spans="2:7">
      <c r="B40" s="5">
        <v>1794</v>
      </c>
      <c r="C40" s="15" t="s">
        <v>620</v>
      </c>
      <c r="D40" s="5"/>
      <c r="E40" s="5"/>
      <c r="F40" s="5"/>
      <c r="G40" s="5"/>
    </row>
    <row r="41" spans="2:7">
      <c r="B41" s="5">
        <v>5742</v>
      </c>
      <c r="C41" s="15" t="s">
        <v>621</v>
      </c>
      <c r="D41" s="5"/>
      <c r="E41" s="5"/>
      <c r="F41" s="5"/>
      <c r="G41" s="5"/>
    </row>
    <row r="42" spans="2:7">
      <c r="B42" s="5">
        <v>1824</v>
      </c>
      <c r="C42" s="15" t="s">
        <v>622</v>
      </c>
      <c r="D42" s="5"/>
      <c r="E42" s="5"/>
      <c r="F42" s="5"/>
      <c r="G42" s="5"/>
    </row>
    <row r="43" spans="2:7">
      <c r="B43" s="5">
        <v>9947</v>
      </c>
      <c r="C43" s="15" t="s">
        <v>623</v>
      </c>
      <c r="D43" s="5"/>
      <c r="E43" s="5"/>
      <c r="F43" s="5"/>
      <c r="G43" s="5"/>
    </row>
  </sheetData>
  <pageMargins left="0.25" right="0.25" top="0.75" bottom="0.75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3:M89"/>
  <sheetViews>
    <sheetView topLeftCell="A61" workbookViewId="0">
      <selection activeCell="F86" sqref="F86"/>
    </sheetView>
  </sheetViews>
  <sheetFormatPr baseColWidth="10" defaultRowHeight="15"/>
  <cols>
    <col min="1" max="1" width="19.42578125" customWidth="1"/>
    <col min="2" max="2" width="22" customWidth="1"/>
    <col min="3" max="3" width="27.28515625" hidden="1" customWidth="1"/>
    <col min="4" max="4" width="23.42578125" hidden="1" customWidth="1"/>
    <col min="5" max="5" width="22.140625" hidden="1" customWidth="1"/>
    <col min="6" max="6" width="20.5703125" customWidth="1"/>
    <col min="7" max="7" width="16.7109375" customWidth="1"/>
    <col min="8" max="8" width="16.85546875" customWidth="1"/>
    <col min="9" max="9" width="15.5703125" customWidth="1"/>
  </cols>
  <sheetData>
    <row r="3" spans="1:13">
      <c r="A3" s="110"/>
      <c r="B3" s="212"/>
      <c r="C3" s="110"/>
      <c r="D3" s="110"/>
      <c r="E3" s="110"/>
      <c r="F3" s="110"/>
      <c r="G3" s="110"/>
      <c r="H3" s="110"/>
      <c r="I3" s="261"/>
      <c r="J3" s="262"/>
      <c r="K3" s="82"/>
      <c r="L3" s="82"/>
      <c r="M3" s="82"/>
    </row>
    <row r="4" spans="1:13">
      <c r="A4" s="22"/>
      <c r="B4" s="22" t="s">
        <v>110</v>
      </c>
      <c r="C4" s="22" t="s">
        <v>111</v>
      </c>
      <c r="D4" s="22" t="s">
        <v>1063</v>
      </c>
      <c r="E4" s="22" t="s">
        <v>1064</v>
      </c>
      <c r="F4" s="22" t="s">
        <v>1065</v>
      </c>
      <c r="G4" s="263" t="s">
        <v>1066</v>
      </c>
      <c r="H4" s="264" t="s">
        <v>1067</v>
      </c>
      <c r="I4" s="265" t="s">
        <v>68</v>
      </c>
      <c r="J4" s="266"/>
      <c r="K4" s="266"/>
      <c r="L4" s="266"/>
      <c r="M4" s="110"/>
    </row>
    <row r="5" spans="1:13">
      <c r="A5" s="267" t="s">
        <v>1068</v>
      </c>
      <c r="B5" s="268"/>
      <c r="C5" s="22"/>
      <c r="D5" s="22"/>
      <c r="E5" s="269">
        <f>B5/6</f>
        <v>0</v>
      </c>
      <c r="F5" s="269">
        <f>E5*8</f>
        <v>0</v>
      </c>
      <c r="G5" s="269">
        <f>F5/10</f>
        <v>0</v>
      </c>
      <c r="H5" s="270">
        <f>C5/10</f>
        <v>0</v>
      </c>
      <c r="I5" s="271"/>
      <c r="J5" s="272"/>
      <c r="K5" s="271"/>
      <c r="L5" s="271"/>
      <c r="M5" s="22"/>
    </row>
    <row r="6" spans="1:13">
      <c r="A6" s="273" t="s">
        <v>1069</v>
      </c>
      <c r="B6" s="268"/>
      <c r="C6" s="22"/>
      <c r="D6" s="22"/>
      <c r="E6" s="269">
        <f t="shared" ref="E6:E21" si="0">B6/6</f>
        <v>0</v>
      </c>
      <c r="F6" s="269">
        <f t="shared" ref="F6:F21" si="1">E6*8</f>
        <v>0</v>
      </c>
      <c r="G6" s="269">
        <f>F6/12</f>
        <v>0</v>
      </c>
      <c r="H6" s="270">
        <f>C6/12</f>
        <v>0</v>
      </c>
      <c r="I6" s="271"/>
      <c r="J6" s="272"/>
      <c r="K6" s="271"/>
      <c r="L6" s="271"/>
      <c r="M6" s="274"/>
    </row>
    <row r="7" spans="1:13">
      <c r="A7" s="275" t="s">
        <v>1070</v>
      </c>
      <c r="B7" s="268"/>
      <c r="C7" s="22"/>
      <c r="D7" s="22"/>
      <c r="E7" s="269">
        <f t="shared" si="0"/>
        <v>0</v>
      </c>
      <c r="F7" s="269">
        <f t="shared" si="1"/>
        <v>0</v>
      </c>
      <c r="G7" s="269">
        <f t="shared" ref="G7:G21" si="2">F7/10</f>
        <v>0</v>
      </c>
      <c r="H7" s="270">
        <f t="shared" ref="H7:H21" si="3">C7/10</f>
        <v>0</v>
      </c>
      <c r="I7" s="21"/>
      <c r="J7" s="103"/>
      <c r="K7" s="103"/>
      <c r="L7" s="103"/>
      <c r="M7" s="110"/>
    </row>
    <row r="8" spans="1:13">
      <c r="A8" s="267" t="s">
        <v>1071</v>
      </c>
      <c r="B8" s="268"/>
      <c r="C8" s="22"/>
      <c r="D8" s="22"/>
      <c r="E8" s="269">
        <f t="shared" si="0"/>
        <v>0</v>
      </c>
      <c r="F8" s="269">
        <f t="shared" si="1"/>
        <v>0</v>
      </c>
      <c r="G8" s="269">
        <f t="shared" si="2"/>
        <v>0</v>
      </c>
      <c r="H8" s="270">
        <f t="shared" si="3"/>
        <v>0</v>
      </c>
      <c r="I8" s="271"/>
      <c r="J8" s="272"/>
      <c r="K8" s="271"/>
      <c r="L8" s="271"/>
      <c r="M8" s="274"/>
    </row>
    <row r="9" spans="1:13">
      <c r="A9" s="267" t="s">
        <v>1072</v>
      </c>
      <c r="B9" s="268"/>
      <c r="C9" s="22"/>
      <c r="D9" s="22"/>
      <c r="E9" s="269">
        <f t="shared" si="0"/>
        <v>0</v>
      </c>
      <c r="F9" s="269">
        <f t="shared" si="1"/>
        <v>0</v>
      </c>
      <c r="G9" s="269">
        <f t="shared" si="2"/>
        <v>0</v>
      </c>
      <c r="H9" s="270">
        <f t="shared" si="3"/>
        <v>0</v>
      </c>
      <c r="I9" s="271"/>
      <c r="J9" s="272"/>
      <c r="K9" s="271"/>
      <c r="L9" s="271"/>
      <c r="M9" s="22"/>
    </row>
    <row r="10" spans="1:13">
      <c r="A10" s="267" t="s">
        <v>1073</v>
      </c>
      <c r="B10" s="268"/>
      <c r="C10" s="22"/>
      <c r="D10" s="22"/>
      <c r="E10" s="269">
        <f t="shared" si="0"/>
        <v>0</v>
      </c>
      <c r="F10" s="269">
        <f t="shared" si="1"/>
        <v>0</v>
      </c>
      <c r="G10" s="269">
        <f t="shared" si="2"/>
        <v>0</v>
      </c>
      <c r="H10" s="270">
        <f t="shared" si="3"/>
        <v>0</v>
      </c>
      <c r="I10" s="271"/>
      <c r="J10" s="272"/>
      <c r="K10" s="271"/>
      <c r="L10" s="271"/>
      <c r="M10" s="274"/>
    </row>
    <row r="11" spans="1:13">
      <c r="A11" s="267" t="s">
        <v>1074</v>
      </c>
      <c r="B11" s="268"/>
      <c r="C11" s="22"/>
      <c r="D11" s="22"/>
      <c r="E11" s="269">
        <f t="shared" si="0"/>
        <v>0</v>
      </c>
      <c r="F11" s="269">
        <f t="shared" si="1"/>
        <v>0</v>
      </c>
      <c r="G11" s="269">
        <f t="shared" si="2"/>
        <v>0</v>
      </c>
      <c r="H11" s="270">
        <f t="shared" si="3"/>
        <v>0</v>
      </c>
      <c r="I11" s="271"/>
      <c r="J11" s="272"/>
      <c r="K11" s="271"/>
      <c r="L11" s="271"/>
      <c r="M11" s="274"/>
    </row>
    <row r="12" spans="1:13">
      <c r="A12" s="273" t="s">
        <v>1075</v>
      </c>
      <c r="B12" s="268"/>
      <c r="C12" s="22"/>
      <c r="D12" s="22"/>
      <c r="E12" s="269">
        <f t="shared" si="0"/>
        <v>0</v>
      </c>
      <c r="F12" s="269">
        <f t="shared" si="1"/>
        <v>0</v>
      </c>
      <c r="G12" s="269">
        <f>F12/12</f>
        <v>0</v>
      </c>
      <c r="H12" s="270">
        <f>C12/12</f>
        <v>0</v>
      </c>
      <c r="I12" s="271"/>
      <c r="J12" s="276"/>
      <c r="K12" s="277"/>
      <c r="L12" s="277"/>
      <c r="M12" s="278"/>
    </row>
    <row r="13" spans="1:13">
      <c r="A13" s="267" t="s">
        <v>1076</v>
      </c>
      <c r="B13" s="268"/>
      <c r="C13" s="22"/>
      <c r="D13" s="22"/>
      <c r="E13" s="269">
        <f t="shared" si="0"/>
        <v>0</v>
      </c>
      <c r="F13" s="269">
        <f t="shared" si="1"/>
        <v>0</v>
      </c>
      <c r="G13" s="269">
        <f>F13/10</f>
        <v>0</v>
      </c>
      <c r="H13" s="270">
        <f>C13/10</f>
        <v>0</v>
      </c>
      <c r="I13" s="271"/>
      <c r="J13" s="272"/>
      <c r="K13" s="271"/>
      <c r="L13" s="271"/>
      <c r="M13" s="274"/>
    </row>
    <row r="14" spans="1:13">
      <c r="A14" s="267" t="s">
        <v>1077</v>
      </c>
      <c r="B14" s="268"/>
      <c r="C14" s="87"/>
      <c r="D14" s="87"/>
      <c r="E14" s="269">
        <f t="shared" si="0"/>
        <v>0</v>
      </c>
      <c r="F14" s="269">
        <f t="shared" si="1"/>
        <v>0</v>
      </c>
      <c r="G14" s="269">
        <f t="shared" si="2"/>
        <v>0</v>
      </c>
      <c r="H14" s="270">
        <f t="shared" si="3"/>
        <v>0</v>
      </c>
      <c r="I14" s="111"/>
      <c r="J14" s="33"/>
      <c r="K14" s="111"/>
      <c r="L14" s="111"/>
      <c r="M14" s="111"/>
    </row>
    <row r="15" spans="1:13">
      <c r="A15" s="279" t="s">
        <v>1078</v>
      </c>
      <c r="B15" s="268"/>
      <c r="C15" s="87"/>
      <c r="D15" s="87"/>
      <c r="E15" s="269">
        <f t="shared" si="0"/>
        <v>0</v>
      </c>
      <c r="F15" s="269">
        <f t="shared" si="1"/>
        <v>0</v>
      </c>
      <c r="G15" s="269">
        <f t="shared" si="2"/>
        <v>0</v>
      </c>
      <c r="H15" s="270">
        <f t="shared" si="3"/>
        <v>0</v>
      </c>
      <c r="I15" s="111"/>
      <c r="J15" s="105"/>
      <c r="K15" s="105"/>
      <c r="L15" s="105"/>
      <c r="M15" s="105"/>
    </row>
    <row r="16" spans="1:13">
      <c r="A16" s="275" t="s">
        <v>1079</v>
      </c>
      <c r="B16" s="268"/>
      <c r="C16" s="87"/>
      <c r="D16" s="87"/>
      <c r="E16" s="269">
        <f t="shared" si="0"/>
        <v>0</v>
      </c>
      <c r="F16" s="269">
        <f t="shared" si="1"/>
        <v>0</v>
      </c>
      <c r="G16" s="269">
        <f t="shared" si="2"/>
        <v>0</v>
      </c>
      <c r="H16" s="270">
        <f t="shared" si="3"/>
        <v>0</v>
      </c>
      <c r="I16" s="111"/>
      <c r="J16" s="105"/>
      <c r="K16" s="105"/>
      <c r="L16" s="105"/>
      <c r="M16" s="105"/>
    </row>
    <row r="17" spans="1:13">
      <c r="A17" s="275" t="s">
        <v>1080</v>
      </c>
      <c r="B17" s="268"/>
      <c r="C17" s="87"/>
      <c r="D17" s="87"/>
      <c r="E17" s="269">
        <f t="shared" si="0"/>
        <v>0</v>
      </c>
      <c r="F17" s="269">
        <f t="shared" si="1"/>
        <v>0</v>
      </c>
      <c r="G17" s="269">
        <f t="shared" si="2"/>
        <v>0</v>
      </c>
      <c r="H17" s="270">
        <f t="shared" si="3"/>
        <v>0</v>
      </c>
      <c r="I17" s="111"/>
      <c r="J17" s="105"/>
      <c r="K17" s="105"/>
      <c r="L17" s="105"/>
      <c r="M17" s="105"/>
    </row>
    <row r="18" spans="1:13">
      <c r="A18" s="275" t="s">
        <v>1081</v>
      </c>
      <c r="B18" s="268"/>
      <c r="C18" s="87"/>
      <c r="D18" s="87"/>
      <c r="E18" s="269">
        <f t="shared" si="0"/>
        <v>0</v>
      </c>
      <c r="F18" s="269">
        <f t="shared" si="1"/>
        <v>0</v>
      </c>
      <c r="G18" s="269">
        <f t="shared" si="2"/>
        <v>0</v>
      </c>
      <c r="H18" s="270">
        <f t="shared" si="3"/>
        <v>0</v>
      </c>
      <c r="I18" s="111"/>
      <c r="J18" s="105"/>
      <c r="K18" s="105"/>
      <c r="L18" s="105"/>
      <c r="M18" s="105"/>
    </row>
    <row r="19" spans="1:13">
      <c r="A19" s="275" t="s">
        <v>1082</v>
      </c>
      <c r="B19" s="268"/>
      <c r="C19" s="87"/>
      <c r="D19" s="87"/>
      <c r="E19" s="269">
        <f t="shared" si="0"/>
        <v>0</v>
      </c>
      <c r="F19" s="269">
        <f t="shared" si="1"/>
        <v>0</v>
      </c>
      <c r="G19" s="269">
        <f t="shared" si="2"/>
        <v>0</v>
      </c>
      <c r="H19" s="270">
        <f t="shared" si="3"/>
        <v>0</v>
      </c>
      <c r="I19" s="111"/>
      <c r="J19" s="105"/>
      <c r="K19" s="105"/>
      <c r="L19" s="105"/>
      <c r="M19" s="105"/>
    </row>
    <row r="20" spans="1:13">
      <c r="A20" s="275" t="s">
        <v>1083</v>
      </c>
      <c r="B20" s="268"/>
      <c r="C20" s="87"/>
      <c r="D20" s="87"/>
      <c r="E20" s="269">
        <f t="shared" si="0"/>
        <v>0</v>
      </c>
      <c r="F20" s="269">
        <f t="shared" si="1"/>
        <v>0</v>
      </c>
      <c r="G20" s="269">
        <f t="shared" si="2"/>
        <v>0</v>
      </c>
      <c r="H20" s="270">
        <f t="shared" si="3"/>
        <v>0</v>
      </c>
      <c r="I20" s="111"/>
      <c r="J20" s="105"/>
      <c r="K20" s="105"/>
      <c r="L20" s="105"/>
      <c r="M20" s="105"/>
    </row>
    <row r="21" spans="1:13">
      <c r="A21" s="275" t="s">
        <v>1084</v>
      </c>
      <c r="B21" s="268"/>
      <c r="C21" s="87"/>
      <c r="D21" s="87"/>
      <c r="E21" s="269">
        <f t="shared" si="0"/>
        <v>0</v>
      </c>
      <c r="F21" s="269">
        <f t="shared" si="1"/>
        <v>0</v>
      </c>
      <c r="G21" s="269">
        <f t="shared" si="2"/>
        <v>0</v>
      </c>
      <c r="H21" s="270">
        <f t="shared" si="3"/>
        <v>0</v>
      </c>
      <c r="I21" s="111"/>
      <c r="J21" s="105"/>
      <c r="K21" s="105"/>
      <c r="L21" s="105"/>
      <c r="M21" s="105"/>
    </row>
    <row r="22" spans="1:13">
      <c r="A22" s="280"/>
      <c r="B22" s="104"/>
      <c r="C22" s="9"/>
      <c r="D22" s="9"/>
      <c r="E22" s="281"/>
      <c r="F22" s="281"/>
      <c r="G22" s="281"/>
      <c r="H22" s="282"/>
      <c r="I22" s="105"/>
      <c r="J22" s="105"/>
      <c r="K22" s="105"/>
      <c r="L22" s="105"/>
      <c r="M22" s="105"/>
    </row>
    <row r="23" spans="1:13">
      <c r="A23" s="280"/>
      <c r="B23" s="9"/>
      <c r="C23" s="9"/>
      <c r="D23" s="9"/>
      <c r="E23" s="281"/>
      <c r="F23" s="281"/>
      <c r="G23" s="281"/>
      <c r="H23" s="282"/>
      <c r="I23" s="105"/>
      <c r="J23" s="105"/>
      <c r="K23" s="105"/>
      <c r="L23" s="105"/>
      <c r="M23" s="105"/>
    </row>
    <row r="24" spans="1:13">
      <c r="A24" s="280"/>
      <c r="B24" s="9"/>
      <c r="C24" s="9"/>
      <c r="D24" s="9"/>
      <c r="E24" s="281"/>
      <c r="F24" s="281"/>
      <c r="G24" s="281"/>
      <c r="H24" s="282"/>
      <c r="I24" s="105"/>
      <c r="J24" s="105"/>
      <c r="K24" s="105"/>
      <c r="L24" s="105"/>
      <c r="M24" s="105"/>
    </row>
    <row r="25" spans="1:13">
      <c r="A25" s="280"/>
      <c r="B25" s="9"/>
      <c r="C25" s="9"/>
      <c r="D25" s="9"/>
      <c r="E25" s="281"/>
      <c r="F25" s="281"/>
      <c r="G25" s="281"/>
      <c r="H25" s="282"/>
      <c r="I25" s="105"/>
      <c r="J25" s="105"/>
      <c r="K25" s="105"/>
      <c r="L25" s="105"/>
      <c r="M25" s="105"/>
    </row>
    <row r="26" spans="1:13">
      <c r="A26" s="280"/>
      <c r="B26" s="9"/>
      <c r="C26" s="9"/>
      <c r="D26" s="9"/>
      <c r="E26" s="281"/>
      <c r="F26" s="281"/>
      <c r="G26" s="281"/>
      <c r="H26" s="282"/>
      <c r="I26" s="105"/>
      <c r="J26" s="105"/>
      <c r="K26" s="105"/>
      <c r="L26" s="105"/>
      <c r="M26" s="105"/>
    </row>
    <row r="27" spans="1:13">
      <c r="A27" s="110"/>
      <c r="B27" s="212"/>
      <c r="C27" s="110"/>
      <c r="D27" s="110"/>
      <c r="E27" s="110"/>
      <c r="F27" s="212"/>
      <c r="G27" s="262"/>
      <c r="H27" s="262"/>
      <c r="I27" s="110"/>
      <c r="J27" s="110"/>
      <c r="K27" s="110"/>
      <c r="L27" s="110"/>
      <c r="M27" s="110"/>
    </row>
    <row r="28" spans="1:13">
      <c r="A28" s="22"/>
      <c r="B28" s="22" t="s">
        <v>560</v>
      </c>
      <c r="C28" s="40" t="s">
        <v>1085</v>
      </c>
      <c r="D28" s="22" t="s">
        <v>560</v>
      </c>
      <c r="E28" s="262"/>
      <c r="F28" s="262" t="s">
        <v>65</v>
      </c>
      <c r="G28" s="110"/>
      <c r="H28" s="110"/>
      <c r="I28" s="110"/>
      <c r="J28" s="110"/>
      <c r="K28" s="110"/>
      <c r="L28" s="110"/>
      <c r="M28" s="110"/>
    </row>
    <row r="29" spans="1:13">
      <c r="A29" s="283" t="s">
        <v>1068</v>
      </c>
      <c r="B29" s="284">
        <v>69859730</v>
      </c>
      <c r="C29" s="22">
        <v>0</v>
      </c>
      <c r="D29" s="285" t="e">
        <f>#REF!*C29</f>
        <v>#REF!</v>
      </c>
      <c r="E29" s="110"/>
      <c r="F29" s="262"/>
      <c r="G29" s="110"/>
      <c r="H29" s="110"/>
      <c r="I29" s="110"/>
      <c r="J29" s="110"/>
      <c r="K29" s="110"/>
      <c r="L29" s="110"/>
      <c r="M29" s="110"/>
    </row>
    <row r="30" spans="1:13">
      <c r="A30" s="286" t="s">
        <v>1069</v>
      </c>
      <c r="B30" s="284">
        <v>41915840</v>
      </c>
      <c r="C30" s="22">
        <v>0</v>
      </c>
      <c r="D30" s="285" t="e">
        <f>#REF!*C30</f>
        <v>#REF!</v>
      </c>
      <c r="E30" s="110"/>
      <c r="F30" s="262"/>
      <c r="G30" s="110"/>
      <c r="H30" s="110"/>
      <c r="I30" s="110"/>
      <c r="J30" s="110"/>
      <c r="K30" s="110"/>
      <c r="L30" s="110"/>
      <c r="M30" s="110"/>
    </row>
    <row r="31" spans="1:13">
      <c r="A31" s="283" t="s">
        <v>1086</v>
      </c>
      <c r="B31" s="284">
        <v>83831680</v>
      </c>
      <c r="C31" s="22">
        <v>0</v>
      </c>
      <c r="D31" s="285" t="e">
        <f>#REF!*C31</f>
        <v>#REF!</v>
      </c>
      <c r="E31" s="82"/>
      <c r="F31" s="262"/>
      <c r="G31" s="110"/>
      <c r="H31" s="110"/>
      <c r="I31" s="110"/>
      <c r="J31" s="110"/>
      <c r="K31" s="110"/>
      <c r="L31" s="110"/>
      <c r="M31" s="110"/>
    </row>
    <row r="32" spans="1:13">
      <c r="A32" s="283" t="s">
        <v>1071</v>
      </c>
      <c r="B32" s="284">
        <v>73851720</v>
      </c>
      <c r="C32" s="22">
        <v>0</v>
      </c>
      <c r="D32" s="285" t="e">
        <f>#REF!*C32</f>
        <v>#REF!</v>
      </c>
      <c r="E32" s="82"/>
      <c r="F32" s="262"/>
      <c r="G32" s="110"/>
      <c r="H32" s="110"/>
      <c r="I32" s="110"/>
      <c r="J32" s="110"/>
      <c r="K32" s="110"/>
      <c r="L32" s="110"/>
      <c r="M32" s="110"/>
    </row>
    <row r="33" spans="1:13">
      <c r="A33" s="283" t="s">
        <v>1072</v>
      </c>
      <c r="B33" s="284">
        <v>73851720</v>
      </c>
      <c r="C33" s="22">
        <v>0</v>
      </c>
      <c r="D33" s="285" t="e">
        <f>#REF!*C33</f>
        <v>#REF!</v>
      </c>
      <c r="E33" s="82"/>
      <c r="F33" s="262"/>
      <c r="G33" s="110"/>
      <c r="H33" s="110"/>
      <c r="I33" s="110"/>
      <c r="J33" s="110"/>
      <c r="K33" s="110"/>
      <c r="L33" s="110"/>
      <c r="M33" s="110"/>
    </row>
    <row r="34" spans="1:13">
      <c r="A34" s="283" t="s">
        <v>1073</v>
      </c>
      <c r="B34" s="284">
        <v>83831680</v>
      </c>
      <c r="C34" s="22">
        <v>0</v>
      </c>
      <c r="D34" s="285" t="e">
        <f>#REF!*C34</f>
        <v>#REF!</v>
      </c>
      <c r="E34" s="82"/>
      <c r="F34" s="262"/>
      <c r="G34" s="110"/>
      <c r="H34" s="110"/>
      <c r="I34" s="110"/>
      <c r="J34" s="110"/>
      <c r="K34" s="110"/>
      <c r="L34" s="110"/>
      <c r="M34" s="110"/>
    </row>
    <row r="35" spans="1:13">
      <c r="A35" s="283" t="s">
        <v>1074</v>
      </c>
      <c r="B35" s="287">
        <v>69859730</v>
      </c>
      <c r="C35" s="22">
        <v>0</v>
      </c>
      <c r="D35" s="285" t="e">
        <f>#REF!*C35</f>
        <v>#REF!</v>
      </c>
      <c r="E35" s="110"/>
      <c r="F35" s="262"/>
      <c r="G35" s="110"/>
      <c r="H35" s="110"/>
      <c r="I35" s="110"/>
      <c r="J35" s="110"/>
      <c r="K35" s="110"/>
      <c r="L35" s="110"/>
      <c r="M35" s="110"/>
    </row>
    <row r="36" spans="1:13">
      <c r="A36" s="286" t="s">
        <v>1075</v>
      </c>
      <c r="B36" s="284">
        <v>41915840</v>
      </c>
      <c r="C36" s="22">
        <v>0</v>
      </c>
      <c r="D36" s="285" t="e">
        <f>#REF!*C36</f>
        <v>#REF!</v>
      </c>
      <c r="E36" s="110"/>
      <c r="F36" s="262"/>
      <c r="G36" s="110"/>
      <c r="H36" s="110"/>
      <c r="I36" s="110"/>
      <c r="J36" s="110"/>
      <c r="K36" s="110"/>
      <c r="L36" s="110"/>
      <c r="M36" s="110"/>
    </row>
    <row r="37" spans="1:13">
      <c r="A37" s="283" t="s">
        <v>1076</v>
      </c>
      <c r="B37" s="284">
        <v>34929870</v>
      </c>
      <c r="C37" s="22">
        <v>0</v>
      </c>
      <c r="D37" s="285" t="e">
        <f>#REF!*C37</f>
        <v>#REF!</v>
      </c>
      <c r="E37" s="262"/>
      <c r="F37" s="262"/>
      <c r="G37" s="110"/>
      <c r="H37" s="110"/>
      <c r="I37" s="110"/>
      <c r="J37" s="110"/>
      <c r="K37" s="110"/>
      <c r="L37" s="110"/>
      <c r="M37" s="110"/>
    </row>
    <row r="38" spans="1:13">
      <c r="A38" s="283" t="s">
        <v>1077</v>
      </c>
      <c r="B38" s="284">
        <v>31935880</v>
      </c>
      <c r="C38" s="22">
        <v>0</v>
      </c>
      <c r="D38" s="285" t="e">
        <f>#REF!*C38</f>
        <v>#REF!</v>
      </c>
      <c r="E38" s="262"/>
      <c r="F38" s="262"/>
      <c r="G38" s="110"/>
      <c r="H38" s="110"/>
      <c r="I38" s="110"/>
      <c r="J38" s="110"/>
      <c r="K38" s="110"/>
      <c r="L38" s="110"/>
      <c r="M38" s="110"/>
    </row>
    <row r="39" spans="1:13">
      <c r="A39" s="288" t="s">
        <v>1078</v>
      </c>
      <c r="B39" s="285">
        <v>30380000</v>
      </c>
      <c r="C39" s="22">
        <v>0</v>
      </c>
      <c r="D39" s="285">
        <f t="shared" ref="D39:D45" si="4">B39*C39</f>
        <v>0</v>
      </c>
      <c r="E39" s="262"/>
      <c r="F39" s="262"/>
      <c r="G39" s="110"/>
      <c r="H39" s="110"/>
      <c r="I39" s="110"/>
      <c r="J39" s="110"/>
      <c r="K39" s="110"/>
      <c r="L39" s="110"/>
      <c r="M39" s="110"/>
    </row>
    <row r="40" spans="1:13">
      <c r="A40" s="22" t="s">
        <v>1079</v>
      </c>
      <c r="B40" s="285">
        <v>30380000</v>
      </c>
      <c r="C40" s="22">
        <v>0</v>
      </c>
      <c r="D40" s="285">
        <f t="shared" si="4"/>
        <v>0</v>
      </c>
      <c r="E40" s="262"/>
      <c r="F40" s="262"/>
      <c r="G40" s="110"/>
      <c r="H40" s="110"/>
      <c r="I40" s="110"/>
      <c r="J40" s="110"/>
      <c r="K40" s="110"/>
      <c r="L40" s="110"/>
      <c r="M40" s="110"/>
    </row>
    <row r="41" spans="1:13">
      <c r="A41" s="22" t="s">
        <v>1080</v>
      </c>
      <c r="B41" s="285">
        <f>B40</f>
        <v>30380000</v>
      </c>
      <c r="C41" s="22">
        <v>0</v>
      </c>
      <c r="D41" s="285">
        <f t="shared" si="4"/>
        <v>0</v>
      </c>
      <c r="E41" s="262"/>
      <c r="F41" s="262"/>
      <c r="G41" s="110"/>
      <c r="H41" s="110"/>
      <c r="I41" s="110"/>
      <c r="J41" s="110"/>
      <c r="K41" s="110"/>
      <c r="L41" s="110"/>
      <c r="M41" s="110"/>
    </row>
    <row r="42" spans="1:13">
      <c r="A42" s="22" t="s">
        <v>1081</v>
      </c>
      <c r="B42" s="285">
        <v>58800000</v>
      </c>
      <c r="C42" s="22">
        <v>0</v>
      </c>
      <c r="D42" s="285">
        <f t="shared" si="4"/>
        <v>0</v>
      </c>
      <c r="E42" s="262"/>
      <c r="F42" s="262"/>
      <c r="G42" s="110"/>
      <c r="H42" s="110"/>
      <c r="I42" s="110"/>
      <c r="J42" s="110"/>
      <c r="K42" s="110"/>
      <c r="L42" s="110"/>
      <c r="M42" s="110"/>
    </row>
    <row r="43" spans="1:13">
      <c r="A43" s="22" t="s">
        <v>1082</v>
      </c>
      <c r="B43" s="285">
        <f>B42</f>
        <v>58800000</v>
      </c>
      <c r="C43" s="22">
        <v>0</v>
      </c>
      <c r="D43" s="285">
        <f t="shared" si="4"/>
        <v>0</v>
      </c>
      <c r="E43" s="262"/>
      <c r="F43" s="262"/>
      <c r="G43" s="110"/>
      <c r="H43" s="110"/>
      <c r="I43" s="110"/>
      <c r="J43" s="110"/>
      <c r="K43" s="110"/>
      <c r="L43" s="110"/>
      <c r="M43" s="110"/>
    </row>
    <row r="44" spans="1:13">
      <c r="A44" s="22" t="s">
        <v>1083</v>
      </c>
      <c r="B44" s="285">
        <f>B42</f>
        <v>58800000</v>
      </c>
      <c r="C44" s="22">
        <v>0</v>
      </c>
      <c r="D44" s="285">
        <f t="shared" si="4"/>
        <v>0</v>
      </c>
      <c r="E44" s="262"/>
      <c r="F44" s="262"/>
      <c r="G44" s="110"/>
      <c r="H44" s="110"/>
      <c r="I44" s="110"/>
      <c r="J44" s="110"/>
      <c r="K44" s="110"/>
      <c r="L44" s="110"/>
      <c r="M44" s="110"/>
    </row>
    <row r="45" spans="1:13">
      <c r="A45" s="22" t="s">
        <v>1084</v>
      </c>
      <c r="B45" s="285">
        <f>B42</f>
        <v>58800000</v>
      </c>
      <c r="C45" s="22">
        <v>0</v>
      </c>
      <c r="D45" s="285">
        <f t="shared" si="4"/>
        <v>0</v>
      </c>
      <c r="E45" s="262"/>
      <c r="F45" s="262"/>
      <c r="G45" s="110"/>
      <c r="H45" s="110"/>
      <c r="I45" s="110"/>
      <c r="J45" s="110"/>
      <c r="K45" s="110"/>
      <c r="L45" s="110"/>
      <c r="M45" s="110"/>
    </row>
    <row r="46" spans="1:13">
      <c r="A46" s="110"/>
      <c r="B46" s="212"/>
      <c r="C46" s="110"/>
      <c r="D46" s="110"/>
      <c r="E46" s="110"/>
      <c r="F46" s="110"/>
      <c r="G46" s="212"/>
      <c r="H46" s="262"/>
      <c r="I46" s="262"/>
      <c r="J46" s="110"/>
      <c r="K46" s="110"/>
      <c r="L46" s="110"/>
      <c r="M46" s="110"/>
    </row>
    <row r="47" spans="1:13">
      <c r="A47" s="40" t="s">
        <v>65</v>
      </c>
      <c r="B47" s="22" t="s">
        <v>68</v>
      </c>
      <c r="C47" s="104"/>
      <c r="D47" s="110"/>
      <c r="E47" s="110"/>
      <c r="F47" s="110"/>
      <c r="G47" s="212"/>
      <c r="H47" s="262"/>
      <c r="I47" s="262"/>
      <c r="J47" s="110"/>
      <c r="K47" s="110"/>
      <c r="L47" s="110"/>
      <c r="M47" s="110"/>
    </row>
    <row r="48" spans="1:13">
      <c r="A48" s="289" t="s">
        <v>1068</v>
      </c>
      <c r="B48" s="22"/>
      <c r="C48" s="104"/>
      <c r="D48" s="110"/>
      <c r="E48" s="110"/>
      <c r="F48" s="110"/>
      <c r="G48" s="212"/>
      <c r="H48" s="262"/>
      <c r="I48" s="262"/>
      <c r="J48" s="110"/>
      <c r="K48" s="110"/>
      <c r="L48" s="110"/>
      <c r="M48" s="110"/>
    </row>
    <row r="49" spans="1:13">
      <c r="A49" s="290" t="s">
        <v>1069</v>
      </c>
      <c r="B49" s="274"/>
      <c r="C49" s="291"/>
      <c r="D49" s="110"/>
      <c r="E49" s="110"/>
      <c r="F49" s="110"/>
      <c r="G49" s="212"/>
      <c r="H49" s="262"/>
      <c r="I49" s="262"/>
      <c r="J49" s="110"/>
      <c r="K49" s="110"/>
      <c r="L49" s="110"/>
      <c r="M49" s="110"/>
    </row>
    <row r="50" spans="1:13">
      <c r="A50" s="289" t="s">
        <v>1086</v>
      </c>
      <c r="B50" s="274"/>
      <c r="C50" s="291"/>
      <c r="D50" s="110"/>
      <c r="E50" s="110"/>
      <c r="F50" s="110"/>
      <c r="G50" s="212"/>
      <c r="H50" s="110"/>
      <c r="I50" s="262"/>
      <c r="J50" s="110"/>
      <c r="K50" s="110"/>
      <c r="L50" s="110"/>
      <c r="M50" s="110"/>
    </row>
    <row r="51" spans="1:13">
      <c r="A51" s="289" t="s">
        <v>1071</v>
      </c>
      <c r="B51" s="274"/>
      <c r="C51" s="291"/>
      <c r="D51" s="110"/>
      <c r="E51" s="110"/>
      <c r="F51" s="110"/>
      <c r="G51" s="212"/>
      <c r="H51" s="262"/>
      <c r="I51" s="262"/>
      <c r="J51" s="110"/>
      <c r="K51" s="110"/>
      <c r="L51" s="110"/>
      <c r="M51" s="110"/>
    </row>
    <row r="52" spans="1:13">
      <c r="A52" s="289" t="s">
        <v>1072</v>
      </c>
      <c r="B52" s="22"/>
      <c r="C52" s="104"/>
      <c r="D52" s="110"/>
      <c r="E52" s="110"/>
      <c r="F52" s="110"/>
      <c r="G52" s="212"/>
      <c r="H52" s="262"/>
      <c r="I52" s="262"/>
      <c r="J52" s="110"/>
      <c r="K52" s="110"/>
      <c r="L52" s="110"/>
      <c r="M52" s="110"/>
    </row>
    <row r="53" spans="1:13">
      <c r="A53" s="289" t="s">
        <v>1073</v>
      </c>
      <c r="B53" s="274"/>
      <c r="C53" s="291"/>
      <c r="D53" s="110"/>
      <c r="E53" s="110"/>
      <c r="F53" s="110"/>
      <c r="G53" s="212"/>
      <c r="H53" s="262"/>
      <c r="I53" s="262"/>
      <c r="J53" s="110"/>
      <c r="K53" s="110"/>
      <c r="L53" s="110"/>
      <c r="M53" s="110"/>
    </row>
    <row r="54" spans="1:13">
      <c r="A54" s="289" t="s">
        <v>1074</v>
      </c>
      <c r="B54" s="274"/>
      <c r="C54" s="291"/>
      <c r="D54" s="110"/>
      <c r="E54" s="110"/>
      <c r="F54" s="110"/>
      <c r="G54" s="212"/>
      <c r="H54" s="262"/>
      <c r="I54" s="262"/>
      <c r="J54" s="110"/>
      <c r="K54" s="110"/>
      <c r="L54" s="110"/>
      <c r="M54" s="110"/>
    </row>
    <row r="55" spans="1:13">
      <c r="A55" s="290" t="s">
        <v>1075</v>
      </c>
      <c r="B55" s="274"/>
      <c r="C55" s="291"/>
      <c r="D55" s="110"/>
      <c r="E55" s="110"/>
      <c r="F55" s="110"/>
      <c r="G55" s="212"/>
      <c r="H55" s="262"/>
      <c r="I55" s="262"/>
      <c r="J55" s="110"/>
      <c r="K55" s="110"/>
      <c r="L55" s="110"/>
      <c r="M55" s="110"/>
    </row>
    <row r="56" spans="1:13">
      <c r="A56" s="289" t="s">
        <v>1076</v>
      </c>
      <c r="B56" s="274"/>
      <c r="C56" s="291"/>
      <c r="D56" s="110"/>
      <c r="E56" s="110"/>
      <c r="F56" s="110"/>
      <c r="G56" s="212"/>
      <c r="H56" s="262"/>
      <c r="I56" s="262"/>
      <c r="J56" s="110"/>
      <c r="K56" s="110"/>
      <c r="L56" s="110"/>
      <c r="M56" s="110"/>
    </row>
    <row r="57" spans="1:13">
      <c r="A57" s="289" t="s">
        <v>1077</v>
      </c>
      <c r="B57" s="87"/>
      <c r="C57" s="105"/>
      <c r="D57" s="110"/>
      <c r="E57" s="110"/>
      <c r="F57" s="110"/>
      <c r="G57" s="212"/>
      <c r="H57" s="262"/>
      <c r="I57" s="262"/>
      <c r="J57" s="110"/>
      <c r="K57" s="110"/>
      <c r="L57" s="110"/>
      <c r="M57" s="110"/>
    </row>
    <row r="58" spans="1:13">
      <c r="A58" s="292" t="s">
        <v>1078</v>
      </c>
      <c r="B58" s="87"/>
      <c r="C58" s="105"/>
      <c r="D58" s="110"/>
      <c r="E58" s="110"/>
      <c r="F58" s="110"/>
      <c r="G58" s="212"/>
      <c r="H58" s="262"/>
      <c r="I58" s="262"/>
      <c r="J58" s="110"/>
      <c r="K58" s="110"/>
      <c r="L58" s="110"/>
      <c r="M58" s="110"/>
    </row>
    <row r="59" spans="1:13">
      <c r="A59" s="293" t="s">
        <v>1079</v>
      </c>
      <c r="B59" s="87"/>
      <c r="C59" s="105"/>
      <c r="D59" s="110"/>
      <c r="E59" s="110"/>
      <c r="F59" s="110"/>
      <c r="G59" s="212"/>
      <c r="H59" s="262"/>
      <c r="I59" s="262"/>
      <c r="J59" s="110"/>
      <c r="K59" s="110"/>
      <c r="L59" s="110"/>
      <c r="M59" s="110"/>
    </row>
    <row r="60" spans="1:13">
      <c r="A60" s="293" t="s">
        <v>1080</v>
      </c>
      <c r="B60" s="87"/>
      <c r="C60" s="105"/>
      <c r="D60" s="110"/>
      <c r="E60" s="110"/>
      <c r="F60" s="110"/>
      <c r="G60" s="212"/>
      <c r="H60" s="262"/>
      <c r="I60" s="262"/>
      <c r="J60" s="110"/>
      <c r="K60" s="110"/>
      <c r="L60" s="110"/>
      <c r="M60" s="110"/>
    </row>
    <row r="61" spans="1:13">
      <c r="A61" s="293" t="s">
        <v>1081</v>
      </c>
      <c r="B61" s="87"/>
      <c r="C61" s="105"/>
      <c r="D61" s="110"/>
      <c r="E61" s="110"/>
      <c r="F61" s="110"/>
      <c r="G61" s="212"/>
      <c r="H61" s="262"/>
      <c r="I61" s="262"/>
      <c r="J61" s="110"/>
      <c r="K61" s="110"/>
      <c r="L61" s="110"/>
      <c r="M61" s="110"/>
    </row>
    <row r="62" spans="1:13">
      <c r="A62" s="293" t="s">
        <v>1082</v>
      </c>
      <c r="B62" s="87"/>
      <c r="C62" s="105"/>
      <c r="D62" s="110"/>
      <c r="E62" s="110"/>
      <c r="F62" s="110"/>
      <c r="G62" s="212"/>
      <c r="H62" s="262"/>
      <c r="I62" s="262"/>
      <c r="J62" s="110"/>
      <c r="K62" s="110"/>
      <c r="L62" s="110"/>
      <c r="M62" s="110"/>
    </row>
    <row r="63" spans="1:13">
      <c r="A63" s="293" t="s">
        <v>1083</v>
      </c>
      <c r="B63" s="87"/>
      <c r="C63" s="105"/>
      <c r="D63" s="110"/>
      <c r="E63" s="110"/>
      <c r="F63" s="110"/>
      <c r="G63" s="212"/>
      <c r="H63" s="262"/>
      <c r="I63" s="262"/>
      <c r="J63" s="110"/>
      <c r="K63" s="110"/>
      <c r="L63" s="110"/>
      <c r="M63" s="110"/>
    </row>
    <row r="64" spans="1:13">
      <c r="A64" s="293" t="s">
        <v>1084</v>
      </c>
      <c r="B64" s="87"/>
      <c r="C64" s="105"/>
      <c r="D64" s="110"/>
      <c r="E64" s="110"/>
      <c r="F64" s="110"/>
      <c r="G64" s="212"/>
      <c r="H64" s="262"/>
      <c r="I64" s="262"/>
      <c r="J64" s="110"/>
      <c r="K64" s="110"/>
      <c r="L64" s="110"/>
      <c r="M64" s="110"/>
    </row>
    <row r="65" spans="1:13">
      <c r="A65" s="280"/>
      <c r="B65" s="9"/>
      <c r="C65" s="105"/>
      <c r="D65" s="110"/>
      <c r="E65" s="110"/>
      <c r="F65" s="110"/>
      <c r="G65" s="212"/>
      <c r="H65" s="262"/>
      <c r="I65" s="262"/>
      <c r="J65" s="110"/>
      <c r="K65" s="110"/>
      <c r="L65" s="110"/>
      <c r="M65" s="110"/>
    </row>
    <row r="66" spans="1:13">
      <c r="A66" s="110"/>
      <c r="B66" s="212"/>
      <c r="C66" s="110"/>
      <c r="D66" s="110"/>
      <c r="E66" s="110"/>
      <c r="F66" s="110"/>
      <c r="G66" s="110"/>
      <c r="H66" s="110"/>
      <c r="I66" s="261"/>
      <c r="J66" s="262"/>
      <c r="K66" s="82"/>
      <c r="L66" s="82"/>
      <c r="M66" s="82"/>
    </row>
    <row r="67" spans="1:13">
      <c r="A67" s="12"/>
      <c r="B67" s="2446" t="s">
        <v>1095</v>
      </c>
      <c r="C67" s="2446"/>
      <c r="D67" s="2446"/>
      <c r="E67" s="2446"/>
      <c r="F67" s="2446"/>
      <c r="G67" s="2446"/>
      <c r="H67" s="2446"/>
      <c r="I67" s="2446"/>
    </row>
    <row r="68" spans="1:13" ht="30">
      <c r="A68" s="22" t="s">
        <v>1087</v>
      </c>
      <c r="B68" s="22" t="s">
        <v>793</v>
      </c>
      <c r="C68" s="22" t="s">
        <v>1088</v>
      </c>
      <c r="D68" s="40" t="s">
        <v>1089</v>
      </c>
      <c r="E68" s="40" t="s">
        <v>1090</v>
      </c>
      <c r="F68" s="294" t="s">
        <v>1091</v>
      </c>
      <c r="G68" s="295" t="s">
        <v>1092</v>
      </c>
      <c r="H68" s="296" t="s">
        <v>1093</v>
      </c>
    </row>
    <row r="69" spans="1:13">
      <c r="A69" s="297">
        <v>4911</v>
      </c>
      <c r="B69" s="298" t="s">
        <v>1068</v>
      </c>
      <c r="C69" s="317">
        <v>7600000</v>
      </c>
      <c r="D69" s="285">
        <f>C69*10</f>
        <v>76000000</v>
      </c>
      <c r="E69" s="331">
        <v>75847710</v>
      </c>
      <c r="F69" s="300">
        <f>E69/10</f>
        <v>7584771</v>
      </c>
      <c r="G69" s="284">
        <f>F69*1.08</f>
        <v>8191552.6800000006</v>
      </c>
      <c r="H69" s="301">
        <v>8195000</v>
      </c>
      <c r="I69" s="320"/>
    </row>
    <row r="70" spans="1:13">
      <c r="A70" s="297">
        <v>4912</v>
      </c>
      <c r="B70" s="302" t="s">
        <v>1069</v>
      </c>
      <c r="C70" s="318">
        <v>3900000</v>
      </c>
      <c r="D70" s="285">
        <f>C70*12</f>
        <v>46800000</v>
      </c>
      <c r="E70" s="331">
        <v>46706220</v>
      </c>
      <c r="F70" s="300">
        <f>E70/12</f>
        <v>3892185</v>
      </c>
      <c r="G70" s="284">
        <f t="shared" ref="G70:G79" si="5">F70*1.08</f>
        <v>4203559.8</v>
      </c>
      <c r="H70" s="301">
        <v>4205000</v>
      </c>
      <c r="I70" s="320"/>
    </row>
    <row r="71" spans="1:13">
      <c r="A71" s="297">
        <v>6600</v>
      </c>
      <c r="B71" s="298" t="s">
        <v>1070</v>
      </c>
      <c r="C71" s="299">
        <v>9000000</v>
      </c>
      <c r="D71" s="285">
        <f t="shared" ref="D71:D76" si="6">C71*10</f>
        <v>90000000</v>
      </c>
      <c r="E71" s="284">
        <f>E74</f>
        <v>89819660</v>
      </c>
      <c r="F71" s="300">
        <f t="shared" ref="F71:F76" si="7">E71/10</f>
        <v>8981966</v>
      </c>
      <c r="G71" s="284">
        <f t="shared" si="5"/>
        <v>9700523.2800000012</v>
      </c>
      <c r="H71" s="301">
        <v>9701000</v>
      </c>
      <c r="I71" s="320"/>
    </row>
    <row r="72" spans="1:13">
      <c r="A72" s="297">
        <v>4921</v>
      </c>
      <c r="B72" s="298" t="s">
        <v>1071</v>
      </c>
      <c r="C72" s="317">
        <v>8000000</v>
      </c>
      <c r="D72" s="285">
        <f t="shared" si="6"/>
        <v>80000000</v>
      </c>
      <c r="E72" s="331">
        <f>E73</f>
        <v>79839690</v>
      </c>
      <c r="F72" s="300">
        <f t="shared" si="7"/>
        <v>7983969</v>
      </c>
      <c r="G72" s="284">
        <f t="shared" si="5"/>
        <v>8622686.5200000014</v>
      </c>
      <c r="H72" s="301">
        <v>8625000</v>
      </c>
      <c r="I72" s="320"/>
    </row>
    <row r="73" spans="1:13">
      <c r="A73" s="297">
        <v>4927</v>
      </c>
      <c r="B73" s="298" t="s">
        <v>1072</v>
      </c>
      <c r="C73" s="317">
        <v>8000000</v>
      </c>
      <c r="D73" s="285">
        <f t="shared" si="6"/>
        <v>80000000</v>
      </c>
      <c r="E73" s="331">
        <v>79839690</v>
      </c>
      <c r="F73" s="300">
        <f t="shared" si="7"/>
        <v>7983969</v>
      </c>
      <c r="G73" s="284">
        <f t="shared" si="5"/>
        <v>8622686.5200000014</v>
      </c>
      <c r="H73" s="301">
        <v>8625000</v>
      </c>
      <c r="I73" s="320"/>
    </row>
    <row r="74" spans="1:13" s="110" customFormat="1">
      <c r="A74" s="297"/>
      <c r="B74" s="298" t="s">
        <v>1149</v>
      </c>
      <c r="C74" s="317">
        <v>9000000</v>
      </c>
      <c r="D74" s="285">
        <f t="shared" si="6"/>
        <v>90000000</v>
      </c>
      <c r="E74" s="331">
        <v>89819660</v>
      </c>
      <c r="F74" s="300">
        <f t="shared" si="7"/>
        <v>8981966</v>
      </c>
      <c r="G74" s="284">
        <f t="shared" si="5"/>
        <v>9700523.2800000012</v>
      </c>
      <c r="H74" s="301">
        <v>9720000</v>
      </c>
    </row>
    <row r="75" spans="1:13">
      <c r="A75" s="297">
        <v>4920</v>
      </c>
      <c r="B75" s="298" t="s">
        <v>1073</v>
      </c>
      <c r="C75" s="299">
        <v>9000000</v>
      </c>
      <c r="D75" s="285">
        <f t="shared" si="6"/>
        <v>90000000</v>
      </c>
      <c r="E75" s="284">
        <f>E74</f>
        <v>89819660</v>
      </c>
      <c r="F75" s="300">
        <f t="shared" si="7"/>
        <v>8981966</v>
      </c>
      <c r="G75" s="284">
        <f t="shared" si="5"/>
        <v>9700523.2800000012</v>
      </c>
      <c r="H75" s="301">
        <v>9720000</v>
      </c>
      <c r="I75" s="320" t="s">
        <v>65</v>
      </c>
    </row>
    <row r="76" spans="1:13">
      <c r="A76" s="297">
        <v>4914</v>
      </c>
      <c r="B76" s="302" t="s">
        <v>1074</v>
      </c>
      <c r="C76" s="318">
        <f>C69</f>
        <v>7600000</v>
      </c>
      <c r="D76" s="285">
        <f t="shared" si="6"/>
        <v>76000000</v>
      </c>
      <c r="E76" s="331">
        <f>E69</f>
        <v>75847710</v>
      </c>
      <c r="F76" s="300">
        <f t="shared" si="7"/>
        <v>7584771</v>
      </c>
      <c r="G76" s="284">
        <f t="shared" si="5"/>
        <v>8191552.6800000006</v>
      </c>
      <c r="H76" s="301">
        <v>8195000</v>
      </c>
      <c r="I76" s="320"/>
    </row>
    <row r="77" spans="1:13">
      <c r="A77" s="297">
        <v>4915</v>
      </c>
      <c r="B77" s="298" t="s">
        <v>1075</v>
      </c>
      <c r="C77" s="317">
        <f>C70</f>
        <v>3900000</v>
      </c>
      <c r="D77" s="285">
        <f>C77*12</f>
        <v>46800000</v>
      </c>
      <c r="E77" s="331">
        <f>E70</f>
        <v>46706220</v>
      </c>
      <c r="F77" s="300">
        <f>E77/12</f>
        <v>3892185</v>
      </c>
      <c r="G77" s="284">
        <f t="shared" si="5"/>
        <v>4203559.8</v>
      </c>
      <c r="H77" s="301">
        <v>4205000</v>
      </c>
      <c r="I77" s="320"/>
    </row>
    <row r="78" spans="1:13">
      <c r="A78" s="297">
        <v>12702</v>
      </c>
      <c r="B78" s="298" t="s">
        <v>1076</v>
      </c>
      <c r="C78" s="299">
        <v>3800000</v>
      </c>
      <c r="D78" s="319">
        <f>C78*10</f>
        <v>38000000</v>
      </c>
      <c r="E78" s="331">
        <v>37923850</v>
      </c>
      <c r="F78" s="300">
        <f>E78/10</f>
        <v>3792385</v>
      </c>
      <c r="G78" s="284">
        <f t="shared" si="5"/>
        <v>4095775.8000000003</v>
      </c>
      <c r="H78" s="301">
        <v>4096000</v>
      </c>
      <c r="I78" s="320"/>
    </row>
    <row r="79" spans="1:13">
      <c r="A79" s="297">
        <v>12851</v>
      </c>
      <c r="B79" s="298" t="s">
        <v>1077</v>
      </c>
      <c r="C79" s="299">
        <v>3500000</v>
      </c>
      <c r="D79" s="319">
        <f>C79*10</f>
        <v>35000000</v>
      </c>
      <c r="E79" s="331">
        <v>34929870</v>
      </c>
      <c r="F79" s="300">
        <f>E79/10</f>
        <v>3492987</v>
      </c>
      <c r="G79" s="284">
        <f t="shared" si="5"/>
        <v>3772425.9600000004</v>
      </c>
      <c r="H79" s="301">
        <v>3780000</v>
      </c>
    </row>
    <row r="80" spans="1:13">
      <c r="A80" s="303">
        <v>14334</v>
      </c>
      <c r="B80" s="22" t="s">
        <v>1094</v>
      </c>
      <c r="C80" s="285"/>
      <c r="D80" s="285"/>
      <c r="E80" s="284" t="s">
        <v>65</v>
      </c>
      <c r="F80" s="21"/>
      <c r="G80" s="22">
        <v>0.6</v>
      </c>
      <c r="H80" s="22" t="s">
        <v>1150</v>
      </c>
      <c r="I80" s="21" t="s">
        <v>65</v>
      </c>
    </row>
    <row r="81" spans="1:9">
      <c r="A81" s="212"/>
      <c r="B81" s="110"/>
      <c r="C81" s="212"/>
      <c r="D81" s="110"/>
      <c r="E81" s="110"/>
      <c r="F81" s="110"/>
      <c r="G81" s="110"/>
      <c r="H81" s="110"/>
      <c r="I81" s="110"/>
    </row>
    <row r="82" spans="1:9">
      <c r="A82" s="212"/>
      <c r="B82" s="110"/>
      <c r="C82" s="212"/>
      <c r="D82" s="110"/>
      <c r="E82" s="110"/>
      <c r="F82" s="110"/>
      <c r="G82" s="110"/>
      <c r="H82" s="110"/>
      <c r="I82" s="110"/>
    </row>
    <row r="83" spans="1:9">
      <c r="A83" s="212"/>
      <c r="B83" s="110"/>
      <c r="C83" s="212"/>
      <c r="D83" s="304"/>
      <c r="E83" s="110">
        <v>0.9979962</v>
      </c>
      <c r="F83" s="110"/>
      <c r="G83" s="110"/>
      <c r="H83" s="110"/>
      <c r="I83" s="110"/>
    </row>
    <row r="84" spans="1:9">
      <c r="A84" s="212"/>
      <c r="B84" s="110"/>
      <c r="C84" s="212"/>
      <c r="D84" s="110"/>
      <c r="E84" s="110"/>
      <c r="F84" s="110"/>
      <c r="G84" s="110"/>
      <c r="H84" s="110"/>
      <c r="I84" s="110"/>
    </row>
    <row r="85" spans="1:9">
      <c r="A85" s="212"/>
      <c r="B85" s="110"/>
      <c r="C85" s="212"/>
      <c r="D85" s="110"/>
      <c r="E85" s="110"/>
      <c r="F85" s="110"/>
      <c r="G85" s="110"/>
      <c r="H85" s="110"/>
      <c r="I85" s="110"/>
    </row>
    <row r="86" spans="1:9">
      <c r="A86" s="212"/>
      <c r="B86" s="110"/>
      <c r="C86" s="212"/>
      <c r="D86" s="110"/>
      <c r="E86" s="110"/>
      <c r="F86" s="110"/>
      <c r="G86" s="110"/>
      <c r="H86" s="110"/>
      <c r="I86" s="110"/>
    </row>
    <row r="87" spans="1:9">
      <c r="A87" s="212"/>
      <c r="B87" s="110"/>
      <c r="C87" s="212"/>
      <c r="D87" s="110"/>
      <c r="E87" s="110"/>
      <c r="F87" s="110"/>
      <c r="G87" s="110"/>
      <c r="H87" s="110"/>
      <c r="I87" s="110"/>
    </row>
    <row r="88" spans="1:9">
      <c r="A88" s="212"/>
      <c r="B88" s="110"/>
      <c r="C88" s="212"/>
      <c r="D88" s="110"/>
      <c r="E88" s="110"/>
      <c r="F88" s="110"/>
      <c r="G88" s="110"/>
      <c r="H88" s="110"/>
      <c r="I88" s="110"/>
    </row>
    <row r="89" spans="1:9">
      <c r="A89" s="212"/>
      <c r="B89" s="110"/>
      <c r="C89" s="212"/>
      <c r="D89" s="110"/>
      <c r="E89" s="110"/>
      <c r="F89" s="110"/>
      <c r="G89" s="110"/>
      <c r="H89" s="110"/>
      <c r="I89" s="110"/>
    </row>
  </sheetData>
  <mergeCells count="1">
    <mergeCell ref="B67:I67"/>
  </mergeCells>
  <pageMargins left="0.7" right="0.7" top="0.75" bottom="0.75" header="0.3" footer="0.3"/>
  <pageSetup paperSize="9" orientation="landscape" r:id="rId1"/>
  <legacyDrawing r:id="rId2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B5:K22"/>
  <sheetViews>
    <sheetView workbookViewId="0">
      <selection activeCell="E5" sqref="E5:F8"/>
    </sheetView>
  </sheetViews>
  <sheetFormatPr baseColWidth="10" defaultRowHeight="15"/>
  <cols>
    <col min="3" max="4" width="0" hidden="1" customWidth="1"/>
    <col min="5" max="5" width="50.7109375" customWidth="1"/>
    <col min="6" max="6" width="15.28515625" customWidth="1"/>
  </cols>
  <sheetData>
    <row r="5" spans="2:7" ht="95.25" customHeight="1">
      <c r="B5" s="21" t="s">
        <v>0</v>
      </c>
      <c r="C5" s="21" t="s">
        <v>3246</v>
      </c>
      <c r="D5" s="21" t="s">
        <v>559</v>
      </c>
      <c r="E5" s="1057" t="s">
        <v>5252</v>
      </c>
      <c r="F5" s="1060" t="s">
        <v>19</v>
      </c>
      <c r="G5" s="1060" t="s">
        <v>21</v>
      </c>
    </row>
    <row r="6" spans="2:7" hidden="1">
      <c r="B6" s="21">
        <v>3404</v>
      </c>
      <c r="C6" s="21">
        <v>61.3</v>
      </c>
      <c r="D6" s="21">
        <v>3.6841378200000001</v>
      </c>
      <c r="E6" s="21" t="s">
        <v>4002</v>
      </c>
      <c r="F6" s="1057" t="s">
        <v>4001</v>
      </c>
      <c r="G6" s="1057" t="s">
        <v>3998</v>
      </c>
    </row>
    <row r="7" spans="2:7">
      <c r="B7" s="21">
        <v>2057</v>
      </c>
      <c r="C7" s="21">
        <v>10.87</v>
      </c>
      <c r="D7" s="21">
        <v>28.392073589999999</v>
      </c>
      <c r="E7" s="589" t="s">
        <v>3242</v>
      </c>
      <c r="F7" s="297" t="s">
        <v>557</v>
      </c>
      <c r="G7" s="297" t="s">
        <v>557</v>
      </c>
    </row>
    <row r="8" spans="2:7">
      <c r="B8" s="21">
        <v>1831</v>
      </c>
      <c r="C8" s="21">
        <v>9.2349999999999994</v>
      </c>
      <c r="D8" s="21">
        <v>14.12</v>
      </c>
      <c r="E8" s="589" t="s">
        <v>3243</v>
      </c>
      <c r="F8" s="297" t="s">
        <v>557</v>
      </c>
      <c r="G8" s="297" t="s">
        <v>3257</v>
      </c>
    </row>
    <row r="9" spans="2:7" hidden="1">
      <c r="B9" s="21">
        <v>2102</v>
      </c>
      <c r="C9" s="21">
        <v>47.215000000000003</v>
      </c>
      <c r="D9" s="21">
        <v>11.52351973</v>
      </c>
      <c r="E9" s="21" t="s">
        <v>3244</v>
      </c>
      <c r="F9" s="1057" t="s">
        <v>65</v>
      </c>
      <c r="G9" s="1057" t="s">
        <v>3257</v>
      </c>
    </row>
    <row r="10" spans="2:7" hidden="1">
      <c r="B10" s="21">
        <v>1846</v>
      </c>
      <c r="C10" s="21">
        <v>10.125</v>
      </c>
      <c r="D10" s="21">
        <v>5.12</v>
      </c>
      <c r="E10" s="21" t="s">
        <v>3245</v>
      </c>
      <c r="F10" s="1057" t="s">
        <v>65</v>
      </c>
      <c r="G10" s="1057" t="s">
        <v>591</v>
      </c>
    </row>
    <row r="11" spans="2:7">
      <c r="B11" s="25"/>
      <c r="C11" s="25"/>
      <c r="D11" s="25"/>
      <c r="E11" s="25"/>
      <c r="F11" s="25"/>
      <c r="G11" s="25"/>
    </row>
    <row r="22" spans="11:11">
      <c r="K22" t="s">
        <v>65</v>
      </c>
    </row>
  </sheetData>
  <pageMargins left="0.7" right="0.7" top="0.75" bottom="0.75" header="0.3" footer="0.3"/>
  <pageSetup paperSize="119" orientation="landscape" r:id="rId1"/>
  <drawing r:id="rId2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O14"/>
  <sheetViews>
    <sheetView workbookViewId="0">
      <selection activeCell="E3" sqref="E3:L13"/>
    </sheetView>
  </sheetViews>
  <sheetFormatPr baseColWidth="10" defaultRowHeight="15"/>
  <cols>
    <col min="5" max="5" width="40.140625" customWidth="1"/>
    <col min="6" max="11" width="11.42578125" hidden="1" customWidth="1"/>
    <col min="12" max="12" width="16.7109375" customWidth="1"/>
    <col min="13" max="13" width="13.5703125" hidden="1" customWidth="1"/>
    <col min="14" max="14" width="11.42578125" hidden="1" customWidth="1"/>
    <col min="15" max="17" width="0" hidden="1" customWidth="1"/>
  </cols>
  <sheetData>
    <row r="2" spans="2:15">
      <c r="E2" t="s">
        <v>3819</v>
      </c>
    </row>
    <row r="3" spans="2:15" ht="123.75" customHeight="1">
      <c r="B3" s="405" t="s">
        <v>0</v>
      </c>
      <c r="C3" s="635" t="str">
        <f>I3</f>
        <v>PEDIDO X KG APROX</v>
      </c>
      <c r="D3" s="636" t="s">
        <v>559</v>
      </c>
      <c r="E3" s="983" t="s">
        <v>5532</v>
      </c>
      <c r="F3" s="310" t="s">
        <v>2853</v>
      </c>
      <c r="G3" s="310" t="s">
        <v>2868</v>
      </c>
      <c r="H3" s="310" t="s">
        <v>2869</v>
      </c>
      <c r="I3" s="310" t="s">
        <v>2870</v>
      </c>
      <c r="J3" s="310" t="s">
        <v>68</v>
      </c>
      <c r="K3" s="528"/>
      <c r="L3" s="310" t="s">
        <v>19</v>
      </c>
      <c r="M3" s="310" t="s">
        <v>20</v>
      </c>
      <c r="N3" s="310" t="s">
        <v>21</v>
      </c>
      <c r="O3" s="310" t="s">
        <v>23</v>
      </c>
    </row>
    <row r="4" spans="2:15" hidden="1">
      <c r="B4" s="405">
        <v>30</v>
      </c>
      <c r="C4" s="636">
        <f t="shared" ref="C4:C14" si="0">I4</f>
        <v>80</v>
      </c>
      <c r="D4" s="636">
        <v>4.57</v>
      </c>
      <c r="E4" s="297" t="s">
        <v>2866</v>
      </c>
      <c r="F4" s="1607">
        <v>4</v>
      </c>
      <c r="G4" s="1607">
        <v>5</v>
      </c>
      <c r="H4" s="1607">
        <f>F4*G4</f>
        <v>20</v>
      </c>
      <c r="I4" s="297">
        <f t="shared" ref="I4:I14" si="1">J4*H4</f>
        <v>80</v>
      </c>
      <c r="J4" s="297">
        <v>4</v>
      </c>
      <c r="K4" s="297" t="s">
        <v>3241</v>
      </c>
      <c r="L4" s="297" t="s">
        <v>556</v>
      </c>
      <c r="M4" s="528"/>
      <c r="N4" s="852" t="s">
        <v>557</v>
      </c>
      <c r="O4" s="721" t="s">
        <v>557</v>
      </c>
    </row>
    <row r="5" spans="2:15" hidden="1">
      <c r="B5" s="405">
        <v>79</v>
      </c>
      <c r="C5" s="636">
        <f t="shared" si="0"/>
        <v>40</v>
      </c>
      <c r="D5" s="636">
        <v>4.45</v>
      </c>
      <c r="E5" s="297" t="s">
        <v>2865</v>
      </c>
      <c r="F5" s="1607">
        <v>4</v>
      </c>
      <c r="G5" s="1607">
        <v>5</v>
      </c>
      <c r="H5" s="1607">
        <f t="shared" ref="H5:H14" si="2">F5*G5</f>
        <v>20</v>
      </c>
      <c r="I5" s="297">
        <f t="shared" si="1"/>
        <v>40</v>
      </c>
      <c r="J5" s="297">
        <v>2</v>
      </c>
      <c r="K5" s="297" t="s">
        <v>3241</v>
      </c>
      <c r="L5" s="297" t="s">
        <v>556</v>
      </c>
      <c r="M5" s="528"/>
      <c r="N5" s="852" t="s">
        <v>557</v>
      </c>
      <c r="O5" s="721" t="s">
        <v>557</v>
      </c>
    </row>
    <row r="6" spans="2:15" hidden="1">
      <c r="B6" s="405">
        <v>1634</v>
      </c>
      <c r="C6" s="636">
        <f t="shared" si="0"/>
        <v>80</v>
      </c>
      <c r="D6" s="636">
        <v>6.13</v>
      </c>
      <c r="E6" s="297" t="s">
        <v>2864</v>
      </c>
      <c r="F6" s="1607">
        <v>4</v>
      </c>
      <c r="G6" s="1607">
        <v>5</v>
      </c>
      <c r="H6" s="1607">
        <f t="shared" si="2"/>
        <v>20</v>
      </c>
      <c r="I6" s="297">
        <f t="shared" si="1"/>
        <v>80</v>
      </c>
      <c r="J6" s="297">
        <v>4</v>
      </c>
      <c r="K6" s="297" t="s">
        <v>3241</v>
      </c>
      <c r="L6" s="297" t="s">
        <v>556</v>
      </c>
      <c r="M6" s="528"/>
      <c r="N6" s="852" t="s">
        <v>557</v>
      </c>
      <c r="O6" s="721" t="s">
        <v>557</v>
      </c>
    </row>
    <row r="7" spans="2:15" hidden="1">
      <c r="B7" s="405">
        <v>1635</v>
      </c>
      <c r="C7" s="636">
        <f t="shared" si="0"/>
        <v>80</v>
      </c>
      <c r="D7" s="636">
        <v>6.69</v>
      </c>
      <c r="E7" s="297" t="s">
        <v>2863</v>
      </c>
      <c r="F7" s="1607">
        <v>4</v>
      </c>
      <c r="G7" s="1607">
        <v>5</v>
      </c>
      <c r="H7" s="1607">
        <f t="shared" si="2"/>
        <v>20</v>
      </c>
      <c r="I7" s="297">
        <f t="shared" si="1"/>
        <v>80</v>
      </c>
      <c r="J7" s="297">
        <v>4</v>
      </c>
      <c r="K7" s="297" t="s">
        <v>3241</v>
      </c>
      <c r="L7" s="297" t="s">
        <v>556</v>
      </c>
      <c r="M7" s="528"/>
      <c r="N7" s="852" t="s">
        <v>557</v>
      </c>
      <c r="O7" s="721" t="s">
        <v>557</v>
      </c>
    </row>
    <row r="8" spans="2:15" hidden="1">
      <c r="B8" s="405">
        <v>1667</v>
      </c>
      <c r="C8" s="636">
        <f t="shared" si="0"/>
        <v>0</v>
      </c>
      <c r="D8" s="636">
        <v>7.24</v>
      </c>
      <c r="E8" s="528" t="s">
        <v>2862</v>
      </c>
      <c r="F8" s="310">
        <v>4</v>
      </c>
      <c r="G8" s="310">
        <v>5</v>
      </c>
      <c r="H8" s="310">
        <f t="shared" si="2"/>
        <v>20</v>
      </c>
      <c r="I8" s="528">
        <f t="shared" si="1"/>
        <v>0</v>
      </c>
      <c r="J8" s="528"/>
      <c r="K8" s="528" t="s">
        <v>3241</v>
      </c>
      <c r="L8" s="528"/>
      <c r="M8" s="528"/>
      <c r="N8" s="528"/>
      <c r="O8" s="348"/>
    </row>
    <row r="9" spans="2:15" hidden="1">
      <c r="B9" s="405">
        <v>1723</v>
      </c>
      <c r="C9" s="636">
        <f t="shared" si="0"/>
        <v>0</v>
      </c>
      <c r="D9" s="636">
        <v>17.71</v>
      </c>
      <c r="E9" s="297" t="s">
        <v>2861</v>
      </c>
      <c r="F9" s="1607">
        <v>9</v>
      </c>
      <c r="G9" s="1607">
        <v>1.2</v>
      </c>
      <c r="H9" s="1607">
        <f t="shared" si="2"/>
        <v>10.799999999999999</v>
      </c>
      <c r="I9" s="297">
        <f t="shared" si="1"/>
        <v>0</v>
      </c>
      <c r="J9" s="297">
        <v>0</v>
      </c>
      <c r="K9" s="297" t="s">
        <v>3241</v>
      </c>
      <c r="L9" s="297" t="s">
        <v>557</v>
      </c>
      <c r="M9" s="528"/>
      <c r="N9" s="528"/>
      <c r="O9" s="348"/>
    </row>
    <row r="10" spans="2:15" hidden="1">
      <c r="B10" s="405">
        <v>1724</v>
      </c>
      <c r="C10" s="636">
        <f t="shared" si="0"/>
        <v>10.799999999999999</v>
      </c>
      <c r="D10" s="636">
        <v>18.940000000000001</v>
      </c>
      <c r="E10" s="297" t="s">
        <v>2860</v>
      </c>
      <c r="F10" s="1607">
        <v>9</v>
      </c>
      <c r="G10" s="1607">
        <v>1.2</v>
      </c>
      <c r="H10" s="1607">
        <f t="shared" si="2"/>
        <v>10.799999999999999</v>
      </c>
      <c r="I10" s="297">
        <f t="shared" si="1"/>
        <v>10.799999999999999</v>
      </c>
      <c r="J10" s="297">
        <v>1</v>
      </c>
      <c r="K10" s="297" t="s">
        <v>3241</v>
      </c>
      <c r="L10" s="297" t="s">
        <v>65</v>
      </c>
      <c r="M10" s="528"/>
      <c r="N10" s="528" t="s">
        <v>591</v>
      </c>
      <c r="O10" s="348"/>
    </row>
    <row r="11" spans="2:15" hidden="1">
      <c r="B11" s="405">
        <v>1725</v>
      </c>
      <c r="C11" s="636">
        <f t="shared" si="0"/>
        <v>10.799999999999999</v>
      </c>
      <c r="D11" s="636">
        <v>18.940000000000001</v>
      </c>
      <c r="E11" s="297" t="s">
        <v>2859</v>
      </c>
      <c r="F11" s="1607">
        <v>9</v>
      </c>
      <c r="G11" s="1607">
        <v>1.2</v>
      </c>
      <c r="H11" s="1607">
        <f t="shared" si="2"/>
        <v>10.799999999999999</v>
      </c>
      <c r="I11" s="297">
        <f t="shared" si="1"/>
        <v>10.799999999999999</v>
      </c>
      <c r="J11" s="297">
        <v>1</v>
      </c>
      <c r="K11" s="297" t="s">
        <v>3241</v>
      </c>
      <c r="L11" s="297" t="s">
        <v>557</v>
      </c>
      <c r="M11" s="528"/>
      <c r="N11" s="528" t="s">
        <v>557</v>
      </c>
      <c r="O11" s="348"/>
    </row>
    <row r="12" spans="2:15" hidden="1">
      <c r="B12" s="405">
        <v>1807</v>
      </c>
      <c r="C12" s="636">
        <f t="shared" si="0"/>
        <v>0</v>
      </c>
      <c r="D12" s="636">
        <v>15.6</v>
      </c>
      <c r="E12" s="528" t="s">
        <v>2858</v>
      </c>
      <c r="F12" s="310">
        <v>6</v>
      </c>
      <c r="G12" s="310">
        <v>0.3</v>
      </c>
      <c r="H12" s="310">
        <f t="shared" si="2"/>
        <v>1.7999999999999998</v>
      </c>
      <c r="I12" s="528">
        <f t="shared" si="1"/>
        <v>0</v>
      </c>
      <c r="J12" s="528"/>
      <c r="K12" s="528" t="s">
        <v>3241</v>
      </c>
      <c r="L12" s="528"/>
      <c r="M12" s="721"/>
      <c r="N12" s="721"/>
      <c r="O12" s="348"/>
    </row>
    <row r="13" spans="2:15">
      <c r="B13" s="405">
        <v>1827</v>
      </c>
      <c r="C13" s="636" t="e">
        <f t="shared" si="0"/>
        <v>#VALUE!</v>
      </c>
      <c r="D13" s="636">
        <v>24.37</v>
      </c>
      <c r="E13" s="528" t="s">
        <v>2857</v>
      </c>
      <c r="F13" s="310">
        <v>1</v>
      </c>
      <c r="G13" s="310">
        <v>4.5</v>
      </c>
      <c r="H13" s="310">
        <f t="shared" si="2"/>
        <v>4.5</v>
      </c>
      <c r="I13" s="528" t="e">
        <f t="shared" si="1"/>
        <v>#VALUE!</v>
      </c>
      <c r="J13" s="528" t="s">
        <v>3313</v>
      </c>
      <c r="K13" s="528" t="s">
        <v>3241</v>
      </c>
      <c r="L13" s="528" t="s">
        <v>5537</v>
      </c>
      <c r="M13" s="721"/>
      <c r="N13" s="721" t="s">
        <v>65</v>
      </c>
      <c r="O13" s="348"/>
    </row>
    <row r="14" spans="2:15" hidden="1">
      <c r="B14" s="405">
        <v>1939</v>
      </c>
      <c r="C14" s="636">
        <f t="shared" si="0"/>
        <v>40</v>
      </c>
      <c r="D14" s="636">
        <v>5.68</v>
      </c>
      <c r="E14" s="326" t="s">
        <v>2856</v>
      </c>
      <c r="F14" s="310">
        <v>4</v>
      </c>
      <c r="G14" s="310">
        <v>5</v>
      </c>
      <c r="H14" s="310">
        <f t="shared" si="2"/>
        <v>20</v>
      </c>
      <c r="I14" s="528">
        <f t="shared" si="1"/>
        <v>40</v>
      </c>
      <c r="J14" s="528">
        <v>2</v>
      </c>
      <c r="K14" s="528" t="s">
        <v>3241</v>
      </c>
      <c r="L14" s="528" t="s">
        <v>556</v>
      </c>
      <c r="M14" s="721"/>
      <c r="N14" s="528" t="s">
        <v>557</v>
      </c>
      <c r="O14" s="856" t="s">
        <v>557</v>
      </c>
    </row>
  </sheetData>
  <pageMargins left="0.7" right="0.7" top="0.75" bottom="0.75" header="0.3" footer="0.3"/>
  <pageSetup paperSize="119" orientation="landscape" r:id="rId1"/>
  <drawing r:id="rId2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2:K14"/>
  <sheetViews>
    <sheetView workbookViewId="0">
      <selection activeCell="E2" sqref="E2:H16"/>
    </sheetView>
  </sheetViews>
  <sheetFormatPr baseColWidth="10" defaultRowHeight="15"/>
  <cols>
    <col min="3" max="4" width="11.42578125" style="404"/>
    <col min="5" max="5" width="35.5703125" customWidth="1"/>
    <col min="6" max="6" width="15.42578125" style="404" hidden="1" customWidth="1"/>
    <col min="7" max="7" width="14.85546875" style="404" hidden="1" customWidth="1"/>
    <col min="8" max="8" width="22.7109375" customWidth="1"/>
    <col min="9" max="9" width="15.42578125" hidden="1" customWidth="1"/>
    <col min="10" max="10" width="0" hidden="1" customWidth="1"/>
    <col min="11" max="11" width="11.42578125" hidden="1" customWidth="1"/>
  </cols>
  <sheetData>
    <row r="2" spans="2:11" ht="45">
      <c r="B2" s="405" t="s">
        <v>119</v>
      </c>
      <c r="C2" s="405" t="s">
        <v>559</v>
      </c>
      <c r="D2" s="635" t="str">
        <f>G2</f>
        <v>PEDIDO X KG O UND</v>
      </c>
      <c r="E2" s="1015" t="s">
        <v>5522</v>
      </c>
      <c r="F2" s="1015" t="s">
        <v>2262</v>
      </c>
      <c r="G2" s="1014" t="s">
        <v>2867</v>
      </c>
      <c r="H2" s="1014" t="s">
        <v>19</v>
      </c>
      <c r="I2" s="93" t="s">
        <v>20</v>
      </c>
      <c r="J2" s="93" t="s">
        <v>21</v>
      </c>
      <c r="K2" s="93" t="s">
        <v>23</v>
      </c>
    </row>
    <row r="3" spans="2:11">
      <c r="B3" s="636">
        <v>2393</v>
      </c>
      <c r="C3" s="636">
        <v>2.02</v>
      </c>
      <c r="D3" s="636" t="e">
        <f t="shared" ref="D3:D12" si="0">G3</f>
        <v>#VALUE!</v>
      </c>
      <c r="E3" s="311" t="s">
        <v>1489</v>
      </c>
      <c r="F3" s="1439">
        <v>36</v>
      </c>
      <c r="G3" s="1439" t="e">
        <f>H5*F3</f>
        <v>#VALUE!</v>
      </c>
      <c r="H3" s="303" t="s">
        <v>556</v>
      </c>
      <c r="I3" s="636"/>
      <c r="J3" s="636" t="s">
        <v>3257</v>
      </c>
      <c r="K3" s="636"/>
    </row>
    <row r="4" spans="2:11">
      <c r="B4" s="636">
        <v>2084</v>
      </c>
      <c r="C4" s="636">
        <v>6.57</v>
      </c>
      <c r="D4" s="636" t="e">
        <f t="shared" si="0"/>
        <v>#VALUE!</v>
      </c>
      <c r="E4" s="311" t="s">
        <v>3957</v>
      </c>
      <c r="F4" s="1439">
        <v>10</v>
      </c>
      <c r="G4" s="1439" t="e">
        <f>H4*F4</f>
        <v>#VALUE!</v>
      </c>
      <c r="H4" s="1439" t="s">
        <v>244</v>
      </c>
      <c r="I4" s="636"/>
      <c r="J4" s="636" t="s">
        <v>3258</v>
      </c>
      <c r="K4" s="636"/>
    </row>
    <row r="5" spans="2:11">
      <c r="B5" s="636">
        <v>2394</v>
      </c>
      <c r="C5" s="636">
        <v>2.02</v>
      </c>
      <c r="D5" s="636" t="e">
        <f t="shared" si="0"/>
        <v>#REF!</v>
      </c>
      <c r="E5" s="311" t="s">
        <v>1490</v>
      </c>
      <c r="F5" s="1439">
        <v>36</v>
      </c>
      <c r="G5" s="1439" t="e">
        <f>#REF!*F5</f>
        <v>#REF!</v>
      </c>
      <c r="H5" s="1439" t="s">
        <v>556</v>
      </c>
      <c r="I5" s="636"/>
      <c r="J5" s="636"/>
      <c r="K5" s="636"/>
    </row>
    <row r="6" spans="2:11" hidden="1">
      <c r="B6" s="636">
        <v>10238</v>
      </c>
      <c r="C6" s="636">
        <v>0</v>
      </c>
      <c r="D6" s="636">
        <f t="shared" si="0"/>
        <v>0</v>
      </c>
      <c r="E6" s="21" t="s">
        <v>1491</v>
      </c>
      <c r="F6" s="1434">
        <v>12</v>
      </c>
      <c r="G6" s="1434">
        <f t="shared" ref="G6:G12" si="1">H6*F6</f>
        <v>0</v>
      </c>
      <c r="H6" s="1434"/>
      <c r="I6" s="636"/>
      <c r="J6" s="636"/>
      <c r="K6" s="636"/>
    </row>
    <row r="7" spans="2:11" hidden="1">
      <c r="B7" s="636">
        <v>14819</v>
      </c>
      <c r="C7" s="636">
        <v>0</v>
      </c>
      <c r="D7" s="636">
        <f t="shared" si="0"/>
        <v>0</v>
      </c>
      <c r="E7" s="21" t="s">
        <v>1492</v>
      </c>
      <c r="F7" s="1434">
        <v>6</v>
      </c>
      <c r="G7" s="1434">
        <f t="shared" si="1"/>
        <v>0</v>
      </c>
      <c r="H7" s="1434"/>
      <c r="I7" s="636"/>
      <c r="J7" s="636"/>
      <c r="K7" s="636"/>
    </row>
    <row r="8" spans="2:11" hidden="1">
      <c r="B8" s="636">
        <v>14820</v>
      </c>
      <c r="C8" s="636">
        <v>0</v>
      </c>
      <c r="D8" s="636">
        <f t="shared" si="0"/>
        <v>0</v>
      </c>
      <c r="E8" s="21" t="s">
        <v>1493</v>
      </c>
      <c r="F8" s="1434">
        <v>6</v>
      </c>
      <c r="G8" s="1434">
        <f t="shared" si="1"/>
        <v>0</v>
      </c>
      <c r="H8" s="1434"/>
      <c r="I8" s="636"/>
      <c r="J8" s="636"/>
      <c r="K8" s="636"/>
    </row>
    <row r="9" spans="2:11" hidden="1">
      <c r="B9" s="636">
        <v>3374</v>
      </c>
      <c r="C9" s="636">
        <v>0</v>
      </c>
      <c r="D9" s="636">
        <f t="shared" si="0"/>
        <v>0</v>
      </c>
      <c r="E9" s="21" t="s">
        <v>1494</v>
      </c>
      <c r="F9" s="1434">
        <v>6</v>
      </c>
      <c r="G9" s="1434">
        <f t="shared" si="1"/>
        <v>0</v>
      </c>
      <c r="H9" s="1434"/>
      <c r="I9" s="636"/>
      <c r="J9" s="636"/>
      <c r="K9" s="636"/>
    </row>
    <row r="10" spans="2:11" hidden="1">
      <c r="B10" s="636">
        <v>14821</v>
      </c>
      <c r="C10" s="636">
        <v>0</v>
      </c>
      <c r="D10" s="636">
        <f t="shared" si="0"/>
        <v>0</v>
      </c>
      <c r="E10" s="21" t="s">
        <v>1495</v>
      </c>
      <c r="F10" s="1434">
        <v>24</v>
      </c>
      <c r="G10" s="1434">
        <f t="shared" si="1"/>
        <v>0</v>
      </c>
      <c r="H10" s="1434"/>
      <c r="I10" s="636"/>
      <c r="J10" s="636"/>
      <c r="K10" s="636"/>
    </row>
    <row r="11" spans="2:11" hidden="1">
      <c r="B11" s="636">
        <v>14897</v>
      </c>
      <c r="C11" s="636">
        <v>0</v>
      </c>
      <c r="D11" s="636">
        <f t="shared" si="0"/>
        <v>0</v>
      </c>
      <c r="E11" s="21" t="s">
        <v>4789</v>
      </c>
      <c r="F11" s="1434">
        <v>30</v>
      </c>
      <c r="G11" s="1434">
        <f t="shared" si="1"/>
        <v>0</v>
      </c>
      <c r="H11" s="1434"/>
      <c r="I11" s="636"/>
      <c r="J11" s="636"/>
      <c r="K11" s="636"/>
    </row>
    <row r="12" spans="2:11" hidden="1">
      <c r="B12" s="636">
        <v>15958</v>
      </c>
      <c r="C12" s="636">
        <v>0</v>
      </c>
      <c r="D12" s="636">
        <f t="shared" si="0"/>
        <v>0</v>
      </c>
      <c r="E12" s="405" t="s">
        <v>1496</v>
      </c>
      <c r="F12" s="636">
        <v>24</v>
      </c>
      <c r="G12" s="636">
        <f t="shared" si="1"/>
        <v>0</v>
      </c>
      <c r="H12" s="636"/>
      <c r="I12" s="636"/>
      <c r="J12" s="636"/>
      <c r="K12" s="636"/>
    </row>
    <row r="13" spans="2:11" hidden="1"/>
    <row r="14" spans="2:11" hidden="1"/>
  </sheetData>
  <pageMargins left="0.7" right="0.7" top="0.75" bottom="0.75" header="0.3" footer="0.3"/>
  <pageSetup paperSize="119" orientation="landscape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W52"/>
  <sheetViews>
    <sheetView workbookViewId="0">
      <selection activeCell="D3" sqref="D3:E13"/>
    </sheetView>
  </sheetViews>
  <sheetFormatPr baseColWidth="10" defaultRowHeight="15"/>
  <cols>
    <col min="1" max="3" width="11.42578125" style="1594"/>
    <col min="4" max="4" width="12.7109375" style="1017" customWidth="1"/>
    <col min="5" max="5" width="27.28515625" customWidth="1"/>
    <col min="6" max="8" width="11.42578125" customWidth="1"/>
    <col min="9" max="9" width="8.5703125" style="2029" customWidth="1"/>
    <col min="10" max="10" width="13.42578125" style="2029" customWidth="1"/>
    <col min="11" max="11" width="8.5703125" style="2029" customWidth="1"/>
    <col min="12" max="12" width="8.42578125" style="2029" customWidth="1"/>
    <col min="13" max="14" width="11.42578125" customWidth="1"/>
    <col min="15" max="15" width="11.42578125" style="2029" customWidth="1"/>
    <col min="16" max="16" width="3.85546875" customWidth="1"/>
    <col min="21" max="21" width="13.5703125" bestFit="1" customWidth="1"/>
  </cols>
  <sheetData>
    <row r="2" spans="1:23">
      <c r="D2" s="395"/>
      <c r="E2" s="438" t="s">
        <v>5635</v>
      </c>
      <c r="F2" s="338" t="s">
        <v>608</v>
      </c>
      <c r="G2" s="338" t="s">
        <v>608</v>
      </c>
      <c r="H2" s="338" t="s">
        <v>608</v>
      </c>
    </row>
    <row r="3" spans="1:23" ht="51" customHeight="1">
      <c r="D3" s="308" t="s">
        <v>116</v>
      </c>
      <c r="E3" s="308" t="s">
        <v>5632</v>
      </c>
      <c r="F3" s="307" t="s">
        <v>609</v>
      </c>
      <c r="G3" s="307" t="s">
        <v>610</v>
      </c>
      <c r="H3" s="307" t="s">
        <v>611</v>
      </c>
      <c r="I3" s="309" t="s">
        <v>5631</v>
      </c>
      <c r="J3" s="309" t="s">
        <v>5634</v>
      </c>
      <c r="K3" s="308" t="s">
        <v>3415</v>
      </c>
      <c r="L3" s="309" t="s">
        <v>2547</v>
      </c>
      <c r="S3" s="2114" t="s">
        <v>5662</v>
      </c>
      <c r="T3" s="2107" t="s">
        <v>3952</v>
      </c>
      <c r="U3" s="2107" t="s">
        <v>5663</v>
      </c>
    </row>
    <row r="4" spans="1:23">
      <c r="D4" s="1016">
        <v>326</v>
      </c>
      <c r="E4" s="21" t="s">
        <v>593</v>
      </c>
      <c r="F4" s="52">
        <v>1.95</v>
      </c>
      <c r="G4" s="52"/>
      <c r="H4" s="52"/>
      <c r="I4" s="2022">
        <v>2.25</v>
      </c>
      <c r="J4" s="2022">
        <v>2.99</v>
      </c>
      <c r="K4" s="1137">
        <v>0.33</v>
      </c>
      <c r="L4" s="2022">
        <v>2.7</v>
      </c>
      <c r="M4" s="388">
        <f>+L4/I4</f>
        <v>1.2000000000000002</v>
      </c>
      <c r="N4">
        <f>+I4*M4</f>
        <v>2.7</v>
      </c>
      <c r="O4" s="2029">
        <v>2.7</v>
      </c>
      <c r="P4" s="2023" t="s">
        <v>245</v>
      </c>
      <c r="S4" s="2107">
        <v>9.9700000000000006</v>
      </c>
      <c r="T4" s="2107">
        <v>4.4348999999999998</v>
      </c>
      <c r="U4" s="2032">
        <f>+S4/T4</f>
        <v>2.2480777469616005</v>
      </c>
      <c r="W4">
        <v>2.6</v>
      </c>
    </row>
    <row r="5" spans="1:23" s="404" customFormat="1">
      <c r="A5" s="1594"/>
      <c r="B5" s="1594"/>
      <c r="C5" s="1594"/>
      <c r="D5" s="1016">
        <v>88</v>
      </c>
      <c r="E5" s="21" t="s">
        <v>3205</v>
      </c>
      <c r="F5" s="52"/>
      <c r="G5" s="52"/>
      <c r="H5" s="52"/>
      <c r="I5" s="2022">
        <v>2.25</v>
      </c>
      <c r="J5" s="2022">
        <v>3.74</v>
      </c>
      <c r="K5" s="1137">
        <v>0.66</v>
      </c>
      <c r="L5" s="2022">
        <v>3.37</v>
      </c>
      <c r="M5" s="388">
        <f t="shared" ref="M5:M13" si="0">+L5/I5</f>
        <v>1.4977777777777779</v>
      </c>
      <c r="O5" s="2029">
        <v>3.37</v>
      </c>
      <c r="P5" s="2023" t="s">
        <v>245</v>
      </c>
    </row>
    <row r="6" spans="1:23">
      <c r="D6" s="2024">
        <v>5149</v>
      </c>
      <c r="E6" s="311" t="s">
        <v>594</v>
      </c>
      <c r="F6" s="576">
        <v>2.35</v>
      </c>
      <c r="G6" s="576">
        <v>2.6</v>
      </c>
      <c r="H6" s="576"/>
      <c r="I6" s="2024">
        <v>3.15</v>
      </c>
      <c r="J6" s="2024">
        <v>4.38</v>
      </c>
      <c r="K6" s="666">
        <v>0.39</v>
      </c>
      <c r="L6" s="2024">
        <v>4.38</v>
      </c>
      <c r="M6" s="388">
        <f t="shared" si="0"/>
        <v>1.3904761904761904</v>
      </c>
      <c r="P6" s="2023" t="s">
        <v>245</v>
      </c>
    </row>
    <row r="7" spans="1:23">
      <c r="D7" s="2024">
        <v>1893</v>
      </c>
      <c r="E7" s="311" t="s">
        <v>595</v>
      </c>
      <c r="F7" s="576"/>
      <c r="G7" s="576"/>
      <c r="H7" s="576"/>
      <c r="I7" s="2024">
        <v>3.15</v>
      </c>
      <c r="J7" s="2024">
        <v>4.8</v>
      </c>
      <c r="K7" s="666">
        <v>0.52</v>
      </c>
      <c r="L7" s="2024">
        <v>4.8</v>
      </c>
      <c r="M7" s="388">
        <f t="shared" si="0"/>
        <v>1.5238095238095237</v>
      </c>
      <c r="P7" s="2023" t="s">
        <v>245</v>
      </c>
    </row>
    <row r="8" spans="1:23">
      <c r="D8" s="2024">
        <v>5148</v>
      </c>
      <c r="E8" s="311" t="s">
        <v>596</v>
      </c>
      <c r="F8" s="576">
        <v>1.85</v>
      </c>
      <c r="G8" s="576">
        <v>2.1</v>
      </c>
      <c r="H8" s="576"/>
      <c r="I8" s="2024">
        <v>2.35</v>
      </c>
      <c r="J8" s="2024">
        <v>3.79</v>
      </c>
      <c r="K8" s="666">
        <v>0.61</v>
      </c>
      <c r="L8" s="2024">
        <v>3.3</v>
      </c>
      <c r="M8" s="388">
        <f t="shared" si="0"/>
        <v>1.404255319148936</v>
      </c>
      <c r="P8" s="2023" t="s">
        <v>245</v>
      </c>
    </row>
    <row r="9" spans="1:23">
      <c r="D9" s="2024">
        <v>1889</v>
      </c>
      <c r="E9" s="311" t="s">
        <v>5633</v>
      </c>
      <c r="F9" s="576"/>
      <c r="G9" s="576"/>
      <c r="H9" s="576"/>
      <c r="I9" s="2024">
        <v>2.35</v>
      </c>
      <c r="J9" s="2024">
        <v>4.16</v>
      </c>
      <c r="K9" s="666">
        <v>0.77</v>
      </c>
      <c r="L9" s="2024">
        <v>3.57</v>
      </c>
      <c r="M9" s="388">
        <f t="shared" si="0"/>
        <v>1.5191489361702126</v>
      </c>
      <c r="P9" s="2023" t="s">
        <v>245</v>
      </c>
    </row>
    <row r="10" spans="1:23">
      <c r="D10" s="2024">
        <v>1986</v>
      </c>
      <c r="E10" s="311" t="s">
        <v>597</v>
      </c>
      <c r="F10" s="576">
        <v>1</v>
      </c>
      <c r="G10" s="576"/>
      <c r="H10" s="576"/>
      <c r="I10" s="2024">
        <v>0.7</v>
      </c>
      <c r="J10" s="2024">
        <v>1</v>
      </c>
      <c r="K10" s="666">
        <v>0.42</v>
      </c>
      <c r="L10" s="2024">
        <v>1</v>
      </c>
      <c r="M10" s="388">
        <f t="shared" si="0"/>
        <v>1.4285714285714286</v>
      </c>
      <c r="P10" s="2023" t="s">
        <v>245</v>
      </c>
    </row>
    <row r="11" spans="1:23">
      <c r="D11" s="2024">
        <v>1937</v>
      </c>
      <c r="E11" s="311" t="s">
        <v>598</v>
      </c>
      <c r="F11" s="576"/>
      <c r="G11" s="576">
        <v>3.9</v>
      </c>
      <c r="H11" s="576"/>
      <c r="I11" s="2024">
        <v>4.9000000000000004</v>
      </c>
      <c r="J11" s="2024">
        <v>7.43</v>
      </c>
      <c r="K11" s="666">
        <v>0.51</v>
      </c>
      <c r="L11" s="2024">
        <v>7.43</v>
      </c>
      <c r="M11" s="388">
        <f t="shared" si="0"/>
        <v>1.5163265306122446</v>
      </c>
      <c r="P11" s="2023" t="s">
        <v>245</v>
      </c>
    </row>
    <row r="12" spans="1:23">
      <c r="D12" s="2024">
        <v>1887</v>
      </c>
      <c r="E12" s="311" t="s">
        <v>599</v>
      </c>
      <c r="F12" s="576">
        <v>1.35</v>
      </c>
      <c r="G12" s="576"/>
      <c r="H12" s="576"/>
      <c r="I12" s="2024">
        <v>1.5</v>
      </c>
      <c r="J12" s="2024">
        <v>2.1</v>
      </c>
      <c r="K12" s="666">
        <v>0.4</v>
      </c>
      <c r="L12" s="2024">
        <v>2.1</v>
      </c>
      <c r="M12" s="388">
        <f t="shared" si="0"/>
        <v>1.4000000000000001</v>
      </c>
      <c r="P12" s="2023" t="s">
        <v>245</v>
      </c>
    </row>
    <row r="13" spans="1:23">
      <c r="D13" s="2024">
        <v>1947</v>
      </c>
      <c r="E13" s="311" t="s">
        <v>600</v>
      </c>
      <c r="F13" s="576">
        <v>1.3</v>
      </c>
      <c r="G13" s="576"/>
      <c r="H13" s="576"/>
      <c r="I13" s="2024">
        <v>1.4</v>
      </c>
      <c r="J13" s="2024">
        <v>2</v>
      </c>
      <c r="K13" s="666">
        <v>0.42</v>
      </c>
      <c r="L13" s="2024">
        <v>2</v>
      </c>
      <c r="M13" s="388">
        <f t="shared" si="0"/>
        <v>1.4285714285714286</v>
      </c>
      <c r="P13" s="2023" t="s">
        <v>245</v>
      </c>
    </row>
    <row r="14" spans="1:23" s="692" customFormat="1" hidden="1">
      <c r="A14" s="1594"/>
      <c r="B14" s="1594"/>
      <c r="C14" s="1594"/>
      <c r="D14" s="1016">
        <v>1714</v>
      </c>
      <c r="E14" s="21" t="s">
        <v>3306</v>
      </c>
      <c r="F14" s="52"/>
      <c r="G14" s="52"/>
      <c r="H14" s="52"/>
      <c r="I14" s="2022"/>
      <c r="J14" s="2022"/>
      <c r="K14" s="2022"/>
      <c r="L14" s="2022"/>
      <c r="O14" s="2029"/>
    </row>
    <row r="15" spans="1:23" hidden="1">
      <c r="D15" s="1016">
        <v>1991</v>
      </c>
      <c r="E15" s="21" t="s">
        <v>601</v>
      </c>
      <c r="F15" s="52"/>
      <c r="G15" s="52"/>
      <c r="H15" s="52">
        <v>1.5</v>
      </c>
      <c r="I15" s="2022"/>
      <c r="J15" s="2022"/>
      <c r="K15" s="2022"/>
      <c r="L15" s="2022"/>
    </row>
    <row r="16" spans="1:23" hidden="1">
      <c r="D16" s="1016">
        <v>1953</v>
      </c>
      <c r="E16" s="21" t="s">
        <v>602</v>
      </c>
      <c r="F16" s="52"/>
      <c r="G16" s="52"/>
      <c r="H16" s="52">
        <v>2.25</v>
      </c>
      <c r="I16" s="2022"/>
      <c r="J16" s="2022"/>
      <c r="K16" s="2022"/>
      <c r="L16" s="2022"/>
    </row>
    <row r="17" spans="1:15" hidden="1">
      <c r="D17" s="1016">
        <v>1918</v>
      </c>
      <c r="E17" s="21" t="s">
        <v>603</v>
      </c>
      <c r="F17" s="52"/>
      <c r="G17" s="52"/>
      <c r="H17" s="52">
        <v>2.25</v>
      </c>
      <c r="I17" s="2022"/>
      <c r="J17" s="2022"/>
      <c r="K17" s="2022"/>
      <c r="L17" s="2022"/>
    </row>
    <row r="18" spans="1:15" hidden="1">
      <c r="D18" s="1016">
        <v>1934</v>
      </c>
      <c r="E18" s="21" t="s">
        <v>604</v>
      </c>
      <c r="F18" s="52"/>
      <c r="G18" s="52"/>
      <c r="H18" s="52">
        <v>2.35</v>
      </c>
      <c r="I18" s="2022"/>
      <c r="J18" s="2022"/>
      <c r="K18" s="2022"/>
      <c r="L18" s="2022"/>
    </row>
    <row r="19" spans="1:15" hidden="1">
      <c r="D19" s="1016" t="s">
        <v>2578</v>
      </c>
      <c r="E19" s="21" t="s">
        <v>605</v>
      </c>
      <c r="F19" s="52"/>
      <c r="G19" s="52">
        <f>6.2-5%</f>
        <v>6.15</v>
      </c>
      <c r="H19" s="809">
        <v>5.2</v>
      </c>
      <c r="I19" s="2022"/>
      <c r="J19" s="2022"/>
      <c r="K19" s="2022"/>
      <c r="L19" s="2022"/>
    </row>
    <row r="20" spans="1:15" ht="45" hidden="1" customHeight="1">
      <c r="D20" s="1018" t="s">
        <v>2579</v>
      </c>
      <c r="E20" s="21" t="s">
        <v>606</v>
      </c>
      <c r="F20" s="52"/>
      <c r="G20" s="809">
        <f>5.15-5%</f>
        <v>5.1000000000000005</v>
      </c>
      <c r="H20" s="818">
        <v>5.5</v>
      </c>
      <c r="I20" s="2022"/>
      <c r="J20" s="2022"/>
      <c r="K20" s="2022"/>
      <c r="L20" s="2022"/>
    </row>
    <row r="21" spans="1:15" hidden="1">
      <c r="D21" s="1016">
        <v>1902</v>
      </c>
      <c r="E21" s="21" t="s">
        <v>613</v>
      </c>
      <c r="F21" s="52"/>
      <c r="G21" s="809">
        <f>1.5-5%</f>
        <v>1.45</v>
      </c>
      <c r="H21" s="52">
        <v>1.9</v>
      </c>
      <c r="I21" s="2022"/>
      <c r="J21" s="2022"/>
      <c r="K21" s="2022"/>
      <c r="L21" s="2022"/>
    </row>
    <row r="22" spans="1:15" hidden="1">
      <c r="D22" s="1016">
        <v>1904</v>
      </c>
      <c r="E22" s="21" t="s">
        <v>607</v>
      </c>
      <c r="F22" s="52"/>
      <c r="G22" s="52">
        <f>3.05-5%</f>
        <v>3</v>
      </c>
      <c r="H22" s="809">
        <v>2.5</v>
      </c>
      <c r="I22" s="2022"/>
      <c r="J22" s="2022"/>
      <c r="K22" s="2022"/>
      <c r="L22" s="2022"/>
    </row>
    <row r="23" spans="1:15" ht="16.5" hidden="1" customHeight="1">
      <c r="D23" s="1018" t="s">
        <v>2580</v>
      </c>
      <c r="E23" s="21" t="s">
        <v>612</v>
      </c>
      <c r="F23" s="52"/>
      <c r="G23" s="809">
        <f>6.9-5%</f>
        <v>6.8500000000000005</v>
      </c>
      <c r="H23" s="52">
        <v>5.6</v>
      </c>
      <c r="I23" s="2022"/>
      <c r="J23" s="2022"/>
      <c r="K23" s="2022"/>
      <c r="L23" s="2022"/>
    </row>
    <row r="24" spans="1:15" s="404" customFormat="1" ht="30" hidden="1">
      <c r="A24" s="1594"/>
      <c r="B24" s="1594"/>
      <c r="C24" s="1594"/>
      <c r="D24" s="1018">
        <v>3619</v>
      </c>
      <c r="E24" s="817" t="s">
        <v>2581</v>
      </c>
      <c r="F24" s="52"/>
      <c r="G24" s="809"/>
      <c r="H24" s="52"/>
      <c r="I24" s="2022"/>
      <c r="J24" s="2022"/>
      <c r="K24" s="2022"/>
      <c r="L24" s="2022"/>
      <c r="O24" s="2029"/>
    </row>
    <row r="25" spans="1:15" s="404" customFormat="1" hidden="1">
      <c r="A25" s="1594"/>
      <c r="B25" s="1594"/>
      <c r="C25" s="1594"/>
      <c r="D25" s="1018">
        <v>5440</v>
      </c>
      <c r="E25" s="21" t="s">
        <v>2582</v>
      </c>
      <c r="F25" s="52"/>
      <c r="G25" s="809"/>
      <c r="H25" s="52"/>
      <c r="I25" s="2022"/>
      <c r="J25" s="2022"/>
      <c r="K25" s="2022"/>
      <c r="L25" s="2022"/>
      <c r="O25" s="2029"/>
    </row>
    <row r="26" spans="1:15" hidden="1">
      <c r="D26" s="1273">
        <v>1979</v>
      </c>
      <c r="E26" s="21" t="s">
        <v>3203</v>
      </c>
      <c r="F26" s="52"/>
      <c r="G26" s="52"/>
      <c r="H26" s="52"/>
      <c r="I26" s="2022"/>
      <c r="J26" s="2022"/>
      <c r="K26" s="2022"/>
      <c r="L26" s="2022"/>
    </row>
    <row r="27" spans="1:15" s="404" customFormat="1" hidden="1">
      <c r="A27" s="1594"/>
      <c r="B27" s="1594"/>
      <c r="C27" s="1594"/>
      <c r="D27" s="1273">
        <v>2081</v>
      </c>
      <c r="E27" s="21" t="s">
        <v>3204</v>
      </c>
      <c r="F27" s="52"/>
      <c r="G27" s="52"/>
      <c r="H27" s="52"/>
      <c r="I27" s="2022"/>
      <c r="J27" s="2022"/>
      <c r="K27" s="2022"/>
      <c r="L27" s="2022"/>
      <c r="O27" s="2029"/>
    </row>
    <row r="28" spans="1:15" hidden="1">
      <c r="D28" s="1273">
        <v>1678</v>
      </c>
      <c r="E28" s="21" t="s">
        <v>3307</v>
      </c>
      <c r="F28" s="52"/>
      <c r="G28" s="52">
        <f>8.9-5%</f>
        <v>8.85</v>
      </c>
      <c r="H28" s="52">
        <v>7.8</v>
      </c>
      <c r="I28" s="2022"/>
      <c r="J28" s="2022"/>
      <c r="K28" s="2022"/>
      <c r="L28" s="2022"/>
    </row>
    <row r="29" spans="1:15" s="692" customFormat="1" hidden="1">
      <c r="A29" s="1594"/>
      <c r="B29" s="1594"/>
      <c r="C29" s="1594"/>
      <c r="D29" s="1273">
        <v>3877</v>
      </c>
      <c r="E29" s="21" t="s">
        <v>3308</v>
      </c>
      <c r="F29" s="52"/>
      <c r="G29" s="52"/>
      <c r="H29" s="52"/>
      <c r="I29" s="2022"/>
      <c r="J29" s="2022"/>
      <c r="K29" s="2022"/>
      <c r="L29" s="2022"/>
      <c r="O29" s="2029"/>
    </row>
    <row r="30" spans="1:15" hidden="1">
      <c r="D30" s="1273">
        <v>1898</v>
      </c>
      <c r="E30" s="53" t="s">
        <v>2574</v>
      </c>
      <c r="F30" s="1273"/>
      <c r="G30" s="52"/>
      <c r="H30" s="1273"/>
      <c r="I30" s="2022"/>
      <c r="J30" s="2022"/>
      <c r="K30" s="2022"/>
      <c r="L30" s="2022"/>
    </row>
    <row r="31" spans="1:15" s="692" customFormat="1" hidden="1">
      <c r="A31" s="1594"/>
      <c r="B31" s="1594"/>
      <c r="C31" s="1594"/>
      <c r="D31" s="1273">
        <v>1930</v>
      </c>
      <c r="E31" s="53" t="s">
        <v>3305</v>
      </c>
      <c r="F31" s="1273"/>
      <c r="G31" s="52"/>
      <c r="H31" s="1273"/>
      <c r="I31" s="2022"/>
      <c r="J31" s="2022"/>
      <c r="K31" s="2022"/>
      <c r="L31" s="2022"/>
      <c r="O31" s="2029"/>
    </row>
    <row r="32" spans="1:15" hidden="1">
      <c r="D32" s="1273">
        <v>1969</v>
      </c>
      <c r="E32" s="53" t="s">
        <v>614</v>
      </c>
      <c r="F32" s="1273"/>
      <c r="G32" s="52">
        <f>2-5%</f>
        <v>1.95</v>
      </c>
      <c r="H32" s="1273">
        <v>2</v>
      </c>
      <c r="I32" s="2022"/>
      <c r="J32" s="2022"/>
      <c r="K32" s="2022"/>
      <c r="L32" s="2022"/>
    </row>
    <row r="33" spans="1:15" hidden="1">
      <c r="D33" s="1273">
        <v>3242</v>
      </c>
      <c r="E33" s="53" t="s">
        <v>615</v>
      </c>
      <c r="F33" s="1273"/>
      <c r="G33" s="52"/>
      <c r="H33" s="1273"/>
      <c r="I33" s="2022"/>
      <c r="J33" s="2022"/>
      <c r="K33" s="2022"/>
      <c r="L33" s="2022"/>
    </row>
    <row r="34" spans="1:15" hidden="1">
      <c r="D34" s="1273">
        <v>1933</v>
      </c>
      <c r="E34" s="53" t="s">
        <v>2575</v>
      </c>
      <c r="F34" s="1273"/>
      <c r="G34" s="52">
        <f>3.2-5%</f>
        <v>3.1500000000000004</v>
      </c>
      <c r="H34" s="1273">
        <v>4.0999999999999996</v>
      </c>
      <c r="I34" s="2022"/>
      <c r="J34" s="2022"/>
      <c r="K34" s="2022"/>
      <c r="L34" s="2022"/>
    </row>
    <row r="35" spans="1:15" hidden="1">
      <c r="D35" s="1273">
        <v>1975</v>
      </c>
      <c r="E35" s="53" t="s">
        <v>2576</v>
      </c>
      <c r="F35" s="21"/>
      <c r="G35" s="461"/>
      <c r="H35" s="21"/>
      <c r="I35" s="2022"/>
      <c r="J35" s="2022"/>
      <c r="K35" s="2022"/>
      <c r="L35" s="2022"/>
    </row>
    <row r="36" spans="1:15" s="404" customFormat="1" hidden="1">
      <c r="A36" s="1594"/>
      <c r="B36" s="1594"/>
      <c r="C36" s="1594"/>
      <c r="D36" s="1273">
        <v>1941</v>
      </c>
      <c r="E36" s="53" t="s">
        <v>2577</v>
      </c>
      <c r="F36" s="21"/>
      <c r="G36" s="461"/>
      <c r="H36" s="21"/>
      <c r="I36" s="2022"/>
      <c r="J36" s="2022"/>
      <c r="K36" s="2022"/>
      <c r="L36" s="2022"/>
      <c r="O36" s="2029"/>
    </row>
    <row r="37" spans="1:15" hidden="1">
      <c r="D37" s="1273">
        <v>1910</v>
      </c>
      <c r="E37" s="53" t="s">
        <v>1487</v>
      </c>
      <c r="F37" s="21"/>
      <c r="G37" s="21"/>
      <c r="H37" s="21"/>
      <c r="I37" s="2022"/>
      <c r="J37" s="2022"/>
      <c r="K37" s="2022"/>
      <c r="L37" s="2022"/>
    </row>
    <row r="38" spans="1:15" hidden="1">
      <c r="D38" s="1273">
        <v>1906</v>
      </c>
      <c r="E38" s="53" t="s">
        <v>1488</v>
      </c>
      <c r="F38" s="21"/>
      <c r="G38" s="21"/>
      <c r="H38" s="21"/>
      <c r="I38" s="2022"/>
      <c r="J38" s="2022"/>
      <c r="K38" s="2022"/>
      <c r="L38" s="2022"/>
    </row>
    <row r="39" spans="1:15" ht="30" hidden="1">
      <c r="D39" s="375">
        <v>1685</v>
      </c>
      <c r="E39" s="819" t="s">
        <v>3198</v>
      </c>
      <c r="F39" s="21"/>
      <c r="G39" s="21"/>
      <c r="H39" s="21"/>
      <c r="I39" s="2022"/>
      <c r="J39" s="2022"/>
      <c r="K39" s="2022"/>
      <c r="L39" s="2022"/>
    </row>
    <row r="40" spans="1:15" ht="30" hidden="1">
      <c r="D40" s="375">
        <v>3754</v>
      </c>
      <c r="E40" s="819" t="s">
        <v>3199</v>
      </c>
      <c r="F40" s="21"/>
      <c r="G40" s="21"/>
      <c r="H40" s="21"/>
      <c r="I40" s="2022"/>
      <c r="J40" s="2022"/>
      <c r="K40" s="2022"/>
      <c r="L40" s="2022"/>
    </row>
    <row r="41" spans="1:15" ht="30" hidden="1">
      <c r="D41" s="375">
        <v>3903</v>
      </c>
      <c r="E41" s="819" t="s">
        <v>3200</v>
      </c>
      <c r="F41" s="21"/>
      <c r="G41" s="21"/>
      <c r="H41" s="21"/>
      <c r="I41" s="2022"/>
      <c r="J41" s="2022"/>
      <c r="K41" s="2022"/>
      <c r="L41" s="2022"/>
    </row>
    <row r="42" spans="1:15" ht="30" hidden="1">
      <c r="D42" s="375">
        <v>9219</v>
      </c>
      <c r="E42" s="819" t="s">
        <v>3201</v>
      </c>
      <c r="F42" s="21"/>
      <c r="G42" s="21"/>
      <c r="H42" s="21"/>
      <c r="I42" s="2022"/>
      <c r="J42" s="2022"/>
      <c r="K42" s="2022"/>
      <c r="L42" s="2022"/>
    </row>
    <row r="43" spans="1:15" ht="30" hidden="1">
      <c r="D43" s="375">
        <v>172</v>
      </c>
      <c r="E43" s="819" t="s">
        <v>3202</v>
      </c>
      <c r="F43" s="21"/>
      <c r="G43" s="21"/>
      <c r="H43" s="21"/>
      <c r="I43" s="2022"/>
      <c r="J43" s="2022"/>
      <c r="K43" s="2022"/>
      <c r="L43" s="2022"/>
    </row>
    <row r="44" spans="1:15" ht="30" hidden="1">
      <c r="D44" s="375">
        <v>15491</v>
      </c>
      <c r="E44" s="819" t="s">
        <v>3810</v>
      </c>
      <c r="F44" s="21"/>
      <c r="G44" s="21"/>
      <c r="H44" s="21"/>
      <c r="I44" s="2022"/>
      <c r="J44" s="2022"/>
      <c r="K44" s="2022"/>
      <c r="L44" s="2022"/>
    </row>
    <row r="45" spans="1:15" ht="30" hidden="1">
      <c r="D45" s="375">
        <v>176</v>
      </c>
      <c r="E45" s="819" t="s">
        <v>3811</v>
      </c>
      <c r="F45" s="21"/>
      <c r="G45" s="21"/>
      <c r="H45" s="21"/>
      <c r="I45" s="2022"/>
      <c r="J45" s="2022"/>
      <c r="K45" s="2022"/>
      <c r="L45" s="2022"/>
    </row>
    <row r="46" spans="1:15" hidden="1">
      <c r="D46" s="1273"/>
      <c r="E46" s="21"/>
      <c r="F46" s="21"/>
      <c r="G46" s="21"/>
      <c r="H46" s="21"/>
      <c r="I46" s="2022"/>
      <c r="J46" s="2022"/>
      <c r="K46" s="2022"/>
      <c r="L46" s="2022"/>
    </row>
    <row r="47" spans="1:15" ht="45" hidden="1">
      <c r="D47" s="1278">
        <v>21635</v>
      </c>
      <c r="E47" s="1279" t="s">
        <v>4099</v>
      </c>
      <c r="F47" s="21"/>
      <c r="G47" s="21"/>
      <c r="H47" s="21"/>
      <c r="I47" s="2022" t="s">
        <v>591</v>
      </c>
      <c r="J47" s="2022"/>
      <c r="K47" s="2022"/>
      <c r="L47" s="2022"/>
    </row>
    <row r="48" spans="1:15" ht="45" hidden="1">
      <c r="D48" s="21">
        <v>21634</v>
      </c>
      <c r="E48" s="1280" t="s">
        <v>4100</v>
      </c>
      <c r="F48" s="21"/>
      <c r="G48" s="21"/>
      <c r="H48" s="21"/>
      <c r="I48" s="2022">
        <v>1</v>
      </c>
      <c r="J48" s="2022"/>
      <c r="K48" s="2022"/>
      <c r="L48" s="2022"/>
    </row>
    <row r="49" spans="4:12" ht="45" hidden="1">
      <c r="D49" s="1278">
        <v>21633</v>
      </c>
      <c r="E49" s="1279" t="s">
        <v>4101</v>
      </c>
      <c r="F49" s="21"/>
      <c r="G49" s="21"/>
      <c r="H49" s="21"/>
      <c r="I49" s="2022">
        <v>1</v>
      </c>
      <c r="J49" s="2022"/>
      <c r="K49" s="2022"/>
      <c r="L49" s="2022"/>
    </row>
    <row r="50" spans="4:12" hidden="1">
      <c r="D50" s="1273"/>
      <c r="E50" s="21"/>
      <c r="F50" s="21"/>
      <c r="G50" s="21"/>
      <c r="H50" s="21"/>
      <c r="I50" s="2022"/>
      <c r="J50" s="2022"/>
      <c r="K50" s="2022"/>
      <c r="L50" s="2022"/>
    </row>
    <row r="51" spans="4:12" hidden="1">
      <c r="D51" s="1273">
        <v>22049</v>
      </c>
      <c r="E51" s="21" t="s">
        <v>4553</v>
      </c>
      <c r="F51" s="21"/>
      <c r="G51" s="21"/>
      <c r="H51" s="21"/>
      <c r="I51" s="2022"/>
      <c r="J51" s="2022"/>
      <c r="K51" s="2022"/>
      <c r="L51" s="2022"/>
    </row>
    <row r="52" spans="4:12" hidden="1">
      <c r="D52" s="1273">
        <v>22050</v>
      </c>
      <c r="E52" s="21" t="s">
        <v>4554</v>
      </c>
      <c r="F52" s="21"/>
      <c r="G52" s="21"/>
      <c r="H52" s="21"/>
      <c r="I52" s="2022"/>
      <c r="J52" s="2022"/>
      <c r="K52" s="2022"/>
      <c r="L52" s="2022"/>
    </row>
  </sheetData>
  <pageMargins left="0.25" right="0.25" top="0.75" bottom="0.75" header="0.3" footer="0.3"/>
  <pageSetup paperSize="9" orientation="landscape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D28"/>
  <sheetViews>
    <sheetView workbookViewId="0">
      <selection activeCell="C38" sqref="C38"/>
    </sheetView>
  </sheetViews>
  <sheetFormatPr baseColWidth="10" defaultRowHeight="15"/>
  <cols>
    <col min="3" max="3" width="51.28515625" customWidth="1"/>
  </cols>
  <sheetData>
    <row r="2" spans="2:4">
      <c r="B2" s="63">
        <v>44445</v>
      </c>
      <c r="C2" s="25" t="s">
        <v>592</v>
      </c>
      <c r="D2" s="25"/>
    </row>
    <row r="3" spans="2:4">
      <c r="B3" s="25"/>
      <c r="C3" s="25"/>
      <c r="D3" s="25"/>
    </row>
    <row r="4" spans="2:4">
      <c r="B4" s="21" t="s">
        <v>0</v>
      </c>
      <c r="C4" s="21" t="s">
        <v>1</v>
      </c>
      <c r="D4" s="21"/>
    </row>
    <row r="5" spans="2:4">
      <c r="B5" s="21">
        <v>15375</v>
      </c>
      <c r="C5" s="21" t="s">
        <v>567</v>
      </c>
      <c r="D5" s="21" t="s">
        <v>585</v>
      </c>
    </row>
    <row r="6" spans="2:4">
      <c r="B6" s="21">
        <v>15376</v>
      </c>
      <c r="C6" s="21" t="s">
        <v>568</v>
      </c>
      <c r="D6" s="21" t="s">
        <v>585</v>
      </c>
    </row>
    <row r="7" spans="2:4">
      <c r="B7" s="21">
        <v>16325</v>
      </c>
      <c r="C7" s="21" t="s">
        <v>569</v>
      </c>
      <c r="D7" s="21" t="s">
        <v>586</v>
      </c>
    </row>
    <row r="8" spans="2:4">
      <c r="B8" s="21">
        <v>16326</v>
      </c>
      <c r="C8" s="21" t="s">
        <v>570</v>
      </c>
      <c r="D8" s="21" t="s">
        <v>586</v>
      </c>
    </row>
    <row r="9" spans="2:4">
      <c r="B9" s="21">
        <v>15582</v>
      </c>
      <c r="C9" s="21" t="s">
        <v>571</v>
      </c>
      <c r="D9" s="21" t="s">
        <v>591</v>
      </c>
    </row>
    <row r="10" spans="2:4">
      <c r="B10" s="21">
        <v>15863</v>
      </c>
      <c r="C10" s="21" t="s">
        <v>572</v>
      </c>
      <c r="D10" s="21" t="s">
        <v>591</v>
      </c>
    </row>
    <row r="11" spans="2:4">
      <c r="B11" s="21">
        <v>15865</v>
      </c>
      <c r="C11" s="21" t="s">
        <v>573</v>
      </c>
      <c r="D11" s="21" t="s">
        <v>591</v>
      </c>
    </row>
    <row r="12" spans="2:4">
      <c r="B12" s="21">
        <v>15379</v>
      </c>
      <c r="C12" s="21" t="s">
        <v>574</v>
      </c>
      <c r="D12" s="21" t="s">
        <v>591</v>
      </c>
    </row>
    <row r="13" spans="2:4">
      <c r="B13" s="21">
        <v>15377</v>
      </c>
      <c r="C13" s="21" t="s">
        <v>575</v>
      </c>
      <c r="D13" s="21" t="s">
        <v>591</v>
      </c>
    </row>
    <row r="14" spans="2:4">
      <c r="B14" s="21">
        <v>15378</v>
      </c>
      <c r="C14" s="21" t="s">
        <v>576</v>
      </c>
      <c r="D14" s="21" t="s">
        <v>591</v>
      </c>
    </row>
    <row r="15" spans="2:4">
      <c r="B15" s="21">
        <v>8387</v>
      </c>
      <c r="C15" s="21" t="s">
        <v>499</v>
      </c>
      <c r="D15" s="21" t="s">
        <v>587</v>
      </c>
    </row>
    <row r="16" spans="2:4">
      <c r="B16" s="21">
        <v>8386</v>
      </c>
      <c r="C16" s="21" t="s">
        <v>500</v>
      </c>
      <c r="D16" s="21" t="s">
        <v>588</v>
      </c>
    </row>
    <row r="17" spans="2:4">
      <c r="B17" s="21">
        <v>13515</v>
      </c>
      <c r="C17" s="21" t="s">
        <v>501</v>
      </c>
      <c r="D17" s="21" t="s">
        <v>591</v>
      </c>
    </row>
    <row r="18" spans="2:4">
      <c r="B18" s="21">
        <v>8105</v>
      </c>
      <c r="C18" s="21" t="s">
        <v>502</v>
      </c>
      <c r="D18" s="21" t="s">
        <v>588</v>
      </c>
    </row>
    <row r="19" spans="2:4">
      <c r="B19" s="21">
        <v>8104</v>
      </c>
      <c r="C19" s="21" t="s">
        <v>503</v>
      </c>
      <c r="D19" s="21" t="s">
        <v>588</v>
      </c>
    </row>
    <row r="20" spans="2:4">
      <c r="B20" s="21">
        <v>9025</v>
      </c>
      <c r="C20" s="21" t="s">
        <v>504</v>
      </c>
      <c r="D20" s="21" t="s">
        <v>591</v>
      </c>
    </row>
    <row r="21" spans="2:4">
      <c r="B21" s="21">
        <v>11057</v>
      </c>
      <c r="C21" s="21" t="s">
        <v>577</v>
      </c>
      <c r="D21" s="21" t="s">
        <v>589</v>
      </c>
    </row>
    <row r="22" spans="2:4">
      <c r="B22" s="21">
        <v>16974</v>
      </c>
      <c r="C22" s="21" t="s">
        <v>578</v>
      </c>
      <c r="D22" s="21" t="s">
        <v>589</v>
      </c>
    </row>
    <row r="23" spans="2:4">
      <c r="B23" s="21">
        <v>16976</v>
      </c>
      <c r="C23" s="21" t="s">
        <v>579</v>
      </c>
      <c r="D23" s="21" t="s">
        <v>589</v>
      </c>
    </row>
    <row r="24" spans="2:4">
      <c r="B24" s="21">
        <v>16977</v>
      </c>
      <c r="C24" s="21" t="s">
        <v>580</v>
      </c>
      <c r="D24" s="21" t="s">
        <v>590</v>
      </c>
    </row>
    <row r="25" spans="2:4">
      <c r="B25" s="21">
        <v>16975</v>
      </c>
      <c r="C25" s="21" t="s">
        <v>581</v>
      </c>
      <c r="D25" s="21" t="s">
        <v>590</v>
      </c>
    </row>
    <row r="26" spans="2:4">
      <c r="B26" s="21">
        <v>16973</v>
      </c>
      <c r="C26" s="21" t="s">
        <v>582</v>
      </c>
      <c r="D26" s="21" t="s">
        <v>591</v>
      </c>
    </row>
    <row r="27" spans="2:4">
      <c r="B27" s="21">
        <v>15860</v>
      </c>
      <c r="C27" s="21" t="s">
        <v>583</v>
      </c>
      <c r="D27" s="21" t="s">
        <v>591</v>
      </c>
    </row>
    <row r="28" spans="2:4">
      <c r="B28" s="21">
        <v>15862</v>
      </c>
      <c r="C28" s="21" t="s">
        <v>584</v>
      </c>
      <c r="D28" s="21" t="s">
        <v>591</v>
      </c>
    </row>
  </sheetData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B2:E42"/>
  <sheetViews>
    <sheetView topLeftCell="A10" workbookViewId="0">
      <selection activeCell="B16" sqref="B16"/>
    </sheetView>
  </sheetViews>
  <sheetFormatPr baseColWidth="10" defaultRowHeight="15"/>
  <cols>
    <col min="2" max="4" width="11.42578125" style="506"/>
    <col min="5" max="5" width="56" customWidth="1"/>
  </cols>
  <sheetData>
    <row r="2" spans="2:5">
      <c r="B2" s="507" t="s">
        <v>0</v>
      </c>
      <c r="C2" s="507" t="s">
        <v>122</v>
      </c>
      <c r="D2" s="507" t="s">
        <v>547</v>
      </c>
      <c r="E2" s="405" t="s">
        <v>1</v>
      </c>
    </row>
    <row r="3" spans="2:5">
      <c r="B3" s="507">
        <v>11982</v>
      </c>
      <c r="C3" s="507">
        <v>36</v>
      </c>
      <c r="D3" s="507">
        <v>2.54</v>
      </c>
      <c r="E3" s="405" t="s">
        <v>2325</v>
      </c>
    </row>
    <row r="4" spans="2:5">
      <c r="B4" s="507">
        <v>10845</v>
      </c>
      <c r="C4" s="507">
        <v>36</v>
      </c>
      <c r="D4" s="507">
        <v>1.62</v>
      </c>
      <c r="E4" s="405" t="s">
        <v>2326</v>
      </c>
    </row>
    <row r="5" spans="2:5">
      <c r="B5" s="507">
        <v>11979</v>
      </c>
      <c r="C5" s="507">
        <v>36</v>
      </c>
      <c r="D5" s="507">
        <v>2.71</v>
      </c>
      <c r="E5" s="405" t="s">
        <v>2327</v>
      </c>
    </row>
    <row r="6" spans="2:5">
      <c r="B6" s="507">
        <v>8345</v>
      </c>
      <c r="C6" s="507">
        <v>12</v>
      </c>
      <c r="D6" s="507">
        <v>1.94</v>
      </c>
      <c r="E6" s="405" t="s">
        <v>2328</v>
      </c>
    </row>
    <row r="7" spans="2:5">
      <c r="B7" s="507">
        <v>11990</v>
      </c>
      <c r="C7" s="507">
        <v>36</v>
      </c>
      <c r="D7" s="507">
        <v>2.5</v>
      </c>
      <c r="E7" s="405" t="s">
        <v>2329</v>
      </c>
    </row>
    <row r="8" spans="2:5">
      <c r="B8" s="507">
        <v>10595</v>
      </c>
      <c r="C8" s="507">
        <v>12</v>
      </c>
      <c r="D8" s="507">
        <v>1.96</v>
      </c>
      <c r="E8" s="405" t="s">
        <v>2330</v>
      </c>
    </row>
    <row r="9" spans="2:5">
      <c r="B9" s="507">
        <v>8131</v>
      </c>
      <c r="C9" s="507">
        <v>12</v>
      </c>
      <c r="D9" s="507">
        <v>1.72</v>
      </c>
      <c r="E9" s="405" t="s">
        <v>2331</v>
      </c>
    </row>
    <row r="10" spans="2:5">
      <c r="B10" s="507">
        <v>8132</v>
      </c>
      <c r="C10" s="507">
        <v>12</v>
      </c>
      <c r="D10" s="507">
        <v>1.72</v>
      </c>
      <c r="E10" s="405" t="s">
        <v>2332</v>
      </c>
    </row>
    <row r="11" spans="2:5">
      <c r="B11" s="507">
        <v>8130</v>
      </c>
      <c r="C11" s="507">
        <v>48</v>
      </c>
      <c r="D11" s="507">
        <v>1.78</v>
      </c>
      <c r="E11" s="405" t="s">
        <v>2333</v>
      </c>
    </row>
    <row r="12" spans="2:5">
      <c r="B12" s="507">
        <v>15640</v>
      </c>
      <c r="C12" s="507">
        <v>24</v>
      </c>
      <c r="D12" s="507">
        <v>1.62</v>
      </c>
      <c r="E12" s="405" t="s">
        <v>2334</v>
      </c>
    </row>
    <row r="13" spans="2:5">
      <c r="B13" s="507">
        <v>15641</v>
      </c>
      <c r="C13" s="507">
        <v>24</v>
      </c>
      <c r="D13" s="507">
        <v>1.62</v>
      </c>
      <c r="E13" s="405" t="s">
        <v>2335</v>
      </c>
    </row>
    <row r="14" spans="2:5">
      <c r="B14" s="507">
        <v>10590</v>
      </c>
      <c r="C14" s="507">
        <v>12</v>
      </c>
      <c r="D14" s="507">
        <v>2.1</v>
      </c>
      <c r="E14" s="405" t="s">
        <v>2336</v>
      </c>
    </row>
    <row r="15" spans="2:5">
      <c r="B15" s="507">
        <v>10589</v>
      </c>
      <c r="C15" s="507">
        <v>12</v>
      </c>
      <c r="D15" s="507">
        <v>2.1</v>
      </c>
      <c r="E15" s="405" t="s">
        <v>2337</v>
      </c>
    </row>
    <row r="16" spans="2:5">
      <c r="B16" s="507">
        <v>8121</v>
      </c>
      <c r="C16" s="507">
        <v>36</v>
      </c>
      <c r="D16" s="507">
        <v>1.43</v>
      </c>
      <c r="E16" s="405" t="s">
        <v>2338</v>
      </c>
    </row>
    <row r="17" spans="2:5">
      <c r="B17" s="507">
        <v>11981</v>
      </c>
      <c r="C17" s="507">
        <v>36</v>
      </c>
      <c r="D17" s="507">
        <v>2.74</v>
      </c>
      <c r="E17" s="405" t="s">
        <v>2339</v>
      </c>
    </row>
    <row r="18" spans="2:5">
      <c r="B18" s="507">
        <v>11983</v>
      </c>
      <c r="C18" s="507">
        <v>36</v>
      </c>
      <c r="D18" s="507">
        <v>1.51</v>
      </c>
      <c r="E18" s="405" t="s">
        <v>2340</v>
      </c>
    </row>
    <row r="19" spans="2:5">
      <c r="B19" s="507">
        <v>11984</v>
      </c>
      <c r="C19" s="507">
        <v>36</v>
      </c>
      <c r="D19" s="507">
        <v>1.51</v>
      </c>
      <c r="E19" s="405" t="s">
        <v>2341</v>
      </c>
    </row>
    <row r="20" spans="2:5">
      <c r="B20" s="507">
        <v>11989</v>
      </c>
      <c r="C20" s="507">
        <v>36</v>
      </c>
      <c r="D20" s="507">
        <v>2.3199999999999998</v>
      </c>
      <c r="E20" s="405" t="s">
        <v>2342</v>
      </c>
    </row>
    <row r="21" spans="2:5">
      <c r="B21" s="507">
        <v>10841</v>
      </c>
      <c r="C21" s="507">
        <v>48</v>
      </c>
      <c r="D21" s="507">
        <v>2.96</v>
      </c>
      <c r="E21" s="405" t="s">
        <v>2343</v>
      </c>
    </row>
    <row r="22" spans="2:5">
      <c r="B22" s="507">
        <v>10842</v>
      </c>
      <c r="C22" s="507">
        <v>48</v>
      </c>
      <c r="D22" s="507">
        <v>2.96</v>
      </c>
      <c r="E22" s="405" t="s">
        <v>2344</v>
      </c>
    </row>
    <row r="23" spans="2:5">
      <c r="B23" s="507">
        <v>10843</v>
      </c>
      <c r="C23" s="507">
        <v>48</v>
      </c>
      <c r="D23" s="507">
        <v>1.48</v>
      </c>
      <c r="E23" s="405" t="s">
        <v>2345</v>
      </c>
    </row>
    <row r="24" spans="2:5">
      <c r="B24" s="507">
        <v>10840</v>
      </c>
      <c r="C24" s="507">
        <v>48</v>
      </c>
      <c r="D24" s="507">
        <v>0.97</v>
      </c>
      <c r="E24" s="405" t="s">
        <v>2346</v>
      </c>
    </row>
    <row r="25" spans="2:5">
      <c r="B25" s="507">
        <v>10839</v>
      </c>
      <c r="C25" s="507">
        <v>48</v>
      </c>
      <c r="D25" s="507">
        <v>0.97</v>
      </c>
      <c r="E25" s="405" t="s">
        <v>2347</v>
      </c>
    </row>
    <row r="26" spans="2:5">
      <c r="B26" s="507">
        <v>10838</v>
      </c>
      <c r="C26" s="507">
        <v>48</v>
      </c>
      <c r="D26" s="507">
        <v>0.98</v>
      </c>
      <c r="E26" s="405" t="s">
        <v>2348</v>
      </c>
    </row>
    <row r="27" spans="2:5">
      <c r="B27" s="507">
        <v>8125</v>
      </c>
      <c r="C27" s="507">
        <v>12</v>
      </c>
      <c r="D27" s="507">
        <v>1.79</v>
      </c>
      <c r="E27" s="405" t="s">
        <v>2349</v>
      </c>
    </row>
    <row r="28" spans="2:5">
      <c r="B28" s="507">
        <v>10591</v>
      </c>
      <c r="C28" s="507">
        <v>12</v>
      </c>
      <c r="D28" s="507">
        <v>1.79</v>
      </c>
      <c r="E28" s="405" t="s">
        <v>2350</v>
      </c>
    </row>
    <row r="29" spans="2:5">
      <c r="B29" s="507">
        <v>10593</v>
      </c>
      <c r="C29" s="507">
        <v>12</v>
      </c>
      <c r="D29" s="507">
        <v>2.2799999999999998</v>
      </c>
      <c r="E29" s="405" t="s">
        <v>2351</v>
      </c>
    </row>
    <row r="30" spans="2:5">
      <c r="B30" s="507">
        <v>8122</v>
      </c>
      <c r="C30" s="507">
        <v>12</v>
      </c>
      <c r="D30" s="507">
        <v>1.7</v>
      </c>
      <c r="E30" s="405" t="s">
        <v>2352</v>
      </c>
    </row>
    <row r="31" spans="2:5">
      <c r="B31" s="507">
        <v>10837</v>
      </c>
      <c r="C31" s="507">
        <v>48</v>
      </c>
      <c r="D31" s="507">
        <v>1.42</v>
      </c>
      <c r="E31" s="405" t="s">
        <v>2353</v>
      </c>
    </row>
    <row r="32" spans="2:5">
      <c r="B32" s="507">
        <v>8123</v>
      </c>
      <c r="C32" s="507">
        <v>12</v>
      </c>
      <c r="D32" s="507">
        <v>1.31</v>
      </c>
      <c r="E32" s="405" t="s">
        <v>2354</v>
      </c>
    </row>
    <row r="33" spans="2:5">
      <c r="B33" s="507">
        <v>10592</v>
      </c>
      <c r="C33" s="507">
        <v>12</v>
      </c>
      <c r="D33" s="507">
        <v>1.31</v>
      </c>
      <c r="E33" s="405" t="s">
        <v>2355</v>
      </c>
    </row>
    <row r="34" spans="2:5">
      <c r="B34" s="507">
        <v>11987</v>
      </c>
      <c r="C34" s="507">
        <v>36</v>
      </c>
      <c r="D34" s="507">
        <v>1.64</v>
      </c>
      <c r="E34" s="405" t="s">
        <v>2356</v>
      </c>
    </row>
    <row r="35" spans="2:5">
      <c r="B35" s="507">
        <v>10594</v>
      </c>
      <c r="C35" s="507">
        <v>12</v>
      </c>
      <c r="D35" s="507">
        <v>2.2599999999999998</v>
      </c>
      <c r="E35" s="405" t="s">
        <v>2357</v>
      </c>
    </row>
    <row r="36" spans="2:5">
      <c r="B36" s="507">
        <v>10844</v>
      </c>
      <c r="C36" s="507">
        <v>48</v>
      </c>
      <c r="D36" s="507">
        <v>2.34</v>
      </c>
      <c r="E36" s="405" t="s">
        <v>2358</v>
      </c>
    </row>
    <row r="37" spans="2:5">
      <c r="B37" s="507">
        <v>11999</v>
      </c>
      <c r="C37" s="507">
        <v>36</v>
      </c>
      <c r="D37" s="507">
        <v>2.36</v>
      </c>
      <c r="E37" s="405" t="s">
        <v>2359</v>
      </c>
    </row>
    <row r="38" spans="2:5">
      <c r="B38" s="507">
        <v>11995</v>
      </c>
      <c r="C38" s="507">
        <v>36</v>
      </c>
      <c r="D38" s="507">
        <v>3.43</v>
      </c>
      <c r="E38" s="405" t="s">
        <v>2360</v>
      </c>
    </row>
    <row r="39" spans="2:5">
      <c r="B39" s="507">
        <v>11997</v>
      </c>
      <c r="C39" s="507">
        <v>36</v>
      </c>
      <c r="D39" s="507">
        <v>3.55</v>
      </c>
      <c r="E39" s="405" t="s">
        <v>2361</v>
      </c>
    </row>
    <row r="40" spans="2:5">
      <c r="B40" s="507">
        <v>11992</v>
      </c>
      <c r="C40" s="507">
        <v>36</v>
      </c>
      <c r="D40" s="507">
        <v>2.95</v>
      </c>
      <c r="E40" s="405" t="s">
        <v>2362</v>
      </c>
    </row>
    <row r="41" spans="2:5">
      <c r="B41" s="507">
        <v>11986</v>
      </c>
      <c r="C41" s="507">
        <v>36</v>
      </c>
      <c r="D41" s="507">
        <v>2.98</v>
      </c>
      <c r="E41" s="405" t="s">
        <v>2363</v>
      </c>
    </row>
    <row r="42" spans="2:5">
      <c r="B42" s="507">
        <v>3108</v>
      </c>
      <c r="C42" s="507">
        <v>12</v>
      </c>
      <c r="D42" s="507">
        <v>2.2999999999999998</v>
      </c>
      <c r="E42" s="405" t="s">
        <v>2364</v>
      </c>
    </row>
  </sheetData>
  <pageMargins left="0.7" right="0.7" top="0.75" bottom="0.75" header="0.3" footer="0.3"/>
  <pageSetup paperSize="119" orientation="landscape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3:C36"/>
  <sheetViews>
    <sheetView topLeftCell="A16" workbookViewId="0">
      <selection activeCell="C14" sqref="C14"/>
    </sheetView>
  </sheetViews>
  <sheetFormatPr baseColWidth="10" defaultRowHeight="15"/>
  <cols>
    <col min="3" max="3" width="52.85546875" customWidth="1"/>
  </cols>
  <sheetData>
    <row r="3" spans="2:3">
      <c r="B3" s="693" t="s">
        <v>0</v>
      </c>
      <c r="C3" s="693" t="s">
        <v>1</v>
      </c>
    </row>
    <row r="4" spans="2:3">
      <c r="B4" s="693">
        <v>6886</v>
      </c>
      <c r="C4" s="693" t="s">
        <v>2397</v>
      </c>
    </row>
    <row r="5" spans="2:3">
      <c r="B5" s="693">
        <v>6951</v>
      </c>
      <c r="C5" s="693" t="s">
        <v>2396</v>
      </c>
    </row>
    <row r="6" spans="2:3">
      <c r="B6" s="693">
        <v>13928</v>
      </c>
      <c r="C6" s="693" t="s">
        <v>3649</v>
      </c>
    </row>
    <row r="7" spans="2:3">
      <c r="B7" s="693">
        <v>950</v>
      </c>
      <c r="C7" s="693" t="s">
        <v>1508</v>
      </c>
    </row>
    <row r="8" spans="2:3">
      <c r="B8" s="693">
        <v>8016</v>
      </c>
      <c r="C8" s="693" t="s">
        <v>2393</v>
      </c>
    </row>
    <row r="9" spans="2:3">
      <c r="B9" s="693">
        <v>11076</v>
      </c>
      <c r="C9" s="693" t="s">
        <v>3648</v>
      </c>
    </row>
    <row r="10" spans="2:3">
      <c r="B10" s="693">
        <v>8117</v>
      </c>
      <c r="C10" s="693" t="s">
        <v>2284</v>
      </c>
    </row>
    <row r="11" spans="2:3">
      <c r="B11" s="693">
        <v>8017</v>
      </c>
      <c r="C11" s="693" t="s">
        <v>2283</v>
      </c>
    </row>
    <row r="12" spans="2:3">
      <c r="B12" s="693">
        <v>13450</v>
      </c>
      <c r="C12" s="693" t="s">
        <v>3647</v>
      </c>
    </row>
    <row r="13" spans="2:3">
      <c r="B13" s="693">
        <v>9923</v>
      </c>
      <c r="C13" s="693" t="s">
        <v>1890</v>
      </c>
    </row>
    <row r="14" spans="2:3">
      <c r="B14" s="693">
        <v>21070</v>
      </c>
      <c r="C14" s="693" t="s">
        <v>3646</v>
      </c>
    </row>
    <row r="15" spans="2:3">
      <c r="B15" s="693">
        <v>13663</v>
      </c>
      <c r="C15" s="693" t="s">
        <v>3645</v>
      </c>
    </row>
    <row r="16" spans="2:3">
      <c r="B16" s="693">
        <v>16112</v>
      </c>
      <c r="C16" s="693" t="s">
        <v>3644</v>
      </c>
    </row>
    <row r="17" spans="2:3">
      <c r="B17" s="693">
        <v>9259</v>
      </c>
      <c r="C17" s="693" t="s">
        <v>3643</v>
      </c>
    </row>
    <row r="18" spans="2:3">
      <c r="B18" s="693">
        <v>2647</v>
      </c>
      <c r="C18" s="693" t="s">
        <v>1899</v>
      </c>
    </row>
    <row r="19" spans="2:3">
      <c r="B19" s="693">
        <v>13449</v>
      </c>
      <c r="C19" s="693" t="s">
        <v>3642</v>
      </c>
    </row>
    <row r="20" spans="2:3">
      <c r="B20" s="693">
        <v>7644</v>
      </c>
      <c r="C20" s="693" t="s">
        <v>2454</v>
      </c>
    </row>
    <row r="21" spans="2:3">
      <c r="B21" s="693">
        <v>12318</v>
      </c>
      <c r="C21" s="693" t="s">
        <v>3641</v>
      </c>
    </row>
    <row r="22" spans="2:3">
      <c r="B22" s="693">
        <v>7254</v>
      </c>
      <c r="C22" s="693" t="s">
        <v>2392</v>
      </c>
    </row>
    <row r="23" spans="2:3">
      <c r="B23" s="693">
        <v>7182</v>
      </c>
      <c r="C23" s="693" t="s">
        <v>3640</v>
      </c>
    </row>
    <row r="24" spans="2:3">
      <c r="B24" s="693">
        <v>5671</v>
      </c>
      <c r="C24" s="693" t="s">
        <v>3639</v>
      </c>
    </row>
    <row r="25" spans="2:3">
      <c r="B25" s="693">
        <v>13448</v>
      </c>
      <c r="C25" s="693" t="s">
        <v>3638</v>
      </c>
    </row>
    <row r="26" spans="2:3">
      <c r="B26" s="693">
        <v>10059</v>
      </c>
      <c r="C26" s="693" t="s">
        <v>3637</v>
      </c>
    </row>
    <row r="27" spans="2:3">
      <c r="B27" s="693">
        <v>10060</v>
      </c>
      <c r="C27" s="693" t="s">
        <v>3636</v>
      </c>
    </row>
    <row r="28" spans="2:3">
      <c r="B28" s="693">
        <v>7641</v>
      </c>
      <c r="C28" s="693" t="s">
        <v>3635</v>
      </c>
    </row>
    <row r="29" spans="2:3">
      <c r="B29" s="693">
        <v>5672</v>
      </c>
      <c r="C29" s="693" t="s">
        <v>3634</v>
      </c>
    </row>
    <row r="30" spans="2:3">
      <c r="B30" s="693">
        <v>10058</v>
      </c>
      <c r="C30" s="693" t="s">
        <v>3633</v>
      </c>
    </row>
    <row r="31" spans="2:3">
      <c r="B31" s="693">
        <v>7643</v>
      </c>
      <c r="C31" s="693" t="s">
        <v>3632</v>
      </c>
    </row>
    <row r="32" spans="2:3">
      <c r="B32" s="693">
        <v>13964</v>
      </c>
      <c r="C32" s="693" t="s">
        <v>2387</v>
      </c>
    </row>
    <row r="33" spans="2:3">
      <c r="B33" s="693">
        <v>16111</v>
      </c>
      <c r="C33" s="693" t="s">
        <v>3631</v>
      </c>
    </row>
    <row r="34" spans="2:3">
      <c r="B34" s="693">
        <v>9989</v>
      </c>
      <c r="C34" s="693" t="s">
        <v>2399</v>
      </c>
    </row>
    <row r="35" spans="2:3">
      <c r="B35" s="693">
        <v>12901</v>
      </c>
      <c r="C35" s="693" t="s">
        <v>3630</v>
      </c>
    </row>
    <row r="36" spans="2:3">
      <c r="B36" s="693">
        <v>7134</v>
      </c>
      <c r="C36" s="693" t="s">
        <v>3629</v>
      </c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4:F99"/>
  <sheetViews>
    <sheetView topLeftCell="A63" workbookViewId="0">
      <selection activeCell="F98" sqref="F98"/>
    </sheetView>
  </sheetViews>
  <sheetFormatPr baseColWidth="10" defaultRowHeight="15"/>
  <cols>
    <col min="5" max="5" width="78.42578125" customWidth="1"/>
  </cols>
  <sheetData>
    <row r="4" spans="2:5">
      <c r="B4" s="827" t="s">
        <v>0</v>
      </c>
      <c r="C4" s="827" t="s">
        <v>122</v>
      </c>
      <c r="D4" s="827" t="s">
        <v>547</v>
      </c>
      <c r="E4" s="827" t="s">
        <v>1</v>
      </c>
    </row>
    <row r="5" spans="2:5">
      <c r="B5" s="827">
        <v>7456</v>
      </c>
      <c r="C5" s="827">
        <v>6</v>
      </c>
      <c r="D5" s="827">
        <v>1.71</v>
      </c>
      <c r="E5" s="827" t="s">
        <v>3525</v>
      </c>
    </row>
    <row r="6" spans="2:5">
      <c r="B6" s="827">
        <v>17009</v>
      </c>
      <c r="C6" s="827">
        <v>12</v>
      </c>
      <c r="D6" s="827">
        <v>1.71</v>
      </c>
      <c r="E6" s="827" t="s">
        <v>3526</v>
      </c>
    </row>
    <row r="7" spans="2:5">
      <c r="B7" s="827">
        <v>7459</v>
      </c>
      <c r="C7" s="827">
        <v>12</v>
      </c>
      <c r="D7" s="827">
        <v>1.71</v>
      </c>
      <c r="E7" s="827" t="s">
        <v>3527</v>
      </c>
    </row>
    <row r="8" spans="2:5">
      <c r="B8" s="827">
        <v>8849</v>
      </c>
      <c r="C8" s="827">
        <v>12</v>
      </c>
      <c r="D8" s="827">
        <v>1.71</v>
      </c>
      <c r="E8" s="827" t="s">
        <v>3528</v>
      </c>
    </row>
    <row r="9" spans="2:5">
      <c r="B9" s="827">
        <v>7457</v>
      </c>
      <c r="C9" s="827">
        <v>6</v>
      </c>
      <c r="D9" s="827">
        <v>1.71</v>
      </c>
      <c r="E9" s="827" t="s">
        <v>3529</v>
      </c>
    </row>
    <row r="10" spans="2:5">
      <c r="B10" s="827">
        <v>13643</v>
      </c>
      <c r="C10" s="827">
        <v>6</v>
      </c>
      <c r="D10" s="827">
        <v>7.07</v>
      </c>
      <c r="E10" s="827" t="s">
        <v>3530</v>
      </c>
    </row>
    <row r="11" spans="2:5">
      <c r="B11" s="827">
        <v>16173</v>
      </c>
      <c r="C11" s="827">
        <v>20</v>
      </c>
      <c r="D11" s="827">
        <v>0.86</v>
      </c>
      <c r="E11" s="827" t="s">
        <v>3531</v>
      </c>
    </row>
    <row r="12" spans="2:5">
      <c r="B12" s="827">
        <v>12490</v>
      </c>
      <c r="C12" s="827">
        <v>108</v>
      </c>
      <c r="D12" s="827">
        <v>1.67</v>
      </c>
      <c r="E12" s="827" t="s">
        <v>3532</v>
      </c>
    </row>
    <row r="13" spans="2:5">
      <c r="B13" s="827">
        <v>13570</v>
      </c>
      <c r="C13" s="827">
        <v>96</v>
      </c>
      <c r="D13" s="827">
        <v>0.08</v>
      </c>
      <c r="E13" s="827" t="s">
        <v>2465</v>
      </c>
    </row>
    <row r="14" spans="2:5">
      <c r="B14" s="827">
        <v>8750</v>
      </c>
      <c r="C14" s="827">
        <v>8</v>
      </c>
      <c r="D14" s="827">
        <v>2.0699999999999998</v>
      </c>
      <c r="E14" s="827" t="s">
        <v>3533</v>
      </c>
    </row>
    <row r="15" spans="2:5">
      <c r="B15" s="827">
        <v>14951</v>
      </c>
      <c r="C15" s="827">
        <v>6</v>
      </c>
      <c r="D15" s="827">
        <v>2.04</v>
      </c>
      <c r="E15" s="827" t="s">
        <v>3534</v>
      </c>
    </row>
    <row r="16" spans="2:5">
      <c r="B16" s="827">
        <v>14952</v>
      </c>
      <c r="C16" s="827">
        <v>6</v>
      </c>
      <c r="D16" s="827">
        <v>2.04</v>
      </c>
      <c r="E16" s="827" t="s">
        <v>3535</v>
      </c>
    </row>
    <row r="17" spans="2:5">
      <c r="B17" s="827">
        <v>17005</v>
      </c>
      <c r="C17" s="827">
        <v>6</v>
      </c>
      <c r="D17" s="827">
        <v>3.56</v>
      </c>
      <c r="E17" s="827" t="s">
        <v>3536</v>
      </c>
    </row>
    <row r="18" spans="2:5">
      <c r="B18" s="827">
        <v>10943</v>
      </c>
      <c r="C18" s="827">
        <v>6</v>
      </c>
      <c r="D18" s="827">
        <v>4.99</v>
      </c>
      <c r="E18" s="827" t="s">
        <v>1439</v>
      </c>
    </row>
    <row r="19" spans="2:5">
      <c r="B19" s="827">
        <v>17004</v>
      </c>
      <c r="C19" s="827">
        <v>6</v>
      </c>
      <c r="D19" s="827">
        <v>3.56</v>
      </c>
      <c r="E19" s="827" t="s">
        <v>3537</v>
      </c>
    </row>
    <row r="20" spans="2:5">
      <c r="B20" s="827">
        <v>17007</v>
      </c>
      <c r="C20" s="827">
        <v>12</v>
      </c>
      <c r="D20" s="827">
        <v>1.46</v>
      </c>
      <c r="E20" s="827" t="s">
        <v>3538</v>
      </c>
    </row>
    <row r="21" spans="2:5">
      <c r="B21" s="827">
        <v>16174</v>
      </c>
      <c r="C21" s="827">
        <v>12</v>
      </c>
      <c r="D21" s="827">
        <v>1.46</v>
      </c>
      <c r="E21" s="827" t="s">
        <v>3539</v>
      </c>
    </row>
    <row r="22" spans="2:5">
      <c r="B22" s="827">
        <v>14246</v>
      </c>
      <c r="C22" s="827">
        <v>12</v>
      </c>
      <c r="D22" s="827">
        <v>2.79</v>
      </c>
      <c r="E22" s="827" t="s">
        <v>3540</v>
      </c>
    </row>
    <row r="23" spans="2:5">
      <c r="B23" s="827">
        <v>9420</v>
      </c>
      <c r="C23" s="827">
        <v>5</v>
      </c>
      <c r="D23" s="827">
        <v>3.47</v>
      </c>
      <c r="E23" s="827" t="s">
        <v>3541</v>
      </c>
    </row>
    <row r="24" spans="2:5">
      <c r="B24" s="827">
        <v>15363</v>
      </c>
      <c r="C24" s="827">
        <v>6</v>
      </c>
      <c r="D24" s="827">
        <v>2.1</v>
      </c>
      <c r="E24" s="827" t="s">
        <v>3542</v>
      </c>
    </row>
    <row r="25" spans="2:5">
      <c r="B25" s="827">
        <v>17008</v>
      </c>
      <c r="C25" s="827">
        <v>6</v>
      </c>
      <c r="D25" s="827">
        <v>2.48</v>
      </c>
      <c r="E25" s="827" t="s">
        <v>3543</v>
      </c>
    </row>
    <row r="26" spans="2:5">
      <c r="B26" s="827">
        <v>15525</v>
      </c>
      <c r="C26" s="827">
        <v>6</v>
      </c>
      <c r="D26" s="827">
        <v>2.48</v>
      </c>
      <c r="E26" s="827" t="s">
        <v>3544</v>
      </c>
    </row>
    <row r="27" spans="2:5">
      <c r="B27" s="827">
        <v>14248</v>
      </c>
      <c r="C27" s="827">
        <v>6</v>
      </c>
      <c r="D27" s="827">
        <v>1.76</v>
      </c>
      <c r="E27" s="827" t="s">
        <v>3545</v>
      </c>
    </row>
    <row r="28" spans="2:5">
      <c r="B28" s="827">
        <v>14247</v>
      </c>
      <c r="C28" s="827">
        <v>6</v>
      </c>
      <c r="D28" s="827">
        <v>2.1</v>
      </c>
      <c r="E28" s="827" t="s">
        <v>3546</v>
      </c>
    </row>
    <row r="29" spans="2:5">
      <c r="B29" s="827">
        <v>14505</v>
      </c>
      <c r="C29" s="827">
        <v>6</v>
      </c>
      <c r="D29" s="827">
        <v>2.48</v>
      </c>
      <c r="E29" s="827" t="s">
        <v>3547</v>
      </c>
    </row>
    <row r="30" spans="2:5">
      <c r="B30" s="827">
        <v>9416</v>
      </c>
      <c r="C30" s="827">
        <v>6</v>
      </c>
      <c r="D30" s="827">
        <v>2.75</v>
      </c>
      <c r="E30" s="827" t="s">
        <v>3548</v>
      </c>
    </row>
    <row r="31" spans="2:5">
      <c r="B31" s="827">
        <v>15362</v>
      </c>
      <c r="C31" s="827">
        <v>6</v>
      </c>
      <c r="D31" s="827">
        <v>2.75</v>
      </c>
      <c r="E31" s="827" t="s">
        <v>3549</v>
      </c>
    </row>
    <row r="32" spans="2:5">
      <c r="B32" s="827">
        <v>14506</v>
      </c>
      <c r="C32" s="827">
        <v>6</v>
      </c>
      <c r="D32" s="827">
        <v>1.75</v>
      </c>
      <c r="E32" s="827" t="s">
        <v>3550</v>
      </c>
    </row>
    <row r="33" spans="2:5">
      <c r="B33" s="827">
        <v>16172</v>
      </c>
      <c r="C33" s="827">
        <v>12</v>
      </c>
      <c r="D33" s="827">
        <v>1.33</v>
      </c>
      <c r="E33" s="827" t="s">
        <v>3551</v>
      </c>
    </row>
    <row r="34" spans="2:5">
      <c r="B34" s="827">
        <v>15357</v>
      </c>
      <c r="C34" s="827">
        <v>40</v>
      </c>
      <c r="D34" s="827">
        <v>0.71</v>
      </c>
      <c r="E34" s="827" t="s">
        <v>3552</v>
      </c>
    </row>
    <row r="35" spans="2:5">
      <c r="B35" s="827">
        <v>13868</v>
      </c>
      <c r="C35" s="827">
        <v>12</v>
      </c>
      <c r="D35" s="827">
        <v>0.83</v>
      </c>
      <c r="E35" s="827" t="s">
        <v>3553</v>
      </c>
    </row>
    <row r="36" spans="2:5">
      <c r="B36" s="827">
        <v>11854</v>
      </c>
      <c r="C36" s="827">
        <v>3</v>
      </c>
      <c r="D36" s="827">
        <v>0.75</v>
      </c>
      <c r="E36" s="827" t="s">
        <v>3554</v>
      </c>
    </row>
    <row r="37" spans="2:5">
      <c r="B37" s="827">
        <v>14231</v>
      </c>
      <c r="C37" s="827">
        <v>12</v>
      </c>
      <c r="D37" s="827">
        <v>0.89</v>
      </c>
      <c r="E37" s="827" t="s">
        <v>3555</v>
      </c>
    </row>
    <row r="38" spans="2:5">
      <c r="B38" s="827">
        <v>13885</v>
      </c>
      <c r="C38" s="827">
        <v>12</v>
      </c>
      <c r="D38" s="827">
        <v>0.89</v>
      </c>
      <c r="E38" s="827" t="s">
        <v>3556</v>
      </c>
    </row>
    <row r="39" spans="2:5">
      <c r="B39" s="827">
        <v>14508</v>
      </c>
      <c r="C39" s="827">
        <v>12</v>
      </c>
      <c r="D39" s="827">
        <v>0.89</v>
      </c>
      <c r="E39" s="827" t="s">
        <v>3557</v>
      </c>
    </row>
    <row r="40" spans="2:5">
      <c r="B40" s="827">
        <v>14365</v>
      </c>
      <c r="C40" s="827">
        <v>12</v>
      </c>
      <c r="D40" s="827">
        <v>0.89</v>
      </c>
      <c r="E40" s="827" t="s">
        <v>3558</v>
      </c>
    </row>
    <row r="41" spans="2:5">
      <c r="B41" s="827">
        <v>15358</v>
      </c>
      <c r="C41" s="827">
        <v>12</v>
      </c>
      <c r="D41" s="827">
        <v>0.83</v>
      </c>
      <c r="E41" s="827" t="s">
        <v>3559</v>
      </c>
    </row>
    <row r="42" spans="2:5">
      <c r="B42" s="827">
        <v>18239</v>
      </c>
      <c r="C42" s="827">
        <v>1</v>
      </c>
      <c r="D42" s="827">
        <v>39.15</v>
      </c>
      <c r="E42" s="827" t="s">
        <v>3560</v>
      </c>
    </row>
    <row r="43" spans="2:5">
      <c r="B43" s="827">
        <v>2967</v>
      </c>
      <c r="C43" s="827">
        <v>40</v>
      </c>
      <c r="D43" s="827">
        <v>0.76</v>
      </c>
      <c r="E43" s="827" t="s">
        <v>3561</v>
      </c>
    </row>
    <row r="44" spans="2:5">
      <c r="B44" s="827">
        <v>19507</v>
      </c>
      <c r="C44" s="827">
        <v>2</v>
      </c>
      <c r="D44" s="827">
        <v>9.7200000000000006</v>
      </c>
      <c r="E44" s="827" t="s">
        <v>3562</v>
      </c>
    </row>
    <row r="45" spans="2:5">
      <c r="B45" s="827">
        <v>16171</v>
      </c>
      <c r="C45" s="827">
        <v>2</v>
      </c>
      <c r="D45" s="827">
        <v>9.73</v>
      </c>
      <c r="E45" s="827" t="s">
        <v>3563</v>
      </c>
    </row>
    <row r="46" spans="2:5">
      <c r="B46" s="827">
        <v>17810</v>
      </c>
      <c r="C46" s="827">
        <v>5</v>
      </c>
      <c r="D46" s="827">
        <v>2.84</v>
      </c>
      <c r="E46" s="827" t="s">
        <v>3564</v>
      </c>
    </row>
    <row r="47" spans="2:5">
      <c r="B47" s="827">
        <v>14728</v>
      </c>
      <c r="C47" s="827">
        <v>6</v>
      </c>
      <c r="D47" s="827">
        <v>2.84</v>
      </c>
      <c r="E47" s="827" t="s">
        <v>3565</v>
      </c>
    </row>
    <row r="48" spans="2:5">
      <c r="B48" s="827">
        <v>15524</v>
      </c>
      <c r="C48" s="827">
        <v>6</v>
      </c>
      <c r="D48" s="827">
        <v>3.03</v>
      </c>
      <c r="E48" s="827" t="s">
        <v>3566</v>
      </c>
    </row>
    <row r="49" spans="2:5">
      <c r="B49" s="827">
        <v>13650</v>
      </c>
      <c r="C49" s="827">
        <v>6</v>
      </c>
      <c r="D49" s="827">
        <v>4.41</v>
      </c>
      <c r="E49" s="827" t="s">
        <v>3567</v>
      </c>
    </row>
    <row r="50" spans="2:5">
      <c r="B50" s="827">
        <v>12685</v>
      </c>
      <c r="C50" s="827">
        <v>6</v>
      </c>
      <c r="D50" s="827">
        <v>7.89</v>
      </c>
      <c r="E50" s="827" t="s">
        <v>3568</v>
      </c>
    </row>
    <row r="51" spans="2:5">
      <c r="B51" s="827">
        <v>12683</v>
      </c>
      <c r="C51" s="827">
        <v>6</v>
      </c>
      <c r="D51" s="827">
        <v>10.14</v>
      </c>
      <c r="E51" s="827" t="s">
        <v>3569</v>
      </c>
    </row>
    <row r="52" spans="2:5">
      <c r="B52" s="827">
        <v>17808</v>
      </c>
      <c r="C52" s="827">
        <v>12</v>
      </c>
      <c r="D52" s="827">
        <v>4.24</v>
      </c>
      <c r="E52" s="827" t="s">
        <v>3570</v>
      </c>
    </row>
    <row r="53" spans="2:5">
      <c r="B53" s="827">
        <v>19502</v>
      </c>
      <c r="C53" s="827">
        <v>12</v>
      </c>
      <c r="D53" s="827">
        <v>1.43</v>
      </c>
      <c r="E53" s="827" t="s">
        <v>3571</v>
      </c>
    </row>
    <row r="54" spans="2:5">
      <c r="B54" s="827">
        <v>19508</v>
      </c>
      <c r="C54" s="827">
        <v>6</v>
      </c>
      <c r="D54" s="827">
        <v>5.0999999999999996</v>
      </c>
      <c r="E54" s="827" t="s">
        <v>3572</v>
      </c>
    </row>
    <row r="55" spans="2:5">
      <c r="B55" s="827">
        <v>14955</v>
      </c>
      <c r="C55" s="827">
        <v>6</v>
      </c>
      <c r="D55" s="827">
        <v>5.0999999999999996</v>
      </c>
      <c r="E55" s="827" t="s">
        <v>3573</v>
      </c>
    </row>
    <row r="56" spans="2:5">
      <c r="B56" s="827">
        <v>19509</v>
      </c>
      <c r="C56" s="827">
        <v>6</v>
      </c>
      <c r="D56" s="827">
        <v>5.0999999999999996</v>
      </c>
      <c r="E56" s="827" t="s">
        <v>3574</v>
      </c>
    </row>
    <row r="57" spans="2:5">
      <c r="B57" s="827">
        <v>19503</v>
      </c>
      <c r="C57" s="827">
        <v>12</v>
      </c>
      <c r="D57" s="827">
        <v>3.6</v>
      </c>
      <c r="E57" s="827" t="s">
        <v>3575</v>
      </c>
    </row>
    <row r="58" spans="2:5">
      <c r="B58" s="827">
        <v>12694</v>
      </c>
      <c r="C58" s="827">
        <v>36</v>
      </c>
      <c r="D58" s="827">
        <v>3.75</v>
      </c>
      <c r="E58" s="827" t="s">
        <v>3576</v>
      </c>
    </row>
    <row r="59" spans="2:5">
      <c r="B59" s="827">
        <v>17807</v>
      </c>
      <c r="C59" s="827">
        <v>1</v>
      </c>
      <c r="D59" s="827">
        <v>29.97</v>
      </c>
      <c r="E59" s="827" t="s">
        <v>3577</v>
      </c>
    </row>
    <row r="60" spans="2:5">
      <c r="B60" s="827">
        <v>169</v>
      </c>
      <c r="C60" s="827">
        <v>12</v>
      </c>
      <c r="D60" s="827">
        <v>1.9</v>
      </c>
      <c r="E60" s="827" t="s">
        <v>3578</v>
      </c>
    </row>
    <row r="61" spans="2:5">
      <c r="B61" s="827">
        <v>15373</v>
      </c>
      <c r="C61" s="827">
        <v>12</v>
      </c>
      <c r="D61" s="827">
        <v>1.9</v>
      </c>
      <c r="E61" s="827" t="s">
        <v>3579</v>
      </c>
    </row>
    <row r="62" spans="2:5">
      <c r="B62" s="827">
        <v>9781</v>
      </c>
      <c r="C62" s="827">
        <v>12</v>
      </c>
      <c r="D62" s="827">
        <v>1.9</v>
      </c>
      <c r="E62" s="827" t="s">
        <v>3580</v>
      </c>
    </row>
    <row r="63" spans="2:5">
      <c r="B63" s="827">
        <v>15360</v>
      </c>
      <c r="C63" s="827">
        <v>12</v>
      </c>
      <c r="D63" s="827">
        <v>2.4300000000000002</v>
      </c>
      <c r="E63" s="827" t="s">
        <v>3581</v>
      </c>
    </row>
    <row r="64" spans="2:5">
      <c r="B64" s="827">
        <v>13639</v>
      </c>
      <c r="C64" s="827">
        <v>12</v>
      </c>
      <c r="D64" s="827">
        <v>2.4300000000000002</v>
      </c>
      <c r="E64" s="827" t="s">
        <v>3582</v>
      </c>
    </row>
    <row r="65" spans="2:5">
      <c r="B65" s="827">
        <v>13864</v>
      </c>
      <c r="C65" s="827">
        <v>12</v>
      </c>
      <c r="D65" s="827">
        <v>2.4300000000000002</v>
      </c>
      <c r="E65" s="827" t="s">
        <v>3583</v>
      </c>
    </row>
    <row r="66" spans="2:5">
      <c r="B66" s="827">
        <v>13865</v>
      </c>
      <c r="C66" s="827">
        <v>12</v>
      </c>
      <c r="D66" s="827">
        <v>2.4300000000000002</v>
      </c>
      <c r="E66" s="827" t="s">
        <v>3584</v>
      </c>
    </row>
    <row r="67" spans="2:5">
      <c r="B67" s="827">
        <v>13638</v>
      </c>
      <c r="C67" s="827">
        <v>12</v>
      </c>
      <c r="D67" s="827">
        <v>2.4300000000000002</v>
      </c>
      <c r="E67" s="827" t="s">
        <v>3585</v>
      </c>
    </row>
    <row r="68" spans="2:5">
      <c r="B68" s="827">
        <v>16177</v>
      </c>
      <c r="C68" s="827">
        <v>6</v>
      </c>
      <c r="D68" s="827">
        <v>2.99</v>
      </c>
      <c r="E68" s="827" t="s">
        <v>3586</v>
      </c>
    </row>
    <row r="69" spans="2:5">
      <c r="B69" s="827">
        <v>7929</v>
      </c>
      <c r="C69" s="827">
        <v>12</v>
      </c>
      <c r="D69" s="827">
        <v>1.71</v>
      </c>
      <c r="E69" s="827" t="s">
        <v>3587</v>
      </c>
    </row>
    <row r="70" spans="2:5">
      <c r="B70" s="827">
        <v>8432</v>
      </c>
      <c r="C70" s="827">
        <v>12</v>
      </c>
      <c r="D70" s="827">
        <v>1.9</v>
      </c>
      <c r="E70" s="827" t="s">
        <v>3588</v>
      </c>
    </row>
    <row r="71" spans="2:5">
      <c r="B71" s="827">
        <v>7930</v>
      </c>
      <c r="C71" s="827">
        <v>12</v>
      </c>
      <c r="D71" s="827">
        <v>1.9</v>
      </c>
      <c r="E71" s="827" t="s">
        <v>3589</v>
      </c>
    </row>
    <row r="72" spans="2:5">
      <c r="B72" s="827">
        <v>9192</v>
      </c>
      <c r="C72" s="827">
        <v>12</v>
      </c>
      <c r="D72" s="827">
        <v>1.9</v>
      </c>
      <c r="E72" s="827" t="s">
        <v>3590</v>
      </c>
    </row>
    <row r="73" spans="2:5">
      <c r="B73" s="827">
        <v>16176</v>
      </c>
      <c r="C73" s="827">
        <v>6</v>
      </c>
      <c r="D73" s="827">
        <v>3.6</v>
      </c>
      <c r="E73" s="827" t="s">
        <v>3591</v>
      </c>
    </row>
    <row r="74" spans="2:5">
      <c r="B74" s="827">
        <v>19504</v>
      </c>
      <c r="C74" s="827">
        <v>12</v>
      </c>
      <c r="D74" s="827">
        <v>1.67</v>
      </c>
      <c r="E74" s="827" t="s">
        <v>3592</v>
      </c>
    </row>
    <row r="75" spans="2:5">
      <c r="B75" s="827">
        <v>16175</v>
      </c>
      <c r="C75" s="827">
        <v>6</v>
      </c>
      <c r="D75" s="827">
        <v>3.6</v>
      </c>
      <c r="E75" s="827" t="s">
        <v>3593</v>
      </c>
    </row>
    <row r="76" spans="2:5">
      <c r="B76" s="827">
        <v>7928</v>
      </c>
      <c r="C76" s="827">
        <v>12</v>
      </c>
      <c r="D76" s="827">
        <v>1.9</v>
      </c>
      <c r="E76" s="827" t="s">
        <v>3594</v>
      </c>
    </row>
    <row r="77" spans="2:5">
      <c r="B77" s="827">
        <v>9503</v>
      </c>
      <c r="C77" s="827">
        <v>6</v>
      </c>
      <c r="D77" s="827">
        <v>4.7699999999999996</v>
      </c>
      <c r="E77" s="827" t="s">
        <v>3595</v>
      </c>
    </row>
    <row r="78" spans="2:5">
      <c r="B78" s="827">
        <v>14957</v>
      </c>
      <c r="C78" s="827">
        <v>6</v>
      </c>
      <c r="D78" s="827">
        <v>3.29</v>
      </c>
      <c r="E78" s="827" t="s">
        <v>3596</v>
      </c>
    </row>
    <row r="79" spans="2:5">
      <c r="B79" s="827">
        <v>16999</v>
      </c>
      <c r="C79" s="827">
        <v>6</v>
      </c>
      <c r="D79" s="827">
        <v>3.59</v>
      </c>
      <c r="E79" s="827" t="s">
        <v>3597</v>
      </c>
    </row>
    <row r="80" spans="2:5">
      <c r="B80" s="827">
        <v>16998</v>
      </c>
      <c r="C80" s="827">
        <v>6</v>
      </c>
      <c r="D80" s="827">
        <v>3.59</v>
      </c>
      <c r="E80" s="827" t="s">
        <v>3598</v>
      </c>
    </row>
    <row r="81" spans="2:5">
      <c r="B81" s="827">
        <v>17006</v>
      </c>
      <c r="C81" s="827">
        <v>6</v>
      </c>
      <c r="D81" s="827">
        <v>4.7699999999999996</v>
      </c>
      <c r="E81" s="827" t="s">
        <v>3599</v>
      </c>
    </row>
    <row r="82" spans="2:5">
      <c r="B82" s="827">
        <v>2091</v>
      </c>
      <c r="C82" s="827">
        <v>12</v>
      </c>
      <c r="D82" s="827">
        <v>1.9</v>
      </c>
      <c r="E82" s="827" t="s">
        <v>3600</v>
      </c>
    </row>
    <row r="83" spans="2:5">
      <c r="B83" s="827">
        <v>14369</v>
      </c>
      <c r="C83" s="827">
        <v>6</v>
      </c>
      <c r="D83" s="827">
        <v>3.59</v>
      </c>
      <c r="E83" s="827" t="s">
        <v>3601</v>
      </c>
    </row>
    <row r="84" spans="2:5">
      <c r="B84" s="827">
        <v>2092</v>
      </c>
      <c r="C84" s="827">
        <v>12</v>
      </c>
      <c r="D84" s="827">
        <v>1.9</v>
      </c>
      <c r="E84" s="827" t="s">
        <v>3602</v>
      </c>
    </row>
    <row r="85" spans="2:5">
      <c r="B85" s="827">
        <v>2085</v>
      </c>
      <c r="C85" s="827">
        <v>6</v>
      </c>
      <c r="D85" s="827">
        <v>1.71</v>
      </c>
      <c r="E85" s="827" t="s">
        <v>3603</v>
      </c>
    </row>
    <row r="86" spans="2:5">
      <c r="B86" s="827">
        <v>6877</v>
      </c>
      <c r="C86" s="827">
        <v>12</v>
      </c>
      <c r="D86" s="827">
        <v>1.9</v>
      </c>
      <c r="E86" s="827" t="s">
        <v>3604</v>
      </c>
    </row>
    <row r="87" spans="2:5">
      <c r="B87" s="827">
        <v>3788</v>
      </c>
      <c r="C87" s="827">
        <v>12</v>
      </c>
      <c r="D87" s="827">
        <v>1.9</v>
      </c>
      <c r="E87" s="827" t="s">
        <v>3605</v>
      </c>
    </row>
    <row r="88" spans="2:5">
      <c r="B88" s="827">
        <v>6878</v>
      </c>
      <c r="C88" s="827">
        <v>12</v>
      </c>
      <c r="D88" s="827">
        <v>1.9</v>
      </c>
      <c r="E88" s="827" t="s">
        <v>3606</v>
      </c>
    </row>
    <row r="89" spans="2:5">
      <c r="B89" s="827">
        <v>14371</v>
      </c>
      <c r="C89" s="827">
        <v>6</v>
      </c>
      <c r="D89" s="827">
        <v>3.59</v>
      </c>
      <c r="E89" s="827" t="s">
        <v>3607</v>
      </c>
    </row>
    <row r="90" spans="2:5">
      <c r="B90" s="827">
        <v>15367</v>
      </c>
      <c r="C90" s="827">
        <v>12</v>
      </c>
      <c r="D90" s="827">
        <v>4.53</v>
      </c>
      <c r="E90" s="827" t="s">
        <v>3608</v>
      </c>
    </row>
    <row r="91" spans="2:5">
      <c r="B91" s="827">
        <v>15369</v>
      </c>
      <c r="C91" s="827">
        <v>6</v>
      </c>
      <c r="D91" s="827">
        <v>4.53</v>
      </c>
      <c r="E91" s="827" t="s">
        <v>3609</v>
      </c>
    </row>
    <row r="92" spans="2:5">
      <c r="B92" s="827">
        <v>15368</v>
      </c>
      <c r="C92" s="827">
        <v>12</v>
      </c>
      <c r="D92" s="827">
        <v>4.53</v>
      </c>
      <c r="E92" s="827" t="s">
        <v>3610</v>
      </c>
    </row>
    <row r="93" spans="2:5">
      <c r="B93" s="827">
        <v>15370</v>
      </c>
      <c r="C93" s="827">
        <v>12</v>
      </c>
      <c r="D93" s="827">
        <v>2.4300000000000002</v>
      </c>
      <c r="E93" s="827" t="s">
        <v>3611</v>
      </c>
    </row>
    <row r="94" spans="2:5">
      <c r="B94" s="827">
        <v>15371</v>
      </c>
      <c r="C94" s="827">
        <v>12</v>
      </c>
      <c r="D94" s="827">
        <v>2.4300000000000002</v>
      </c>
      <c r="E94" s="827" t="s">
        <v>3612</v>
      </c>
    </row>
    <row r="95" spans="2:5">
      <c r="B95" s="827">
        <v>15361</v>
      </c>
      <c r="C95" s="827">
        <v>12</v>
      </c>
      <c r="D95" s="827">
        <v>4.53</v>
      </c>
      <c r="E95" s="827" t="s">
        <v>3613</v>
      </c>
    </row>
    <row r="96" spans="2:5">
      <c r="B96" s="827">
        <v>15359</v>
      </c>
      <c r="C96" s="827">
        <v>6</v>
      </c>
      <c r="D96" s="827">
        <v>2.97</v>
      </c>
      <c r="E96" s="827" t="s">
        <v>3614</v>
      </c>
    </row>
    <row r="97" spans="2:6">
      <c r="B97" s="827">
        <v>14384</v>
      </c>
      <c r="C97" s="827">
        <v>12</v>
      </c>
      <c r="D97" s="827">
        <v>3.04</v>
      </c>
      <c r="E97" s="827" t="s">
        <v>3615</v>
      </c>
      <c r="F97" t="s">
        <v>244</v>
      </c>
    </row>
    <row r="98" spans="2:6">
      <c r="B98" s="827">
        <v>14960</v>
      </c>
      <c r="C98" s="827">
        <v>12</v>
      </c>
      <c r="D98" s="827">
        <v>3.04</v>
      </c>
      <c r="E98" s="827" t="s">
        <v>3616</v>
      </c>
    </row>
    <row r="99" spans="2:6">
      <c r="B99" s="827">
        <v>19510</v>
      </c>
      <c r="C99" s="827">
        <v>16</v>
      </c>
      <c r="D99" s="827">
        <v>2.16</v>
      </c>
      <c r="E99" s="827" t="s">
        <v>3617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C34" sqref="C34"/>
    </sheetView>
  </sheetViews>
  <sheetFormatPr baseColWidth="10" defaultRowHeight="15"/>
  <cols>
    <col min="2" max="2" width="15.7109375" customWidth="1"/>
    <col min="3" max="3" width="43.85546875" customWidth="1"/>
    <col min="4" max="4" width="17.85546875" customWidth="1"/>
  </cols>
  <sheetData>
    <row r="1" spans="1:13">
      <c r="D1" s="101"/>
    </row>
    <row r="2" spans="1:13" ht="30">
      <c r="B2" s="640" t="s">
        <v>2571</v>
      </c>
      <c r="C2" s="638" t="s">
        <v>107</v>
      </c>
      <c r="D2" s="518" t="s">
        <v>3168</v>
      </c>
      <c r="E2" s="101"/>
      <c r="F2" s="101"/>
      <c r="G2" s="101"/>
      <c r="H2" s="101"/>
      <c r="I2" s="101"/>
      <c r="J2" s="101"/>
      <c r="K2" s="101"/>
      <c r="L2" s="101"/>
      <c r="M2" s="101"/>
    </row>
    <row r="3" spans="1:13">
      <c r="B3" s="638">
        <v>1093</v>
      </c>
      <c r="C3" s="652" t="s">
        <v>3138</v>
      </c>
      <c r="E3" s="101"/>
      <c r="F3" s="101"/>
      <c r="G3" s="101"/>
      <c r="H3" s="101"/>
      <c r="I3" s="101"/>
      <c r="J3" s="101"/>
      <c r="K3" s="101"/>
      <c r="L3" s="101"/>
      <c r="M3" s="101"/>
    </row>
    <row r="4" spans="1:13">
      <c r="A4" t="s">
        <v>65</v>
      </c>
      <c r="B4" s="638" t="s">
        <v>3139</v>
      </c>
      <c r="C4" s="638" t="s">
        <v>3141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</row>
    <row r="5" spans="1:13" s="404" customFormat="1">
      <c r="B5" s="638" t="s">
        <v>3146</v>
      </c>
      <c r="C5" s="638">
        <v>11457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13">
      <c r="B6" s="638" t="s">
        <v>3140</v>
      </c>
      <c r="C6" s="638">
        <v>12327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1:13">
      <c r="B7" s="638" t="s">
        <v>3142</v>
      </c>
      <c r="C7" s="638">
        <v>11588</v>
      </c>
      <c r="D7" s="683" t="s">
        <v>65</v>
      </c>
      <c r="E7" s="101"/>
      <c r="F7" s="101"/>
      <c r="G7" s="101"/>
      <c r="H7" s="101"/>
      <c r="I7" s="101"/>
      <c r="J7" s="101"/>
      <c r="K7" s="101"/>
      <c r="L7" s="101"/>
      <c r="M7" s="101"/>
    </row>
    <row r="8" spans="1:13">
      <c r="B8" s="638" t="s">
        <v>3143</v>
      </c>
      <c r="C8" s="638">
        <v>12342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</row>
    <row r="9" spans="1:13">
      <c r="B9" s="638" t="s">
        <v>3144</v>
      </c>
      <c r="C9" s="638">
        <v>9512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</row>
    <row r="10" spans="1:13">
      <c r="B10" s="638" t="s">
        <v>3145</v>
      </c>
      <c r="C10" s="638"/>
      <c r="D10" s="101"/>
      <c r="E10" s="101"/>
      <c r="F10" s="101"/>
      <c r="G10" s="101"/>
      <c r="H10" s="101"/>
      <c r="I10" s="101"/>
      <c r="J10" s="101"/>
      <c r="K10" s="101"/>
      <c r="L10" s="101"/>
      <c r="M10" s="101"/>
    </row>
    <row r="11" spans="1:13">
      <c r="B11" s="638"/>
      <c r="C11" s="638"/>
      <c r="D11" s="101"/>
      <c r="E11" s="101"/>
      <c r="F11" s="101"/>
      <c r="G11" s="101"/>
      <c r="H11" s="101"/>
      <c r="I11" s="101"/>
      <c r="J11" s="101"/>
      <c r="K11" s="101"/>
      <c r="L11" s="101"/>
      <c r="M11" s="101"/>
    </row>
    <row r="12" spans="1:13">
      <c r="B12" s="638"/>
      <c r="C12" s="638"/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1:13">
      <c r="B13" s="638"/>
      <c r="C13" s="638"/>
      <c r="D13" s="101"/>
      <c r="E13" s="101"/>
      <c r="F13" s="101"/>
      <c r="G13" s="101"/>
      <c r="H13" s="101"/>
      <c r="I13" s="101"/>
      <c r="J13" s="101"/>
      <c r="K13" s="101"/>
      <c r="L13" s="101"/>
      <c r="M13" s="101"/>
    </row>
    <row r="14" spans="1:13">
      <c r="B14" s="638"/>
      <c r="C14" s="638"/>
      <c r="D14" s="101"/>
      <c r="E14" s="101"/>
      <c r="F14" s="101"/>
      <c r="G14" s="101"/>
      <c r="H14" s="101"/>
      <c r="I14" s="101"/>
      <c r="J14" s="101"/>
      <c r="K14" s="101"/>
      <c r="L14" s="101"/>
      <c r="M14" s="101"/>
    </row>
    <row r="15" spans="1:13">
      <c r="B15" s="638"/>
      <c r="C15" s="638"/>
      <c r="D15" s="101"/>
      <c r="E15" s="101"/>
      <c r="F15" s="101"/>
      <c r="G15" s="101"/>
      <c r="H15" s="101"/>
      <c r="I15" s="101"/>
      <c r="J15" s="101"/>
      <c r="K15" s="101"/>
      <c r="L15" s="101"/>
      <c r="M15" s="101"/>
    </row>
    <row r="16" spans="1:13">
      <c r="B16" s="638"/>
      <c r="C16" s="638"/>
      <c r="D16" s="101"/>
      <c r="E16" s="101"/>
      <c r="F16" s="101"/>
      <c r="G16" s="101"/>
      <c r="H16" s="101"/>
      <c r="I16" s="101"/>
      <c r="J16" s="101"/>
      <c r="K16" s="101"/>
      <c r="L16" s="101"/>
      <c r="M16" s="101"/>
    </row>
    <row r="17" spans="2:13">
      <c r="B17" s="638"/>
      <c r="C17" s="638"/>
      <c r="D17" s="101"/>
      <c r="E17" s="101"/>
      <c r="F17" s="101"/>
      <c r="G17" s="101"/>
      <c r="H17" s="101"/>
      <c r="I17" s="101"/>
      <c r="J17" s="101"/>
      <c r="K17" s="101"/>
      <c r="L17" s="101"/>
      <c r="M17" s="101"/>
    </row>
    <row r="18" spans="2:13">
      <c r="B18" s="638"/>
      <c r="C18" s="638"/>
      <c r="D18" s="101"/>
      <c r="E18" s="101"/>
      <c r="F18" s="101"/>
      <c r="G18" s="101"/>
      <c r="H18" s="101"/>
      <c r="I18" s="101"/>
      <c r="J18" s="101"/>
      <c r="K18" s="101"/>
      <c r="L18" s="101"/>
      <c r="M18" s="101"/>
    </row>
    <row r="19" spans="2:13">
      <c r="B19" s="638"/>
      <c r="C19" s="638"/>
      <c r="D19" s="101"/>
      <c r="E19" s="101"/>
      <c r="F19" s="101"/>
      <c r="G19" s="101"/>
      <c r="H19" s="101"/>
      <c r="I19" s="101"/>
      <c r="J19" s="101"/>
      <c r="K19" s="101"/>
      <c r="L19" s="101"/>
      <c r="M19" s="101"/>
    </row>
    <row r="20" spans="2:13">
      <c r="B20" s="638"/>
      <c r="C20" s="638"/>
      <c r="D20" s="101"/>
      <c r="E20" s="101"/>
      <c r="F20" s="101"/>
      <c r="G20" s="101"/>
      <c r="H20" s="101"/>
      <c r="I20" s="101"/>
      <c r="J20" s="101"/>
      <c r="K20" s="101"/>
      <c r="L20" s="101"/>
      <c r="M20" s="101"/>
    </row>
    <row r="21" spans="2:13">
      <c r="B21" s="21"/>
      <c r="C21" s="21"/>
    </row>
    <row r="22" spans="2:13">
      <c r="B22" s="21"/>
      <c r="C22" s="21"/>
    </row>
    <row r="23" spans="2:13">
      <c r="B23" s="21"/>
      <c r="C23" s="21"/>
    </row>
    <row r="24" spans="2:13">
      <c r="B24" s="21"/>
      <c r="C24" s="21"/>
    </row>
    <row r="25" spans="2:13">
      <c r="B25" s="21"/>
      <c r="C25" s="21"/>
    </row>
    <row r="26" spans="2:13">
      <c r="B26" s="21"/>
      <c r="C26" s="21"/>
    </row>
    <row r="27" spans="2:13">
      <c r="B27" s="21"/>
      <c r="C27" s="21"/>
    </row>
    <row r="28" spans="2:13">
      <c r="B28" s="21"/>
      <c r="C28" s="21"/>
    </row>
  </sheetData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4:D115"/>
  <sheetViews>
    <sheetView workbookViewId="0">
      <selection activeCell="C4" sqref="C4"/>
    </sheetView>
  </sheetViews>
  <sheetFormatPr baseColWidth="10" defaultRowHeight="15"/>
  <cols>
    <col min="3" max="3" width="51.5703125" customWidth="1"/>
  </cols>
  <sheetData>
    <row r="4" spans="2:4">
      <c r="B4" s="1" t="s">
        <v>0</v>
      </c>
      <c r="C4" s="1" t="s">
        <v>1</v>
      </c>
      <c r="D4" s="1"/>
    </row>
    <row r="5" spans="2:4">
      <c r="B5" s="1">
        <v>7882</v>
      </c>
      <c r="C5" s="1" t="s">
        <v>272</v>
      </c>
      <c r="D5" s="1"/>
    </row>
    <row r="6" spans="2:4">
      <c r="B6" s="1">
        <v>7878</v>
      </c>
      <c r="C6" s="1" t="s">
        <v>273</v>
      </c>
      <c r="D6" s="1"/>
    </row>
    <row r="7" spans="2:4">
      <c r="B7" s="1">
        <v>4775</v>
      </c>
      <c r="C7" s="1" t="s">
        <v>274</v>
      </c>
      <c r="D7" s="1"/>
    </row>
    <row r="8" spans="2:4">
      <c r="B8" s="1">
        <v>7295</v>
      </c>
      <c r="C8" s="1" t="s">
        <v>275</v>
      </c>
      <c r="D8" s="1"/>
    </row>
    <row r="9" spans="2:4">
      <c r="B9" s="1">
        <v>7296</v>
      </c>
      <c r="C9" s="1" t="s">
        <v>276</v>
      </c>
      <c r="D9" s="1"/>
    </row>
    <row r="10" spans="2:4">
      <c r="B10" s="1">
        <v>7297</v>
      </c>
      <c r="C10" s="1" t="s">
        <v>277</v>
      </c>
      <c r="D10" s="1"/>
    </row>
    <row r="11" spans="2:4">
      <c r="B11" s="1">
        <v>4831</v>
      </c>
      <c r="C11" s="1" t="s">
        <v>278</v>
      </c>
      <c r="D11" s="1"/>
    </row>
    <row r="12" spans="2:4">
      <c r="B12" s="1">
        <v>9235</v>
      </c>
      <c r="C12" s="1" t="s">
        <v>279</v>
      </c>
      <c r="D12" s="1"/>
    </row>
    <row r="13" spans="2:4">
      <c r="B13" s="1">
        <v>7299</v>
      </c>
      <c r="C13" s="1" t="s">
        <v>280</v>
      </c>
      <c r="D13" s="1"/>
    </row>
    <row r="14" spans="2:4">
      <c r="B14" s="1">
        <v>7298</v>
      </c>
      <c r="C14" s="1" t="s">
        <v>281</v>
      </c>
      <c r="D14" s="1"/>
    </row>
    <row r="15" spans="2:4">
      <c r="B15" s="1">
        <v>7302</v>
      </c>
      <c r="C15" s="1" t="s">
        <v>282</v>
      </c>
      <c r="D15" s="1"/>
    </row>
    <row r="16" spans="2:4">
      <c r="B16" s="1">
        <v>7883</v>
      </c>
      <c r="C16" s="1" t="s">
        <v>283</v>
      </c>
      <c r="D16" s="1"/>
    </row>
    <row r="17" spans="2:4">
      <c r="B17" s="1">
        <v>7301</v>
      </c>
      <c r="C17" s="1" t="s">
        <v>284</v>
      </c>
      <c r="D17" s="1"/>
    </row>
    <row r="18" spans="2:4">
      <c r="B18" s="1">
        <v>7303</v>
      </c>
      <c r="C18" s="1" t="s">
        <v>285</v>
      </c>
      <c r="D18" s="1"/>
    </row>
    <row r="19" spans="2:4">
      <c r="B19" s="1">
        <v>7304</v>
      </c>
      <c r="C19" s="1" t="s">
        <v>286</v>
      </c>
      <c r="D19" s="1"/>
    </row>
    <row r="20" spans="2:4">
      <c r="B20" s="1">
        <v>7042</v>
      </c>
      <c r="C20" s="1" t="s">
        <v>287</v>
      </c>
      <c r="D20" s="1"/>
    </row>
    <row r="21" spans="2:4">
      <c r="B21" s="1">
        <v>7041</v>
      </c>
      <c r="C21" s="1" t="s">
        <v>288</v>
      </c>
      <c r="D21" s="1"/>
    </row>
    <row r="22" spans="2:4">
      <c r="B22" s="1">
        <v>7040</v>
      </c>
      <c r="C22" s="1" t="s">
        <v>289</v>
      </c>
      <c r="D22" s="1"/>
    </row>
    <row r="23" spans="2:4">
      <c r="B23" s="1">
        <v>7884</v>
      </c>
      <c r="C23" s="1" t="s">
        <v>290</v>
      </c>
      <c r="D23" s="1"/>
    </row>
    <row r="24" spans="2:4">
      <c r="B24" s="1">
        <v>9236</v>
      </c>
      <c r="C24" s="1" t="s">
        <v>291</v>
      </c>
      <c r="D24" s="1"/>
    </row>
    <row r="25" spans="2:4">
      <c r="B25" s="1">
        <v>9233</v>
      </c>
      <c r="C25" s="1" t="s">
        <v>292</v>
      </c>
      <c r="D25" s="1"/>
    </row>
    <row r="26" spans="2:4">
      <c r="B26" s="1">
        <v>9231</v>
      </c>
      <c r="C26" s="1" t="s">
        <v>293</v>
      </c>
      <c r="D26" s="1"/>
    </row>
    <row r="27" spans="2:4">
      <c r="B27" s="1">
        <v>9230</v>
      </c>
      <c r="C27" s="1" t="s">
        <v>294</v>
      </c>
      <c r="D27" s="1"/>
    </row>
    <row r="28" spans="2:4">
      <c r="B28" s="1">
        <v>9232</v>
      </c>
      <c r="C28" s="1" t="s">
        <v>295</v>
      </c>
      <c r="D28" s="1"/>
    </row>
    <row r="29" spans="2:4">
      <c r="B29" s="1">
        <v>9139</v>
      </c>
      <c r="C29" s="1" t="s">
        <v>296</v>
      </c>
      <c r="D29" s="1"/>
    </row>
    <row r="30" spans="2:4">
      <c r="B30" s="1">
        <v>7043</v>
      </c>
      <c r="C30" s="1" t="s">
        <v>297</v>
      </c>
      <c r="D30" s="1"/>
    </row>
    <row r="31" spans="2:4">
      <c r="B31" s="1">
        <v>4727</v>
      </c>
      <c r="C31" s="1" t="s">
        <v>298</v>
      </c>
      <c r="D31" s="1"/>
    </row>
    <row r="32" spans="2:4">
      <c r="B32" s="1">
        <v>9234</v>
      </c>
      <c r="C32" s="1" t="s">
        <v>299</v>
      </c>
      <c r="D32" s="1"/>
    </row>
    <row r="33" spans="2:4">
      <c r="B33" s="1">
        <v>9131</v>
      </c>
      <c r="C33" s="1" t="s">
        <v>300</v>
      </c>
      <c r="D33" s="1"/>
    </row>
    <row r="34" spans="2:4">
      <c r="B34" s="1">
        <v>9129</v>
      </c>
      <c r="C34" s="1" t="s">
        <v>301</v>
      </c>
      <c r="D34" s="1"/>
    </row>
    <row r="35" spans="2:4">
      <c r="B35" s="1">
        <v>9130</v>
      </c>
      <c r="C35" s="1" t="s">
        <v>302</v>
      </c>
      <c r="D35" s="1"/>
    </row>
    <row r="36" spans="2:4">
      <c r="B36" s="1">
        <v>9128</v>
      </c>
      <c r="C36" s="1" t="s">
        <v>303</v>
      </c>
      <c r="D36" s="1"/>
    </row>
    <row r="37" spans="2:4">
      <c r="B37" s="1">
        <v>6356</v>
      </c>
      <c r="C37" s="1" t="s">
        <v>304</v>
      </c>
      <c r="D37" s="1"/>
    </row>
    <row r="38" spans="2:4">
      <c r="B38" s="1">
        <v>9237</v>
      </c>
      <c r="C38" s="1" t="s">
        <v>305</v>
      </c>
      <c r="D38" s="1"/>
    </row>
    <row r="39" spans="2:4">
      <c r="B39" s="1">
        <v>7045</v>
      </c>
      <c r="C39" s="1" t="s">
        <v>306</v>
      </c>
      <c r="D39" s="1"/>
    </row>
    <row r="40" spans="2:4">
      <c r="B40" s="1">
        <v>6098</v>
      </c>
      <c r="C40" s="1" t="s">
        <v>307</v>
      </c>
      <c r="D40" s="1"/>
    </row>
    <row r="41" spans="2:4">
      <c r="B41" s="1">
        <v>9238</v>
      </c>
      <c r="C41" s="1" t="s">
        <v>308</v>
      </c>
      <c r="D41" s="1"/>
    </row>
    <row r="42" spans="2:4">
      <c r="B42" s="1">
        <v>7877</v>
      </c>
      <c r="C42" s="1" t="s">
        <v>309</v>
      </c>
      <c r="D42" s="1"/>
    </row>
    <row r="43" spans="2:4">
      <c r="B43" s="1">
        <v>7300</v>
      </c>
      <c r="C43" s="1" t="s">
        <v>310</v>
      </c>
      <c r="D43" s="1"/>
    </row>
    <row r="44" spans="2:4">
      <c r="B44" s="1">
        <v>153</v>
      </c>
      <c r="C44" s="1" t="s">
        <v>311</v>
      </c>
      <c r="D44" s="1"/>
    </row>
    <row r="45" spans="2:4">
      <c r="B45" s="1">
        <v>4777</v>
      </c>
      <c r="C45" s="1" t="s">
        <v>312</v>
      </c>
      <c r="D45" s="1"/>
    </row>
    <row r="46" spans="2:4">
      <c r="B46" s="1">
        <v>7880</v>
      </c>
      <c r="C46" s="1" t="s">
        <v>313</v>
      </c>
      <c r="D46" s="1"/>
    </row>
    <row r="47" spans="2:4">
      <c r="B47" s="1">
        <v>7037</v>
      </c>
      <c r="C47" s="1" t="s">
        <v>314</v>
      </c>
      <c r="D47" s="1"/>
    </row>
    <row r="48" spans="2:4">
      <c r="B48" s="1">
        <v>7038</v>
      </c>
      <c r="C48" s="1" t="s">
        <v>315</v>
      </c>
      <c r="D48" s="1"/>
    </row>
    <row r="49" spans="2:4">
      <c r="B49" s="1">
        <v>7036</v>
      </c>
      <c r="C49" s="1" t="s">
        <v>316</v>
      </c>
      <c r="D49" s="1"/>
    </row>
    <row r="50" spans="2:4">
      <c r="B50" s="1">
        <v>9698</v>
      </c>
      <c r="C50" s="1" t="s">
        <v>317</v>
      </c>
      <c r="D50" s="1"/>
    </row>
    <row r="51" spans="2:4">
      <c r="B51" s="1">
        <v>7035</v>
      </c>
      <c r="C51" s="1" t="s">
        <v>318</v>
      </c>
      <c r="D51" s="1"/>
    </row>
    <row r="52" spans="2:4">
      <c r="B52" s="1">
        <v>7039</v>
      </c>
      <c r="C52" s="1" t="s">
        <v>319</v>
      </c>
      <c r="D52" s="1"/>
    </row>
    <row r="53" spans="2:4">
      <c r="B53" s="1">
        <v>10512</v>
      </c>
      <c r="C53" s="1" t="s">
        <v>320</v>
      </c>
      <c r="D53" s="1"/>
    </row>
    <row r="54" spans="2:4">
      <c r="B54" s="1">
        <v>10507</v>
      </c>
      <c r="C54" s="1" t="s">
        <v>321</v>
      </c>
      <c r="D54" s="1"/>
    </row>
    <row r="55" spans="2:4">
      <c r="B55" s="1">
        <v>10509</v>
      </c>
      <c r="C55" s="1" t="s">
        <v>322</v>
      </c>
      <c r="D55" s="1"/>
    </row>
    <row r="56" spans="2:4">
      <c r="B56" s="1">
        <v>7871</v>
      </c>
      <c r="C56" s="1" t="s">
        <v>323</v>
      </c>
      <c r="D56" s="1"/>
    </row>
    <row r="57" spans="2:4">
      <c r="B57" s="1">
        <v>7872</v>
      </c>
      <c r="C57" s="1" t="s">
        <v>324</v>
      </c>
      <c r="D57" s="1"/>
    </row>
    <row r="58" spans="2:4">
      <c r="B58" s="1">
        <v>10514</v>
      </c>
      <c r="C58" s="1" t="s">
        <v>325</v>
      </c>
      <c r="D58" s="1"/>
    </row>
    <row r="59" spans="2:4">
      <c r="B59" s="1">
        <v>10511</v>
      </c>
      <c r="C59" s="1" t="s">
        <v>326</v>
      </c>
      <c r="D59" s="1"/>
    </row>
    <row r="60" spans="2:4">
      <c r="B60" s="1">
        <v>7873</v>
      </c>
      <c r="C60" s="1" t="s">
        <v>327</v>
      </c>
      <c r="D60" s="1"/>
    </row>
    <row r="61" spans="2:4">
      <c r="B61" s="1">
        <v>10515</v>
      </c>
      <c r="C61" s="1" t="s">
        <v>328</v>
      </c>
      <c r="D61" s="1"/>
    </row>
    <row r="62" spans="2:4">
      <c r="B62" s="1">
        <v>10508</v>
      </c>
      <c r="C62" s="1" t="s">
        <v>329</v>
      </c>
      <c r="D62" s="1"/>
    </row>
    <row r="63" spans="2:4">
      <c r="B63" s="1">
        <v>7060</v>
      </c>
      <c r="C63" s="1" t="s">
        <v>330</v>
      </c>
      <c r="D63" s="1"/>
    </row>
    <row r="64" spans="2:4">
      <c r="B64" s="1">
        <v>7876</v>
      </c>
      <c r="C64" s="1" t="s">
        <v>331</v>
      </c>
      <c r="D64" s="1"/>
    </row>
    <row r="65" spans="2:4">
      <c r="B65" s="1">
        <v>8461</v>
      </c>
      <c r="C65" s="1" t="s">
        <v>332</v>
      </c>
      <c r="D65" s="1"/>
    </row>
    <row r="66" spans="2:4">
      <c r="B66" s="1">
        <v>10513</v>
      </c>
      <c r="C66" s="1" t="s">
        <v>333</v>
      </c>
      <c r="D66" s="1"/>
    </row>
    <row r="67" spans="2:4">
      <c r="B67" s="1">
        <v>7291</v>
      </c>
      <c r="C67" s="1" t="s">
        <v>334</v>
      </c>
      <c r="D67" s="1"/>
    </row>
    <row r="68" spans="2:4">
      <c r="B68" s="1">
        <v>7874</v>
      </c>
      <c r="C68" s="1" t="s">
        <v>335</v>
      </c>
      <c r="D68" s="1"/>
    </row>
    <row r="69" spans="2:4">
      <c r="B69" s="1">
        <v>7056</v>
      </c>
      <c r="C69" s="1" t="s">
        <v>336</v>
      </c>
      <c r="D69" s="1"/>
    </row>
    <row r="70" spans="2:4">
      <c r="B70" s="1">
        <v>8463</v>
      </c>
      <c r="C70" s="1" t="s">
        <v>337</v>
      </c>
      <c r="D70" s="1"/>
    </row>
    <row r="71" spans="2:4">
      <c r="B71" s="1">
        <v>10510</v>
      </c>
      <c r="C71" s="1" t="s">
        <v>338</v>
      </c>
      <c r="D71" s="1"/>
    </row>
    <row r="72" spans="2:4">
      <c r="B72" s="1">
        <v>7051</v>
      </c>
      <c r="C72" s="1" t="s">
        <v>339</v>
      </c>
      <c r="D72" s="1"/>
    </row>
    <row r="73" spans="2:4">
      <c r="B73" s="1">
        <v>7059</v>
      </c>
      <c r="C73" s="1" t="s">
        <v>340</v>
      </c>
      <c r="D73" s="1"/>
    </row>
    <row r="74" spans="2:4">
      <c r="B74" s="1">
        <v>7875</v>
      </c>
      <c r="C74" s="1" t="s">
        <v>341</v>
      </c>
      <c r="D74" s="1"/>
    </row>
    <row r="75" spans="2:4">
      <c r="B75" s="1">
        <v>9138</v>
      </c>
      <c r="C75" s="1" t="s">
        <v>342</v>
      </c>
      <c r="D75" s="1"/>
    </row>
    <row r="76" spans="2:4">
      <c r="B76" s="1">
        <v>7294</v>
      </c>
      <c r="C76" s="1" t="s">
        <v>343</v>
      </c>
      <c r="D76" s="1"/>
    </row>
    <row r="77" spans="2:4">
      <c r="B77" s="1">
        <v>9137</v>
      </c>
      <c r="C77" s="1" t="s">
        <v>344</v>
      </c>
      <c r="D77" s="1"/>
    </row>
    <row r="78" spans="2:4">
      <c r="B78" s="1">
        <v>9697</v>
      </c>
      <c r="C78" s="1" t="s">
        <v>345</v>
      </c>
      <c r="D78" s="1"/>
    </row>
    <row r="79" spans="2:4">
      <c r="B79" s="1">
        <v>7046</v>
      </c>
      <c r="C79" s="1" t="s">
        <v>346</v>
      </c>
      <c r="D79" s="1"/>
    </row>
    <row r="80" spans="2:4">
      <c r="B80" s="1">
        <v>9132</v>
      </c>
      <c r="C80" s="1" t="s">
        <v>347</v>
      </c>
      <c r="D80" s="1"/>
    </row>
    <row r="81" spans="2:4">
      <c r="B81" s="1">
        <v>7290</v>
      </c>
      <c r="C81" s="1" t="s">
        <v>348</v>
      </c>
      <c r="D81" s="1"/>
    </row>
    <row r="82" spans="2:4">
      <c r="B82" s="1">
        <v>7055</v>
      </c>
      <c r="C82" s="1" t="s">
        <v>349</v>
      </c>
      <c r="D82" s="1"/>
    </row>
    <row r="83" spans="2:4">
      <c r="B83" s="1">
        <v>10317</v>
      </c>
      <c r="C83" s="1" t="s">
        <v>350</v>
      </c>
      <c r="D83" s="1"/>
    </row>
    <row r="84" spans="2:4">
      <c r="B84" s="1">
        <v>10315</v>
      </c>
      <c r="C84" s="1" t="s">
        <v>351</v>
      </c>
      <c r="D84" s="1"/>
    </row>
    <row r="85" spans="2:4">
      <c r="B85" s="1">
        <v>7061</v>
      </c>
      <c r="C85" s="1" t="s">
        <v>352</v>
      </c>
      <c r="D85" s="1"/>
    </row>
    <row r="86" spans="2:4">
      <c r="B86" s="1">
        <v>9135</v>
      </c>
      <c r="C86" s="1" t="s">
        <v>353</v>
      </c>
      <c r="D86" s="1"/>
    </row>
    <row r="87" spans="2:4">
      <c r="B87" s="1">
        <v>7292</v>
      </c>
      <c r="C87" s="1" t="s">
        <v>354</v>
      </c>
      <c r="D87" s="1"/>
    </row>
    <row r="88" spans="2:4">
      <c r="B88" s="1">
        <v>7293</v>
      </c>
      <c r="C88" s="1" t="s">
        <v>355</v>
      </c>
      <c r="D88" s="1"/>
    </row>
    <row r="89" spans="2:4">
      <c r="B89" s="1">
        <v>9134</v>
      </c>
      <c r="C89" s="1" t="s">
        <v>356</v>
      </c>
      <c r="D89" s="1"/>
    </row>
    <row r="90" spans="2:4">
      <c r="B90" s="1">
        <v>9136</v>
      </c>
      <c r="C90" s="1" t="s">
        <v>357</v>
      </c>
      <c r="D90" s="1"/>
    </row>
    <row r="91" spans="2:4">
      <c r="B91" s="1">
        <v>7053</v>
      </c>
      <c r="C91" s="1" t="s">
        <v>358</v>
      </c>
      <c r="D91" s="1"/>
    </row>
    <row r="92" spans="2:4">
      <c r="B92" s="1">
        <v>7052</v>
      </c>
      <c r="C92" s="1" t="s">
        <v>359</v>
      </c>
      <c r="D92" s="1"/>
    </row>
    <row r="93" spans="2:4">
      <c r="B93" s="1">
        <v>9133</v>
      </c>
      <c r="C93" s="1" t="s">
        <v>360</v>
      </c>
      <c r="D93" s="1"/>
    </row>
    <row r="94" spans="2:4">
      <c r="B94" s="1">
        <v>7048</v>
      </c>
      <c r="C94" s="1" t="s">
        <v>361</v>
      </c>
      <c r="D94" s="1"/>
    </row>
    <row r="95" spans="2:4">
      <c r="B95" s="1">
        <v>7049</v>
      </c>
      <c r="C95" s="1" t="s">
        <v>362</v>
      </c>
      <c r="D95" s="1"/>
    </row>
    <row r="96" spans="2:4">
      <c r="B96" s="1">
        <v>2233</v>
      </c>
      <c r="C96" s="1" t="s">
        <v>363</v>
      </c>
      <c r="D96" s="1"/>
    </row>
    <row r="97" spans="2:4">
      <c r="B97" s="1">
        <v>378</v>
      </c>
      <c r="C97" s="1" t="s">
        <v>364</v>
      </c>
      <c r="D97" s="1"/>
    </row>
    <row r="98" spans="2:4">
      <c r="B98" s="1">
        <v>384</v>
      </c>
      <c r="C98" s="1" t="s">
        <v>365</v>
      </c>
      <c r="D98" s="1"/>
    </row>
    <row r="99" spans="2:4">
      <c r="B99" s="1">
        <v>383</v>
      </c>
      <c r="C99" s="1" t="s">
        <v>366</v>
      </c>
      <c r="D99" s="1"/>
    </row>
    <row r="100" spans="2:4">
      <c r="B100" s="1">
        <v>10358</v>
      </c>
      <c r="C100" s="1" t="s">
        <v>367</v>
      </c>
      <c r="D100" s="1"/>
    </row>
    <row r="101" spans="2:4">
      <c r="B101" s="1">
        <v>10356</v>
      </c>
      <c r="C101" s="1" t="s">
        <v>368</v>
      </c>
      <c r="D101" s="1"/>
    </row>
    <row r="102" spans="2:4">
      <c r="B102" s="1">
        <v>10357</v>
      </c>
      <c r="C102" s="1" t="s">
        <v>369</v>
      </c>
      <c r="D102" s="1"/>
    </row>
    <row r="103" spans="2:4">
      <c r="B103" s="1">
        <v>10314</v>
      </c>
      <c r="C103" s="1" t="s">
        <v>370</v>
      </c>
      <c r="D103" s="1"/>
    </row>
    <row r="104" spans="2:4">
      <c r="B104" s="1">
        <v>10313</v>
      </c>
      <c r="C104" s="1" t="s">
        <v>371</v>
      </c>
      <c r="D104" s="1"/>
    </row>
    <row r="105" spans="2:4">
      <c r="B105" s="1">
        <v>7047</v>
      </c>
      <c r="C105" s="1" t="s">
        <v>372</v>
      </c>
      <c r="D105" s="1"/>
    </row>
    <row r="106" spans="2:4">
      <c r="B106" s="1">
        <v>7058</v>
      </c>
      <c r="C106" s="1" t="s">
        <v>373</v>
      </c>
      <c r="D106" s="1"/>
    </row>
    <row r="107" spans="2:4">
      <c r="B107" s="1">
        <v>7054</v>
      </c>
      <c r="C107" s="1" t="s">
        <v>374</v>
      </c>
      <c r="D107" s="1"/>
    </row>
    <row r="108" spans="2:4">
      <c r="B108" s="1">
        <v>7057</v>
      </c>
      <c r="C108" s="1" t="s">
        <v>375</v>
      </c>
      <c r="D108" s="1"/>
    </row>
    <row r="109" spans="2:4">
      <c r="B109" s="1">
        <v>7289</v>
      </c>
      <c r="C109" s="1" t="s">
        <v>376</v>
      </c>
      <c r="D109" s="1"/>
    </row>
    <row r="110" spans="2:4">
      <c r="B110" s="1">
        <v>7050</v>
      </c>
      <c r="C110" s="1" t="s">
        <v>377</v>
      </c>
      <c r="D110" s="1"/>
    </row>
    <row r="111" spans="2:4">
      <c r="B111" s="1">
        <v>2232</v>
      </c>
      <c r="C111" s="1" t="s">
        <v>378</v>
      </c>
      <c r="D111" s="1"/>
    </row>
    <row r="112" spans="2:4">
      <c r="B112" s="1">
        <v>8462</v>
      </c>
      <c r="C112" s="1" t="s">
        <v>379</v>
      </c>
      <c r="D112" s="1"/>
    </row>
    <row r="113" spans="2:4">
      <c r="B113" s="1">
        <v>5058</v>
      </c>
      <c r="C113" s="1" t="s">
        <v>380</v>
      </c>
      <c r="D113" s="1"/>
    </row>
    <row r="114" spans="2:4">
      <c r="B114" s="1">
        <v>5059</v>
      </c>
      <c r="C114" s="1" t="s">
        <v>381</v>
      </c>
      <c r="D114" s="1"/>
    </row>
    <row r="115" spans="2:4">
      <c r="B115" s="1">
        <v>7044</v>
      </c>
      <c r="C115" s="1" t="s">
        <v>382</v>
      </c>
      <c r="D115" s="1"/>
    </row>
  </sheetData>
  <pageMargins left="0.7" right="0.7" top="0.75" bottom="0.75" header="0.3" footer="0.3"/>
  <pageSetup paperSize="119" orientation="landscape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B2:Q26"/>
  <sheetViews>
    <sheetView workbookViewId="0">
      <selection activeCell="E3" sqref="E3:L26"/>
    </sheetView>
  </sheetViews>
  <sheetFormatPr baseColWidth="10" defaultRowHeight="15"/>
  <cols>
    <col min="5" max="5" width="61" customWidth="1"/>
    <col min="6" max="6" width="16.85546875" customWidth="1"/>
    <col min="7" max="8" width="15" style="357" hidden="1" customWidth="1"/>
    <col min="9" max="9" width="14" customWidth="1"/>
    <col min="10" max="11" width="14" style="357" hidden="1" customWidth="1"/>
    <col min="12" max="12" width="11.42578125" customWidth="1"/>
    <col min="13" max="14" width="11.42578125" style="357" hidden="1" customWidth="1"/>
    <col min="15" max="15" width="16.28515625" customWidth="1"/>
    <col min="16" max="17" width="11.42578125" hidden="1" customWidth="1"/>
  </cols>
  <sheetData>
    <row r="2" spans="2:17">
      <c r="E2" s="376" t="s">
        <v>65</v>
      </c>
      <c r="G2" s="357" t="s">
        <v>3217</v>
      </c>
    </row>
    <row r="3" spans="2:17" ht="60">
      <c r="B3" s="994" t="s">
        <v>119</v>
      </c>
      <c r="C3" s="310" t="s">
        <v>1548</v>
      </c>
      <c r="D3" s="994" t="s">
        <v>559</v>
      </c>
      <c r="E3" s="1002" t="s">
        <v>3868</v>
      </c>
      <c r="F3" s="1003" t="s">
        <v>19</v>
      </c>
      <c r="G3" s="1004" t="s">
        <v>110</v>
      </c>
      <c r="H3" s="1004" t="s">
        <v>111</v>
      </c>
      <c r="I3" s="1004" t="s">
        <v>20</v>
      </c>
      <c r="J3" s="1004" t="s">
        <v>110</v>
      </c>
      <c r="K3" s="1004" t="s">
        <v>111</v>
      </c>
      <c r="L3" s="1005" t="s">
        <v>1132</v>
      </c>
      <c r="M3" s="1004" t="s">
        <v>110</v>
      </c>
      <c r="N3" s="1004" t="s">
        <v>111</v>
      </c>
      <c r="O3" s="1004" t="s">
        <v>690</v>
      </c>
      <c r="P3" s="310" t="s">
        <v>110</v>
      </c>
      <c r="Q3" s="310" t="s">
        <v>111</v>
      </c>
    </row>
    <row r="4" spans="2:17">
      <c r="B4" s="994">
        <v>1075</v>
      </c>
      <c r="C4" s="994">
        <v>48</v>
      </c>
      <c r="D4" s="994">
        <v>1.25</v>
      </c>
      <c r="E4" s="1006" t="s">
        <v>1591</v>
      </c>
      <c r="F4" s="1007" t="s">
        <v>244</v>
      </c>
      <c r="G4" s="1007">
        <v>77</v>
      </c>
      <c r="H4" s="1007">
        <v>0</v>
      </c>
      <c r="I4" s="1007" t="s">
        <v>591</v>
      </c>
      <c r="J4" s="1007">
        <v>8</v>
      </c>
      <c r="K4" s="1007">
        <v>11</v>
      </c>
      <c r="L4" s="1007" t="s">
        <v>557</v>
      </c>
      <c r="M4" s="1007">
        <v>13</v>
      </c>
      <c r="N4" s="1007">
        <v>0</v>
      </c>
      <c r="O4" s="1007" t="s">
        <v>557</v>
      </c>
      <c r="P4" s="87"/>
      <c r="Q4" s="87"/>
    </row>
    <row r="5" spans="2:17">
      <c r="B5" s="994">
        <v>9022</v>
      </c>
      <c r="C5" s="994">
        <v>12</v>
      </c>
      <c r="D5" s="994">
        <v>1.92</v>
      </c>
      <c r="E5" s="1006" t="s">
        <v>1592</v>
      </c>
      <c r="F5" s="1007" t="s">
        <v>244</v>
      </c>
      <c r="G5" s="1007">
        <v>24</v>
      </c>
      <c r="H5" s="1007">
        <v>2</v>
      </c>
      <c r="I5" s="1007" t="s">
        <v>591</v>
      </c>
      <c r="J5" s="1007">
        <v>3</v>
      </c>
      <c r="K5" s="1007">
        <v>11</v>
      </c>
      <c r="L5" s="1007" t="s">
        <v>557</v>
      </c>
      <c r="M5" s="1007">
        <v>12</v>
      </c>
      <c r="N5" s="1007">
        <v>1</v>
      </c>
      <c r="O5" s="1007" t="s">
        <v>556</v>
      </c>
      <c r="P5" s="87"/>
      <c r="Q5" s="87"/>
    </row>
    <row r="6" spans="2:17">
      <c r="B6" s="994">
        <v>1068</v>
      </c>
      <c r="C6" s="994">
        <v>12</v>
      </c>
      <c r="D6" s="994">
        <v>2.42</v>
      </c>
      <c r="E6" s="1006" t="s">
        <v>1593</v>
      </c>
      <c r="F6" s="1007" t="s">
        <v>244</v>
      </c>
      <c r="G6" s="1007">
        <v>35</v>
      </c>
      <c r="H6" s="1007">
        <v>2</v>
      </c>
      <c r="I6" s="1007" t="s">
        <v>591</v>
      </c>
      <c r="J6" s="1007">
        <v>4</v>
      </c>
      <c r="K6" s="1007">
        <v>3</v>
      </c>
      <c r="L6" s="1007" t="s">
        <v>557</v>
      </c>
      <c r="M6" s="1007">
        <v>4</v>
      </c>
      <c r="N6" s="1007">
        <v>0</v>
      </c>
      <c r="O6" s="1007" t="s">
        <v>556</v>
      </c>
      <c r="P6" s="87"/>
      <c r="Q6" s="87"/>
    </row>
    <row r="7" spans="2:17">
      <c r="B7" s="994">
        <v>12978</v>
      </c>
      <c r="C7" s="994">
        <v>24</v>
      </c>
      <c r="D7" s="994">
        <v>2</v>
      </c>
      <c r="E7" s="1006" t="s">
        <v>1594</v>
      </c>
      <c r="F7" s="1007" t="s">
        <v>591</v>
      </c>
      <c r="G7" s="1007">
        <v>26</v>
      </c>
      <c r="H7" s="1007">
        <v>53</v>
      </c>
      <c r="I7" s="1007" t="s">
        <v>591</v>
      </c>
      <c r="J7" s="1007">
        <v>2</v>
      </c>
      <c r="K7" s="1007">
        <v>42</v>
      </c>
      <c r="L7" s="1007" t="s">
        <v>591</v>
      </c>
      <c r="M7" s="1007">
        <v>7</v>
      </c>
      <c r="N7" s="1007">
        <v>17</v>
      </c>
      <c r="O7" s="1007" t="s">
        <v>557</v>
      </c>
      <c r="P7" s="995"/>
      <c r="Q7" s="995"/>
    </row>
    <row r="8" spans="2:17">
      <c r="B8" s="994"/>
      <c r="C8" s="375">
        <v>24</v>
      </c>
      <c r="D8" s="375">
        <v>1.42</v>
      </c>
      <c r="E8" s="1008" t="s">
        <v>3847</v>
      </c>
      <c r="F8" s="1009" t="s">
        <v>556</v>
      </c>
      <c r="G8" s="1007"/>
      <c r="H8" s="1007"/>
      <c r="I8" s="1007" t="s">
        <v>591</v>
      </c>
      <c r="J8" s="1007"/>
      <c r="K8" s="1007"/>
      <c r="L8" s="1009" t="s">
        <v>591</v>
      </c>
      <c r="M8" s="1010"/>
      <c r="N8" s="1010"/>
      <c r="O8" s="1009" t="s">
        <v>557</v>
      </c>
      <c r="P8" s="693"/>
      <c r="Q8" s="693"/>
    </row>
    <row r="9" spans="2:17">
      <c r="B9" s="994"/>
      <c r="C9" s="375">
        <v>12</v>
      </c>
      <c r="D9" s="375">
        <v>1.67</v>
      </c>
      <c r="E9" s="1008" t="s">
        <v>3848</v>
      </c>
      <c r="F9" s="1009" t="s">
        <v>556</v>
      </c>
      <c r="G9" s="1007"/>
      <c r="H9" s="1007"/>
      <c r="I9" s="1009" t="s">
        <v>591</v>
      </c>
      <c r="J9" s="1007"/>
      <c r="K9" s="1007"/>
      <c r="L9" s="1009" t="s">
        <v>557</v>
      </c>
      <c r="M9" s="1010"/>
      <c r="N9" s="1010"/>
      <c r="O9" s="1009" t="s">
        <v>557</v>
      </c>
      <c r="P9" s="693"/>
      <c r="Q9" s="693"/>
    </row>
    <row r="10" spans="2:17">
      <c r="B10" s="994"/>
      <c r="C10" s="375">
        <v>12</v>
      </c>
      <c r="D10" s="375">
        <v>2.75</v>
      </c>
      <c r="E10" s="1008" t="s">
        <v>3849</v>
      </c>
      <c r="F10" s="1009" t="s">
        <v>556</v>
      </c>
      <c r="G10" s="1007"/>
      <c r="H10" s="1007"/>
      <c r="I10" s="1009" t="s">
        <v>557</v>
      </c>
      <c r="J10" s="1007"/>
      <c r="K10" s="1007"/>
      <c r="L10" s="1009" t="s">
        <v>557</v>
      </c>
      <c r="M10" s="1010"/>
      <c r="N10" s="1010"/>
      <c r="O10" s="1009" t="s">
        <v>557</v>
      </c>
      <c r="P10" s="693"/>
      <c r="Q10" s="693"/>
    </row>
    <row r="11" spans="2:17">
      <c r="B11" s="994"/>
      <c r="C11" s="375">
        <v>12</v>
      </c>
      <c r="D11" s="375">
        <v>2.83</v>
      </c>
      <c r="E11" s="1008" t="s">
        <v>3850</v>
      </c>
      <c r="F11" s="1009" t="s">
        <v>556</v>
      </c>
      <c r="G11" s="1007"/>
      <c r="H11" s="1007"/>
      <c r="I11" s="1009" t="s">
        <v>557</v>
      </c>
      <c r="J11" s="1007"/>
      <c r="K11" s="1007"/>
      <c r="L11" s="1009" t="s">
        <v>557</v>
      </c>
      <c r="M11" s="1010"/>
      <c r="N11" s="1010"/>
      <c r="O11" s="1009" t="s">
        <v>3865</v>
      </c>
      <c r="P11" s="693"/>
      <c r="Q11" s="693"/>
    </row>
    <row r="12" spans="2:17">
      <c r="B12" s="994"/>
      <c r="C12" s="375">
        <v>12</v>
      </c>
      <c r="D12" s="375">
        <v>1.83</v>
      </c>
      <c r="E12" s="1008" t="s">
        <v>3851</v>
      </c>
      <c r="F12" s="1009" t="s">
        <v>3864</v>
      </c>
      <c r="G12" s="1007"/>
      <c r="H12" s="1007"/>
      <c r="I12" s="1009" t="s">
        <v>591</v>
      </c>
      <c r="J12" s="1007"/>
      <c r="K12" s="1007"/>
      <c r="L12" s="1009" t="s">
        <v>3865</v>
      </c>
      <c r="M12" s="1010"/>
      <c r="N12" s="1010"/>
      <c r="O12" s="1009" t="s">
        <v>557</v>
      </c>
      <c r="P12" s="693"/>
      <c r="Q12" s="693"/>
    </row>
    <row r="13" spans="2:17">
      <c r="B13" s="994"/>
      <c r="C13" s="375">
        <v>12</v>
      </c>
      <c r="D13" s="375">
        <v>1.67</v>
      </c>
      <c r="E13" s="1008" t="s">
        <v>3852</v>
      </c>
      <c r="F13" s="1009" t="s">
        <v>557</v>
      </c>
      <c r="G13" s="1007"/>
      <c r="H13" s="1007"/>
      <c r="I13" s="1009" t="s">
        <v>591</v>
      </c>
      <c r="J13" s="1007"/>
      <c r="K13" s="1007"/>
      <c r="L13" s="1007" t="s">
        <v>591</v>
      </c>
      <c r="M13" s="1010"/>
      <c r="N13" s="1010"/>
      <c r="O13" s="1009" t="s">
        <v>557</v>
      </c>
      <c r="P13" s="693"/>
      <c r="Q13" s="693"/>
    </row>
    <row r="14" spans="2:17">
      <c r="B14" s="994"/>
      <c r="C14" s="375">
        <v>12</v>
      </c>
      <c r="D14" s="375">
        <v>2.83</v>
      </c>
      <c r="E14" s="1008" t="s">
        <v>3853</v>
      </c>
      <c r="F14" s="1009" t="s">
        <v>557</v>
      </c>
      <c r="G14" s="1007"/>
      <c r="H14" s="1007"/>
      <c r="I14" s="1009" t="s">
        <v>591</v>
      </c>
      <c r="J14" s="1007"/>
      <c r="K14" s="1007"/>
      <c r="L14" s="1007" t="s">
        <v>591</v>
      </c>
      <c r="M14" s="1010"/>
      <c r="N14" s="1010"/>
      <c r="O14" s="1009" t="s">
        <v>557</v>
      </c>
      <c r="P14" s="693"/>
      <c r="Q14" s="693"/>
    </row>
    <row r="15" spans="2:17">
      <c r="B15" s="994"/>
      <c r="C15" s="375">
        <v>12</v>
      </c>
      <c r="D15" s="375">
        <v>1.83</v>
      </c>
      <c r="E15" s="1008" t="s">
        <v>3854</v>
      </c>
      <c r="F15" s="1009" t="s">
        <v>557</v>
      </c>
      <c r="G15" s="1007"/>
      <c r="H15" s="1007"/>
      <c r="I15" s="1009" t="s">
        <v>591</v>
      </c>
      <c r="J15" s="1007"/>
      <c r="K15" s="1007"/>
      <c r="L15" s="1007" t="s">
        <v>591</v>
      </c>
      <c r="M15" s="1010"/>
      <c r="N15" s="1010"/>
      <c r="O15" s="1009" t="s">
        <v>3869</v>
      </c>
      <c r="P15" s="693"/>
      <c r="Q15" s="693"/>
    </row>
    <row r="16" spans="2:17">
      <c r="B16" s="994"/>
      <c r="C16" s="375">
        <v>12</v>
      </c>
      <c r="D16" s="375">
        <v>1.67</v>
      </c>
      <c r="E16" s="1008" t="s">
        <v>3866</v>
      </c>
      <c r="F16" s="1009" t="s">
        <v>244</v>
      </c>
      <c r="G16" s="1007"/>
      <c r="H16" s="1007"/>
      <c r="I16" s="1007" t="s">
        <v>556</v>
      </c>
      <c r="J16" s="1007"/>
      <c r="K16" s="1007"/>
      <c r="L16" s="1007" t="s">
        <v>556</v>
      </c>
      <c r="M16" s="1010"/>
      <c r="N16" s="1010"/>
      <c r="O16" s="1009" t="s">
        <v>268</v>
      </c>
      <c r="P16" s="693"/>
      <c r="Q16" s="693"/>
    </row>
    <row r="17" spans="2:17">
      <c r="B17" s="994"/>
      <c r="C17" s="375">
        <v>24</v>
      </c>
      <c r="D17" s="375">
        <v>1.1299999999999999</v>
      </c>
      <c r="E17" s="1008" t="s">
        <v>3855</v>
      </c>
      <c r="F17" s="1009" t="s">
        <v>244</v>
      </c>
      <c r="G17" s="1007"/>
      <c r="H17" s="1007"/>
      <c r="I17" s="1007" t="s">
        <v>557</v>
      </c>
      <c r="J17" s="1007"/>
      <c r="K17" s="1007"/>
      <c r="L17" s="1007" t="s">
        <v>557</v>
      </c>
      <c r="M17" s="1010"/>
      <c r="N17" s="1010"/>
      <c r="O17" s="1007" t="s">
        <v>268</v>
      </c>
      <c r="P17" s="693"/>
      <c r="Q17" s="693"/>
    </row>
    <row r="18" spans="2:17">
      <c r="B18" s="994"/>
      <c r="C18" s="375">
        <v>12</v>
      </c>
      <c r="D18" s="375">
        <v>3</v>
      </c>
      <c r="E18" s="1008" t="s">
        <v>3867</v>
      </c>
      <c r="F18" s="1009" t="s">
        <v>556</v>
      </c>
      <c r="G18" s="1007"/>
      <c r="H18" s="1007"/>
      <c r="I18" s="1009" t="s">
        <v>591</v>
      </c>
      <c r="J18" s="1007"/>
      <c r="K18" s="1007"/>
      <c r="L18" s="1007" t="s">
        <v>591</v>
      </c>
      <c r="M18" s="1010"/>
      <c r="N18" s="1010"/>
      <c r="O18" s="1007" t="s">
        <v>557</v>
      </c>
      <c r="P18" s="693"/>
      <c r="Q18" s="693"/>
    </row>
    <row r="19" spans="2:17">
      <c r="B19" s="994"/>
      <c r="C19" s="375">
        <v>24</v>
      </c>
      <c r="D19" s="375">
        <v>2.06</v>
      </c>
      <c r="E19" s="1008" t="s">
        <v>3856</v>
      </c>
      <c r="F19" s="1009" t="s">
        <v>556</v>
      </c>
      <c r="G19" s="1007"/>
      <c r="H19" s="1007"/>
      <c r="I19" s="1009" t="s">
        <v>591</v>
      </c>
      <c r="J19" s="1007"/>
      <c r="K19" s="1007"/>
      <c r="L19" s="1007" t="s">
        <v>591</v>
      </c>
      <c r="M19" s="1010"/>
      <c r="N19" s="1010"/>
      <c r="O19" s="1007" t="s">
        <v>557</v>
      </c>
      <c r="P19" s="693"/>
      <c r="Q19" s="693"/>
    </row>
    <row r="20" spans="2:17">
      <c r="B20" s="994"/>
      <c r="C20" s="375">
        <v>12</v>
      </c>
      <c r="D20" s="375">
        <v>1.5</v>
      </c>
      <c r="E20" s="1008" t="s">
        <v>3857</v>
      </c>
      <c r="F20" s="1009" t="s">
        <v>268</v>
      </c>
      <c r="G20" s="1007"/>
      <c r="H20" s="1007"/>
      <c r="I20" s="1007" t="s">
        <v>557</v>
      </c>
      <c r="J20" s="1007"/>
      <c r="K20" s="1007"/>
      <c r="L20" s="1007" t="s">
        <v>557</v>
      </c>
      <c r="M20" s="1010"/>
      <c r="N20" s="1010"/>
      <c r="O20" s="1007" t="s">
        <v>556</v>
      </c>
      <c r="P20" s="693"/>
      <c r="Q20" s="693"/>
    </row>
    <row r="21" spans="2:17">
      <c r="B21" s="994"/>
      <c r="C21" s="375">
        <v>12</v>
      </c>
      <c r="D21" s="375">
        <v>1.5</v>
      </c>
      <c r="E21" s="1008" t="s">
        <v>3859</v>
      </c>
      <c r="F21" s="1009" t="s">
        <v>268</v>
      </c>
      <c r="G21" s="1007"/>
      <c r="H21" s="1007"/>
      <c r="I21" s="1007" t="s">
        <v>557</v>
      </c>
      <c r="J21" s="1007"/>
      <c r="K21" s="1007"/>
      <c r="L21" s="1007" t="s">
        <v>557</v>
      </c>
      <c r="M21" s="1010"/>
      <c r="N21" s="1010"/>
      <c r="O21" s="1007" t="s">
        <v>556</v>
      </c>
      <c r="P21" s="693"/>
      <c r="Q21" s="693"/>
    </row>
    <row r="22" spans="2:17">
      <c r="B22" s="994"/>
      <c r="C22" s="375">
        <v>12</v>
      </c>
      <c r="D22" s="375">
        <v>1.5</v>
      </c>
      <c r="E22" s="1008" t="s">
        <v>3858</v>
      </c>
      <c r="F22" s="1009" t="s">
        <v>268</v>
      </c>
      <c r="G22" s="1007"/>
      <c r="H22" s="1007"/>
      <c r="I22" s="1007" t="s">
        <v>557</v>
      </c>
      <c r="J22" s="1007"/>
      <c r="K22" s="1007"/>
      <c r="L22" s="1007" t="s">
        <v>557</v>
      </c>
      <c r="M22" s="1010"/>
      <c r="N22" s="1010"/>
      <c r="O22" s="1007" t="s">
        <v>556</v>
      </c>
      <c r="P22" s="693"/>
      <c r="Q22" s="693"/>
    </row>
    <row r="23" spans="2:17">
      <c r="B23" s="994"/>
      <c r="C23" s="375">
        <v>12</v>
      </c>
      <c r="D23" s="375">
        <v>1.5</v>
      </c>
      <c r="E23" s="1008" t="s">
        <v>3860</v>
      </c>
      <c r="F23" s="1009" t="s">
        <v>557</v>
      </c>
      <c r="G23" s="1007"/>
      <c r="H23" s="1007"/>
      <c r="I23" s="1007" t="s">
        <v>591</v>
      </c>
      <c r="J23" s="1007"/>
      <c r="K23" s="1007"/>
      <c r="L23" s="1007" t="s">
        <v>591</v>
      </c>
      <c r="M23" s="1010"/>
      <c r="N23" s="1010"/>
      <c r="O23" s="1007" t="s">
        <v>556</v>
      </c>
      <c r="P23" s="693"/>
      <c r="Q23" s="693"/>
    </row>
    <row r="24" spans="2:17">
      <c r="B24" s="994"/>
      <c r="C24" s="375">
        <v>12</v>
      </c>
      <c r="D24" s="375">
        <v>1.83</v>
      </c>
      <c r="E24" s="1008" t="s">
        <v>3863</v>
      </c>
      <c r="F24" s="1009" t="s">
        <v>557</v>
      </c>
      <c r="G24" s="1007"/>
      <c r="H24" s="1007"/>
      <c r="I24" s="1007" t="s">
        <v>591</v>
      </c>
      <c r="J24" s="1007"/>
      <c r="K24" s="1007"/>
      <c r="L24" s="1007" t="s">
        <v>591</v>
      </c>
      <c r="M24" s="1010"/>
      <c r="N24" s="1010"/>
      <c r="O24" s="1007" t="s">
        <v>557</v>
      </c>
      <c r="P24" s="693"/>
      <c r="Q24" s="693"/>
    </row>
    <row r="25" spans="2:17">
      <c r="B25" s="994"/>
      <c r="C25" s="375">
        <v>12</v>
      </c>
      <c r="D25" s="375">
        <v>1.83</v>
      </c>
      <c r="E25" s="1008" t="s">
        <v>3862</v>
      </c>
      <c r="F25" s="1009" t="s">
        <v>557</v>
      </c>
      <c r="G25" s="1007"/>
      <c r="H25" s="1007"/>
      <c r="I25" s="1007" t="s">
        <v>591</v>
      </c>
      <c r="J25" s="1007"/>
      <c r="K25" s="1007"/>
      <c r="L25" s="1007" t="s">
        <v>591</v>
      </c>
      <c r="M25" s="1010"/>
      <c r="N25" s="1010"/>
      <c r="O25" s="1007" t="s">
        <v>557</v>
      </c>
      <c r="P25" s="693"/>
      <c r="Q25" s="693"/>
    </row>
    <row r="26" spans="2:17">
      <c r="B26" s="994"/>
      <c r="C26" s="375">
        <v>12</v>
      </c>
      <c r="D26" s="375">
        <v>1.83</v>
      </c>
      <c r="E26" s="1008" t="s">
        <v>3861</v>
      </c>
      <c r="F26" s="1009" t="s">
        <v>557</v>
      </c>
      <c r="G26" s="1007"/>
      <c r="H26" s="1007"/>
      <c r="I26" s="1007" t="s">
        <v>591</v>
      </c>
      <c r="J26" s="1007"/>
      <c r="K26" s="1007"/>
      <c r="L26" s="1007" t="s">
        <v>591</v>
      </c>
      <c r="M26" s="1010"/>
      <c r="N26" s="1010"/>
      <c r="O26" s="1007" t="s">
        <v>557</v>
      </c>
      <c r="P26" s="693"/>
      <c r="Q26" s="693"/>
    </row>
  </sheetData>
  <pageMargins left="0.7" right="0.7" top="0.75" bottom="0.75" header="0.3" footer="0.3"/>
  <pageSetup paperSize="9" orientation="landscape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6:N93"/>
  <sheetViews>
    <sheetView topLeftCell="A4" workbookViewId="0">
      <selection activeCell="A32" sqref="A32"/>
    </sheetView>
  </sheetViews>
  <sheetFormatPr baseColWidth="10" defaultRowHeight="15"/>
  <cols>
    <col min="2" max="2" width="11.42578125" style="408" customWidth="1"/>
    <col min="3" max="4" width="11.42578125" style="360" hidden="1" customWidth="1"/>
    <col min="5" max="5" width="54.42578125" customWidth="1"/>
    <col min="6" max="6" width="14.28515625" style="363" hidden="1" customWidth="1"/>
    <col min="7" max="7" width="17.85546875" hidden="1" customWidth="1"/>
    <col min="8" max="8" width="16.28515625" hidden="1" customWidth="1"/>
    <col min="9" max="9" width="0" hidden="1" customWidth="1"/>
    <col min="10" max="10" width="15.5703125" hidden="1" customWidth="1"/>
    <col min="11" max="11" width="20.5703125" style="990" customWidth="1"/>
  </cols>
  <sheetData>
    <row r="6" spans="2:14" ht="66" customHeight="1">
      <c r="B6" s="410" t="s">
        <v>119</v>
      </c>
      <c r="C6" s="410" t="s">
        <v>246</v>
      </c>
      <c r="D6" s="410" t="s">
        <v>60</v>
      </c>
      <c r="E6" s="409" t="s">
        <v>107</v>
      </c>
      <c r="F6" s="342" t="s">
        <v>1548</v>
      </c>
      <c r="G6" s="310" t="s">
        <v>19</v>
      </c>
      <c r="H6" s="310" t="s">
        <v>20</v>
      </c>
      <c r="I6" s="310" t="s">
        <v>1132</v>
      </c>
      <c r="J6" s="310" t="s">
        <v>690</v>
      </c>
      <c r="K6" s="310" t="s">
        <v>19</v>
      </c>
      <c r="L6" s="310" t="s">
        <v>20</v>
      </c>
      <c r="M6" s="310" t="s">
        <v>1132</v>
      </c>
      <c r="N6" s="310" t="s">
        <v>690</v>
      </c>
    </row>
    <row r="7" spans="2:14" s="404" customFormat="1" ht="20.25" hidden="1" customHeight="1">
      <c r="B7" s="411">
        <v>19266</v>
      </c>
      <c r="C7" s="411">
        <v>12</v>
      </c>
      <c r="D7" s="411">
        <v>1.08</v>
      </c>
      <c r="E7" s="348" t="s">
        <v>1542</v>
      </c>
      <c r="F7" s="342"/>
      <c r="G7" s="310"/>
      <c r="H7" s="310"/>
      <c r="I7" s="310"/>
      <c r="J7" s="310"/>
      <c r="K7" s="310"/>
      <c r="L7" s="310"/>
      <c r="M7" s="310"/>
      <c r="N7" s="310"/>
    </row>
    <row r="8" spans="2:14" s="404" customFormat="1" ht="20.25" hidden="1" customHeight="1">
      <c r="B8" s="411">
        <v>19267</v>
      </c>
      <c r="C8" s="411">
        <v>12</v>
      </c>
      <c r="D8" s="411">
        <v>1.08</v>
      </c>
      <c r="E8" s="348" t="s">
        <v>1543</v>
      </c>
      <c r="F8" s="342"/>
      <c r="G8" s="310"/>
      <c r="H8" s="310"/>
      <c r="I8" s="310"/>
      <c r="J8" s="310"/>
      <c r="K8" s="310"/>
      <c r="L8" s="310"/>
      <c r="M8" s="310"/>
      <c r="N8" s="310"/>
    </row>
    <row r="9" spans="2:14" s="404" customFormat="1" ht="20.25" hidden="1" customHeight="1">
      <c r="B9" s="411">
        <v>19268</v>
      </c>
      <c r="C9" s="411">
        <v>12</v>
      </c>
      <c r="D9" s="411">
        <v>1.1499999999999999</v>
      </c>
      <c r="E9" s="348" t="s">
        <v>1544</v>
      </c>
      <c r="F9" s="342"/>
      <c r="G9" s="310"/>
      <c r="H9" s="310"/>
      <c r="I9" s="310"/>
      <c r="J9" s="310"/>
      <c r="K9" s="310"/>
      <c r="L9" s="310"/>
      <c r="M9" s="310"/>
      <c r="N9" s="310"/>
    </row>
    <row r="10" spans="2:14" s="404" customFormat="1" ht="20.25" hidden="1" customHeight="1">
      <c r="B10" s="411">
        <v>19270</v>
      </c>
      <c r="C10" s="411">
        <v>12</v>
      </c>
      <c r="D10" s="411">
        <v>1.1499999999999999</v>
      </c>
      <c r="E10" s="348" t="s">
        <v>1533</v>
      </c>
      <c r="F10" s="342"/>
      <c r="G10" s="310"/>
      <c r="H10" s="310"/>
      <c r="I10" s="310"/>
      <c r="J10" s="310"/>
      <c r="K10" s="310"/>
      <c r="L10" s="310"/>
      <c r="M10" s="310"/>
      <c r="N10" s="310"/>
    </row>
    <row r="11" spans="2:14" ht="20.25" hidden="1" customHeight="1">
      <c r="B11" s="411">
        <v>19271</v>
      </c>
      <c r="C11" s="411">
        <v>12</v>
      </c>
      <c r="D11" s="411">
        <v>1.45</v>
      </c>
      <c r="E11" s="348" t="s">
        <v>1532</v>
      </c>
      <c r="F11" s="409">
        <v>12</v>
      </c>
      <c r="G11" s="348"/>
      <c r="H11" s="409" t="s">
        <v>1549</v>
      </c>
      <c r="I11" s="409" t="s">
        <v>1549</v>
      </c>
      <c r="J11" s="409" t="s">
        <v>1549</v>
      </c>
      <c r="K11" s="993" t="s">
        <v>65</v>
      </c>
      <c r="L11" s="405"/>
      <c r="M11" s="405"/>
      <c r="N11" s="405"/>
    </row>
    <row r="12" spans="2:14" ht="20.25" hidden="1" customHeight="1">
      <c r="B12" s="411">
        <v>19274</v>
      </c>
      <c r="C12" s="411">
        <v>12</v>
      </c>
      <c r="D12" s="411">
        <v>1.45</v>
      </c>
      <c r="E12" s="348" t="s">
        <v>1531</v>
      </c>
      <c r="F12" s="409">
        <v>12</v>
      </c>
      <c r="G12" s="348"/>
      <c r="H12" s="409" t="s">
        <v>1549</v>
      </c>
      <c r="I12" s="409" t="s">
        <v>1549</v>
      </c>
      <c r="J12" s="409" t="s">
        <v>1549</v>
      </c>
      <c r="K12" s="993"/>
      <c r="L12" s="405"/>
      <c r="M12" s="405"/>
      <c r="N12" s="405"/>
    </row>
    <row r="13" spans="2:14" ht="20.25" hidden="1" customHeight="1">
      <c r="B13" s="411">
        <v>19275</v>
      </c>
      <c r="C13" s="411">
        <v>12</v>
      </c>
      <c r="D13" s="411">
        <v>1.45</v>
      </c>
      <c r="E13" s="348" t="s">
        <v>1530</v>
      </c>
      <c r="F13" s="409">
        <v>12</v>
      </c>
      <c r="G13" s="348"/>
      <c r="H13" s="409" t="s">
        <v>1549</v>
      </c>
      <c r="I13" s="409" t="s">
        <v>1549</v>
      </c>
      <c r="J13" s="409" t="s">
        <v>1549</v>
      </c>
      <c r="K13" s="993"/>
      <c r="L13" s="405"/>
      <c r="M13" s="405"/>
      <c r="N13" s="405"/>
    </row>
    <row r="14" spans="2:14" ht="20.25" hidden="1" customHeight="1">
      <c r="B14" s="411">
        <v>19276</v>
      </c>
      <c r="C14" s="411">
        <v>12</v>
      </c>
      <c r="D14" s="411">
        <v>2.5499999999999998</v>
      </c>
      <c r="E14" s="348" t="s">
        <v>1529</v>
      </c>
      <c r="F14" s="409">
        <v>12</v>
      </c>
      <c r="G14" s="348"/>
      <c r="H14" s="409" t="s">
        <v>1549</v>
      </c>
      <c r="I14" s="409" t="s">
        <v>1549</v>
      </c>
      <c r="J14" s="409" t="s">
        <v>1549</v>
      </c>
      <c r="K14" s="993"/>
      <c r="L14" s="405"/>
      <c r="M14" s="405"/>
      <c r="N14" s="405"/>
    </row>
    <row r="15" spans="2:14" ht="20.25" customHeight="1">
      <c r="B15" s="58">
        <v>19278</v>
      </c>
      <c r="C15" s="58">
        <v>24</v>
      </c>
      <c r="D15" s="58">
        <v>0.95</v>
      </c>
      <c r="E15" s="61" t="s">
        <v>1545</v>
      </c>
      <c r="F15" s="58">
        <v>12</v>
      </c>
      <c r="G15" s="61"/>
      <c r="H15" s="58" t="s">
        <v>1550</v>
      </c>
      <c r="I15" s="58" t="s">
        <v>1550</v>
      </c>
      <c r="J15" s="58" t="s">
        <v>1550</v>
      </c>
      <c r="K15" s="58" t="s">
        <v>1018</v>
      </c>
      <c r="L15" s="33"/>
      <c r="M15" s="405"/>
      <c r="N15" s="405"/>
    </row>
    <row r="16" spans="2:14" ht="20.25" customHeight="1">
      <c r="B16" s="58">
        <v>19280</v>
      </c>
      <c r="C16" s="58">
        <v>24</v>
      </c>
      <c r="D16" s="58">
        <v>0.95</v>
      </c>
      <c r="E16" s="61" t="s">
        <v>1546</v>
      </c>
      <c r="F16" s="58">
        <v>12</v>
      </c>
      <c r="G16" s="61"/>
      <c r="H16" s="58" t="s">
        <v>1550</v>
      </c>
      <c r="I16" s="58" t="s">
        <v>1550</v>
      </c>
      <c r="J16" s="58" t="s">
        <v>1550</v>
      </c>
      <c r="K16" s="58" t="s">
        <v>1018</v>
      </c>
      <c r="L16" s="33"/>
      <c r="M16" s="405"/>
      <c r="N16" s="405"/>
    </row>
    <row r="17" spans="2:14" ht="20.25" customHeight="1">
      <c r="B17" s="58">
        <v>19281</v>
      </c>
      <c r="C17" s="58">
        <v>24</v>
      </c>
      <c r="D17" s="58">
        <v>0.95</v>
      </c>
      <c r="E17" s="61" t="s">
        <v>1547</v>
      </c>
      <c r="F17" s="58">
        <v>12</v>
      </c>
      <c r="G17" s="61"/>
      <c r="H17" s="58" t="s">
        <v>1550</v>
      </c>
      <c r="I17" s="58" t="s">
        <v>1550</v>
      </c>
      <c r="J17" s="58" t="s">
        <v>1550</v>
      </c>
      <c r="K17" s="58" t="s">
        <v>3840</v>
      </c>
      <c r="L17" s="33"/>
      <c r="M17" s="405"/>
      <c r="N17" s="405"/>
    </row>
    <row r="18" spans="2:14" ht="20.25" hidden="1" customHeight="1">
      <c r="B18" s="58">
        <v>19282</v>
      </c>
      <c r="C18" s="58">
        <v>12</v>
      </c>
      <c r="D18" s="58">
        <v>1.55</v>
      </c>
      <c r="E18" s="61" t="s">
        <v>1528</v>
      </c>
      <c r="F18" s="58">
        <v>12</v>
      </c>
      <c r="G18" s="61"/>
      <c r="H18" s="58" t="s">
        <v>1549</v>
      </c>
      <c r="I18" s="58" t="s">
        <v>1549</v>
      </c>
      <c r="J18" s="58" t="s">
        <v>1549</v>
      </c>
      <c r="K18" s="58"/>
      <c r="L18" s="33"/>
      <c r="M18" s="405"/>
      <c r="N18" s="405"/>
    </row>
    <row r="19" spans="2:14" ht="20.25" hidden="1" customHeight="1">
      <c r="B19" s="58">
        <v>19283</v>
      </c>
      <c r="C19" s="58">
        <v>12</v>
      </c>
      <c r="D19" s="58">
        <v>1.55</v>
      </c>
      <c r="E19" s="61" t="s">
        <v>1527</v>
      </c>
      <c r="F19" s="58">
        <v>24</v>
      </c>
      <c r="G19" s="61"/>
      <c r="H19" s="58" t="s">
        <v>1551</v>
      </c>
      <c r="I19" s="58" t="s">
        <v>1551</v>
      </c>
      <c r="J19" s="58" t="s">
        <v>1551</v>
      </c>
      <c r="K19" s="58"/>
      <c r="L19" s="33"/>
      <c r="M19" s="405"/>
      <c r="N19" s="405"/>
    </row>
    <row r="20" spans="2:14" ht="20.25" hidden="1" customHeight="1">
      <c r="B20" s="58">
        <v>19284</v>
      </c>
      <c r="C20" s="58">
        <v>12</v>
      </c>
      <c r="D20" s="58">
        <v>1.55</v>
      </c>
      <c r="E20" s="61" t="s">
        <v>1526</v>
      </c>
      <c r="F20" s="58">
        <v>24</v>
      </c>
      <c r="G20" s="61"/>
      <c r="H20" s="58" t="s">
        <v>1551</v>
      </c>
      <c r="I20" s="58" t="s">
        <v>1551</v>
      </c>
      <c r="J20" s="58" t="s">
        <v>1551</v>
      </c>
      <c r="K20" s="58"/>
      <c r="L20" s="33"/>
      <c r="M20" s="405"/>
      <c r="N20" s="405"/>
    </row>
    <row r="21" spans="2:14" ht="20.25" customHeight="1">
      <c r="B21" s="58">
        <v>19285</v>
      </c>
      <c r="C21" s="58">
        <v>12</v>
      </c>
      <c r="D21" s="58">
        <v>0.75</v>
      </c>
      <c r="E21" s="61" t="s">
        <v>1525</v>
      </c>
      <c r="F21" s="58">
        <v>24</v>
      </c>
      <c r="G21" s="61"/>
      <c r="H21" s="58" t="s">
        <v>1551</v>
      </c>
      <c r="I21" s="58" t="s">
        <v>1551</v>
      </c>
      <c r="J21" s="58" t="s">
        <v>1551</v>
      </c>
      <c r="K21" s="58" t="s">
        <v>243</v>
      </c>
      <c r="L21" s="33"/>
      <c r="M21" s="405"/>
      <c r="N21" s="405"/>
    </row>
    <row r="22" spans="2:14" s="827" customFormat="1" ht="20.25" customHeight="1">
      <c r="B22" s="58"/>
      <c r="C22" s="58"/>
      <c r="D22" s="58"/>
      <c r="E22" s="61" t="s">
        <v>3838</v>
      </c>
      <c r="F22" s="58"/>
      <c r="G22" s="61"/>
      <c r="H22" s="58"/>
      <c r="I22" s="58"/>
      <c r="J22" s="58"/>
      <c r="K22" s="58" t="s">
        <v>3841</v>
      </c>
      <c r="L22" s="33"/>
      <c r="M22" s="693"/>
      <c r="N22" s="693"/>
    </row>
    <row r="23" spans="2:14" ht="20.25" customHeight="1">
      <c r="B23" s="58">
        <v>19286</v>
      </c>
      <c r="C23" s="58">
        <v>6</v>
      </c>
      <c r="D23" s="58">
        <v>1.98</v>
      </c>
      <c r="E23" s="61" t="s">
        <v>1524</v>
      </c>
      <c r="F23" s="58">
        <v>12</v>
      </c>
      <c r="G23" s="61"/>
      <c r="H23" s="58" t="s">
        <v>1550</v>
      </c>
      <c r="I23" s="58" t="s">
        <v>1550</v>
      </c>
      <c r="J23" s="58" t="s">
        <v>1550</v>
      </c>
      <c r="K23" s="58" t="s">
        <v>243</v>
      </c>
      <c r="L23" s="33"/>
      <c r="M23" s="405"/>
      <c r="N23" s="405"/>
    </row>
    <row r="24" spans="2:14" hidden="1">
      <c r="B24" s="58">
        <v>19287</v>
      </c>
      <c r="C24" s="58">
        <v>48</v>
      </c>
      <c r="D24" s="58">
        <v>1.26</v>
      </c>
      <c r="E24" s="61" t="s">
        <v>1523</v>
      </c>
      <c r="F24" s="58">
        <v>12</v>
      </c>
      <c r="G24" s="61"/>
      <c r="H24" s="58" t="s">
        <v>1550</v>
      </c>
      <c r="I24" s="58" t="s">
        <v>1550</v>
      </c>
      <c r="J24" s="58" t="s">
        <v>1550</v>
      </c>
      <c r="K24" s="58" t="s">
        <v>65</v>
      </c>
      <c r="L24" s="33"/>
      <c r="M24" s="405"/>
      <c r="N24" s="405"/>
    </row>
    <row r="25" spans="2:14" ht="20.25" customHeight="1">
      <c r="B25" s="58">
        <v>19289</v>
      </c>
      <c r="C25" s="58">
        <v>12</v>
      </c>
      <c r="D25" s="58">
        <v>2.25</v>
      </c>
      <c r="E25" s="61" t="s">
        <v>1522</v>
      </c>
      <c r="F25" s="58">
        <v>12</v>
      </c>
      <c r="G25" s="61"/>
      <c r="H25" s="58" t="s">
        <v>1550</v>
      </c>
      <c r="I25" s="58" t="s">
        <v>1550</v>
      </c>
      <c r="J25" s="58" t="s">
        <v>1550</v>
      </c>
      <c r="K25" s="58" t="s">
        <v>1318</v>
      </c>
      <c r="L25" s="33"/>
      <c r="M25" s="405"/>
      <c r="N25" s="405"/>
    </row>
    <row r="26" spans="2:14" ht="20.25" customHeight="1">
      <c r="B26" s="58">
        <v>19290</v>
      </c>
      <c r="C26" s="58">
        <v>12</v>
      </c>
      <c r="D26" s="58">
        <v>2.25</v>
      </c>
      <c r="E26" s="61" t="s">
        <v>1521</v>
      </c>
      <c r="F26" s="58">
        <v>12</v>
      </c>
      <c r="G26" s="61"/>
      <c r="H26" s="58" t="s">
        <v>1552</v>
      </c>
      <c r="I26" s="58" t="s">
        <v>1552</v>
      </c>
      <c r="J26" s="58" t="s">
        <v>1552</v>
      </c>
      <c r="K26" s="58" t="s">
        <v>557</v>
      </c>
      <c r="L26" s="33"/>
      <c r="M26" s="405"/>
      <c r="N26" s="405"/>
    </row>
    <row r="27" spans="2:14" ht="20.25" customHeight="1">
      <c r="B27" s="58">
        <v>19291</v>
      </c>
      <c r="C27" s="58">
        <v>12</v>
      </c>
      <c r="D27" s="58">
        <v>2.25</v>
      </c>
      <c r="E27" s="61" t="s">
        <v>1520</v>
      </c>
      <c r="F27" s="58">
        <v>6</v>
      </c>
      <c r="G27" s="61"/>
      <c r="H27" s="58" t="s">
        <v>1549</v>
      </c>
      <c r="I27" s="58" t="s">
        <v>1549</v>
      </c>
      <c r="J27" s="58" t="s">
        <v>1549</v>
      </c>
      <c r="K27" s="58" t="s">
        <v>1318</v>
      </c>
      <c r="L27" s="33"/>
      <c r="M27" s="405"/>
      <c r="N27" s="405"/>
    </row>
    <row r="28" spans="2:14" ht="20.25" customHeight="1">
      <c r="B28" s="58">
        <v>19292</v>
      </c>
      <c r="C28" s="58">
        <v>18</v>
      </c>
      <c r="D28" s="58">
        <v>0.95</v>
      </c>
      <c r="E28" s="61" t="s">
        <v>1519</v>
      </c>
      <c r="F28" s="58">
        <v>48</v>
      </c>
      <c r="G28" s="61"/>
      <c r="H28" s="58" t="s">
        <v>1553</v>
      </c>
      <c r="I28" s="58" t="s">
        <v>1553</v>
      </c>
      <c r="J28" s="58" t="s">
        <v>1553</v>
      </c>
      <c r="K28" s="58" t="s">
        <v>556</v>
      </c>
      <c r="L28" s="33"/>
      <c r="M28" s="405"/>
      <c r="N28" s="405"/>
    </row>
    <row r="29" spans="2:14" ht="20.25" customHeight="1">
      <c r="B29" s="58">
        <v>19293</v>
      </c>
      <c r="C29" s="58">
        <v>12</v>
      </c>
      <c r="D29" s="58">
        <v>1.3</v>
      </c>
      <c r="E29" s="61" t="s">
        <v>1518</v>
      </c>
      <c r="F29" s="58">
        <v>12</v>
      </c>
      <c r="G29" s="61"/>
      <c r="H29" s="58" t="s">
        <v>1550</v>
      </c>
      <c r="I29" s="58" t="s">
        <v>1550</v>
      </c>
      <c r="J29" s="58" t="s">
        <v>1550</v>
      </c>
      <c r="K29" s="58" t="s">
        <v>268</v>
      </c>
      <c r="L29" s="33"/>
      <c r="M29" s="405"/>
      <c r="N29" s="405"/>
    </row>
    <row r="30" spans="2:14" ht="20.25" customHeight="1">
      <c r="B30" s="58">
        <v>19295</v>
      </c>
      <c r="C30" s="58">
        <v>12</v>
      </c>
      <c r="D30" s="58">
        <v>1.96</v>
      </c>
      <c r="E30" s="61" t="s">
        <v>1517</v>
      </c>
      <c r="F30" s="58">
        <v>12</v>
      </c>
      <c r="G30" s="61"/>
      <c r="H30" s="58" t="s">
        <v>1550</v>
      </c>
      <c r="I30" s="58" t="s">
        <v>1550</v>
      </c>
      <c r="J30" s="58" t="s">
        <v>1550</v>
      </c>
      <c r="K30" s="58" t="s">
        <v>1318</v>
      </c>
      <c r="L30" s="33"/>
      <c r="M30" s="405"/>
      <c r="N30" s="405"/>
    </row>
    <row r="31" spans="2:14" ht="20.25" customHeight="1">
      <c r="B31" s="58">
        <v>19296</v>
      </c>
      <c r="C31" s="58">
        <v>12</v>
      </c>
      <c r="D31" s="58">
        <v>1.96</v>
      </c>
      <c r="E31" s="61" t="s">
        <v>1516</v>
      </c>
      <c r="F31" s="58">
        <v>12</v>
      </c>
      <c r="G31" s="61"/>
      <c r="H31" s="58" t="s">
        <v>1550</v>
      </c>
      <c r="I31" s="58" t="s">
        <v>1550</v>
      </c>
      <c r="J31" s="58" t="s">
        <v>1550</v>
      </c>
      <c r="K31" s="58" t="s">
        <v>1318</v>
      </c>
      <c r="L31" s="33"/>
      <c r="M31" s="405"/>
      <c r="N31" s="405"/>
    </row>
    <row r="32" spans="2:14" ht="20.25" customHeight="1">
      <c r="B32" s="58">
        <v>19297</v>
      </c>
      <c r="C32" s="58">
        <v>12</v>
      </c>
      <c r="D32" s="58">
        <v>1.96</v>
      </c>
      <c r="E32" s="61" t="s">
        <v>1515</v>
      </c>
      <c r="F32" s="58">
        <v>18</v>
      </c>
      <c r="G32" s="61"/>
      <c r="H32" s="58" t="s">
        <v>1554</v>
      </c>
      <c r="I32" s="58" t="s">
        <v>1554</v>
      </c>
      <c r="J32" s="58" t="s">
        <v>1554</v>
      </c>
      <c r="K32" s="58" t="s">
        <v>1318</v>
      </c>
      <c r="L32" s="33"/>
      <c r="M32" s="405"/>
      <c r="N32" s="405"/>
    </row>
    <row r="33" spans="2:14" ht="20.25" hidden="1" customHeight="1">
      <c r="B33" s="58">
        <v>19486</v>
      </c>
      <c r="C33" s="61">
        <v>9</v>
      </c>
      <c r="D33" s="61">
        <v>0.28000000000000003</v>
      </c>
      <c r="E33" s="61" t="s">
        <v>3837</v>
      </c>
      <c r="F33" s="58">
        <v>12</v>
      </c>
      <c r="G33" s="61"/>
      <c r="H33" s="997" t="s">
        <v>1550</v>
      </c>
      <c r="I33" s="997" t="s">
        <v>1550</v>
      </c>
      <c r="J33" s="997" t="s">
        <v>1550</v>
      </c>
      <c r="K33" s="58" t="s">
        <v>557</v>
      </c>
      <c r="L33" s="33"/>
      <c r="M33" s="405"/>
      <c r="N33" s="405"/>
    </row>
    <row r="34" spans="2:14" ht="20.25" hidden="1" customHeight="1">
      <c r="B34" s="58">
        <v>19487</v>
      </c>
      <c r="C34" s="61">
        <v>9</v>
      </c>
      <c r="D34" s="61">
        <v>0.28000000000000003</v>
      </c>
      <c r="E34" s="61" t="s">
        <v>1853</v>
      </c>
      <c r="F34" s="58">
        <v>12</v>
      </c>
      <c r="G34" s="61"/>
      <c r="H34" s="997" t="s">
        <v>1550</v>
      </c>
      <c r="I34" s="997" t="s">
        <v>1550</v>
      </c>
      <c r="J34" s="997" t="s">
        <v>1550</v>
      </c>
      <c r="K34" s="58"/>
      <c r="L34" s="33"/>
      <c r="M34" s="405"/>
      <c r="N34" s="405"/>
    </row>
    <row r="35" spans="2:14" ht="20.25" hidden="1" customHeight="1">
      <c r="B35" s="58">
        <v>19488</v>
      </c>
      <c r="C35" s="61">
        <v>9</v>
      </c>
      <c r="D35" s="61">
        <v>0.28000000000000003</v>
      </c>
      <c r="E35" s="61" t="s">
        <v>1854</v>
      </c>
      <c r="F35" s="58">
        <v>12</v>
      </c>
      <c r="G35" s="61"/>
      <c r="H35" s="58" t="s">
        <v>1550</v>
      </c>
      <c r="I35" s="58" t="s">
        <v>1550</v>
      </c>
      <c r="J35" s="58" t="s">
        <v>1550</v>
      </c>
      <c r="K35" s="58"/>
      <c r="L35" s="33"/>
      <c r="M35" s="405"/>
      <c r="N35" s="405"/>
    </row>
    <row r="36" spans="2:14" ht="20.25" hidden="1" customHeight="1">
      <c r="B36" s="58">
        <v>19491</v>
      </c>
      <c r="C36" s="61">
        <v>9</v>
      </c>
      <c r="D36" s="61">
        <v>0.28000000000000003</v>
      </c>
      <c r="E36" s="61" t="s">
        <v>1855</v>
      </c>
      <c r="F36" s="58">
        <v>288</v>
      </c>
      <c r="G36" s="61"/>
      <c r="H36" s="58" t="s">
        <v>1552</v>
      </c>
      <c r="I36" s="58" t="s">
        <v>1552</v>
      </c>
      <c r="J36" s="58" t="s">
        <v>1552</v>
      </c>
      <c r="K36" s="58"/>
      <c r="L36" s="33"/>
      <c r="M36" s="405"/>
      <c r="N36" s="405"/>
    </row>
    <row r="37" spans="2:14" ht="20.25" customHeight="1">
      <c r="B37" s="58">
        <v>19492</v>
      </c>
      <c r="C37" s="61">
        <v>12</v>
      </c>
      <c r="D37" s="61">
        <v>0.68</v>
      </c>
      <c r="E37" s="61" t="s">
        <v>1856</v>
      </c>
      <c r="F37" s="58">
        <v>288</v>
      </c>
      <c r="G37" s="61"/>
      <c r="H37" s="58" t="s">
        <v>1552</v>
      </c>
      <c r="I37" s="58" t="s">
        <v>1552</v>
      </c>
      <c r="J37" s="58" t="s">
        <v>1552</v>
      </c>
      <c r="K37" s="58" t="s">
        <v>244</v>
      </c>
      <c r="L37" s="33"/>
      <c r="M37" s="405"/>
      <c r="N37" s="405"/>
    </row>
    <row r="38" spans="2:14" ht="20.25" hidden="1" customHeight="1">
      <c r="B38" s="61"/>
      <c r="C38" s="61"/>
      <c r="D38" s="61"/>
      <c r="E38" s="61" t="s">
        <v>3839</v>
      </c>
      <c r="F38" s="58">
        <v>288</v>
      </c>
      <c r="G38" s="61"/>
      <c r="H38" s="58" t="s">
        <v>1552</v>
      </c>
      <c r="I38" s="58" t="s">
        <v>1552</v>
      </c>
      <c r="J38" s="58" t="s">
        <v>1552</v>
      </c>
      <c r="K38" s="58" t="s">
        <v>65</v>
      </c>
    </row>
    <row r="39" spans="2:14" ht="20.25" customHeight="1">
      <c r="B39"/>
      <c r="C39"/>
      <c r="D39"/>
      <c r="F39" s="418">
        <v>288</v>
      </c>
      <c r="G39" s="419"/>
      <c r="H39" s="418" t="s">
        <v>1552</v>
      </c>
      <c r="I39" s="418" t="s">
        <v>1552</v>
      </c>
      <c r="J39" s="418" t="s">
        <v>1552</v>
      </c>
    </row>
    <row r="40" spans="2:14" ht="20.25" customHeight="1">
      <c r="B40"/>
      <c r="C40"/>
      <c r="D40"/>
      <c r="F40" s="328">
        <v>12</v>
      </c>
      <c r="G40" s="348"/>
      <c r="H40" s="328" t="s">
        <v>1552</v>
      </c>
      <c r="I40" s="328" t="s">
        <v>1552</v>
      </c>
      <c r="J40" s="328" t="s">
        <v>1552</v>
      </c>
    </row>
    <row r="41" spans="2:14" ht="20.25" customHeight="1">
      <c r="B41"/>
      <c r="C41"/>
      <c r="D41"/>
      <c r="F41" s="325"/>
      <c r="G41" s="123"/>
      <c r="H41" s="123"/>
      <c r="I41" s="123"/>
      <c r="J41" s="123"/>
    </row>
    <row r="42" spans="2:14" ht="36" customHeight="1">
      <c r="B42"/>
      <c r="C42"/>
      <c r="D42"/>
      <c r="E42" s="996" t="s">
        <v>3836</v>
      </c>
      <c r="F42" s="325"/>
      <c r="G42" s="123"/>
      <c r="H42" s="123"/>
      <c r="I42" s="123"/>
      <c r="J42" s="123"/>
    </row>
    <row r="43" spans="2:14" ht="36" customHeight="1">
      <c r="B43"/>
      <c r="C43"/>
      <c r="D43"/>
    </row>
    <row r="44" spans="2:14" ht="36" customHeight="1">
      <c r="B44"/>
      <c r="C44"/>
      <c r="D44"/>
    </row>
    <row r="45" spans="2:14" ht="36" customHeight="1">
      <c r="B45"/>
      <c r="C45"/>
      <c r="D45"/>
    </row>
    <row r="46" spans="2:14" ht="36" customHeight="1">
      <c r="B46" s="411" t="s">
        <v>0</v>
      </c>
      <c r="C46" s="405" t="s">
        <v>122</v>
      </c>
      <c r="D46" s="405" t="s">
        <v>547</v>
      </c>
      <c r="E46" s="405" t="s">
        <v>1</v>
      </c>
      <c r="F46" s="328">
        <v>12</v>
      </c>
      <c r="G46" s="348"/>
      <c r="H46" s="328" t="s">
        <v>1555</v>
      </c>
      <c r="I46" s="328" t="s">
        <v>1555</v>
      </c>
      <c r="J46" s="328" t="s">
        <v>1555</v>
      </c>
    </row>
    <row r="47" spans="2:14" ht="36" customHeight="1">
      <c r="B47"/>
      <c r="C47"/>
      <c r="D47"/>
    </row>
    <row r="48" spans="2:14" ht="36" customHeight="1">
      <c r="B48"/>
      <c r="C48"/>
      <c r="D48"/>
    </row>
    <row r="49" spans="2:4" ht="36" customHeight="1">
      <c r="B49"/>
      <c r="C49"/>
      <c r="D49"/>
    </row>
    <row r="50" spans="2:4" ht="36" customHeight="1">
      <c r="B50"/>
      <c r="C50"/>
      <c r="D50"/>
    </row>
    <row r="51" spans="2:4" ht="36" customHeight="1">
      <c r="B51"/>
      <c r="C51"/>
      <c r="D51"/>
    </row>
    <row r="52" spans="2:4" ht="36" customHeight="1">
      <c r="B52"/>
      <c r="C52"/>
      <c r="D52"/>
    </row>
    <row r="53" spans="2:4" ht="36" customHeight="1">
      <c r="B53"/>
      <c r="C53"/>
      <c r="D53"/>
    </row>
    <row r="54" spans="2:4" ht="36" customHeight="1">
      <c r="B54"/>
      <c r="C54"/>
      <c r="D54"/>
    </row>
    <row r="55" spans="2:4" ht="36" customHeight="1">
      <c r="B55"/>
      <c r="C55"/>
      <c r="D55"/>
    </row>
    <row r="56" spans="2:4" ht="36" customHeight="1">
      <c r="B56"/>
      <c r="C56"/>
      <c r="D56"/>
    </row>
    <row r="57" spans="2:4" ht="36" customHeight="1">
      <c r="B57"/>
      <c r="C57"/>
      <c r="D57"/>
    </row>
    <row r="58" spans="2:4" ht="36" customHeight="1">
      <c r="B58"/>
      <c r="C58"/>
      <c r="D58"/>
    </row>
    <row r="59" spans="2:4" ht="36" customHeight="1">
      <c r="B59"/>
      <c r="C59"/>
      <c r="D59"/>
    </row>
    <row r="60" spans="2:4" ht="36" customHeight="1">
      <c r="B60"/>
      <c r="C60"/>
      <c r="D60"/>
    </row>
    <row r="61" spans="2:4" ht="36" customHeight="1">
      <c r="B61"/>
      <c r="C61"/>
      <c r="D61"/>
    </row>
    <row r="62" spans="2:4" ht="36" customHeight="1">
      <c r="B62"/>
      <c r="C62"/>
      <c r="D62"/>
    </row>
    <row r="63" spans="2:4" ht="36" customHeight="1">
      <c r="B63"/>
      <c r="C63"/>
      <c r="D63"/>
    </row>
    <row r="64" spans="2:4" ht="36" customHeight="1">
      <c r="B64"/>
      <c r="C64"/>
      <c r="D64"/>
    </row>
    <row r="65" spans="2:4" ht="36" customHeight="1">
      <c r="B65"/>
      <c r="C65"/>
      <c r="D65"/>
    </row>
    <row r="66" spans="2:4" ht="36" customHeight="1">
      <c r="B66"/>
      <c r="C66"/>
      <c r="D66"/>
    </row>
    <row r="67" spans="2:4" ht="36" customHeight="1">
      <c r="B67"/>
      <c r="C67"/>
      <c r="D67"/>
    </row>
    <row r="68" spans="2:4" ht="36" customHeight="1">
      <c r="B68"/>
      <c r="C68"/>
      <c r="D68"/>
    </row>
    <row r="69" spans="2:4" ht="36" customHeight="1">
      <c r="B69"/>
      <c r="C69"/>
      <c r="D69"/>
    </row>
    <row r="70" spans="2:4" ht="36" customHeight="1">
      <c r="B70"/>
      <c r="C70"/>
      <c r="D70"/>
    </row>
    <row r="71" spans="2:4" ht="36" customHeight="1">
      <c r="B71"/>
      <c r="C71"/>
      <c r="D71"/>
    </row>
    <row r="72" spans="2:4" ht="36" customHeight="1">
      <c r="B72"/>
      <c r="C72"/>
      <c r="D72"/>
    </row>
    <row r="73" spans="2:4" ht="36" customHeight="1">
      <c r="B73"/>
      <c r="C73"/>
      <c r="D73"/>
    </row>
    <row r="74" spans="2:4" ht="36" customHeight="1">
      <c r="B74"/>
      <c r="C74"/>
      <c r="D74"/>
    </row>
    <row r="75" spans="2:4" ht="36" customHeight="1">
      <c r="B75"/>
      <c r="C75"/>
      <c r="D75"/>
    </row>
    <row r="76" spans="2:4" ht="36" customHeight="1">
      <c r="B76"/>
      <c r="C76"/>
      <c r="D76"/>
    </row>
    <row r="77" spans="2:4" ht="36" customHeight="1">
      <c r="B77"/>
      <c r="C77"/>
      <c r="D77"/>
    </row>
    <row r="78" spans="2:4" ht="36" customHeight="1">
      <c r="B78"/>
      <c r="C78"/>
      <c r="D78"/>
    </row>
    <row r="79" spans="2:4" ht="36" customHeight="1">
      <c r="B79"/>
      <c r="C79"/>
      <c r="D79"/>
    </row>
    <row r="80" spans="2:4" ht="36" customHeight="1">
      <c r="B80"/>
      <c r="C80"/>
      <c r="D80"/>
    </row>
    <row r="81" spans="2:4" ht="36" customHeight="1">
      <c r="B81"/>
      <c r="C81"/>
      <c r="D81"/>
    </row>
    <row r="82" spans="2:4" ht="36" customHeight="1">
      <c r="B82"/>
      <c r="C82"/>
      <c r="D82"/>
    </row>
    <row r="83" spans="2:4" ht="36" customHeight="1">
      <c r="B83"/>
      <c r="C83"/>
      <c r="D83"/>
    </row>
    <row r="84" spans="2:4" ht="36" customHeight="1">
      <c r="B84"/>
      <c r="C84"/>
      <c r="D84"/>
    </row>
    <row r="85" spans="2:4" ht="36" customHeight="1">
      <c r="B85"/>
      <c r="C85"/>
      <c r="D85"/>
    </row>
    <row r="86" spans="2:4" ht="36" customHeight="1">
      <c r="B86"/>
      <c r="C86"/>
      <c r="D86"/>
    </row>
    <row r="87" spans="2:4" ht="36" customHeight="1">
      <c r="B87"/>
      <c r="C87"/>
      <c r="D87"/>
    </row>
    <row r="88" spans="2:4" ht="36" customHeight="1">
      <c r="B88"/>
      <c r="C88"/>
      <c r="D88"/>
    </row>
    <row r="89" spans="2:4" ht="36" customHeight="1">
      <c r="B89"/>
      <c r="C89"/>
      <c r="D89"/>
    </row>
    <row r="90" spans="2:4">
      <c r="B90"/>
      <c r="C90"/>
      <c r="D90"/>
    </row>
    <row r="91" spans="2:4">
      <c r="B91"/>
      <c r="C91"/>
      <c r="D91"/>
    </row>
    <row r="92" spans="2:4">
      <c r="B92"/>
      <c r="C92"/>
      <c r="D92"/>
    </row>
    <row r="93" spans="2:4">
      <c r="B93"/>
      <c r="C93"/>
      <c r="D93"/>
    </row>
  </sheetData>
  <pageMargins left="0" right="0" top="0" bottom="0" header="0" footer="0"/>
  <pageSetup paperSize="9" orientation="landscape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N75"/>
  <sheetViews>
    <sheetView topLeftCell="A39" workbookViewId="0">
      <selection activeCell="B3" sqref="B3:J43"/>
    </sheetView>
  </sheetViews>
  <sheetFormatPr baseColWidth="10" defaultRowHeight="15"/>
  <cols>
    <col min="1" max="1" width="7" style="404" customWidth="1"/>
    <col min="2" max="2" width="9" customWidth="1"/>
    <col min="3" max="3" width="16.5703125" style="408" customWidth="1"/>
    <col min="4" max="5" width="9.85546875" style="404" hidden="1" customWidth="1"/>
    <col min="6" max="6" width="49.42578125" customWidth="1"/>
    <col min="7" max="7" width="10.5703125" style="404" customWidth="1"/>
    <col min="8" max="8" width="9" style="404" customWidth="1"/>
    <col min="9" max="9" width="10.42578125" style="404" customWidth="1"/>
    <col min="10" max="10" width="12.42578125" style="404" customWidth="1"/>
    <col min="11" max="11" width="15.85546875" style="312" customWidth="1"/>
    <col min="12" max="12" width="14.28515625" style="314" customWidth="1"/>
    <col min="13" max="13" width="11.42578125" style="314"/>
    <col min="14" max="14" width="16.85546875" customWidth="1"/>
  </cols>
  <sheetData>
    <row r="1" spans="3:14" s="404" customFormat="1">
      <c r="C1" s="408"/>
      <c r="K1" s="408"/>
      <c r="L1" s="314"/>
      <c r="M1" s="314"/>
    </row>
    <row r="2" spans="3:14" s="404" customFormat="1">
      <c r="C2" s="408"/>
      <c r="K2" s="408"/>
      <c r="L2" s="314"/>
      <c r="M2" s="314"/>
    </row>
    <row r="3" spans="3:14" s="404" customFormat="1" ht="90">
      <c r="C3" s="408" t="s">
        <v>116</v>
      </c>
      <c r="D3" s="362" t="s">
        <v>1851</v>
      </c>
      <c r="E3" s="404" t="s">
        <v>559</v>
      </c>
      <c r="F3" s="404" t="s">
        <v>1852</v>
      </c>
      <c r="G3" s="310" t="s">
        <v>121</v>
      </c>
      <c r="H3" s="410" t="s">
        <v>20</v>
      </c>
      <c r="I3" s="310" t="s">
        <v>1132</v>
      </c>
      <c r="J3" s="310" t="s">
        <v>690</v>
      </c>
      <c r="K3" s="310" t="s">
        <v>65</v>
      </c>
      <c r="L3" s="410" t="s">
        <v>20</v>
      </c>
      <c r="M3" s="310" t="s">
        <v>1132</v>
      </c>
      <c r="N3" s="310" t="s">
        <v>690</v>
      </c>
    </row>
    <row r="4" spans="3:14">
      <c r="C4" s="411">
        <v>15460</v>
      </c>
      <c r="D4" s="405">
        <v>12</v>
      </c>
      <c r="E4" s="405">
        <v>1.83</v>
      </c>
      <c r="F4" s="405" t="s">
        <v>1850</v>
      </c>
      <c r="G4" s="405"/>
      <c r="H4" s="405"/>
      <c r="I4" s="405"/>
      <c r="J4" s="405"/>
      <c r="K4" s="411"/>
      <c r="L4" s="332"/>
      <c r="M4" s="332"/>
      <c r="N4" s="405"/>
    </row>
    <row r="5" spans="3:14">
      <c r="C5" s="22">
        <v>15461</v>
      </c>
      <c r="D5" s="22"/>
      <c r="E5" s="22"/>
      <c r="F5" s="22" t="s">
        <v>1101</v>
      </c>
      <c r="G5" s="22"/>
      <c r="H5" s="22"/>
      <c r="I5" s="22"/>
      <c r="J5" s="22"/>
      <c r="K5" s="22" t="s">
        <v>677</v>
      </c>
      <c r="L5" s="22" t="s">
        <v>591</v>
      </c>
      <c r="M5" s="22" t="s">
        <v>591</v>
      </c>
      <c r="N5" s="22" t="s">
        <v>677</v>
      </c>
    </row>
    <row r="6" spans="3:14">
      <c r="C6" s="22">
        <v>15459</v>
      </c>
      <c r="D6" s="22"/>
      <c r="E6" s="22"/>
      <c r="F6" s="22" t="s">
        <v>1100</v>
      </c>
      <c r="G6" s="22"/>
      <c r="H6" s="22"/>
      <c r="I6" s="22"/>
      <c r="J6" s="22"/>
      <c r="K6" s="22" t="s">
        <v>677</v>
      </c>
      <c r="L6" s="22" t="s">
        <v>591</v>
      </c>
      <c r="M6" s="22" t="s">
        <v>677</v>
      </c>
      <c r="N6" s="22" t="s">
        <v>677</v>
      </c>
    </row>
    <row r="7" spans="3:14" ht="30">
      <c r="C7" s="22">
        <v>15458</v>
      </c>
      <c r="D7" s="22"/>
      <c r="E7" s="22"/>
      <c r="F7" s="40" t="s">
        <v>1099</v>
      </c>
      <c r="G7" s="40"/>
      <c r="H7" s="40"/>
      <c r="I7" s="40"/>
      <c r="J7" s="40"/>
      <c r="K7" s="22" t="s">
        <v>677</v>
      </c>
      <c r="L7" s="22" t="s">
        <v>677</v>
      </c>
      <c r="M7" s="22" t="s">
        <v>591</v>
      </c>
      <c r="N7" s="22" t="s">
        <v>677</v>
      </c>
    </row>
    <row r="8" spans="3:14">
      <c r="C8" s="22" t="s">
        <v>0</v>
      </c>
      <c r="D8" s="22"/>
      <c r="E8" s="22"/>
      <c r="F8" s="22" t="s">
        <v>1</v>
      </c>
      <c r="G8" s="22"/>
      <c r="H8" s="22"/>
      <c r="I8" s="22"/>
      <c r="J8" s="22"/>
      <c r="K8" s="22" t="s">
        <v>65</v>
      </c>
      <c r="L8" s="22"/>
      <c r="M8" s="22"/>
      <c r="N8" s="22"/>
    </row>
    <row r="9" spans="3:14">
      <c r="C9" s="22">
        <v>15470</v>
      </c>
      <c r="D9" s="22"/>
      <c r="E9" s="22"/>
      <c r="F9" s="22" t="s">
        <v>1110</v>
      </c>
      <c r="G9" s="22"/>
      <c r="H9" s="22"/>
      <c r="I9" s="22"/>
      <c r="J9" s="22"/>
      <c r="K9" s="22" t="s">
        <v>591</v>
      </c>
      <c r="L9" s="22" t="s">
        <v>591</v>
      </c>
      <c r="M9" s="22" t="s">
        <v>591</v>
      </c>
      <c r="N9" s="22" t="s">
        <v>591</v>
      </c>
    </row>
    <row r="10" spans="3:14">
      <c r="C10" s="22">
        <v>16626</v>
      </c>
      <c r="D10" s="22"/>
      <c r="E10" s="22"/>
      <c r="F10" s="22" t="s">
        <v>1129</v>
      </c>
      <c r="G10" s="22"/>
      <c r="H10" s="22"/>
      <c r="I10" s="22"/>
      <c r="J10" s="22"/>
      <c r="K10" s="22" t="s">
        <v>591</v>
      </c>
      <c r="L10" s="22" t="s">
        <v>591</v>
      </c>
      <c r="M10" s="22" t="s">
        <v>591</v>
      </c>
      <c r="N10" s="22" t="s">
        <v>591</v>
      </c>
    </row>
    <row r="11" spans="3:14">
      <c r="C11" s="22">
        <v>15471</v>
      </c>
      <c r="D11" s="22"/>
      <c r="E11" s="22"/>
      <c r="F11" s="374" t="s">
        <v>1111</v>
      </c>
      <c r="G11" s="22"/>
      <c r="H11" s="22"/>
      <c r="I11" s="22"/>
      <c r="J11" s="22"/>
      <c r="K11" s="22" t="s">
        <v>677</v>
      </c>
      <c r="L11" s="22" t="s">
        <v>591</v>
      </c>
      <c r="M11" s="22" t="s">
        <v>677</v>
      </c>
      <c r="N11" s="22" t="s">
        <v>677</v>
      </c>
    </row>
    <row r="12" spans="3:14">
      <c r="C12" s="22">
        <v>15472</v>
      </c>
      <c r="D12" s="22"/>
      <c r="E12" s="22"/>
      <c r="F12" s="22" t="s">
        <v>1112</v>
      </c>
      <c r="G12" s="22"/>
      <c r="H12" s="22"/>
      <c r="I12" s="22"/>
      <c r="J12" s="22"/>
      <c r="K12" s="22" t="s">
        <v>591</v>
      </c>
      <c r="L12" s="22" t="s">
        <v>591</v>
      </c>
      <c r="M12" s="22" t="s">
        <v>591</v>
      </c>
      <c r="N12" s="22" t="s">
        <v>591</v>
      </c>
    </row>
    <row r="13" spans="3:14">
      <c r="C13" s="22">
        <v>15468</v>
      </c>
      <c r="D13" s="22"/>
      <c r="E13" s="22"/>
      <c r="F13" s="22" t="s">
        <v>1108</v>
      </c>
      <c r="G13" s="22"/>
      <c r="H13" s="22"/>
      <c r="I13" s="22"/>
      <c r="J13" s="22"/>
      <c r="K13" s="22" t="s">
        <v>677</v>
      </c>
      <c r="L13" s="22" t="s">
        <v>677</v>
      </c>
      <c r="M13" s="22" t="s">
        <v>677</v>
      </c>
      <c r="N13" s="22" t="s">
        <v>677</v>
      </c>
    </row>
    <row r="14" spans="3:14">
      <c r="C14" s="22">
        <v>15469</v>
      </c>
      <c r="D14" s="22"/>
      <c r="E14" s="22"/>
      <c r="F14" s="22" t="s">
        <v>1109</v>
      </c>
      <c r="G14" s="22"/>
      <c r="H14" s="22"/>
      <c r="I14" s="22"/>
      <c r="J14" s="22"/>
      <c r="K14" s="22" t="s">
        <v>677</v>
      </c>
      <c r="L14" s="22" t="s">
        <v>591</v>
      </c>
      <c r="M14" s="22" t="s">
        <v>591</v>
      </c>
      <c r="N14" s="22" t="s">
        <v>591</v>
      </c>
    </row>
    <row r="15" spans="3:14">
      <c r="C15" s="22">
        <v>15467</v>
      </c>
      <c r="D15" s="22"/>
      <c r="E15" s="22"/>
      <c r="F15" s="22" t="s">
        <v>1107</v>
      </c>
      <c r="G15" s="22"/>
      <c r="H15" s="22"/>
      <c r="I15" s="22"/>
      <c r="J15" s="22"/>
      <c r="K15" s="22" t="s">
        <v>677</v>
      </c>
      <c r="L15" s="22" t="s">
        <v>591</v>
      </c>
      <c r="M15" s="22" t="s">
        <v>591</v>
      </c>
      <c r="N15" s="22" t="s">
        <v>591</v>
      </c>
    </row>
    <row r="16" spans="3:14">
      <c r="C16" s="22">
        <v>15466</v>
      </c>
      <c r="D16" s="22"/>
      <c r="E16" s="22"/>
      <c r="F16" s="22" t="s">
        <v>1106</v>
      </c>
      <c r="G16" s="22"/>
      <c r="H16" s="22"/>
      <c r="I16" s="22"/>
      <c r="J16" s="22"/>
      <c r="K16" s="22" t="s">
        <v>677</v>
      </c>
      <c r="L16" s="22" t="s">
        <v>677</v>
      </c>
      <c r="M16" s="22" t="s">
        <v>591</v>
      </c>
      <c r="N16" s="22" t="s">
        <v>677</v>
      </c>
    </row>
    <row r="17" spans="3:14" ht="15.75">
      <c r="C17" s="22">
        <v>15477</v>
      </c>
      <c r="D17" s="22"/>
      <c r="E17" s="22"/>
      <c r="F17" s="415" t="s">
        <v>1134</v>
      </c>
      <c r="G17" s="316"/>
      <c r="H17" s="316"/>
      <c r="I17" s="316"/>
      <c r="J17" s="316"/>
      <c r="K17" s="22" t="s">
        <v>677</v>
      </c>
      <c r="L17" s="22" t="s">
        <v>677</v>
      </c>
      <c r="M17" s="22" t="s">
        <v>677</v>
      </c>
      <c r="N17" s="22" t="s">
        <v>677</v>
      </c>
    </row>
    <row r="18" spans="3:14">
      <c r="C18" s="22">
        <v>13015</v>
      </c>
      <c r="D18" s="22"/>
      <c r="E18" s="22"/>
      <c r="F18" s="22" t="s">
        <v>1098</v>
      </c>
      <c r="G18" s="22"/>
      <c r="H18" s="22"/>
      <c r="I18" s="22"/>
      <c r="J18" s="22"/>
      <c r="K18" s="22" t="s">
        <v>591</v>
      </c>
      <c r="L18" s="22" t="s">
        <v>591</v>
      </c>
      <c r="M18" s="22" t="s">
        <v>591</v>
      </c>
      <c r="N18" s="22" t="s">
        <v>591</v>
      </c>
    </row>
    <row r="19" spans="3:14">
      <c r="C19" s="22">
        <v>15762</v>
      </c>
      <c r="D19" s="22"/>
      <c r="E19" s="22"/>
      <c r="F19" s="22" t="s">
        <v>1124</v>
      </c>
      <c r="G19" s="22"/>
      <c r="H19" s="22"/>
      <c r="I19" s="22"/>
      <c r="J19" s="22"/>
      <c r="K19" s="22" t="s">
        <v>677</v>
      </c>
      <c r="L19" s="22" t="s">
        <v>591</v>
      </c>
      <c r="M19" s="22" t="s">
        <v>591</v>
      </c>
      <c r="N19" s="22" t="s">
        <v>677</v>
      </c>
    </row>
    <row r="20" spans="3:14">
      <c r="C20" s="22">
        <v>15760</v>
      </c>
      <c r="D20" s="22"/>
      <c r="E20" s="22"/>
      <c r="F20" s="22" t="s">
        <v>1122</v>
      </c>
      <c r="G20" s="22"/>
      <c r="H20" s="22"/>
      <c r="I20" s="22"/>
      <c r="J20" s="22"/>
      <c r="K20" s="22" t="s">
        <v>677</v>
      </c>
      <c r="L20" s="22" t="s">
        <v>591</v>
      </c>
      <c r="M20" s="22" t="s">
        <v>591</v>
      </c>
      <c r="N20" s="22" t="s">
        <v>677</v>
      </c>
    </row>
    <row r="21" spans="3:14">
      <c r="C21" s="22">
        <v>15479</v>
      </c>
      <c r="D21" s="22"/>
      <c r="E21" s="22"/>
      <c r="F21" s="22" t="s">
        <v>1117</v>
      </c>
      <c r="G21" s="22"/>
      <c r="H21" s="22"/>
      <c r="I21" s="22"/>
      <c r="J21" s="22"/>
      <c r="K21" s="22" t="s">
        <v>677</v>
      </c>
      <c r="L21" s="22" t="s">
        <v>591</v>
      </c>
      <c r="M21" s="22" t="s">
        <v>591</v>
      </c>
      <c r="N21" s="22" t="s">
        <v>677</v>
      </c>
    </row>
    <row r="22" spans="3:14">
      <c r="C22" s="22">
        <v>15761</v>
      </c>
      <c r="D22" s="22"/>
      <c r="E22" s="22"/>
      <c r="F22" s="22" t="s">
        <v>1123</v>
      </c>
      <c r="G22" s="22"/>
      <c r="H22" s="22"/>
      <c r="I22" s="22"/>
      <c r="J22" s="22"/>
      <c r="K22" s="22" t="s">
        <v>677</v>
      </c>
      <c r="L22" s="22" t="s">
        <v>591</v>
      </c>
      <c r="M22" s="22" t="s">
        <v>591</v>
      </c>
      <c r="N22" s="22" t="s">
        <v>677</v>
      </c>
    </row>
    <row r="23" spans="3:14">
      <c r="C23" s="411">
        <v>18637</v>
      </c>
      <c r="D23" s="405">
        <v>8</v>
      </c>
      <c r="E23" s="405">
        <v>6.46</v>
      </c>
      <c r="F23" s="405" t="s">
        <v>1849</v>
      </c>
      <c r="G23" s="405"/>
      <c r="H23" s="405"/>
      <c r="I23" s="405"/>
      <c r="J23" s="405"/>
      <c r="K23" s="411"/>
      <c r="L23" s="332"/>
      <c r="M23" s="332"/>
      <c r="N23" s="405"/>
    </row>
    <row r="24" spans="3:14">
      <c r="C24" s="22">
        <v>15764</v>
      </c>
      <c r="D24" s="22"/>
      <c r="E24" s="22"/>
      <c r="F24" s="22" t="s">
        <v>1126</v>
      </c>
      <c r="G24" s="22"/>
      <c r="H24" s="22"/>
      <c r="I24" s="22"/>
      <c r="J24" s="22"/>
      <c r="K24" s="22" t="s">
        <v>677</v>
      </c>
      <c r="L24" s="22" t="s">
        <v>677</v>
      </c>
      <c r="M24" s="22" t="s">
        <v>591</v>
      </c>
      <c r="N24" s="22" t="s">
        <v>677</v>
      </c>
    </row>
    <row r="25" spans="3:14">
      <c r="C25" s="22">
        <v>15763</v>
      </c>
      <c r="D25" s="22"/>
      <c r="E25" s="22"/>
      <c r="F25" s="22" t="s">
        <v>1125</v>
      </c>
      <c r="G25" s="22"/>
      <c r="H25" s="22"/>
      <c r="I25" s="22"/>
      <c r="J25" s="22"/>
      <c r="K25" s="22" t="s">
        <v>677</v>
      </c>
      <c r="L25" s="22" t="s">
        <v>677</v>
      </c>
      <c r="M25" s="22" t="s">
        <v>591</v>
      </c>
      <c r="N25" s="22" t="s">
        <v>677</v>
      </c>
    </row>
    <row r="26" spans="3:14">
      <c r="C26" s="22">
        <v>15765</v>
      </c>
      <c r="D26" s="22"/>
      <c r="E26" s="22"/>
      <c r="F26" s="22" t="s">
        <v>1127</v>
      </c>
      <c r="G26" s="22"/>
      <c r="H26" s="22"/>
      <c r="I26" s="22"/>
      <c r="J26" s="22"/>
      <c r="K26" s="22" t="s">
        <v>677</v>
      </c>
      <c r="L26" s="22" t="s">
        <v>677</v>
      </c>
      <c r="M26" s="22" t="s">
        <v>591</v>
      </c>
      <c r="N26" s="22" t="s">
        <v>677</v>
      </c>
    </row>
    <row r="27" spans="3:14">
      <c r="C27" s="22">
        <v>15757</v>
      </c>
      <c r="D27" s="22"/>
      <c r="E27" s="22"/>
      <c r="F27" s="22" t="s">
        <v>1121</v>
      </c>
      <c r="G27" s="22"/>
      <c r="H27" s="22"/>
      <c r="I27" s="22"/>
      <c r="J27" s="22"/>
      <c r="K27" s="22" t="s">
        <v>1130</v>
      </c>
      <c r="L27" s="22" t="s">
        <v>1133</v>
      </c>
      <c r="M27" s="22" t="s">
        <v>546</v>
      </c>
      <c r="N27" s="22" t="s">
        <v>558</v>
      </c>
    </row>
    <row r="28" spans="3:14">
      <c r="C28" s="22">
        <v>15755</v>
      </c>
      <c r="D28" s="22"/>
      <c r="E28" s="22"/>
      <c r="F28" s="22" t="s">
        <v>1119</v>
      </c>
      <c r="G28" s="22"/>
      <c r="H28" s="22"/>
      <c r="I28" s="22"/>
      <c r="J28" s="22"/>
      <c r="K28" s="22" t="s">
        <v>591</v>
      </c>
      <c r="L28" s="22" t="s">
        <v>591</v>
      </c>
      <c r="M28" s="22" t="s">
        <v>591</v>
      </c>
      <c r="N28" s="22" t="s">
        <v>591</v>
      </c>
    </row>
    <row r="29" spans="3:14">
      <c r="C29" s="22">
        <v>15475</v>
      </c>
      <c r="D29" s="22"/>
      <c r="E29" s="22"/>
      <c r="F29" s="22" t="s">
        <v>1115</v>
      </c>
      <c r="G29" s="22"/>
      <c r="H29" s="22"/>
      <c r="I29" s="22"/>
      <c r="J29" s="22"/>
      <c r="K29" s="22" t="s">
        <v>677</v>
      </c>
      <c r="L29" s="22" t="s">
        <v>677</v>
      </c>
      <c r="M29" s="22" t="s">
        <v>677</v>
      </c>
      <c r="N29" s="22" t="s">
        <v>677</v>
      </c>
    </row>
    <row r="30" spans="3:14">
      <c r="C30" s="22">
        <v>15473</v>
      </c>
      <c r="D30" s="22"/>
      <c r="E30" s="22"/>
      <c r="F30" s="22" t="s">
        <v>1113</v>
      </c>
      <c r="G30" s="22"/>
      <c r="H30" s="22"/>
      <c r="I30" s="22"/>
      <c r="J30" s="22"/>
      <c r="K30" s="22" t="s">
        <v>677</v>
      </c>
      <c r="L30" s="22" t="s">
        <v>591</v>
      </c>
      <c r="M30" s="22" t="s">
        <v>591</v>
      </c>
      <c r="N30" s="22" t="s">
        <v>591</v>
      </c>
    </row>
    <row r="31" spans="3:14">
      <c r="C31" s="22">
        <v>15474</v>
      </c>
      <c r="D31" s="22"/>
      <c r="E31" s="22"/>
      <c r="F31" s="22" t="s">
        <v>1114</v>
      </c>
      <c r="G31" s="22"/>
      <c r="H31" s="22"/>
      <c r="I31" s="22"/>
      <c r="J31" s="22"/>
      <c r="K31" s="22" t="s">
        <v>677</v>
      </c>
      <c r="L31" s="22" t="s">
        <v>591</v>
      </c>
      <c r="M31" s="22" t="s">
        <v>591</v>
      </c>
      <c r="N31" s="22" t="s">
        <v>591</v>
      </c>
    </row>
    <row r="32" spans="3:14">
      <c r="C32" s="22">
        <v>11596</v>
      </c>
      <c r="D32" s="22"/>
      <c r="E32" s="22"/>
      <c r="F32" s="22" t="s">
        <v>1097</v>
      </c>
      <c r="G32" s="22"/>
      <c r="H32" s="22"/>
      <c r="I32" s="22"/>
      <c r="J32" s="22"/>
      <c r="K32" s="22" t="s">
        <v>677</v>
      </c>
      <c r="L32" s="22" t="s">
        <v>677</v>
      </c>
      <c r="M32" s="22" t="s">
        <v>677</v>
      </c>
      <c r="N32" s="22" t="s">
        <v>677</v>
      </c>
    </row>
    <row r="33" spans="3:14">
      <c r="C33" s="22">
        <v>15462</v>
      </c>
      <c r="D33" s="22"/>
      <c r="E33" s="22"/>
      <c r="F33" s="22" t="s">
        <v>1102</v>
      </c>
      <c r="G33" s="22"/>
      <c r="H33" s="22"/>
      <c r="I33" s="22"/>
      <c r="J33" s="22"/>
      <c r="K33" s="22" t="s">
        <v>677</v>
      </c>
      <c r="L33" s="22" t="s">
        <v>677</v>
      </c>
      <c r="M33" s="22" t="s">
        <v>677</v>
      </c>
      <c r="N33" s="22" t="s">
        <v>677</v>
      </c>
    </row>
    <row r="34" spans="3:14">
      <c r="C34" s="22">
        <v>15465</v>
      </c>
      <c r="D34" s="22"/>
      <c r="E34" s="22"/>
      <c r="F34" s="22" t="s">
        <v>1105</v>
      </c>
      <c r="G34" s="22"/>
      <c r="H34" s="22"/>
      <c r="I34" s="22"/>
      <c r="J34" s="22"/>
      <c r="K34" s="22" t="s">
        <v>677</v>
      </c>
      <c r="L34" s="22" t="s">
        <v>591</v>
      </c>
      <c r="M34" s="22" t="s">
        <v>591</v>
      </c>
      <c r="N34" s="22" t="s">
        <v>677</v>
      </c>
    </row>
    <row r="35" spans="3:14">
      <c r="C35" s="22">
        <v>16624</v>
      </c>
      <c r="D35" s="22"/>
      <c r="E35" s="22"/>
      <c r="F35" s="22" t="s">
        <v>1128</v>
      </c>
      <c r="G35" s="22"/>
      <c r="H35" s="22"/>
      <c r="I35" s="22"/>
      <c r="J35" s="22"/>
      <c r="K35" s="22" t="s">
        <v>677</v>
      </c>
      <c r="L35" s="22" t="s">
        <v>591</v>
      </c>
      <c r="M35" s="22" t="s">
        <v>591</v>
      </c>
      <c r="N35" s="22" t="s">
        <v>677</v>
      </c>
    </row>
    <row r="36" spans="3:14">
      <c r="C36" s="22">
        <v>15464</v>
      </c>
      <c r="D36" s="22"/>
      <c r="E36" s="22"/>
      <c r="F36" s="22" t="s">
        <v>1104</v>
      </c>
      <c r="G36" s="22"/>
      <c r="H36" s="22"/>
      <c r="I36" s="22"/>
      <c r="J36" s="22"/>
      <c r="K36" s="22" t="s">
        <v>677</v>
      </c>
      <c r="L36" s="22" t="s">
        <v>677</v>
      </c>
      <c r="M36" s="22" t="s">
        <v>677</v>
      </c>
      <c r="N36" s="22" t="s">
        <v>677</v>
      </c>
    </row>
    <row r="37" spans="3:14">
      <c r="C37" s="22">
        <v>15463</v>
      </c>
      <c r="D37" s="22"/>
      <c r="E37" s="22"/>
      <c r="F37" s="22" t="s">
        <v>1103</v>
      </c>
      <c r="G37" s="22"/>
      <c r="H37" s="22"/>
      <c r="I37" s="22"/>
      <c r="J37" s="22"/>
      <c r="K37" s="22" t="s">
        <v>677</v>
      </c>
      <c r="L37" s="22" t="s">
        <v>677</v>
      </c>
      <c r="M37" s="22" t="s">
        <v>677</v>
      </c>
      <c r="N37" s="22" t="s">
        <v>677</v>
      </c>
    </row>
    <row r="38" spans="3:14">
      <c r="C38" s="22">
        <v>15756</v>
      </c>
      <c r="D38" s="22"/>
      <c r="E38" s="22"/>
      <c r="F38" s="22" t="s">
        <v>1120</v>
      </c>
      <c r="G38" s="22"/>
      <c r="H38" s="22"/>
      <c r="I38" s="22"/>
      <c r="J38" s="22"/>
      <c r="K38" s="22" t="s">
        <v>1131</v>
      </c>
      <c r="L38" s="22" t="s">
        <v>677</v>
      </c>
      <c r="M38" s="22" t="s">
        <v>591</v>
      </c>
      <c r="N38" s="22" t="s">
        <v>677</v>
      </c>
    </row>
    <row r="39" spans="3:14" ht="30">
      <c r="C39" s="22">
        <v>15478</v>
      </c>
      <c r="D39" s="22"/>
      <c r="E39" s="22"/>
      <c r="F39" s="417" t="s">
        <v>1135</v>
      </c>
      <c r="G39" s="315"/>
      <c r="H39" s="315"/>
      <c r="I39" s="315"/>
      <c r="J39" s="315"/>
      <c r="K39" s="22" t="s">
        <v>555</v>
      </c>
      <c r="L39" s="22" t="s">
        <v>677</v>
      </c>
      <c r="M39" s="22" t="s">
        <v>677</v>
      </c>
      <c r="N39" s="22" t="s">
        <v>677</v>
      </c>
    </row>
    <row r="40" spans="3:14" ht="30">
      <c r="C40" s="313" t="s">
        <v>1136</v>
      </c>
      <c r="D40" s="313"/>
      <c r="E40" s="313"/>
      <c r="F40" s="416" t="s">
        <v>1137</v>
      </c>
      <c r="G40" s="316"/>
      <c r="H40" s="316"/>
      <c r="I40" s="316"/>
      <c r="J40" s="316"/>
      <c r="K40" s="22" t="s">
        <v>555</v>
      </c>
      <c r="L40" s="22" t="s">
        <v>591</v>
      </c>
      <c r="M40" s="375" t="s">
        <v>591</v>
      </c>
      <c r="N40" s="22" t="s">
        <v>677</v>
      </c>
    </row>
    <row r="41" spans="3:14">
      <c r="C41" s="22">
        <v>15754</v>
      </c>
      <c r="D41" s="22"/>
      <c r="E41" s="22"/>
      <c r="F41" s="22" t="s">
        <v>1118</v>
      </c>
      <c r="G41" s="22"/>
      <c r="H41" s="22"/>
      <c r="I41" s="22"/>
      <c r="J41" s="22"/>
      <c r="K41" s="22" t="s">
        <v>555</v>
      </c>
      <c r="L41" s="22" t="s">
        <v>677</v>
      </c>
      <c r="M41" s="22" t="s">
        <v>677</v>
      </c>
      <c r="N41" s="22" t="s">
        <v>677</v>
      </c>
    </row>
    <row r="42" spans="3:14">
      <c r="C42" s="22">
        <v>15476</v>
      </c>
      <c r="D42" s="22"/>
      <c r="E42" s="22"/>
      <c r="F42" s="22" t="s">
        <v>1116</v>
      </c>
      <c r="G42" s="22"/>
      <c r="H42" s="22"/>
      <c r="I42" s="22"/>
      <c r="J42" s="22"/>
      <c r="K42" s="22" t="s">
        <v>555</v>
      </c>
      <c r="L42" s="22" t="s">
        <v>677</v>
      </c>
      <c r="M42" s="22" t="s">
        <v>677</v>
      </c>
      <c r="N42" s="22" t="s">
        <v>677</v>
      </c>
    </row>
    <row r="43" spans="3:14">
      <c r="C43" s="411"/>
      <c r="D43" s="405"/>
      <c r="E43" s="405"/>
      <c r="F43" s="405"/>
      <c r="G43" s="405"/>
      <c r="H43" s="405"/>
      <c r="I43" s="405"/>
      <c r="J43" s="405"/>
      <c r="K43" s="411"/>
      <c r="L43" s="332"/>
      <c r="M43" s="332"/>
      <c r="N43" s="405"/>
    </row>
    <row r="44" spans="3:14">
      <c r="D44"/>
      <c r="E44"/>
      <c r="G44"/>
      <c r="H44"/>
      <c r="I44"/>
      <c r="J44"/>
      <c r="K44"/>
      <c r="L44"/>
      <c r="M44"/>
    </row>
    <row r="45" spans="3:14">
      <c r="D45"/>
      <c r="E45"/>
      <c r="G45"/>
      <c r="H45"/>
      <c r="I45"/>
      <c r="J45"/>
      <c r="K45"/>
      <c r="L45"/>
      <c r="M45"/>
    </row>
    <row r="46" spans="3:14">
      <c r="D46"/>
      <c r="E46"/>
      <c r="G46"/>
      <c r="H46"/>
      <c r="I46"/>
      <c r="J46"/>
      <c r="K46"/>
      <c r="L46"/>
      <c r="M46"/>
    </row>
    <row r="47" spans="3:14">
      <c r="D47"/>
      <c r="E47"/>
      <c r="G47"/>
      <c r="H47"/>
      <c r="I47"/>
      <c r="J47"/>
      <c r="K47"/>
      <c r="L47"/>
      <c r="M47"/>
    </row>
    <row r="48" spans="3:14">
      <c r="D48"/>
      <c r="E48"/>
      <c r="G48"/>
      <c r="H48"/>
      <c r="I48"/>
      <c r="J48"/>
      <c r="K48"/>
      <c r="L48"/>
      <c r="M48"/>
    </row>
    <row r="49" spans="4:13">
      <c r="D49"/>
      <c r="E49"/>
      <c r="G49"/>
      <c r="H49"/>
      <c r="I49"/>
      <c r="J49"/>
      <c r="K49"/>
      <c r="L49"/>
      <c r="M49"/>
    </row>
    <row r="50" spans="4:13">
      <c r="D50"/>
      <c r="E50"/>
      <c r="G50"/>
      <c r="H50"/>
      <c r="I50"/>
      <c r="J50"/>
      <c r="K50"/>
      <c r="L50"/>
      <c r="M50"/>
    </row>
    <row r="51" spans="4:13">
      <c r="D51"/>
      <c r="E51"/>
      <c r="G51"/>
      <c r="H51"/>
      <c r="I51"/>
      <c r="J51"/>
      <c r="K51"/>
      <c r="L51"/>
      <c r="M51"/>
    </row>
    <row r="52" spans="4:13">
      <c r="D52"/>
      <c r="E52"/>
      <c r="G52"/>
      <c r="H52"/>
      <c r="I52"/>
      <c r="J52"/>
      <c r="K52"/>
      <c r="L52"/>
      <c r="M52"/>
    </row>
    <row r="53" spans="4:13">
      <c r="D53"/>
      <c r="E53"/>
      <c r="G53"/>
      <c r="H53"/>
      <c r="I53"/>
      <c r="J53"/>
      <c r="K53"/>
      <c r="L53"/>
      <c r="M53"/>
    </row>
    <row r="54" spans="4:13">
      <c r="D54"/>
      <c r="E54"/>
      <c r="G54"/>
      <c r="H54"/>
      <c r="I54"/>
      <c r="J54"/>
      <c r="K54"/>
      <c r="L54"/>
      <c r="M54"/>
    </row>
    <row r="55" spans="4:13">
      <c r="D55"/>
      <c r="E55"/>
      <c r="G55"/>
      <c r="H55"/>
      <c r="I55"/>
      <c r="J55"/>
      <c r="K55"/>
      <c r="L55"/>
      <c r="M55"/>
    </row>
    <row r="56" spans="4:13">
      <c r="D56"/>
      <c r="E56"/>
      <c r="G56"/>
      <c r="H56"/>
      <c r="I56"/>
      <c r="J56"/>
      <c r="K56"/>
      <c r="L56"/>
      <c r="M56"/>
    </row>
    <row r="57" spans="4:13">
      <c r="D57"/>
      <c r="E57"/>
      <c r="G57"/>
      <c r="H57"/>
      <c r="I57"/>
      <c r="J57"/>
      <c r="K57"/>
      <c r="L57"/>
      <c r="M57"/>
    </row>
    <row r="58" spans="4:13">
      <c r="D58"/>
      <c r="E58"/>
      <c r="G58"/>
      <c r="H58"/>
      <c r="I58"/>
      <c r="J58"/>
      <c r="K58"/>
      <c r="L58"/>
      <c r="M58"/>
    </row>
    <row r="59" spans="4:13">
      <c r="D59"/>
      <c r="E59"/>
      <c r="G59"/>
      <c r="H59"/>
      <c r="I59"/>
      <c r="J59"/>
      <c r="K59"/>
      <c r="L59"/>
      <c r="M59"/>
    </row>
    <row r="60" spans="4:13">
      <c r="D60"/>
      <c r="E60"/>
      <c r="G60"/>
      <c r="H60"/>
      <c r="I60"/>
      <c r="J60"/>
      <c r="K60"/>
      <c r="L60"/>
      <c r="M60"/>
    </row>
    <row r="61" spans="4:13">
      <c r="D61"/>
      <c r="E61"/>
      <c r="G61"/>
      <c r="H61"/>
      <c r="I61"/>
      <c r="J61"/>
      <c r="K61"/>
      <c r="L61"/>
      <c r="M61"/>
    </row>
    <row r="62" spans="4:13">
      <c r="D62"/>
      <c r="E62"/>
      <c r="G62"/>
      <c r="H62"/>
      <c r="I62"/>
      <c r="J62"/>
      <c r="K62"/>
      <c r="L62"/>
      <c r="M62"/>
    </row>
    <row r="63" spans="4:13">
      <c r="D63"/>
      <c r="E63"/>
      <c r="G63"/>
      <c r="H63"/>
      <c r="I63"/>
      <c r="J63"/>
      <c r="K63"/>
      <c r="L63"/>
      <c r="M63"/>
    </row>
    <row r="64" spans="4:13">
      <c r="D64"/>
      <c r="E64"/>
      <c r="G64"/>
      <c r="H64"/>
      <c r="I64"/>
      <c r="J64"/>
      <c r="K64"/>
      <c r="L64"/>
      <c r="M64"/>
    </row>
    <row r="65" spans="4:13">
      <c r="D65"/>
      <c r="E65"/>
      <c r="G65"/>
      <c r="H65"/>
      <c r="I65"/>
      <c r="J65"/>
      <c r="K65"/>
      <c r="L65"/>
      <c r="M65"/>
    </row>
    <row r="66" spans="4:13">
      <c r="D66"/>
      <c r="E66"/>
      <c r="G66"/>
      <c r="H66"/>
      <c r="I66"/>
      <c r="J66"/>
      <c r="K66"/>
      <c r="L66"/>
      <c r="M66"/>
    </row>
    <row r="67" spans="4:13">
      <c r="D67"/>
      <c r="E67"/>
      <c r="G67"/>
      <c r="H67"/>
      <c r="I67"/>
      <c r="J67"/>
      <c r="K67"/>
      <c r="L67"/>
      <c r="M67"/>
    </row>
    <row r="68" spans="4:13">
      <c r="D68"/>
      <c r="E68"/>
      <c r="G68"/>
      <c r="H68"/>
      <c r="I68"/>
      <c r="J68"/>
      <c r="K68"/>
      <c r="L68"/>
      <c r="M68"/>
    </row>
    <row r="69" spans="4:13">
      <c r="D69"/>
      <c r="E69"/>
      <c r="G69"/>
      <c r="H69"/>
      <c r="I69"/>
      <c r="J69"/>
      <c r="K69"/>
      <c r="L69"/>
      <c r="M69"/>
    </row>
    <row r="70" spans="4:13">
      <c r="D70"/>
      <c r="E70"/>
      <c r="G70"/>
      <c r="H70"/>
      <c r="I70"/>
      <c r="J70"/>
      <c r="K70"/>
      <c r="L70"/>
      <c r="M70"/>
    </row>
    <row r="71" spans="4:13">
      <c r="D71"/>
      <c r="E71"/>
      <c r="G71"/>
      <c r="H71"/>
      <c r="I71"/>
      <c r="J71"/>
      <c r="K71"/>
      <c r="L71"/>
      <c r="M71"/>
    </row>
    <row r="72" spans="4:13">
      <c r="D72"/>
      <c r="E72"/>
      <c r="G72"/>
      <c r="H72"/>
      <c r="I72"/>
      <c r="J72"/>
      <c r="K72"/>
      <c r="L72"/>
      <c r="M72"/>
    </row>
    <row r="73" spans="4:13">
      <c r="D73"/>
      <c r="E73"/>
      <c r="G73"/>
      <c r="H73"/>
      <c r="I73"/>
      <c r="J73"/>
      <c r="K73"/>
      <c r="L73"/>
      <c r="M73"/>
    </row>
    <row r="74" spans="4:13">
      <c r="D74"/>
      <c r="E74"/>
      <c r="G74"/>
      <c r="H74"/>
      <c r="I74"/>
      <c r="J74"/>
      <c r="K74"/>
      <c r="L74"/>
      <c r="M74"/>
    </row>
    <row r="75" spans="4:13">
      <c r="D75"/>
      <c r="E75"/>
      <c r="G75"/>
      <c r="H75"/>
      <c r="I75"/>
      <c r="J75"/>
      <c r="K75"/>
      <c r="L75"/>
      <c r="M75"/>
    </row>
  </sheetData>
  <sortState ref="C1:N72">
    <sortCondition ref="F1:F72"/>
  </sortState>
  <pageMargins left="0.19685039370078741" right="0" top="0" bottom="0" header="0" footer="0"/>
  <pageSetup paperSize="9" orientation="landscape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3:F116"/>
  <sheetViews>
    <sheetView topLeftCell="A3" workbookViewId="0">
      <selection activeCell="A3" sqref="A3:F116"/>
    </sheetView>
  </sheetViews>
  <sheetFormatPr baseColWidth="10" defaultRowHeight="15"/>
  <cols>
    <col min="1" max="1" width="8.140625" customWidth="1"/>
    <col min="3" max="3" width="62.140625" customWidth="1"/>
    <col min="4" max="4" width="9.42578125" customWidth="1"/>
    <col min="5" max="5" width="8.7109375" customWidth="1"/>
    <col min="6" max="6" width="8.42578125" customWidth="1"/>
  </cols>
  <sheetData>
    <row r="3" spans="1:6" ht="36" customHeight="1">
      <c r="A3" s="405"/>
      <c r="B3" s="405" t="s">
        <v>0</v>
      </c>
      <c r="C3" s="405" t="s">
        <v>1</v>
      </c>
      <c r="D3" s="310" t="s">
        <v>630</v>
      </c>
      <c r="E3" s="310" t="s">
        <v>631</v>
      </c>
      <c r="F3" s="310" t="s">
        <v>1863</v>
      </c>
    </row>
    <row r="4" spans="1:6" hidden="1">
      <c r="A4" s="405"/>
      <c r="B4" s="405">
        <v>9662</v>
      </c>
      <c r="C4" s="405" t="s">
        <v>383</v>
      </c>
      <c r="D4" s="405"/>
      <c r="E4" s="405"/>
      <c r="F4" s="405"/>
    </row>
    <row r="5" spans="1:6" hidden="1">
      <c r="A5" s="405"/>
      <c r="B5" s="405">
        <v>7003</v>
      </c>
      <c r="C5" s="405" t="s">
        <v>384</v>
      </c>
      <c r="D5" s="405"/>
      <c r="E5" s="405"/>
      <c r="F5" s="405"/>
    </row>
    <row r="6" spans="1:6" hidden="1">
      <c r="A6" s="405"/>
      <c r="B6" s="405">
        <v>6991</v>
      </c>
      <c r="C6" s="405" t="s">
        <v>385</v>
      </c>
      <c r="D6" s="405"/>
      <c r="E6" s="405"/>
      <c r="F6" s="405"/>
    </row>
    <row r="7" spans="1:6" hidden="1">
      <c r="A7" s="405"/>
      <c r="B7" s="405">
        <v>6990</v>
      </c>
      <c r="C7" s="405" t="s">
        <v>386</v>
      </c>
      <c r="D7" s="405"/>
      <c r="E7" s="405"/>
      <c r="F7" s="405"/>
    </row>
    <row r="8" spans="1:6" hidden="1">
      <c r="A8" s="405"/>
      <c r="B8" s="405">
        <v>16555</v>
      </c>
      <c r="C8" s="405" t="s">
        <v>387</v>
      </c>
      <c r="D8" s="405"/>
      <c r="E8" s="405"/>
      <c r="F8" s="405"/>
    </row>
    <row r="9" spans="1:6" hidden="1">
      <c r="A9" s="405"/>
      <c r="B9" s="405">
        <v>9092</v>
      </c>
      <c r="C9" s="405" t="s">
        <v>1857</v>
      </c>
      <c r="D9" s="405"/>
      <c r="E9" s="405"/>
      <c r="F9" s="405"/>
    </row>
    <row r="10" spans="1:6">
      <c r="A10" s="405"/>
      <c r="B10" s="405">
        <v>13245</v>
      </c>
      <c r="C10" s="405" t="s">
        <v>388</v>
      </c>
      <c r="D10" s="405"/>
      <c r="E10" s="405"/>
      <c r="F10" s="405"/>
    </row>
    <row r="11" spans="1:6" hidden="1">
      <c r="A11" s="405"/>
      <c r="B11" s="405">
        <v>10345</v>
      </c>
      <c r="C11" s="405" t="s">
        <v>1858</v>
      </c>
      <c r="D11" s="405"/>
      <c r="E11" s="405"/>
      <c r="F11" s="405"/>
    </row>
    <row r="12" spans="1:6">
      <c r="A12" s="405"/>
      <c r="B12" s="405">
        <v>9377</v>
      </c>
      <c r="C12" s="405" t="s">
        <v>389</v>
      </c>
      <c r="D12" s="405"/>
      <c r="E12" s="405"/>
      <c r="F12" s="405"/>
    </row>
    <row r="13" spans="1:6" hidden="1">
      <c r="A13" s="405"/>
      <c r="B13" s="405">
        <v>6999</v>
      </c>
      <c r="C13" s="405" t="s">
        <v>390</v>
      </c>
      <c r="D13" s="405"/>
      <c r="E13" s="405"/>
      <c r="F13" s="405"/>
    </row>
    <row r="14" spans="1:6" hidden="1">
      <c r="A14" s="405"/>
      <c r="B14" s="405">
        <v>15351</v>
      </c>
      <c r="C14" s="405" t="s">
        <v>391</v>
      </c>
      <c r="D14" s="405"/>
      <c r="E14" s="405"/>
      <c r="F14" s="405"/>
    </row>
    <row r="15" spans="1:6" hidden="1">
      <c r="A15" s="405"/>
      <c r="B15" s="405">
        <v>15352</v>
      </c>
      <c r="C15" s="405" t="s">
        <v>392</v>
      </c>
      <c r="D15" s="405"/>
      <c r="E15" s="405"/>
      <c r="F15" s="405"/>
    </row>
    <row r="16" spans="1:6" hidden="1">
      <c r="A16" s="405"/>
      <c r="B16" s="405">
        <v>15353</v>
      </c>
      <c r="C16" s="405" t="s">
        <v>393</v>
      </c>
      <c r="D16" s="405"/>
      <c r="E16" s="405"/>
      <c r="F16" s="405"/>
    </row>
    <row r="17" spans="1:6" hidden="1">
      <c r="A17" s="405"/>
      <c r="B17" s="405">
        <v>16627</v>
      </c>
      <c r="C17" s="405" t="s">
        <v>394</v>
      </c>
      <c r="D17" s="405"/>
      <c r="E17" s="405"/>
      <c r="F17" s="405"/>
    </row>
    <row r="18" spans="1:6" hidden="1">
      <c r="A18" s="405"/>
      <c r="B18" s="405">
        <v>15349</v>
      </c>
      <c r="C18" s="405" t="s">
        <v>395</v>
      </c>
      <c r="D18" s="405"/>
      <c r="E18" s="405"/>
      <c r="F18" s="405"/>
    </row>
    <row r="19" spans="1:6" hidden="1">
      <c r="A19" s="405"/>
      <c r="B19" s="405">
        <v>9359</v>
      </c>
      <c r="C19" s="405" t="s">
        <v>396</v>
      </c>
      <c r="D19" s="405"/>
      <c r="E19" s="405"/>
      <c r="F19" s="405"/>
    </row>
    <row r="20" spans="1:6" hidden="1">
      <c r="A20" s="405"/>
      <c r="B20" s="405">
        <v>9360</v>
      </c>
      <c r="C20" s="405" t="s">
        <v>397</v>
      </c>
      <c r="D20" s="405"/>
      <c r="E20" s="405"/>
      <c r="F20" s="405"/>
    </row>
    <row r="21" spans="1:6" hidden="1">
      <c r="A21" s="405"/>
      <c r="B21" s="405">
        <v>9358</v>
      </c>
      <c r="C21" s="405" t="s">
        <v>398</v>
      </c>
      <c r="D21" s="405"/>
      <c r="E21" s="405"/>
      <c r="F21" s="405"/>
    </row>
    <row r="22" spans="1:6" hidden="1">
      <c r="A22" s="405"/>
      <c r="B22" s="405">
        <v>7002</v>
      </c>
      <c r="C22" s="405" t="s">
        <v>399</v>
      </c>
      <c r="D22" s="405"/>
      <c r="E22" s="405"/>
      <c r="F22" s="405"/>
    </row>
    <row r="23" spans="1:6" hidden="1">
      <c r="A23" s="405"/>
      <c r="B23" s="405">
        <v>6984</v>
      </c>
      <c r="C23" s="405" t="s">
        <v>400</v>
      </c>
      <c r="D23" s="405"/>
      <c r="E23" s="405"/>
      <c r="F23" s="405"/>
    </row>
    <row r="24" spans="1:6" hidden="1">
      <c r="A24" s="405"/>
      <c r="B24" s="405">
        <v>7000</v>
      </c>
      <c r="C24" s="405" t="s">
        <v>401</v>
      </c>
      <c r="D24" s="405"/>
      <c r="E24" s="405"/>
      <c r="F24" s="405"/>
    </row>
    <row r="25" spans="1:6" hidden="1">
      <c r="A25" s="405"/>
      <c r="B25" s="405">
        <v>7001</v>
      </c>
      <c r="C25" s="405" t="s">
        <v>402</v>
      </c>
      <c r="D25" s="405"/>
      <c r="E25" s="405"/>
      <c r="F25" s="405"/>
    </row>
    <row r="26" spans="1:6" hidden="1">
      <c r="A26" s="405"/>
      <c r="B26" s="405">
        <v>9445</v>
      </c>
      <c r="C26" s="405" t="s">
        <v>403</v>
      </c>
      <c r="D26" s="405"/>
      <c r="E26" s="405"/>
      <c r="F26" s="405"/>
    </row>
    <row r="27" spans="1:6" hidden="1">
      <c r="A27" s="405"/>
      <c r="B27" s="405">
        <v>6987</v>
      </c>
      <c r="C27" s="405" t="s">
        <v>404</v>
      </c>
      <c r="D27" s="405"/>
      <c r="E27" s="405"/>
      <c r="F27" s="405"/>
    </row>
    <row r="28" spans="1:6" hidden="1">
      <c r="A28" s="405"/>
      <c r="B28" s="405">
        <v>6988</v>
      </c>
      <c r="C28" s="405" t="s">
        <v>405</v>
      </c>
      <c r="D28" s="405"/>
      <c r="E28" s="405"/>
      <c r="F28" s="405"/>
    </row>
    <row r="29" spans="1:6" hidden="1">
      <c r="A29" s="405"/>
      <c r="B29" s="405">
        <v>9785</v>
      </c>
      <c r="C29" s="405" t="s">
        <v>406</v>
      </c>
      <c r="D29" s="405"/>
      <c r="E29" s="405"/>
      <c r="F29" s="405"/>
    </row>
    <row r="30" spans="1:6" hidden="1">
      <c r="A30" s="405"/>
      <c r="B30" s="405">
        <v>6989</v>
      </c>
      <c r="C30" s="405" t="s">
        <v>407</v>
      </c>
      <c r="D30" s="405"/>
      <c r="E30" s="405"/>
      <c r="F30" s="405"/>
    </row>
    <row r="31" spans="1:6" hidden="1">
      <c r="A31" s="405"/>
      <c r="B31" s="405">
        <v>9975</v>
      </c>
      <c r="C31" s="405" t="s">
        <v>408</v>
      </c>
      <c r="D31" s="405"/>
      <c r="E31" s="405"/>
      <c r="F31" s="405"/>
    </row>
    <row r="32" spans="1:6" hidden="1">
      <c r="A32" s="405"/>
      <c r="B32" s="405">
        <v>9976</v>
      </c>
      <c r="C32" s="405" t="s">
        <v>409</v>
      </c>
      <c r="D32" s="405"/>
      <c r="E32" s="405"/>
      <c r="F32" s="405"/>
    </row>
    <row r="33" spans="1:6" hidden="1">
      <c r="A33" s="405"/>
      <c r="B33" s="405">
        <v>12426</v>
      </c>
      <c r="C33" s="405" t="s">
        <v>410</v>
      </c>
      <c r="D33" s="405"/>
      <c r="E33" s="405"/>
      <c r="F33" s="405"/>
    </row>
    <row r="34" spans="1:6" hidden="1">
      <c r="A34" s="405"/>
      <c r="B34" s="405">
        <v>14416</v>
      </c>
      <c r="C34" s="405" t="s">
        <v>411</v>
      </c>
      <c r="D34" s="405"/>
      <c r="E34" s="405"/>
      <c r="F34" s="405"/>
    </row>
    <row r="35" spans="1:6" hidden="1">
      <c r="A35" s="405"/>
      <c r="B35" s="405">
        <v>10273</v>
      </c>
      <c r="C35" s="405" t="s">
        <v>412</v>
      </c>
      <c r="D35" s="405"/>
      <c r="E35" s="405"/>
      <c r="F35" s="405"/>
    </row>
    <row r="36" spans="1:6" hidden="1">
      <c r="A36" s="405"/>
      <c r="B36" s="405">
        <v>10182</v>
      </c>
      <c r="C36" s="405" t="s">
        <v>413</v>
      </c>
      <c r="D36" s="405"/>
      <c r="E36" s="405"/>
      <c r="F36" s="405"/>
    </row>
    <row r="37" spans="1:6" hidden="1">
      <c r="A37" s="405"/>
      <c r="B37" s="405">
        <v>9977</v>
      </c>
      <c r="C37" s="405" t="s">
        <v>414</v>
      </c>
      <c r="D37" s="405"/>
      <c r="E37" s="405"/>
      <c r="F37" s="405"/>
    </row>
    <row r="38" spans="1:6" hidden="1">
      <c r="A38" s="405"/>
      <c r="B38" s="405">
        <v>14804</v>
      </c>
      <c r="C38" s="405" t="s">
        <v>415</v>
      </c>
      <c r="D38" s="405"/>
      <c r="E38" s="405"/>
      <c r="F38" s="405"/>
    </row>
    <row r="39" spans="1:6" hidden="1">
      <c r="A39" s="405"/>
      <c r="B39" s="405">
        <v>14793</v>
      </c>
      <c r="C39" s="405" t="s">
        <v>416</v>
      </c>
      <c r="D39" s="405"/>
      <c r="E39" s="405"/>
      <c r="F39" s="405"/>
    </row>
    <row r="40" spans="1:6" hidden="1">
      <c r="A40" s="405"/>
      <c r="B40" s="405">
        <v>14794</v>
      </c>
      <c r="C40" s="405" t="s">
        <v>417</v>
      </c>
      <c r="D40" s="405"/>
      <c r="E40" s="405"/>
      <c r="F40" s="405"/>
    </row>
    <row r="41" spans="1:6" hidden="1">
      <c r="A41" s="405"/>
      <c r="B41" s="405">
        <v>14795</v>
      </c>
      <c r="C41" s="405" t="s">
        <v>418</v>
      </c>
      <c r="D41" s="405"/>
      <c r="E41" s="405"/>
      <c r="F41" s="405"/>
    </row>
    <row r="42" spans="1:6" hidden="1">
      <c r="A42" s="405"/>
      <c r="B42" s="405">
        <v>14803</v>
      </c>
      <c r="C42" s="405" t="s">
        <v>419</v>
      </c>
      <c r="D42" s="405"/>
      <c r="E42" s="405"/>
      <c r="F42" s="405"/>
    </row>
    <row r="43" spans="1:6" hidden="1">
      <c r="A43" s="405"/>
      <c r="B43" s="405">
        <v>6647</v>
      </c>
      <c r="C43" s="405" t="s">
        <v>420</v>
      </c>
      <c r="D43" s="405"/>
      <c r="E43" s="405"/>
      <c r="F43" s="405"/>
    </row>
    <row r="44" spans="1:6" hidden="1">
      <c r="A44" s="405"/>
      <c r="B44" s="405">
        <v>2026</v>
      </c>
      <c r="C44" s="405" t="s">
        <v>421</v>
      </c>
      <c r="D44" s="405"/>
      <c r="E44" s="405"/>
      <c r="F44" s="405"/>
    </row>
    <row r="45" spans="1:6" hidden="1">
      <c r="A45" s="405"/>
      <c r="B45" s="405">
        <v>10270</v>
      </c>
      <c r="C45" s="405" t="s">
        <v>422</v>
      </c>
      <c r="D45" s="405"/>
      <c r="E45" s="405"/>
      <c r="F45" s="405"/>
    </row>
    <row r="46" spans="1:6" hidden="1">
      <c r="A46" s="405"/>
      <c r="B46" s="405">
        <v>10136</v>
      </c>
      <c r="C46" s="405" t="s">
        <v>423</v>
      </c>
      <c r="D46" s="405"/>
      <c r="E46" s="405"/>
      <c r="F46" s="405"/>
    </row>
    <row r="47" spans="1:6" hidden="1">
      <c r="A47" s="405"/>
      <c r="B47" s="405">
        <v>13257</v>
      </c>
      <c r="C47" s="405" t="s">
        <v>424</v>
      </c>
      <c r="D47" s="405"/>
      <c r="E47" s="405"/>
      <c r="F47" s="405"/>
    </row>
    <row r="48" spans="1:6" hidden="1">
      <c r="A48" s="405"/>
      <c r="B48" s="405">
        <v>13255</v>
      </c>
      <c r="C48" s="405" t="s">
        <v>425</v>
      </c>
      <c r="D48" s="405"/>
      <c r="E48" s="405"/>
      <c r="F48" s="405"/>
    </row>
    <row r="49" spans="1:6" hidden="1">
      <c r="A49" s="405"/>
      <c r="B49" s="405">
        <v>6234</v>
      </c>
      <c r="C49" s="405" t="s">
        <v>426</v>
      </c>
      <c r="D49" s="405"/>
      <c r="E49" s="405"/>
      <c r="F49" s="405"/>
    </row>
    <row r="50" spans="1:6" hidden="1">
      <c r="A50" s="405"/>
      <c r="B50" s="405">
        <v>14422</v>
      </c>
      <c r="C50" s="405" t="s">
        <v>427</v>
      </c>
      <c r="D50" s="405"/>
      <c r="E50" s="405"/>
      <c r="F50" s="405"/>
    </row>
    <row r="51" spans="1:6" hidden="1">
      <c r="A51" s="405"/>
      <c r="B51" s="405">
        <v>9973</v>
      </c>
      <c r="C51" s="405" t="s">
        <v>428</v>
      </c>
      <c r="D51" s="405"/>
      <c r="E51" s="405"/>
      <c r="F51" s="405"/>
    </row>
    <row r="52" spans="1:6" hidden="1">
      <c r="A52" s="405"/>
      <c r="B52" s="405">
        <v>6986</v>
      </c>
      <c r="C52" s="405" t="s">
        <v>429</v>
      </c>
      <c r="D52" s="405"/>
      <c r="E52" s="405"/>
      <c r="F52" s="405"/>
    </row>
    <row r="53" spans="1:6" hidden="1">
      <c r="A53" s="405"/>
      <c r="B53" s="405">
        <v>10305</v>
      </c>
      <c r="C53" s="405" t="s">
        <v>430</v>
      </c>
      <c r="D53" s="405"/>
      <c r="E53" s="405"/>
      <c r="F53" s="405"/>
    </row>
    <row r="54" spans="1:6" hidden="1">
      <c r="A54" s="405"/>
      <c r="B54" s="405">
        <v>5239</v>
      </c>
      <c r="C54" s="405" t="s">
        <v>431</v>
      </c>
      <c r="D54" s="405"/>
      <c r="E54" s="405"/>
      <c r="F54" s="405"/>
    </row>
    <row r="55" spans="1:6" hidden="1">
      <c r="A55" s="405"/>
      <c r="B55" s="405">
        <v>6985</v>
      </c>
      <c r="C55" s="405" t="s">
        <v>432</v>
      </c>
      <c r="D55" s="405"/>
      <c r="E55" s="405"/>
      <c r="F55" s="405"/>
    </row>
    <row r="56" spans="1:6" hidden="1">
      <c r="A56" s="405"/>
      <c r="B56" s="405">
        <v>6993</v>
      </c>
      <c r="C56" s="405" t="s">
        <v>433</v>
      </c>
      <c r="D56" s="405"/>
      <c r="E56" s="405"/>
      <c r="F56" s="405"/>
    </row>
    <row r="57" spans="1:6" hidden="1">
      <c r="A57" s="405"/>
      <c r="B57" s="405">
        <v>8491</v>
      </c>
      <c r="C57" s="405" t="s">
        <v>434</v>
      </c>
      <c r="D57" s="405"/>
      <c r="E57" s="405"/>
      <c r="F57" s="405"/>
    </row>
    <row r="58" spans="1:6" hidden="1">
      <c r="A58" s="405"/>
      <c r="B58" s="405">
        <v>6983</v>
      </c>
      <c r="C58" s="405" t="s">
        <v>435</v>
      </c>
      <c r="D58" s="405"/>
      <c r="E58" s="405"/>
      <c r="F58" s="405"/>
    </row>
    <row r="59" spans="1:6" hidden="1">
      <c r="A59" s="405"/>
      <c r="B59" s="405">
        <v>9361</v>
      </c>
      <c r="C59" s="405" t="s">
        <v>436</v>
      </c>
      <c r="D59" s="405"/>
      <c r="E59" s="405"/>
      <c r="F59" s="405"/>
    </row>
    <row r="60" spans="1:6">
      <c r="A60" s="405"/>
      <c r="B60" s="405">
        <v>4411</v>
      </c>
      <c r="C60" s="405" t="s">
        <v>437</v>
      </c>
      <c r="D60" s="405"/>
      <c r="E60" s="405"/>
      <c r="F60" s="405"/>
    </row>
    <row r="61" spans="1:6">
      <c r="A61" s="405"/>
      <c r="B61" s="405">
        <v>4412</v>
      </c>
      <c r="C61" s="405" t="s">
        <v>438</v>
      </c>
      <c r="D61" s="405"/>
      <c r="E61" s="405"/>
      <c r="F61" s="405"/>
    </row>
    <row r="62" spans="1:6">
      <c r="A62" s="405"/>
      <c r="B62" s="405">
        <v>8209</v>
      </c>
      <c r="C62" s="405" t="s">
        <v>439</v>
      </c>
      <c r="D62" s="405"/>
      <c r="E62" s="405"/>
      <c r="F62" s="405"/>
    </row>
    <row r="63" spans="1:6" hidden="1">
      <c r="A63" s="405"/>
      <c r="B63" s="405">
        <v>13247</v>
      </c>
      <c r="C63" s="405" t="s">
        <v>440</v>
      </c>
      <c r="D63" s="405"/>
      <c r="E63" s="405"/>
      <c r="F63" s="405"/>
    </row>
    <row r="64" spans="1:6" hidden="1">
      <c r="A64" s="405"/>
      <c r="B64" s="405">
        <v>12084</v>
      </c>
      <c r="C64" s="405" t="s">
        <v>441</v>
      </c>
      <c r="D64" s="405"/>
      <c r="E64" s="405"/>
      <c r="F64" s="405"/>
    </row>
    <row r="65" spans="1:6" hidden="1">
      <c r="A65" s="405"/>
      <c r="B65" s="405">
        <v>11937</v>
      </c>
      <c r="C65" s="405" t="s">
        <v>442</v>
      </c>
      <c r="D65" s="405"/>
      <c r="E65" s="405"/>
      <c r="F65" s="405"/>
    </row>
    <row r="66" spans="1:6" hidden="1">
      <c r="A66" s="405"/>
      <c r="B66" s="405">
        <v>11936</v>
      </c>
      <c r="C66" s="405" t="s">
        <v>443</v>
      </c>
      <c r="D66" s="405"/>
      <c r="E66" s="405"/>
      <c r="F66" s="405"/>
    </row>
    <row r="67" spans="1:6" hidden="1">
      <c r="A67" s="405"/>
      <c r="B67" s="405">
        <v>12425</v>
      </c>
      <c r="C67" s="405" t="s">
        <v>444</v>
      </c>
      <c r="D67" s="405"/>
      <c r="E67" s="405"/>
      <c r="F67" s="405"/>
    </row>
    <row r="68" spans="1:6">
      <c r="A68" s="405"/>
      <c r="B68" s="405">
        <v>6236</v>
      </c>
      <c r="C68" s="405" t="s">
        <v>445</v>
      </c>
      <c r="D68" s="405"/>
      <c r="E68" s="405"/>
      <c r="F68" s="405"/>
    </row>
    <row r="69" spans="1:6">
      <c r="A69" s="405"/>
      <c r="B69" s="405">
        <v>6235</v>
      </c>
      <c r="C69" s="405" t="s">
        <v>1859</v>
      </c>
      <c r="D69" s="405"/>
      <c r="E69" s="405"/>
      <c r="F69" s="405"/>
    </row>
    <row r="70" spans="1:6">
      <c r="A70" s="405"/>
      <c r="B70" s="405">
        <v>10330</v>
      </c>
      <c r="C70" s="405" t="s">
        <v>446</v>
      </c>
      <c r="D70" s="405"/>
      <c r="E70" s="405"/>
      <c r="F70" s="405"/>
    </row>
    <row r="71" spans="1:6">
      <c r="A71" s="405"/>
      <c r="B71" s="405">
        <v>11733</v>
      </c>
      <c r="C71" s="405" t="s">
        <v>447</v>
      </c>
      <c r="D71" s="405"/>
      <c r="E71" s="405"/>
      <c r="F71" s="405"/>
    </row>
    <row r="72" spans="1:6">
      <c r="A72" s="405"/>
      <c r="B72" s="405">
        <v>396</v>
      </c>
      <c r="C72" s="405" t="s">
        <v>448</v>
      </c>
      <c r="D72" s="405"/>
      <c r="E72" s="405"/>
      <c r="F72" s="405"/>
    </row>
    <row r="73" spans="1:6">
      <c r="A73" s="405"/>
      <c r="B73" s="405">
        <v>3631</v>
      </c>
      <c r="C73" s="405" t="s">
        <v>449</v>
      </c>
      <c r="D73" s="405"/>
      <c r="E73" s="405"/>
      <c r="F73" s="405"/>
    </row>
    <row r="74" spans="1:6" hidden="1">
      <c r="A74" s="405"/>
      <c r="B74" s="405">
        <v>14208</v>
      </c>
      <c r="C74" s="405" t="s">
        <v>450</v>
      </c>
      <c r="D74" s="405"/>
      <c r="E74" s="405"/>
      <c r="F74" s="405"/>
    </row>
    <row r="75" spans="1:6" hidden="1">
      <c r="A75" s="405"/>
      <c r="B75" s="405">
        <v>12942</v>
      </c>
      <c r="C75" s="405" t="s">
        <v>451</v>
      </c>
      <c r="D75" s="405"/>
      <c r="E75" s="405"/>
      <c r="F75" s="405"/>
    </row>
    <row r="76" spans="1:6" hidden="1">
      <c r="A76" s="405"/>
      <c r="B76" s="405">
        <v>15348</v>
      </c>
      <c r="C76" s="405" t="s">
        <v>452</v>
      </c>
      <c r="D76" s="405"/>
      <c r="E76" s="405"/>
      <c r="F76" s="405"/>
    </row>
    <row r="77" spans="1:6" hidden="1">
      <c r="A77" s="405"/>
      <c r="B77" s="405">
        <v>10153</v>
      </c>
      <c r="C77" s="405" t="s">
        <v>453</v>
      </c>
      <c r="D77" s="405"/>
      <c r="E77" s="405"/>
      <c r="F77" s="405"/>
    </row>
    <row r="78" spans="1:6" hidden="1">
      <c r="A78" s="405"/>
      <c r="B78" s="405">
        <v>10138</v>
      </c>
      <c r="C78" s="405" t="s">
        <v>454</v>
      </c>
      <c r="D78" s="405"/>
      <c r="E78" s="405"/>
      <c r="F78" s="405"/>
    </row>
    <row r="79" spans="1:6" hidden="1">
      <c r="A79" s="405"/>
      <c r="B79" s="405">
        <v>10405</v>
      </c>
      <c r="C79" s="405" t="s">
        <v>1860</v>
      </c>
      <c r="D79" s="405"/>
      <c r="E79" s="405"/>
      <c r="F79" s="405"/>
    </row>
    <row r="80" spans="1:6" hidden="1">
      <c r="A80" s="405"/>
      <c r="B80" s="405">
        <v>12943</v>
      </c>
      <c r="C80" s="405" t="s">
        <v>455</v>
      </c>
      <c r="D80" s="405"/>
      <c r="E80" s="405"/>
      <c r="F80" s="405"/>
    </row>
    <row r="81" spans="1:6" hidden="1">
      <c r="A81" s="405"/>
      <c r="B81" s="405">
        <v>10523</v>
      </c>
      <c r="C81" s="405" t="s">
        <v>456</v>
      </c>
      <c r="D81" s="405"/>
      <c r="E81" s="405"/>
      <c r="F81" s="405"/>
    </row>
    <row r="82" spans="1:6" hidden="1">
      <c r="A82" s="405"/>
      <c r="B82" s="405">
        <v>10776</v>
      </c>
      <c r="C82" s="405" t="s">
        <v>457</v>
      </c>
      <c r="D82" s="405"/>
      <c r="E82" s="405"/>
      <c r="F82" s="405"/>
    </row>
    <row r="83" spans="1:6" hidden="1">
      <c r="A83" s="405"/>
      <c r="B83" s="405">
        <v>10522</v>
      </c>
      <c r="C83" s="405" t="s">
        <v>458</v>
      </c>
      <c r="D83" s="405"/>
      <c r="E83" s="405"/>
      <c r="F83" s="405"/>
    </row>
    <row r="84" spans="1:6" hidden="1">
      <c r="A84" s="405"/>
      <c r="B84" s="405">
        <v>10521</v>
      </c>
      <c r="C84" s="405" t="s">
        <v>459</v>
      </c>
      <c r="D84" s="405"/>
      <c r="E84" s="405"/>
      <c r="F84" s="405"/>
    </row>
    <row r="85" spans="1:6" hidden="1">
      <c r="A85" s="405"/>
      <c r="B85" s="405">
        <v>10269</v>
      </c>
      <c r="C85" s="405" t="s">
        <v>460</v>
      </c>
      <c r="D85" s="405"/>
      <c r="E85" s="405"/>
      <c r="F85" s="405"/>
    </row>
    <row r="86" spans="1:6" hidden="1">
      <c r="A86" s="405"/>
      <c r="B86" s="405">
        <v>10918</v>
      </c>
      <c r="C86" s="405" t="s">
        <v>461</v>
      </c>
      <c r="D86" s="405"/>
      <c r="E86" s="405"/>
      <c r="F86" s="405"/>
    </row>
    <row r="87" spans="1:6" hidden="1">
      <c r="A87" s="405"/>
      <c r="B87" s="405">
        <v>10919</v>
      </c>
      <c r="C87" s="405" t="s">
        <v>462</v>
      </c>
      <c r="D87" s="405"/>
      <c r="E87" s="405"/>
      <c r="F87" s="405"/>
    </row>
    <row r="88" spans="1:6" hidden="1">
      <c r="A88" s="405"/>
      <c r="B88" s="405">
        <v>13246</v>
      </c>
      <c r="C88" s="405" t="s">
        <v>463</v>
      </c>
      <c r="D88" s="405"/>
      <c r="E88" s="405"/>
      <c r="F88" s="405"/>
    </row>
    <row r="89" spans="1:6" hidden="1">
      <c r="A89" s="405"/>
      <c r="B89" s="405">
        <v>15039</v>
      </c>
      <c r="C89" s="405" t="s">
        <v>464</v>
      </c>
      <c r="D89" s="405"/>
      <c r="E89" s="405"/>
      <c r="F89" s="405"/>
    </row>
    <row r="90" spans="1:6" hidden="1">
      <c r="A90" s="405"/>
      <c r="B90" s="405">
        <v>14576</v>
      </c>
      <c r="C90" s="405" t="s">
        <v>465</v>
      </c>
      <c r="D90" s="405"/>
      <c r="E90" s="405"/>
      <c r="F90" s="405"/>
    </row>
    <row r="91" spans="1:6" hidden="1">
      <c r="A91" s="405"/>
      <c r="B91" s="405">
        <v>14988</v>
      </c>
      <c r="C91" s="405" t="s">
        <v>466</v>
      </c>
      <c r="D91" s="405"/>
      <c r="E91" s="405"/>
      <c r="F91" s="405"/>
    </row>
    <row r="92" spans="1:6" hidden="1">
      <c r="A92" s="405"/>
      <c r="B92" s="405">
        <v>14797</v>
      </c>
      <c r="C92" s="405" t="s">
        <v>467</v>
      </c>
      <c r="D92" s="405"/>
      <c r="E92" s="405"/>
      <c r="F92" s="405"/>
    </row>
    <row r="93" spans="1:6" hidden="1">
      <c r="A93" s="405"/>
      <c r="B93" s="405">
        <v>14987</v>
      </c>
      <c r="C93" s="405" t="s">
        <v>468</v>
      </c>
      <c r="D93" s="405"/>
      <c r="E93" s="405"/>
      <c r="F93" s="405"/>
    </row>
    <row r="94" spans="1:6" hidden="1">
      <c r="A94" s="405"/>
      <c r="B94" s="405">
        <v>12579</v>
      </c>
      <c r="C94" s="405" t="s">
        <v>469</v>
      </c>
      <c r="D94" s="405"/>
      <c r="E94" s="405"/>
      <c r="F94" s="405"/>
    </row>
    <row r="95" spans="1:6" hidden="1">
      <c r="A95" s="405"/>
      <c r="B95" s="405">
        <v>12580</v>
      </c>
      <c r="C95" s="405" t="s">
        <v>470</v>
      </c>
      <c r="D95" s="405"/>
      <c r="E95" s="405"/>
      <c r="F95" s="405"/>
    </row>
    <row r="96" spans="1:6">
      <c r="A96" s="405"/>
      <c r="B96" s="405">
        <v>5871</v>
      </c>
      <c r="C96" s="405" t="s">
        <v>471</v>
      </c>
      <c r="D96" s="405"/>
      <c r="E96" s="405"/>
      <c r="F96" s="405"/>
    </row>
    <row r="97" spans="1:6">
      <c r="A97" s="405"/>
      <c r="B97" s="405">
        <v>5870</v>
      </c>
      <c r="C97" s="405" t="s">
        <v>472</v>
      </c>
      <c r="D97" s="405"/>
      <c r="E97" s="405"/>
      <c r="F97" s="405"/>
    </row>
    <row r="98" spans="1:6">
      <c r="A98" s="405"/>
      <c r="B98" s="405">
        <v>6276</v>
      </c>
      <c r="C98" s="405" t="s">
        <v>473</v>
      </c>
      <c r="D98" s="405"/>
      <c r="E98" s="405"/>
      <c r="F98" s="405"/>
    </row>
    <row r="99" spans="1:6">
      <c r="A99" s="405"/>
      <c r="B99" s="405">
        <v>16240</v>
      </c>
      <c r="C99" s="405" t="s">
        <v>474</v>
      </c>
      <c r="D99" s="405"/>
      <c r="E99" s="405"/>
      <c r="F99" s="405"/>
    </row>
    <row r="100" spans="1:6">
      <c r="A100" s="405"/>
      <c r="B100" s="405">
        <v>9689</v>
      </c>
      <c r="C100" s="405" t="s">
        <v>475</v>
      </c>
      <c r="D100" s="405"/>
      <c r="E100" s="405"/>
      <c r="F100" s="405"/>
    </row>
    <row r="101" spans="1:6">
      <c r="A101" s="405"/>
      <c r="B101" s="405">
        <v>3630</v>
      </c>
      <c r="C101" s="405" t="s">
        <v>476</v>
      </c>
      <c r="D101" s="405"/>
      <c r="E101" s="405"/>
      <c r="F101" s="405"/>
    </row>
    <row r="102" spans="1:6">
      <c r="A102" s="405"/>
      <c r="B102" s="405">
        <v>4286</v>
      </c>
      <c r="C102" s="405" t="s">
        <v>477</v>
      </c>
      <c r="D102" s="405"/>
      <c r="E102" s="405"/>
      <c r="F102" s="405"/>
    </row>
    <row r="103" spans="1:6" hidden="1">
      <c r="A103" s="405"/>
      <c r="B103" s="405">
        <v>13261</v>
      </c>
      <c r="C103" s="405" t="s">
        <v>478</v>
      </c>
      <c r="D103" s="405"/>
      <c r="E103" s="405"/>
      <c r="F103" s="405"/>
    </row>
    <row r="104" spans="1:6">
      <c r="A104" s="405"/>
      <c r="B104" s="405">
        <v>1919</v>
      </c>
      <c r="C104" s="405" t="s">
        <v>479</v>
      </c>
      <c r="D104" s="405"/>
      <c r="E104" s="405"/>
      <c r="F104" s="405"/>
    </row>
    <row r="105" spans="1:6" hidden="1">
      <c r="A105" s="405"/>
      <c r="B105" s="405">
        <v>10744</v>
      </c>
      <c r="C105" s="405" t="s">
        <v>480</v>
      </c>
      <c r="D105" s="405"/>
      <c r="E105" s="405"/>
      <c r="F105" s="405"/>
    </row>
    <row r="106" spans="1:6" hidden="1">
      <c r="A106" s="405"/>
      <c r="B106" s="405">
        <v>10745</v>
      </c>
      <c r="C106" s="405" t="s">
        <v>481</v>
      </c>
      <c r="D106" s="405"/>
      <c r="E106" s="405"/>
      <c r="F106" s="405"/>
    </row>
    <row r="107" spans="1:6" hidden="1">
      <c r="A107" s="405"/>
      <c r="B107" s="405">
        <v>5739</v>
      </c>
      <c r="C107" s="405" t="s">
        <v>1861</v>
      </c>
      <c r="D107" s="405"/>
      <c r="E107" s="405"/>
      <c r="F107" s="405"/>
    </row>
    <row r="108" spans="1:6" hidden="1">
      <c r="A108" s="405"/>
      <c r="B108" s="405">
        <v>7312</v>
      </c>
      <c r="C108" s="405" t="s">
        <v>1862</v>
      </c>
      <c r="D108" s="405"/>
      <c r="E108" s="405"/>
      <c r="F108" s="405"/>
    </row>
    <row r="109" spans="1:6" hidden="1">
      <c r="A109" s="405"/>
      <c r="B109" s="405">
        <v>16757</v>
      </c>
      <c r="C109" s="405" t="s">
        <v>482</v>
      </c>
      <c r="D109" s="405"/>
      <c r="E109" s="405"/>
      <c r="F109" s="405"/>
    </row>
    <row r="110" spans="1:6" hidden="1">
      <c r="A110" s="405"/>
      <c r="B110" s="405">
        <v>16761</v>
      </c>
      <c r="C110" s="405" t="s">
        <v>483</v>
      </c>
      <c r="D110" s="405"/>
      <c r="E110" s="405"/>
      <c r="F110" s="405"/>
    </row>
    <row r="111" spans="1:6">
      <c r="A111" s="405"/>
      <c r="B111" s="405">
        <v>10586</v>
      </c>
      <c r="C111" s="405" t="s">
        <v>484</v>
      </c>
      <c r="D111" s="405"/>
      <c r="E111" s="405"/>
      <c r="F111" s="405"/>
    </row>
    <row r="112" spans="1:6">
      <c r="A112" s="405"/>
      <c r="B112" s="405">
        <v>1212</v>
      </c>
      <c r="C112" s="405" t="s">
        <v>485</v>
      </c>
      <c r="D112" s="405"/>
      <c r="E112" s="405"/>
      <c r="F112" s="405"/>
    </row>
    <row r="113" spans="1:6">
      <c r="A113" s="405"/>
      <c r="B113" s="405">
        <v>10368</v>
      </c>
      <c r="C113" s="405" t="s">
        <v>486</v>
      </c>
      <c r="D113" s="405"/>
      <c r="E113" s="405"/>
      <c r="F113" s="405"/>
    </row>
    <row r="114" spans="1:6">
      <c r="A114" s="405"/>
      <c r="B114" s="405">
        <v>705</v>
      </c>
      <c r="C114" s="405" t="s">
        <v>487</v>
      </c>
      <c r="D114" s="405"/>
      <c r="E114" s="405"/>
      <c r="F114" s="405"/>
    </row>
    <row r="115" spans="1:6">
      <c r="A115" s="405"/>
      <c r="B115" s="405">
        <v>5872</v>
      </c>
      <c r="C115" s="405" t="s">
        <v>488</v>
      </c>
      <c r="D115" s="405"/>
      <c r="E115" s="405"/>
      <c r="F115" s="405"/>
    </row>
    <row r="116" spans="1:6">
      <c r="A116" s="405"/>
      <c r="B116" s="405">
        <v>5874</v>
      </c>
      <c r="C116" s="405" t="s">
        <v>489</v>
      </c>
      <c r="D116" s="405"/>
      <c r="E116" s="405"/>
      <c r="F116" s="405"/>
    </row>
  </sheetData>
  <pageMargins left="0" right="0" top="0" bottom="0" header="0" footer="0"/>
  <pageSetup paperSize="9" orientation="landscape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3:E71"/>
  <sheetViews>
    <sheetView workbookViewId="0">
      <selection activeCell="F30" sqref="F30"/>
    </sheetView>
  </sheetViews>
  <sheetFormatPr baseColWidth="10" defaultRowHeight="15"/>
  <cols>
    <col min="3" max="3" width="60" customWidth="1"/>
  </cols>
  <sheetData>
    <row r="3" spans="2:5">
      <c r="B3" s="356" t="s">
        <v>0</v>
      </c>
      <c r="C3" s="356" t="s">
        <v>1</v>
      </c>
      <c r="D3" s="356" t="s">
        <v>110</v>
      </c>
      <c r="E3" s="356" t="s">
        <v>111</v>
      </c>
    </row>
    <row r="4" spans="2:5">
      <c r="B4" s="356">
        <v>15179</v>
      </c>
      <c r="C4" s="356" t="s">
        <v>1422</v>
      </c>
      <c r="D4" s="356"/>
      <c r="E4" s="356"/>
    </row>
    <row r="5" spans="2:5">
      <c r="B5" s="356">
        <v>15180</v>
      </c>
      <c r="C5" s="356" t="s">
        <v>1423</v>
      </c>
      <c r="D5" s="356"/>
      <c r="E5" s="356"/>
    </row>
    <row r="6" spans="2:5">
      <c r="B6" s="356">
        <v>15178</v>
      </c>
      <c r="C6" s="356" t="s">
        <v>1424</v>
      </c>
      <c r="D6" s="356"/>
      <c r="E6" s="356"/>
    </row>
    <row r="7" spans="2:5">
      <c r="B7" s="356">
        <v>16621</v>
      </c>
      <c r="C7" s="356" t="s">
        <v>1425</v>
      </c>
      <c r="D7" s="356"/>
      <c r="E7" s="356"/>
    </row>
    <row r="8" spans="2:5">
      <c r="B8" s="356">
        <v>14903</v>
      </c>
      <c r="C8" s="356" t="s">
        <v>1426</v>
      </c>
      <c r="D8" s="356"/>
      <c r="E8" s="356"/>
    </row>
    <row r="9" spans="2:5">
      <c r="B9" s="356">
        <v>13049</v>
      </c>
      <c r="C9" s="356" t="s">
        <v>1427</v>
      </c>
      <c r="D9" s="356"/>
      <c r="E9" s="356"/>
    </row>
    <row r="10" spans="2:5">
      <c r="B10" s="356">
        <v>355</v>
      </c>
      <c r="C10" s="356" t="s">
        <v>1428</v>
      </c>
      <c r="D10" s="356"/>
      <c r="E10" s="356"/>
    </row>
    <row r="11" spans="2:5">
      <c r="B11" s="356">
        <v>353</v>
      </c>
      <c r="C11" s="356" t="s">
        <v>1429</v>
      </c>
      <c r="D11" s="356"/>
      <c r="E11" s="356"/>
    </row>
    <row r="12" spans="2:5">
      <c r="B12" s="356">
        <v>10524</v>
      </c>
      <c r="C12" s="356" t="s">
        <v>65</v>
      </c>
      <c r="D12" s="356"/>
      <c r="E12" s="356"/>
    </row>
    <row r="13" spans="2:5">
      <c r="B13" s="356">
        <v>11724</v>
      </c>
      <c r="C13" s="356" t="s">
        <v>1430</v>
      </c>
      <c r="D13" s="356"/>
      <c r="E13" s="356"/>
    </row>
    <row r="14" spans="2:5">
      <c r="B14" s="356">
        <v>14660</v>
      </c>
      <c r="C14" s="356" t="s">
        <v>1431</v>
      </c>
      <c r="D14" s="356"/>
      <c r="E14" s="356"/>
    </row>
    <row r="15" spans="2:5">
      <c r="B15" s="356">
        <v>696</v>
      </c>
      <c r="C15" s="356" t="s">
        <v>1432</v>
      </c>
      <c r="D15" s="356"/>
      <c r="E15" s="356"/>
    </row>
    <row r="16" spans="2:5">
      <c r="B16" s="356">
        <v>12633</v>
      </c>
      <c r="C16" s="356" t="s">
        <v>1433</v>
      </c>
      <c r="D16" s="356"/>
      <c r="E16" s="356"/>
    </row>
    <row r="17" spans="2:5">
      <c r="B17" s="356">
        <v>9893</v>
      </c>
      <c r="C17" s="356" t="s">
        <v>1434</v>
      </c>
      <c r="D17" s="356"/>
      <c r="E17" s="356"/>
    </row>
    <row r="18" spans="2:5">
      <c r="B18" s="356">
        <v>16369</v>
      </c>
      <c r="C18" s="356" t="s">
        <v>1435</v>
      </c>
      <c r="D18" s="356"/>
      <c r="E18" s="356"/>
    </row>
    <row r="19" spans="2:5">
      <c r="B19" s="356">
        <v>13404</v>
      </c>
      <c r="C19" s="356" t="s">
        <v>1436</v>
      </c>
      <c r="D19" s="356"/>
      <c r="E19" s="356"/>
    </row>
    <row r="20" spans="2:5">
      <c r="B20" s="356">
        <v>10946</v>
      </c>
      <c r="C20" s="356" t="s">
        <v>1437</v>
      </c>
      <c r="D20" s="356"/>
      <c r="E20" s="356"/>
    </row>
    <row r="21" spans="2:5">
      <c r="B21" s="356">
        <v>10942</v>
      </c>
      <c r="C21" s="356" t="s">
        <v>1438</v>
      </c>
      <c r="D21" s="356"/>
      <c r="E21" s="356"/>
    </row>
    <row r="22" spans="2:5">
      <c r="B22" s="356">
        <v>10943</v>
      </c>
      <c r="C22" s="356" t="s">
        <v>1439</v>
      </c>
      <c r="D22" s="356"/>
      <c r="E22" s="356"/>
    </row>
    <row r="23" spans="2:5">
      <c r="B23" s="356">
        <v>10944</v>
      </c>
      <c r="C23" s="356" t="s">
        <v>1440</v>
      </c>
      <c r="D23" s="356"/>
      <c r="E23" s="356"/>
    </row>
    <row r="24" spans="2:5">
      <c r="B24" s="356">
        <v>10945</v>
      </c>
      <c r="C24" s="356" t="s">
        <v>1441</v>
      </c>
      <c r="D24" s="356"/>
      <c r="E24" s="356"/>
    </row>
    <row r="25" spans="2:5">
      <c r="B25" s="356">
        <v>695</v>
      </c>
      <c r="C25" s="356" t="s">
        <v>1442</v>
      </c>
      <c r="D25" s="356"/>
      <c r="E25" s="356"/>
    </row>
    <row r="26" spans="2:5">
      <c r="B26" s="356">
        <v>10523</v>
      </c>
      <c r="C26" s="356" t="s">
        <v>456</v>
      </c>
      <c r="D26" s="356"/>
      <c r="E26" s="356"/>
    </row>
    <row r="27" spans="2:5">
      <c r="B27" s="356">
        <v>14519</v>
      </c>
      <c r="C27" s="356" t="s">
        <v>1443</v>
      </c>
      <c r="D27" s="356"/>
      <c r="E27" s="356"/>
    </row>
    <row r="28" spans="2:5">
      <c r="B28" s="356">
        <v>14518</v>
      </c>
      <c r="C28" s="356" t="s">
        <v>1444</v>
      </c>
      <c r="D28" s="356"/>
      <c r="E28" s="356"/>
    </row>
    <row r="29" spans="2:5">
      <c r="B29" s="356">
        <v>14516</v>
      </c>
      <c r="C29" s="356" t="s">
        <v>1445</v>
      </c>
      <c r="D29" s="356"/>
      <c r="E29" s="356"/>
    </row>
    <row r="30" spans="2:5">
      <c r="B30" s="356">
        <v>14517</v>
      </c>
      <c r="C30" s="356" t="s">
        <v>1446</v>
      </c>
      <c r="D30" s="356"/>
      <c r="E30" s="356"/>
    </row>
    <row r="31" spans="2:5">
      <c r="B31" s="356">
        <v>14126</v>
      </c>
      <c r="C31" s="356" t="s">
        <v>1447</v>
      </c>
      <c r="D31" s="356"/>
      <c r="E31" s="356"/>
    </row>
    <row r="32" spans="2:5">
      <c r="B32" s="356">
        <v>14124</v>
      </c>
      <c r="C32" s="356" t="s">
        <v>1448</v>
      </c>
      <c r="D32" s="356"/>
      <c r="E32" s="356"/>
    </row>
    <row r="33" spans="2:5">
      <c r="B33" s="356">
        <v>13050</v>
      </c>
      <c r="C33" s="356" t="s">
        <v>1449</v>
      </c>
      <c r="D33" s="356"/>
      <c r="E33" s="356"/>
    </row>
    <row r="34" spans="2:5">
      <c r="B34" s="356">
        <v>13243</v>
      </c>
      <c r="C34" s="356" t="s">
        <v>1450</v>
      </c>
      <c r="D34" s="356"/>
      <c r="E34" s="356"/>
    </row>
    <row r="35" spans="2:5">
      <c r="B35" s="356">
        <v>13244</v>
      </c>
      <c r="C35" s="356" t="s">
        <v>1451</v>
      </c>
      <c r="D35" s="356"/>
      <c r="E35" s="356"/>
    </row>
    <row r="36" spans="2:5">
      <c r="B36" s="356">
        <v>2995</v>
      </c>
      <c r="C36" s="356" t="s">
        <v>532</v>
      </c>
      <c r="D36" s="356"/>
      <c r="E36" s="356"/>
    </row>
    <row r="37" spans="2:5">
      <c r="B37" s="356">
        <v>15174</v>
      </c>
      <c r="C37" s="356" t="s">
        <v>1452</v>
      </c>
      <c r="D37" s="356"/>
      <c r="E37" s="356"/>
    </row>
    <row r="38" spans="2:5">
      <c r="B38" s="356">
        <v>15175</v>
      </c>
      <c r="C38" s="356" t="s">
        <v>1453</v>
      </c>
      <c r="D38" s="356"/>
      <c r="E38" s="356"/>
    </row>
    <row r="39" spans="2:5">
      <c r="B39" s="356">
        <v>15173</v>
      </c>
      <c r="C39" s="356" t="s">
        <v>1454</v>
      </c>
      <c r="D39" s="356"/>
      <c r="E39" s="356"/>
    </row>
    <row r="40" spans="2:5">
      <c r="B40" s="356">
        <v>13051</v>
      </c>
      <c r="C40" s="356" t="s">
        <v>1455</v>
      </c>
      <c r="D40" s="356"/>
      <c r="E40" s="356"/>
    </row>
    <row r="41" spans="2:5">
      <c r="B41" s="356">
        <v>12239</v>
      </c>
      <c r="C41" s="356" t="s">
        <v>1456</v>
      </c>
      <c r="D41" s="356"/>
      <c r="E41" s="356"/>
    </row>
    <row r="42" spans="2:5">
      <c r="B42" s="356">
        <v>9447</v>
      </c>
      <c r="C42" s="356" t="s">
        <v>1457</v>
      </c>
      <c r="D42" s="356"/>
      <c r="E42" s="356"/>
    </row>
    <row r="43" spans="2:5">
      <c r="B43" s="356">
        <v>14520</v>
      </c>
      <c r="C43" s="356" t="s">
        <v>1458</v>
      </c>
      <c r="D43" s="356"/>
      <c r="E43" s="356"/>
    </row>
    <row r="44" spans="2:5">
      <c r="B44" s="356">
        <v>11969</v>
      </c>
      <c r="C44" s="356" t="s">
        <v>1459</v>
      </c>
      <c r="D44" s="356"/>
      <c r="E44" s="356"/>
    </row>
    <row r="45" spans="2:5">
      <c r="B45" s="356">
        <v>11968</v>
      </c>
      <c r="C45" s="356" t="s">
        <v>1460</v>
      </c>
      <c r="D45" s="356"/>
      <c r="E45" s="356"/>
    </row>
    <row r="46" spans="2:5">
      <c r="B46" s="356">
        <v>9446</v>
      </c>
      <c r="C46" s="356" t="s">
        <v>1461</v>
      </c>
      <c r="D46" s="356"/>
      <c r="E46" s="356"/>
    </row>
    <row r="47" spans="2:5">
      <c r="B47" s="356">
        <v>8733</v>
      </c>
      <c r="C47" s="356" t="s">
        <v>1462</v>
      </c>
      <c r="D47" s="356"/>
      <c r="E47" s="356"/>
    </row>
    <row r="48" spans="2:5">
      <c r="B48" s="356">
        <v>14902</v>
      </c>
      <c r="C48" s="356" t="s">
        <v>1463</v>
      </c>
      <c r="D48" s="356"/>
      <c r="E48" s="356"/>
    </row>
    <row r="49" spans="2:5">
      <c r="B49" s="356">
        <v>12632</v>
      </c>
      <c r="C49" s="356" t="s">
        <v>1464</v>
      </c>
      <c r="D49" s="356"/>
      <c r="E49" s="356"/>
    </row>
    <row r="50" spans="2:5">
      <c r="B50" s="356">
        <v>124</v>
      </c>
      <c r="C50" s="356" t="s">
        <v>1465</v>
      </c>
      <c r="D50" s="356"/>
      <c r="E50" s="356"/>
    </row>
    <row r="51" spans="2:5">
      <c r="B51" s="356">
        <v>123</v>
      </c>
      <c r="C51" s="356" t="s">
        <v>1466</v>
      </c>
      <c r="D51" s="356"/>
      <c r="E51" s="356"/>
    </row>
    <row r="52" spans="2:5">
      <c r="B52" s="356">
        <v>14123</v>
      </c>
      <c r="C52" s="356" t="s">
        <v>1467</v>
      </c>
      <c r="D52" s="356"/>
      <c r="E52" s="356"/>
    </row>
    <row r="53" spans="2:5">
      <c r="B53" s="356">
        <v>122</v>
      </c>
      <c r="C53" s="356" t="s">
        <v>1468</v>
      </c>
      <c r="D53" s="356"/>
      <c r="E53" s="356"/>
    </row>
    <row r="54" spans="2:5">
      <c r="B54" s="356">
        <v>121</v>
      </c>
      <c r="C54" s="356" t="s">
        <v>1469</v>
      </c>
      <c r="D54" s="356"/>
      <c r="E54" s="356"/>
    </row>
    <row r="55" spans="2:5">
      <c r="B55" s="356">
        <v>13662</v>
      </c>
      <c r="C55" s="356" t="s">
        <v>1470</v>
      </c>
      <c r="D55" s="356"/>
      <c r="E55" s="356"/>
    </row>
    <row r="56" spans="2:5">
      <c r="B56" s="356">
        <v>13660</v>
      </c>
      <c r="C56" s="356" t="s">
        <v>1471</v>
      </c>
      <c r="D56" s="356"/>
      <c r="E56" s="356"/>
    </row>
    <row r="57" spans="2:5">
      <c r="B57" s="356">
        <v>13674</v>
      </c>
      <c r="C57" s="356" t="s">
        <v>1472</v>
      </c>
      <c r="D57" s="356"/>
      <c r="E57" s="356"/>
    </row>
    <row r="58" spans="2:5">
      <c r="B58" s="356">
        <v>13661</v>
      </c>
      <c r="C58" s="356" t="s">
        <v>1473</v>
      </c>
      <c r="D58" s="356"/>
      <c r="E58" s="356"/>
    </row>
    <row r="59" spans="2:5">
      <c r="B59" s="356">
        <v>13675</v>
      </c>
      <c r="C59" s="356" t="s">
        <v>1474</v>
      </c>
      <c r="D59" s="356"/>
      <c r="E59" s="356"/>
    </row>
    <row r="60" spans="2:5">
      <c r="B60" s="356">
        <v>13665</v>
      </c>
      <c r="C60" s="356" t="s">
        <v>1475</v>
      </c>
      <c r="D60" s="356"/>
      <c r="E60" s="356"/>
    </row>
    <row r="61" spans="2:5">
      <c r="B61" s="356">
        <v>13667</v>
      </c>
      <c r="C61" s="356" t="s">
        <v>1476</v>
      </c>
      <c r="D61" s="356"/>
      <c r="E61" s="356"/>
    </row>
    <row r="62" spans="2:5">
      <c r="B62" s="356">
        <v>13668</v>
      </c>
      <c r="C62" s="356" t="s">
        <v>1477</v>
      </c>
      <c r="D62" s="356"/>
      <c r="E62" s="356"/>
    </row>
    <row r="63" spans="2:5">
      <c r="B63" s="356">
        <v>13669</v>
      </c>
      <c r="C63" s="356" t="s">
        <v>1478</v>
      </c>
      <c r="D63" s="356"/>
      <c r="E63" s="356"/>
    </row>
    <row r="64" spans="2:5">
      <c r="B64" s="356">
        <v>13670</v>
      </c>
      <c r="C64" s="356" t="s">
        <v>1479</v>
      </c>
      <c r="D64" s="356"/>
      <c r="E64" s="356"/>
    </row>
    <row r="65" spans="2:5">
      <c r="B65" s="356">
        <v>13671</v>
      </c>
      <c r="C65" s="356" t="s">
        <v>1480</v>
      </c>
      <c r="D65" s="356"/>
      <c r="E65" s="356"/>
    </row>
    <row r="66" spans="2:5">
      <c r="B66" s="356">
        <v>13672</v>
      </c>
      <c r="C66" s="356" t="s">
        <v>1481</v>
      </c>
      <c r="D66" s="356"/>
      <c r="E66" s="356"/>
    </row>
    <row r="67" spans="2:5">
      <c r="B67" s="356">
        <v>13673</v>
      </c>
      <c r="C67" s="356" t="s">
        <v>1482</v>
      </c>
      <c r="D67" s="356"/>
      <c r="E67" s="356"/>
    </row>
    <row r="68" spans="2:5">
      <c r="B68" s="356">
        <v>13664</v>
      </c>
      <c r="C68" s="356" t="s">
        <v>1483</v>
      </c>
      <c r="D68" s="356"/>
      <c r="E68" s="356"/>
    </row>
    <row r="69" spans="2:5">
      <c r="B69" s="356">
        <v>13666</v>
      </c>
      <c r="C69" s="356" t="s">
        <v>1484</v>
      </c>
      <c r="D69" s="356"/>
      <c r="E69" s="356"/>
    </row>
    <row r="70" spans="2:5">
      <c r="B70" s="356">
        <v>6409</v>
      </c>
      <c r="C70" s="356" t="s">
        <v>1485</v>
      </c>
      <c r="D70" s="356"/>
      <c r="E70" s="356"/>
    </row>
    <row r="71" spans="2:5">
      <c r="B71" s="356">
        <v>14580</v>
      </c>
      <c r="C71" s="356" t="s">
        <v>1486</v>
      </c>
      <c r="D71" s="356"/>
      <c r="E71" s="356"/>
    </row>
  </sheetData>
  <pageMargins left="0.7" right="0.7" top="0.75" bottom="0.75" header="0.3" footer="0.3"/>
  <pageSetup paperSize="119" orientation="landscape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C1:E85"/>
  <sheetViews>
    <sheetView workbookViewId="0">
      <selection activeCell="C3" sqref="C3:E71"/>
    </sheetView>
  </sheetViews>
  <sheetFormatPr baseColWidth="10" defaultRowHeight="15"/>
  <cols>
    <col min="4" max="4" width="44.42578125" customWidth="1"/>
  </cols>
  <sheetData>
    <row r="1" spans="3:5" s="110" customFormat="1"/>
    <row r="2" spans="3:5" s="110" customFormat="1"/>
    <row r="3" spans="3:5" s="110" customFormat="1">
      <c r="D3" s="110" t="s">
        <v>1241</v>
      </c>
    </row>
    <row r="4" spans="3:5" s="110" customFormat="1"/>
    <row r="5" spans="3:5" s="110" customFormat="1"/>
    <row r="6" spans="3:5" s="110" customFormat="1"/>
    <row r="9" spans="3:5">
      <c r="C9" s="111" t="s">
        <v>0</v>
      </c>
      <c r="D9" s="111" t="s">
        <v>1</v>
      </c>
      <c r="E9" s="111"/>
    </row>
    <row r="10" spans="3:5" hidden="1">
      <c r="C10" s="111">
        <v>13486</v>
      </c>
      <c r="D10" s="111" t="s">
        <v>1243</v>
      </c>
      <c r="E10" s="111"/>
    </row>
    <row r="11" spans="3:5" hidden="1">
      <c r="C11" s="111">
        <v>13485</v>
      </c>
      <c r="D11" s="111" t="s">
        <v>1244</v>
      </c>
      <c r="E11" s="111"/>
    </row>
    <row r="12" spans="3:5" hidden="1">
      <c r="C12" s="111">
        <v>14888</v>
      </c>
      <c r="D12" s="111" t="s">
        <v>1245</v>
      </c>
      <c r="E12" s="111"/>
    </row>
    <row r="13" spans="3:5" hidden="1">
      <c r="C13" s="111">
        <v>14889</v>
      </c>
      <c r="D13" s="111" t="s">
        <v>1246</v>
      </c>
      <c r="E13" s="111"/>
    </row>
    <row r="14" spans="3:5" hidden="1">
      <c r="C14" s="111">
        <v>14891</v>
      </c>
      <c r="D14" s="111" t="s">
        <v>1247</v>
      </c>
      <c r="E14" s="111"/>
    </row>
    <row r="15" spans="3:5" hidden="1">
      <c r="C15" s="111">
        <v>14890</v>
      </c>
      <c r="D15" s="111" t="s">
        <v>1248</v>
      </c>
      <c r="E15" s="111"/>
    </row>
    <row r="16" spans="3:5" hidden="1">
      <c r="C16" s="111">
        <v>14894</v>
      </c>
      <c r="D16" s="111" t="s">
        <v>1249</v>
      </c>
      <c r="E16" s="111"/>
    </row>
    <row r="17" spans="3:5" hidden="1">
      <c r="C17" s="111">
        <v>14892</v>
      </c>
      <c r="D17" s="111" t="s">
        <v>1250</v>
      </c>
      <c r="E17" s="111"/>
    </row>
    <row r="18" spans="3:5" hidden="1">
      <c r="C18" s="111">
        <v>14893</v>
      </c>
      <c r="D18" s="111" t="s">
        <v>1251</v>
      </c>
      <c r="E18" s="111"/>
    </row>
    <row r="19" spans="3:5" hidden="1">
      <c r="C19" s="111">
        <v>13490</v>
      </c>
      <c r="D19" s="111" t="s">
        <v>1252</v>
      </c>
      <c r="E19" s="111"/>
    </row>
    <row r="20" spans="3:5" hidden="1">
      <c r="C20" s="111">
        <v>13468</v>
      </c>
      <c r="D20" s="111" t="s">
        <v>1253</v>
      </c>
      <c r="E20" s="111"/>
    </row>
    <row r="21" spans="3:5" hidden="1">
      <c r="C21" s="111">
        <v>13467</v>
      </c>
      <c r="D21" s="111" t="s">
        <v>1254</v>
      </c>
      <c r="E21" s="111"/>
    </row>
    <row r="22" spans="3:5" hidden="1">
      <c r="C22" s="111">
        <v>13473</v>
      </c>
      <c r="D22" s="111" t="s">
        <v>1255</v>
      </c>
      <c r="E22" s="111"/>
    </row>
    <row r="23" spans="3:5" hidden="1">
      <c r="C23" s="111">
        <v>13475</v>
      </c>
      <c r="D23" s="111" t="s">
        <v>1256</v>
      </c>
      <c r="E23" s="111"/>
    </row>
    <row r="24" spans="3:5" hidden="1">
      <c r="C24" s="111">
        <v>13470</v>
      </c>
      <c r="D24" s="111" t="s">
        <v>1257</v>
      </c>
      <c r="E24" s="111"/>
    </row>
    <row r="25" spans="3:5" hidden="1">
      <c r="C25" s="111">
        <v>13466</v>
      </c>
      <c r="D25" s="111" t="s">
        <v>1258</v>
      </c>
      <c r="E25" s="111"/>
    </row>
    <row r="26" spans="3:5" hidden="1">
      <c r="C26" s="111">
        <v>13474</v>
      </c>
      <c r="D26" s="111" t="s">
        <v>1259</v>
      </c>
      <c r="E26" s="111"/>
    </row>
    <row r="27" spans="3:5" hidden="1">
      <c r="C27" s="111">
        <v>13469</v>
      </c>
      <c r="D27" s="111" t="s">
        <v>1260</v>
      </c>
      <c r="E27" s="111"/>
    </row>
    <row r="28" spans="3:5" hidden="1">
      <c r="C28" s="111">
        <v>13471</v>
      </c>
      <c r="D28" s="111" t="s">
        <v>1261</v>
      </c>
      <c r="E28" s="111"/>
    </row>
    <row r="29" spans="3:5" hidden="1">
      <c r="C29" s="111">
        <v>13472</v>
      </c>
      <c r="D29" s="111" t="s">
        <v>1262</v>
      </c>
      <c r="E29" s="111"/>
    </row>
    <row r="30" spans="3:5" hidden="1">
      <c r="C30" s="111">
        <v>13492</v>
      </c>
      <c r="D30" s="111" t="s">
        <v>1263</v>
      </c>
      <c r="E30" s="111"/>
    </row>
    <row r="31" spans="3:5" hidden="1">
      <c r="C31" s="111">
        <v>13489</v>
      </c>
      <c r="D31" s="111" t="s">
        <v>1264</v>
      </c>
      <c r="E31" s="111"/>
    </row>
    <row r="32" spans="3:5" hidden="1">
      <c r="C32" s="111">
        <v>13147</v>
      </c>
      <c r="D32" s="111" t="s">
        <v>1265</v>
      </c>
      <c r="E32" s="111"/>
    </row>
    <row r="33" spans="3:5" hidden="1">
      <c r="C33" s="111">
        <v>13146</v>
      </c>
      <c r="D33" s="111" t="s">
        <v>1266</v>
      </c>
      <c r="E33" s="111"/>
    </row>
    <row r="34" spans="3:5" hidden="1">
      <c r="C34" s="111">
        <v>13488</v>
      </c>
      <c r="D34" s="111" t="s">
        <v>1267</v>
      </c>
      <c r="E34" s="111"/>
    </row>
    <row r="35" spans="3:5" hidden="1">
      <c r="C35" s="111">
        <v>13504</v>
      </c>
      <c r="D35" s="111" t="s">
        <v>1268</v>
      </c>
      <c r="E35" s="111"/>
    </row>
    <row r="36" spans="3:5" hidden="1">
      <c r="C36" s="111">
        <v>13501</v>
      </c>
      <c r="D36" s="111" t="s">
        <v>1269</v>
      </c>
      <c r="E36" s="111"/>
    </row>
    <row r="37" spans="3:5" hidden="1">
      <c r="C37" s="111">
        <v>13508</v>
      </c>
      <c r="D37" s="111" t="s">
        <v>1270</v>
      </c>
      <c r="E37" s="111"/>
    </row>
    <row r="38" spans="3:5" hidden="1">
      <c r="C38" s="111">
        <v>13499</v>
      </c>
      <c r="D38" s="111" t="s">
        <v>1271</v>
      </c>
      <c r="E38" s="111"/>
    </row>
    <row r="39" spans="3:5" hidden="1">
      <c r="C39" s="111">
        <v>13156</v>
      </c>
      <c r="D39" s="111" t="s">
        <v>1272</v>
      </c>
      <c r="E39" s="111"/>
    </row>
    <row r="40" spans="3:5" hidden="1">
      <c r="C40" s="111">
        <v>13495</v>
      </c>
      <c r="D40" s="111" t="s">
        <v>1273</v>
      </c>
      <c r="E40" s="111"/>
    </row>
    <row r="41" spans="3:5" hidden="1">
      <c r="C41" s="111">
        <v>13500</v>
      </c>
      <c r="D41" s="111" t="s">
        <v>1274</v>
      </c>
      <c r="E41" s="111"/>
    </row>
    <row r="42" spans="3:5" hidden="1">
      <c r="C42" s="111">
        <v>13507</v>
      </c>
      <c r="D42" s="111" t="s">
        <v>1275</v>
      </c>
      <c r="E42" s="111"/>
    </row>
    <row r="43" spans="3:5" hidden="1">
      <c r="C43" s="111">
        <v>13497</v>
      </c>
      <c r="D43" s="111" t="s">
        <v>1276</v>
      </c>
      <c r="E43" s="111"/>
    </row>
    <row r="44" spans="3:5" hidden="1">
      <c r="C44" s="111">
        <v>13502</v>
      </c>
      <c r="D44" s="111" t="s">
        <v>1277</v>
      </c>
      <c r="E44" s="111"/>
    </row>
    <row r="45" spans="3:5" hidden="1">
      <c r="C45" s="111">
        <v>13158</v>
      </c>
      <c r="D45" s="111" t="s">
        <v>1278</v>
      </c>
      <c r="E45" s="111"/>
    </row>
    <row r="46" spans="3:5" hidden="1">
      <c r="C46" s="111">
        <v>13498</v>
      </c>
      <c r="D46" s="111" t="s">
        <v>1279</v>
      </c>
      <c r="E46" s="111"/>
    </row>
    <row r="47" spans="3:5" hidden="1">
      <c r="C47" s="111">
        <v>13494</v>
      </c>
      <c r="D47" s="111" t="s">
        <v>1280</v>
      </c>
      <c r="E47" s="111"/>
    </row>
    <row r="48" spans="3:5" hidden="1">
      <c r="C48" s="111">
        <v>13514</v>
      </c>
      <c r="D48" s="111" t="s">
        <v>1281</v>
      </c>
      <c r="E48" s="111"/>
    </row>
    <row r="49" spans="3:5" hidden="1">
      <c r="C49" s="111">
        <v>13513</v>
      </c>
      <c r="D49" s="111" t="s">
        <v>1282</v>
      </c>
      <c r="E49" s="111"/>
    </row>
    <row r="50" spans="3:5" hidden="1">
      <c r="C50" s="111">
        <v>13157</v>
      </c>
      <c r="D50" s="111" t="s">
        <v>1283</v>
      </c>
      <c r="E50" s="111"/>
    </row>
    <row r="51" spans="3:5" hidden="1">
      <c r="C51" s="111">
        <v>13150</v>
      </c>
      <c r="D51" s="111" t="s">
        <v>1284</v>
      </c>
      <c r="E51" s="111"/>
    </row>
    <row r="52" spans="3:5" hidden="1">
      <c r="C52" s="111">
        <v>13149</v>
      </c>
      <c r="D52" s="111" t="s">
        <v>1285</v>
      </c>
      <c r="E52" s="111"/>
    </row>
    <row r="53" spans="3:5" hidden="1">
      <c r="C53" s="111">
        <v>13159</v>
      </c>
      <c r="D53" s="111" t="s">
        <v>1286</v>
      </c>
      <c r="E53" s="111"/>
    </row>
    <row r="54" spans="3:5" hidden="1">
      <c r="C54" s="111">
        <v>13148</v>
      </c>
      <c r="D54" s="111" t="s">
        <v>1287</v>
      </c>
      <c r="E54" s="111"/>
    </row>
    <row r="55" spans="3:5" hidden="1">
      <c r="C55" s="111">
        <v>13160</v>
      </c>
      <c r="D55" s="111" t="s">
        <v>1288</v>
      </c>
      <c r="E55" s="111"/>
    </row>
    <row r="56" spans="3:5" hidden="1">
      <c r="C56" s="111">
        <v>13477</v>
      </c>
      <c r="D56" s="111" t="s">
        <v>1289</v>
      </c>
      <c r="E56" s="111"/>
    </row>
    <row r="57" spans="3:5" hidden="1">
      <c r="C57" s="111">
        <v>13145</v>
      </c>
      <c r="D57" s="111" t="s">
        <v>1290</v>
      </c>
      <c r="E57" s="111"/>
    </row>
    <row r="58" spans="3:5">
      <c r="C58" s="111">
        <v>13483</v>
      </c>
      <c r="D58" s="111" t="s">
        <v>1291</v>
      </c>
      <c r="E58" s="111" t="s">
        <v>1304</v>
      </c>
    </row>
    <row r="59" spans="3:5" hidden="1">
      <c r="C59" s="111">
        <v>13479</v>
      </c>
      <c r="D59" s="111" t="s">
        <v>1292</v>
      </c>
      <c r="E59" s="111"/>
    </row>
    <row r="60" spans="3:5">
      <c r="C60" s="111">
        <v>13482</v>
      </c>
      <c r="D60" s="111" t="s">
        <v>1293</v>
      </c>
      <c r="E60" s="111" t="s">
        <v>1305</v>
      </c>
    </row>
    <row r="61" spans="3:5" hidden="1">
      <c r="C61" s="111">
        <v>13478</v>
      </c>
      <c r="D61" s="111" t="s">
        <v>1294</v>
      </c>
      <c r="E61" s="111"/>
    </row>
    <row r="62" spans="3:5" hidden="1">
      <c r="C62" s="111">
        <v>13481</v>
      </c>
      <c r="D62" s="111" t="s">
        <v>1295</v>
      </c>
      <c r="E62" s="111"/>
    </row>
    <row r="63" spans="3:5" hidden="1">
      <c r="C63" s="111">
        <v>13484</v>
      </c>
      <c r="D63" s="111" t="s">
        <v>1296</v>
      </c>
      <c r="E63" s="111"/>
    </row>
    <row r="64" spans="3:5" hidden="1">
      <c r="C64" s="111">
        <v>13480</v>
      </c>
      <c r="D64" s="111" t="s">
        <v>1297</v>
      </c>
      <c r="E64" s="111"/>
    </row>
    <row r="65" spans="3:5" hidden="1">
      <c r="C65" s="111">
        <v>13151</v>
      </c>
      <c r="D65" s="111" t="s">
        <v>1298</v>
      </c>
      <c r="E65" s="111"/>
    </row>
    <row r="66" spans="3:5" hidden="1">
      <c r="C66" s="111">
        <v>13152</v>
      </c>
      <c r="D66" s="111" t="s">
        <v>1299</v>
      </c>
      <c r="E66" s="111"/>
    </row>
    <row r="67" spans="3:5">
      <c r="C67" s="111">
        <v>13153</v>
      </c>
      <c r="D67" s="111" t="s">
        <v>1300</v>
      </c>
      <c r="E67" s="111" t="s">
        <v>1305</v>
      </c>
    </row>
    <row r="68" spans="3:5">
      <c r="C68" s="111">
        <v>13154</v>
      </c>
      <c r="D68" s="111" t="s">
        <v>1301</v>
      </c>
      <c r="E68" s="111" t="s">
        <v>1305</v>
      </c>
    </row>
    <row r="69" spans="3:5">
      <c r="C69" s="111">
        <v>13155</v>
      </c>
      <c r="D69" s="111" t="s">
        <v>1302</v>
      </c>
      <c r="E69" s="111" t="s">
        <v>1305</v>
      </c>
    </row>
    <row r="70" spans="3:5">
      <c r="C70" s="111">
        <v>13487</v>
      </c>
      <c r="D70" s="111" t="s">
        <v>1303</v>
      </c>
      <c r="E70" s="111" t="s">
        <v>557</v>
      </c>
    </row>
    <row r="71" spans="3:5">
      <c r="C71" s="110"/>
      <c r="D71" s="110"/>
      <c r="E71" s="110"/>
    </row>
    <row r="72" spans="3:5">
      <c r="C72" s="110"/>
      <c r="D72" s="110"/>
      <c r="E72" s="110"/>
    </row>
    <row r="73" spans="3:5">
      <c r="C73" s="110"/>
      <c r="D73" s="110"/>
      <c r="E73" s="110"/>
    </row>
    <row r="74" spans="3:5">
      <c r="C74" s="110"/>
      <c r="D74" s="110"/>
      <c r="E74" s="110"/>
    </row>
    <row r="75" spans="3:5">
      <c r="C75" s="110"/>
      <c r="D75" s="110"/>
      <c r="E75" s="110"/>
    </row>
    <row r="76" spans="3:5">
      <c r="C76" s="110"/>
      <c r="D76" s="110"/>
      <c r="E76" s="110"/>
    </row>
    <row r="77" spans="3:5">
      <c r="C77" s="110"/>
      <c r="D77" s="110"/>
      <c r="E77" s="110"/>
    </row>
    <row r="78" spans="3:5">
      <c r="C78" s="110"/>
      <c r="D78" s="110"/>
      <c r="E78" s="110"/>
    </row>
    <row r="79" spans="3:5">
      <c r="C79" s="110"/>
      <c r="D79" s="110"/>
      <c r="E79" s="110"/>
    </row>
    <row r="80" spans="3:5">
      <c r="C80" s="110"/>
      <c r="D80" s="110"/>
      <c r="E80" s="110"/>
    </row>
    <row r="81" spans="3:5">
      <c r="C81" s="110"/>
      <c r="D81" s="110"/>
      <c r="E81" s="110"/>
    </row>
    <row r="82" spans="3:5">
      <c r="C82" s="110"/>
      <c r="D82" s="110"/>
      <c r="E82" s="110"/>
    </row>
    <row r="83" spans="3:5">
      <c r="C83" s="110"/>
      <c r="D83" s="110"/>
      <c r="E83" s="110"/>
    </row>
    <row r="84" spans="3:5">
      <c r="C84" s="110"/>
      <c r="D84" s="110"/>
      <c r="E84" s="110"/>
    </row>
    <row r="85" spans="3:5">
      <c r="C85" s="110"/>
      <c r="D85" s="110"/>
      <c r="E85" s="110"/>
    </row>
  </sheetData>
  <pageMargins left="0.7" right="0.7" top="0.75" bottom="0.75" header="0.3" footer="0.3"/>
  <pageSetup paperSize="9" orientation="landscape" r:id="rId1"/>
  <drawing r:id="rId2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D93"/>
  <sheetViews>
    <sheetView workbookViewId="0">
      <selection activeCell="H7" sqref="H7"/>
    </sheetView>
  </sheetViews>
  <sheetFormatPr baseColWidth="10" defaultRowHeight="15"/>
  <cols>
    <col min="3" max="3" width="65" customWidth="1"/>
  </cols>
  <sheetData>
    <row r="1" spans="2:4" s="110" customFormat="1"/>
    <row r="2" spans="2:4" s="110" customFormat="1"/>
    <row r="3" spans="2:4" s="110" customFormat="1"/>
    <row r="4" spans="2:4" s="110" customFormat="1"/>
    <row r="5" spans="2:4" s="110" customFormat="1"/>
    <row r="6" spans="2:4" s="110" customFormat="1"/>
    <row r="7" spans="2:4" s="110" customFormat="1"/>
    <row r="8" spans="2:4" s="110" customFormat="1"/>
    <row r="9" spans="2:4" s="110" customFormat="1"/>
    <row r="10" spans="2:4">
      <c r="C10" t="s">
        <v>1242</v>
      </c>
      <c r="D10" t="s">
        <v>68</v>
      </c>
    </row>
    <row r="11" spans="2:4" hidden="1">
      <c r="B11" s="105">
        <v>13596</v>
      </c>
      <c r="C11" s="105" t="s">
        <v>1158</v>
      </c>
      <c r="D11" s="105"/>
    </row>
    <row r="12" spans="2:4" hidden="1">
      <c r="B12" s="111">
        <v>7280</v>
      </c>
      <c r="C12" s="111" t="s">
        <v>1159</v>
      </c>
      <c r="D12" s="111"/>
    </row>
    <row r="13" spans="2:4" hidden="1">
      <c r="B13" s="111">
        <v>11739</v>
      </c>
      <c r="C13" s="111" t="s">
        <v>1160</v>
      </c>
      <c r="D13" s="111"/>
    </row>
    <row r="14" spans="2:4" hidden="1">
      <c r="B14" s="111">
        <v>6791</v>
      </c>
      <c r="C14" s="111" t="s">
        <v>1161</v>
      </c>
      <c r="D14" s="111"/>
    </row>
    <row r="15" spans="2:4" hidden="1">
      <c r="B15" s="111">
        <v>6838</v>
      </c>
      <c r="C15" s="111" t="s">
        <v>1162</v>
      </c>
      <c r="D15" s="111"/>
    </row>
    <row r="16" spans="2:4" hidden="1">
      <c r="B16" s="111">
        <v>9904</v>
      </c>
      <c r="C16" s="111" t="s">
        <v>1163</v>
      </c>
      <c r="D16" s="111"/>
    </row>
    <row r="17" spans="2:4" hidden="1">
      <c r="B17" s="111">
        <v>6785</v>
      </c>
      <c r="C17" s="111" t="s">
        <v>1164</v>
      </c>
      <c r="D17" s="111"/>
    </row>
    <row r="18" spans="2:4">
      <c r="B18" s="111">
        <v>8798</v>
      </c>
      <c r="C18" s="111" t="s">
        <v>1165</v>
      </c>
      <c r="D18" s="111" t="s">
        <v>557</v>
      </c>
    </row>
    <row r="19" spans="2:4" hidden="1">
      <c r="B19" s="111">
        <v>9905</v>
      </c>
      <c r="C19" s="111" t="s">
        <v>1166</v>
      </c>
      <c r="D19" s="111"/>
    </row>
    <row r="20" spans="2:4">
      <c r="B20" s="111">
        <v>10111</v>
      </c>
      <c r="C20" s="111" t="s">
        <v>1167</v>
      </c>
      <c r="D20" s="111" t="s">
        <v>557</v>
      </c>
    </row>
    <row r="21" spans="2:4" hidden="1">
      <c r="B21" s="111">
        <v>10663</v>
      </c>
      <c r="C21" s="111" t="s">
        <v>1168</v>
      </c>
      <c r="D21" s="111"/>
    </row>
    <row r="22" spans="2:4" hidden="1">
      <c r="B22" s="111">
        <v>8101</v>
      </c>
      <c r="C22" s="111" t="s">
        <v>1169</v>
      </c>
      <c r="D22" s="111"/>
    </row>
    <row r="23" spans="2:4">
      <c r="B23" s="111">
        <v>7629</v>
      </c>
      <c r="C23" s="111" t="s">
        <v>1170</v>
      </c>
      <c r="D23" s="111" t="s">
        <v>557</v>
      </c>
    </row>
    <row r="24" spans="2:4" hidden="1">
      <c r="B24" s="111">
        <v>7630</v>
      </c>
      <c r="C24" s="111" t="s">
        <v>1171</v>
      </c>
      <c r="D24" s="111"/>
    </row>
    <row r="25" spans="2:4" hidden="1">
      <c r="B25" s="111">
        <v>8100</v>
      </c>
      <c r="C25" s="111" t="s">
        <v>1172</v>
      </c>
      <c r="D25" s="111"/>
    </row>
    <row r="26" spans="2:4" hidden="1">
      <c r="B26" s="111">
        <v>6792</v>
      </c>
      <c r="C26" s="111" t="s">
        <v>1173</v>
      </c>
      <c r="D26" s="111"/>
    </row>
    <row r="27" spans="2:4" hidden="1">
      <c r="B27" s="111">
        <v>9270</v>
      </c>
      <c r="C27" s="111" t="s">
        <v>1174</v>
      </c>
      <c r="D27" s="111"/>
    </row>
    <row r="28" spans="2:4" hidden="1">
      <c r="B28" s="111">
        <v>10662</v>
      </c>
      <c r="C28" s="111" t="s">
        <v>1175</v>
      </c>
      <c r="D28" s="111"/>
    </row>
    <row r="29" spans="2:4" hidden="1">
      <c r="B29" s="111">
        <v>10661</v>
      </c>
      <c r="C29" s="111" t="s">
        <v>1176</v>
      </c>
      <c r="D29" s="111"/>
    </row>
    <row r="30" spans="2:4" hidden="1">
      <c r="B30" s="111">
        <v>10816</v>
      </c>
      <c r="C30" s="111" t="s">
        <v>1177</v>
      </c>
      <c r="D30" s="111"/>
    </row>
    <row r="31" spans="2:4" hidden="1">
      <c r="B31" s="111">
        <v>10817</v>
      </c>
      <c r="C31" s="111" t="s">
        <v>1178</v>
      </c>
      <c r="D31" s="111"/>
    </row>
    <row r="32" spans="2:4" hidden="1">
      <c r="B32" s="111">
        <v>7273</v>
      </c>
      <c r="C32" s="111" t="s">
        <v>1179</v>
      </c>
      <c r="D32" s="111"/>
    </row>
    <row r="33" spans="2:4" hidden="1">
      <c r="B33" s="111">
        <v>7272</v>
      </c>
      <c r="C33" s="111" t="s">
        <v>1180</v>
      </c>
      <c r="D33" s="111"/>
    </row>
    <row r="34" spans="2:4">
      <c r="B34" s="111">
        <v>16712</v>
      </c>
      <c r="C34" s="111" t="s">
        <v>1181</v>
      </c>
      <c r="D34" s="111" t="s">
        <v>556</v>
      </c>
    </row>
    <row r="35" spans="2:4">
      <c r="B35" s="111">
        <v>16713</v>
      </c>
      <c r="C35" s="111" t="s">
        <v>1182</v>
      </c>
      <c r="D35" s="111" t="s">
        <v>556</v>
      </c>
    </row>
    <row r="36" spans="2:4" hidden="1">
      <c r="B36" s="111">
        <v>11738</v>
      </c>
      <c r="C36" s="324" t="s">
        <v>1183</v>
      </c>
      <c r="D36" s="111"/>
    </row>
    <row r="37" spans="2:4" hidden="1">
      <c r="B37" s="111">
        <v>7281</v>
      </c>
      <c r="C37" s="324" t="s">
        <v>1184</v>
      </c>
      <c r="D37" s="111"/>
    </row>
    <row r="38" spans="2:4">
      <c r="B38" s="111">
        <v>16710</v>
      </c>
      <c r="C38" s="111" t="s">
        <v>1185</v>
      </c>
      <c r="D38" s="111" t="s">
        <v>556</v>
      </c>
    </row>
    <row r="39" spans="2:4">
      <c r="B39" s="111">
        <v>16711</v>
      </c>
      <c r="C39" s="111" t="s">
        <v>1186</v>
      </c>
      <c r="D39" s="111" t="s">
        <v>556</v>
      </c>
    </row>
    <row r="40" spans="2:4" hidden="1">
      <c r="B40" s="111">
        <v>7271</v>
      </c>
      <c r="C40" s="324" t="s">
        <v>1187</v>
      </c>
      <c r="D40" s="111"/>
    </row>
    <row r="41" spans="2:4">
      <c r="B41" s="111">
        <v>16704</v>
      </c>
      <c r="C41" s="111" t="s">
        <v>1188</v>
      </c>
      <c r="D41" s="111" t="s">
        <v>556</v>
      </c>
    </row>
    <row r="42" spans="2:4">
      <c r="B42" s="111">
        <v>16707</v>
      </c>
      <c r="C42" s="111" t="s">
        <v>1189</v>
      </c>
      <c r="D42" s="111" t="s">
        <v>556</v>
      </c>
    </row>
    <row r="43" spans="2:4" hidden="1">
      <c r="B43" s="111">
        <v>7270</v>
      </c>
      <c r="C43" s="324" t="s">
        <v>1190</v>
      </c>
      <c r="D43" s="111"/>
    </row>
    <row r="44" spans="2:4" hidden="1">
      <c r="B44" s="111">
        <v>8928</v>
      </c>
      <c r="C44" s="324" t="s">
        <v>1191</v>
      </c>
      <c r="D44" s="111"/>
    </row>
    <row r="45" spans="2:4" hidden="1">
      <c r="B45" s="111">
        <v>6774</v>
      </c>
      <c r="C45" s="324" t="s">
        <v>1192</v>
      </c>
      <c r="D45" s="111"/>
    </row>
    <row r="46" spans="2:4" hidden="1">
      <c r="B46" s="111">
        <v>6583</v>
      </c>
      <c r="C46" s="324" t="s">
        <v>1193</v>
      </c>
      <c r="D46" s="111"/>
    </row>
    <row r="47" spans="2:4" hidden="1">
      <c r="B47" s="111">
        <v>10656</v>
      </c>
      <c r="C47" s="324" t="s">
        <v>1194</v>
      </c>
      <c r="D47" s="111"/>
    </row>
    <row r="48" spans="2:4" hidden="1">
      <c r="B48" s="111">
        <v>6776</v>
      </c>
      <c r="C48" s="324" t="s">
        <v>1195</v>
      </c>
      <c r="D48" s="111"/>
    </row>
    <row r="49" spans="2:4" hidden="1">
      <c r="B49" s="111">
        <v>6772</v>
      </c>
      <c r="C49" s="324" t="s">
        <v>1196</v>
      </c>
      <c r="D49" s="111"/>
    </row>
    <row r="50" spans="2:4" hidden="1">
      <c r="B50" s="111">
        <v>6581</v>
      </c>
      <c r="C50" s="324" t="s">
        <v>1197</v>
      </c>
      <c r="D50" s="111"/>
    </row>
    <row r="51" spans="2:4" hidden="1">
      <c r="B51" s="111">
        <v>8783</v>
      </c>
      <c r="C51" s="324" t="s">
        <v>1198</v>
      </c>
      <c r="D51" s="111"/>
    </row>
    <row r="52" spans="2:4" hidden="1">
      <c r="B52" s="111">
        <v>6775</v>
      </c>
      <c r="C52" s="324" t="s">
        <v>1199</v>
      </c>
      <c r="D52" s="111"/>
    </row>
    <row r="53" spans="2:4" hidden="1">
      <c r="B53" s="111">
        <v>6773</v>
      </c>
      <c r="C53" s="324" t="s">
        <v>1200</v>
      </c>
      <c r="D53" s="111"/>
    </row>
    <row r="54" spans="2:4" hidden="1">
      <c r="B54" s="111">
        <v>6597</v>
      </c>
      <c r="C54" s="324" t="s">
        <v>1201</v>
      </c>
      <c r="D54" s="111"/>
    </row>
    <row r="55" spans="2:4" hidden="1">
      <c r="B55" s="111">
        <v>10660</v>
      </c>
      <c r="C55" s="111" t="s">
        <v>1202</v>
      </c>
      <c r="D55" s="111" t="s">
        <v>65</v>
      </c>
    </row>
    <row r="56" spans="2:4">
      <c r="B56" s="111">
        <v>10657</v>
      </c>
      <c r="C56" s="111" t="s">
        <v>1203</v>
      </c>
      <c r="D56" s="111" t="s">
        <v>557</v>
      </c>
    </row>
    <row r="57" spans="2:4" hidden="1">
      <c r="B57" s="111">
        <v>10658</v>
      </c>
      <c r="C57" s="111" t="s">
        <v>1204</v>
      </c>
      <c r="D57" s="111"/>
    </row>
    <row r="58" spans="2:4" hidden="1">
      <c r="B58" s="111">
        <v>10109</v>
      </c>
      <c r="C58" s="111" t="s">
        <v>1205</v>
      </c>
      <c r="D58" s="111"/>
    </row>
    <row r="59" spans="2:4" hidden="1">
      <c r="B59" s="111">
        <v>8099</v>
      </c>
      <c r="C59" s="324" t="s">
        <v>1206</v>
      </c>
      <c r="D59" s="111"/>
    </row>
    <row r="60" spans="2:4" hidden="1">
      <c r="B60" s="111">
        <v>7881</v>
      </c>
      <c r="C60" s="324" t="s">
        <v>1207</v>
      </c>
      <c r="D60" s="111"/>
    </row>
    <row r="61" spans="2:4" hidden="1">
      <c r="B61" s="111">
        <v>8097</v>
      </c>
      <c r="C61" s="324" t="s">
        <v>1208</v>
      </c>
      <c r="D61" s="111"/>
    </row>
    <row r="62" spans="2:4" hidden="1">
      <c r="B62" s="111">
        <v>8098</v>
      </c>
      <c r="C62" s="324" t="s">
        <v>1209</v>
      </c>
      <c r="D62" s="111"/>
    </row>
    <row r="63" spans="2:4" hidden="1">
      <c r="B63" s="111">
        <v>7626</v>
      </c>
      <c r="C63" s="324" t="s">
        <v>1210</v>
      </c>
      <c r="D63" s="111"/>
    </row>
    <row r="64" spans="2:4" hidden="1">
      <c r="B64" s="111">
        <v>6843</v>
      </c>
      <c r="C64" s="324" t="s">
        <v>1211</v>
      </c>
      <c r="D64" s="111"/>
    </row>
    <row r="65" spans="2:4">
      <c r="B65" s="111">
        <v>6786</v>
      </c>
      <c r="C65" s="111" t="s">
        <v>1212</v>
      </c>
      <c r="D65" s="111" t="s">
        <v>557</v>
      </c>
    </row>
    <row r="66" spans="2:4">
      <c r="B66" s="111">
        <v>6787</v>
      </c>
      <c r="C66" s="111" t="s">
        <v>1213</v>
      </c>
      <c r="D66" s="111" t="s">
        <v>557</v>
      </c>
    </row>
    <row r="67" spans="2:4">
      <c r="B67" s="111">
        <v>6784</v>
      </c>
      <c r="C67" s="111" t="s">
        <v>1214</v>
      </c>
      <c r="D67" s="111" t="s">
        <v>557</v>
      </c>
    </row>
    <row r="68" spans="2:4" hidden="1">
      <c r="B68" s="111">
        <v>6788</v>
      </c>
      <c r="C68" s="111" t="s">
        <v>1215</v>
      </c>
      <c r="D68" s="111"/>
    </row>
    <row r="69" spans="2:4" hidden="1">
      <c r="B69" s="111">
        <v>6781</v>
      </c>
      <c r="C69" s="111" t="s">
        <v>1216</v>
      </c>
      <c r="D69" s="111"/>
    </row>
    <row r="70" spans="2:4" hidden="1">
      <c r="B70" s="111">
        <v>7627</v>
      </c>
      <c r="C70" s="111" t="s">
        <v>1217</v>
      </c>
      <c r="D70" s="111"/>
    </row>
    <row r="71" spans="2:4" hidden="1">
      <c r="B71" s="111">
        <v>6779</v>
      </c>
      <c r="C71" s="111" t="s">
        <v>1218</v>
      </c>
      <c r="D71" s="111"/>
    </row>
    <row r="72" spans="2:4" hidden="1">
      <c r="B72" s="111">
        <v>6844</v>
      </c>
      <c r="C72" s="111" t="s">
        <v>1219</v>
      </c>
      <c r="D72" s="111"/>
    </row>
    <row r="73" spans="2:4" hidden="1">
      <c r="B73" s="111">
        <v>6782</v>
      </c>
      <c r="C73" s="111" t="s">
        <v>1220</v>
      </c>
      <c r="D73" s="111"/>
    </row>
    <row r="74" spans="2:4">
      <c r="B74" s="111">
        <v>7628</v>
      </c>
      <c r="C74" s="111" t="s">
        <v>1221</v>
      </c>
      <c r="D74" s="111" t="s">
        <v>557</v>
      </c>
    </row>
    <row r="75" spans="2:4" hidden="1">
      <c r="B75" s="111">
        <v>8552</v>
      </c>
      <c r="C75" s="111" t="s">
        <v>1222</v>
      </c>
      <c r="D75" s="111"/>
    </row>
    <row r="76" spans="2:4" hidden="1">
      <c r="B76" s="111">
        <v>9903</v>
      </c>
      <c r="C76" s="111" t="s">
        <v>1223</v>
      </c>
      <c r="D76" s="111"/>
    </row>
    <row r="77" spans="2:4" hidden="1">
      <c r="B77" s="111">
        <v>6841</v>
      </c>
      <c r="C77" s="111" t="s">
        <v>1224</v>
      </c>
      <c r="D77" s="111"/>
    </row>
    <row r="78" spans="2:4" hidden="1">
      <c r="B78" s="111">
        <v>9902</v>
      </c>
      <c r="C78" s="111" t="s">
        <v>1225</v>
      </c>
      <c r="D78" s="111"/>
    </row>
    <row r="79" spans="2:4" hidden="1">
      <c r="B79" s="111">
        <v>6793</v>
      </c>
      <c r="C79" s="111" t="s">
        <v>1226</v>
      </c>
      <c r="D79" s="111"/>
    </row>
    <row r="80" spans="2:4" hidden="1">
      <c r="B80" s="111">
        <v>12625</v>
      </c>
      <c r="C80" s="111" t="s">
        <v>1227</v>
      </c>
      <c r="D80" s="111"/>
    </row>
    <row r="81" spans="2:4" hidden="1">
      <c r="B81" s="111">
        <v>12626</v>
      </c>
      <c r="C81" s="111" t="s">
        <v>1228</v>
      </c>
      <c r="D81" s="111"/>
    </row>
    <row r="82" spans="2:4">
      <c r="B82" s="111">
        <v>8923</v>
      </c>
      <c r="C82" s="111" t="s">
        <v>1229</v>
      </c>
      <c r="D82" s="111" t="s">
        <v>557</v>
      </c>
    </row>
    <row r="83" spans="2:4">
      <c r="B83" s="111">
        <v>8926</v>
      </c>
      <c r="C83" s="111" t="s">
        <v>1230</v>
      </c>
      <c r="D83" s="111" t="s">
        <v>557</v>
      </c>
    </row>
    <row r="84" spans="2:4">
      <c r="B84" s="111">
        <v>8924</v>
      </c>
      <c r="C84" s="111" t="s">
        <v>1231</v>
      </c>
      <c r="D84" s="111" t="s">
        <v>557</v>
      </c>
    </row>
    <row r="85" spans="2:4">
      <c r="B85" s="111">
        <v>8925</v>
      </c>
      <c r="C85" s="111" t="s">
        <v>1232</v>
      </c>
      <c r="D85" s="111" t="s">
        <v>557</v>
      </c>
    </row>
    <row r="86" spans="2:4" hidden="1">
      <c r="B86" s="111">
        <v>9901</v>
      </c>
      <c r="C86" s="111" t="s">
        <v>1233</v>
      </c>
      <c r="D86" s="111" t="s">
        <v>65</v>
      </c>
    </row>
    <row r="87" spans="2:4">
      <c r="B87" s="111">
        <v>7879</v>
      </c>
      <c r="C87" s="111" t="s">
        <v>1234</v>
      </c>
      <c r="D87" s="111" t="s">
        <v>557</v>
      </c>
    </row>
    <row r="88" spans="2:4" hidden="1">
      <c r="B88" s="111">
        <v>10110</v>
      </c>
      <c r="C88" s="111" t="s">
        <v>1235</v>
      </c>
      <c r="D88" s="111"/>
    </row>
    <row r="89" spans="2:4" hidden="1">
      <c r="B89" s="111">
        <v>7275</v>
      </c>
      <c r="C89" s="111" t="s">
        <v>1236</v>
      </c>
      <c r="D89" s="111"/>
    </row>
    <row r="90" spans="2:4" hidden="1">
      <c r="B90" s="111">
        <v>7277</v>
      </c>
      <c r="C90" s="111" t="s">
        <v>1237</v>
      </c>
      <c r="D90" s="111"/>
    </row>
    <row r="91" spans="2:4" hidden="1">
      <c r="B91" s="111">
        <v>7276</v>
      </c>
      <c r="C91" s="111" t="s">
        <v>1238</v>
      </c>
      <c r="D91" s="111"/>
    </row>
    <row r="92" spans="2:4">
      <c r="B92" s="111">
        <v>6842</v>
      </c>
      <c r="C92" s="111" t="s">
        <v>1239</v>
      </c>
      <c r="D92" s="111" t="s">
        <v>556</v>
      </c>
    </row>
    <row r="93" spans="2:4" hidden="1">
      <c r="B93" s="111">
        <v>6789</v>
      </c>
      <c r="C93" s="111" t="s">
        <v>1240</v>
      </c>
      <c r="D93" s="111"/>
    </row>
  </sheetData>
  <sortState ref="B3:D86">
    <sortCondition ref="C3:C86"/>
  </sortState>
  <pageMargins left="0.7" right="0.7" top="0.75" bottom="0.75" header="0.3" footer="0.3"/>
  <pageSetup paperSize="9" orientation="landscape" r:id="rId1"/>
  <drawing r:id="rId2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3:K157"/>
  <sheetViews>
    <sheetView topLeftCell="B29" workbookViewId="0">
      <selection activeCell="F5" sqref="F5:K58"/>
    </sheetView>
  </sheetViews>
  <sheetFormatPr baseColWidth="10" defaultRowHeight="15"/>
  <cols>
    <col min="1" max="1" width="0" hidden="1" customWidth="1"/>
    <col min="2" max="2" width="18" style="364" customWidth="1"/>
    <col min="3" max="3" width="16" style="323" hidden="1" customWidth="1"/>
    <col min="4" max="4" width="13.85546875" style="323" hidden="1" customWidth="1"/>
    <col min="5" max="5" width="11.42578125" style="323" hidden="1" customWidth="1"/>
    <col min="7" max="7" width="59.140625" customWidth="1"/>
  </cols>
  <sheetData>
    <row r="3" spans="2:11" s="123" customFormat="1">
      <c r="B3" s="325"/>
      <c r="C3" s="325"/>
      <c r="D3" s="325"/>
      <c r="E3" s="325"/>
    </row>
    <row r="4" spans="2:11" s="123" customFormat="1">
      <c r="B4" s="325"/>
      <c r="C4" s="325"/>
      <c r="D4" s="325"/>
      <c r="E4" s="325"/>
    </row>
    <row r="5" spans="2:11" s="123" customFormat="1" ht="75">
      <c r="B5" s="325"/>
      <c r="C5" s="325"/>
      <c r="D5" s="325"/>
      <c r="E5" s="325"/>
      <c r="F5" s="348" t="s">
        <v>0</v>
      </c>
      <c r="G5" s="348" t="s">
        <v>1</v>
      </c>
      <c r="H5" s="40" t="s">
        <v>19</v>
      </c>
      <c r="I5" s="40" t="s">
        <v>20</v>
      </c>
      <c r="J5" s="40" t="s">
        <v>21</v>
      </c>
      <c r="K5" s="348" t="s">
        <v>633</v>
      </c>
    </row>
    <row r="6" spans="2:11" s="123" customFormat="1">
      <c r="B6" s="325"/>
      <c r="C6" s="325"/>
      <c r="D6" s="325"/>
      <c r="E6" s="325"/>
      <c r="F6" s="348">
        <v>8390</v>
      </c>
      <c r="G6" s="348" t="s">
        <v>490</v>
      </c>
      <c r="H6" s="348"/>
      <c r="I6" s="348"/>
      <c r="J6" s="348"/>
      <c r="K6" s="348"/>
    </row>
    <row r="7" spans="2:11" s="123" customFormat="1">
      <c r="B7" s="325"/>
      <c r="C7" s="325"/>
      <c r="D7" s="325"/>
      <c r="E7" s="325"/>
      <c r="F7" s="348">
        <v>18201</v>
      </c>
      <c r="G7" s="348" t="s">
        <v>1864</v>
      </c>
      <c r="H7" s="348"/>
      <c r="I7" s="348"/>
      <c r="J7" s="348"/>
      <c r="K7" s="348"/>
    </row>
    <row r="8" spans="2:11" s="123" customFormat="1">
      <c r="B8" s="325"/>
      <c r="C8" s="325"/>
      <c r="D8" s="325"/>
      <c r="E8" s="325"/>
      <c r="F8" s="348">
        <v>6254</v>
      </c>
      <c r="G8" s="348" t="s">
        <v>491</v>
      </c>
      <c r="H8" s="348"/>
      <c r="I8" s="348"/>
      <c r="J8" s="348"/>
      <c r="K8" s="348"/>
    </row>
    <row r="9" spans="2:11" s="123" customFormat="1">
      <c r="B9" s="325"/>
      <c r="C9" s="325"/>
      <c r="D9" s="325"/>
      <c r="E9" s="325"/>
      <c r="F9" s="348">
        <v>12995</v>
      </c>
      <c r="G9" s="348" t="s">
        <v>492</v>
      </c>
      <c r="H9" s="348"/>
      <c r="I9" s="348"/>
      <c r="J9" s="348"/>
      <c r="K9" s="348"/>
    </row>
    <row r="10" spans="2:11" s="123" customFormat="1">
      <c r="B10" s="325"/>
      <c r="C10" s="325"/>
      <c r="D10" s="325"/>
      <c r="E10" s="325"/>
      <c r="F10" s="348">
        <v>12994</v>
      </c>
      <c r="G10" s="348" t="s">
        <v>493</v>
      </c>
      <c r="H10" s="348"/>
      <c r="I10" s="348"/>
      <c r="J10" s="348"/>
      <c r="K10" s="348"/>
    </row>
    <row r="11" spans="2:11" s="123" customFormat="1">
      <c r="B11" s="325"/>
      <c r="C11" s="325"/>
      <c r="D11" s="325"/>
      <c r="E11" s="325"/>
      <c r="F11" s="348">
        <v>12991</v>
      </c>
      <c r="G11" s="348" t="s">
        <v>494</v>
      </c>
      <c r="H11" s="348"/>
      <c r="I11" s="348"/>
      <c r="J11" s="348"/>
      <c r="K11" s="348"/>
    </row>
    <row r="12" spans="2:11" s="123" customFormat="1">
      <c r="B12" s="325"/>
      <c r="C12" s="325"/>
      <c r="D12" s="325"/>
      <c r="E12" s="325"/>
      <c r="F12" s="348">
        <v>12992</v>
      </c>
      <c r="G12" s="348" t="s">
        <v>495</v>
      </c>
      <c r="H12" s="348"/>
      <c r="I12" s="348"/>
      <c r="J12" s="348"/>
      <c r="K12" s="348"/>
    </row>
    <row r="13" spans="2:11" s="123" customFormat="1">
      <c r="B13" s="325"/>
      <c r="C13" s="325"/>
      <c r="D13" s="325"/>
      <c r="E13" s="325"/>
      <c r="F13" s="348">
        <v>13248</v>
      </c>
      <c r="G13" s="348" t="s">
        <v>496</v>
      </c>
      <c r="H13" s="348"/>
      <c r="I13" s="348"/>
      <c r="J13" s="348"/>
      <c r="K13" s="348"/>
    </row>
    <row r="14" spans="2:11" s="123" customFormat="1">
      <c r="B14" s="325"/>
      <c r="C14" s="325"/>
      <c r="D14" s="325"/>
      <c r="E14" s="325"/>
      <c r="F14" s="348">
        <v>13249</v>
      </c>
      <c r="G14" s="348" t="s">
        <v>497</v>
      </c>
      <c r="H14" s="348"/>
      <c r="I14" s="348"/>
      <c r="J14" s="348"/>
      <c r="K14" s="348"/>
    </row>
    <row r="15" spans="2:11" s="123" customFormat="1">
      <c r="B15" s="325"/>
      <c r="C15" s="325"/>
      <c r="D15" s="325"/>
      <c r="E15" s="325"/>
      <c r="F15" s="348">
        <v>13250</v>
      </c>
      <c r="G15" s="348" t="s">
        <v>498</v>
      </c>
      <c r="H15" s="348"/>
      <c r="I15" s="348"/>
      <c r="J15" s="348"/>
      <c r="K15" s="348"/>
    </row>
    <row r="16" spans="2:11" s="123" customFormat="1">
      <c r="B16" s="325"/>
      <c r="C16" s="325"/>
      <c r="D16" s="325"/>
      <c r="E16" s="325"/>
      <c r="F16" s="348">
        <v>13515</v>
      </c>
      <c r="G16" s="348" t="s">
        <v>501</v>
      </c>
      <c r="H16" s="348"/>
      <c r="I16" s="348"/>
      <c r="J16" s="348"/>
      <c r="K16" s="348"/>
    </row>
    <row r="17" spans="2:11" s="123" customFormat="1">
      <c r="B17" s="325"/>
      <c r="C17" s="325"/>
      <c r="D17" s="325"/>
      <c r="E17" s="325"/>
      <c r="F17" s="348">
        <v>6816</v>
      </c>
      <c r="G17" s="348" t="s">
        <v>505</v>
      </c>
      <c r="H17" s="348"/>
      <c r="I17" s="348"/>
      <c r="J17" s="348"/>
      <c r="K17" s="348"/>
    </row>
    <row r="18" spans="2:11" s="123" customFormat="1">
      <c r="B18" s="325"/>
      <c r="C18" s="325"/>
      <c r="D18" s="325"/>
      <c r="E18" s="325"/>
      <c r="F18" s="348">
        <v>6715</v>
      </c>
      <c r="G18" s="348" t="s">
        <v>506</v>
      </c>
      <c r="H18" s="348"/>
      <c r="I18" s="348"/>
      <c r="J18" s="348"/>
      <c r="K18" s="348"/>
    </row>
    <row r="19" spans="2:11" s="123" customFormat="1">
      <c r="B19" s="325"/>
      <c r="C19" s="325"/>
      <c r="D19" s="325"/>
      <c r="E19" s="325"/>
      <c r="F19" s="348">
        <v>12125</v>
      </c>
      <c r="G19" s="348" t="s">
        <v>507</v>
      </c>
      <c r="H19" s="348"/>
      <c r="I19" s="348"/>
      <c r="J19" s="348"/>
      <c r="K19" s="348"/>
    </row>
    <row r="20" spans="2:11" s="123" customFormat="1">
      <c r="B20" s="325"/>
      <c r="C20" s="325"/>
      <c r="D20" s="325"/>
      <c r="E20" s="325"/>
      <c r="F20" s="348">
        <v>12333</v>
      </c>
      <c r="G20" s="348" t="s">
        <v>508</v>
      </c>
      <c r="H20" s="348"/>
      <c r="I20" s="348"/>
      <c r="J20" s="348"/>
      <c r="K20" s="348"/>
    </row>
    <row r="21" spans="2:11" s="123" customFormat="1">
      <c r="B21" s="325"/>
      <c r="C21" s="325"/>
      <c r="D21" s="325"/>
      <c r="E21" s="325"/>
      <c r="F21" s="348">
        <v>6815</v>
      </c>
      <c r="G21" s="348" t="s">
        <v>509</v>
      </c>
      <c r="H21" s="348"/>
      <c r="I21" s="348"/>
      <c r="J21" s="348"/>
      <c r="K21" s="348"/>
    </row>
    <row r="22" spans="2:11" s="123" customFormat="1">
      <c r="B22" s="325"/>
      <c r="C22" s="325"/>
      <c r="D22" s="325"/>
      <c r="E22" s="325"/>
      <c r="F22" s="348">
        <v>1998</v>
      </c>
      <c r="G22" s="348" t="s">
        <v>510</v>
      </c>
      <c r="H22" s="348"/>
      <c r="I22" s="348"/>
      <c r="J22" s="348"/>
      <c r="K22" s="348"/>
    </row>
    <row r="23" spans="2:11" s="123" customFormat="1">
      <c r="B23" s="325"/>
      <c r="C23" s="325"/>
      <c r="D23" s="325"/>
      <c r="E23" s="325"/>
      <c r="F23" s="348">
        <v>6355</v>
      </c>
      <c r="G23" s="348" t="s">
        <v>511</v>
      </c>
      <c r="H23" s="348"/>
      <c r="I23" s="348"/>
      <c r="J23" s="348"/>
      <c r="K23" s="348"/>
    </row>
    <row r="24" spans="2:11" s="123" customFormat="1">
      <c r="B24" s="325"/>
      <c r="C24" s="325"/>
      <c r="D24" s="325"/>
      <c r="E24" s="325"/>
      <c r="F24" s="348">
        <v>12126</v>
      </c>
      <c r="G24" s="348" t="s">
        <v>512</v>
      </c>
      <c r="H24" s="348"/>
      <c r="I24" s="348"/>
      <c r="J24" s="348"/>
      <c r="K24" s="348"/>
    </row>
    <row r="25" spans="2:11" s="123" customFormat="1">
      <c r="B25" s="325"/>
      <c r="C25" s="325"/>
      <c r="D25" s="325"/>
      <c r="E25" s="325"/>
      <c r="F25" s="348">
        <v>6101</v>
      </c>
      <c r="G25" s="348" t="s">
        <v>513</v>
      </c>
      <c r="H25" s="348"/>
      <c r="I25" s="348"/>
      <c r="J25" s="348"/>
      <c r="K25" s="348"/>
    </row>
    <row r="26" spans="2:11" s="123" customFormat="1">
      <c r="B26" s="325"/>
      <c r="C26" s="325"/>
      <c r="D26" s="325"/>
      <c r="E26" s="325"/>
      <c r="F26" s="348">
        <v>12860</v>
      </c>
      <c r="G26" s="348" t="s">
        <v>514</v>
      </c>
      <c r="H26" s="348"/>
      <c r="I26" s="348"/>
      <c r="J26" s="348"/>
      <c r="K26" s="348"/>
    </row>
    <row r="27" spans="2:11" s="123" customFormat="1">
      <c r="B27" s="325"/>
      <c r="C27" s="325"/>
      <c r="D27" s="325"/>
      <c r="E27" s="325"/>
      <c r="F27" s="348">
        <v>12861</v>
      </c>
      <c r="G27" s="348" t="s">
        <v>515</v>
      </c>
      <c r="H27" s="348"/>
      <c r="I27" s="348"/>
      <c r="J27" s="348"/>
      <c r="K27" s="348"/>
    </row>
    <row r="28" spans="2:11" s="123" customFormat="1">
      <c r="B28" s="325"/>
      <c r="C28" s="325"/>
      <c r="D28" s="325"/>
      <c r="E28" s="325"/>
      <c r="F28" s="348">
        <v>6358</v>
      </c>
      <c r="G28" s="348" t="s">
        <v>516</v>
      </c>
      <c r="H28" s="348"/>
      <c r="I28" s="348"/>
      <c r="J28" s="348"/>
      <c r="K28" s="348"/>
    </row>
    <row r="29" spans="2:11" s="123" customFormat="1">
      <c r="B29" s="325"/>
      <c r="C29" s="325"/>
      <c r="D29" s="325"/>
      <c r="E29" s="325"/>
      <c r="F29" s="348">
        <v>14265</v>
      </c>
      <c r="G29" s="348" t="s">
        <v>517</v>
      </c>
      <c r="H29" s="348"/>
      <c r="I29" s="348"/>
      <c r="J29" s="348"/>
      <c r="K29" s="348"/>
    </row>
    <row r="30" spans="2:11" s="123" customFormat="1">
      <c r="B30" s="325"/>
      <c r="C30" s="325"/>
      <c r="D30" s="325"/>
      <c r="E30" s="325"/>
      <c r="F30" s="348">
        <v>14266</v>
      </c>
      <c r="G30" s="348" t="s">
        <v>518</v>
      </c>
      <c r="H30" s="348"/>
      <c r="I30" s="348"/>
      <c r="J30" s="348"/>
      <c r="K30" s="348"/>
    </row>
    <row r="31" spans="2:11" s="123" customFormat="1">
      <c r="B31" s="325"/>
      <c r="C31" s="325"/>
      <c r="D31" s="325"/>
      <c r="E31" s="325"/>
      <c r="F31" s="348">
        <v>14268</v>
      </c>
      <c r="G31" s="348" t="s">
        <v>519</v>
      </c>
      <c r="H31" s="348"/>
      <c r="I31" s="348"/>
      <c r="J31" s="348"/>
      <c r="K31" s="348"/>
    </row>
    <row r="32" spans="2:11" s="123" customFormat="1">
      <c r="B32" s="325"/>
      <c r="C32" s="325"/>
      <c r="D32" s="325"/>
      <c r="E32" s="325"/>
      <c r="F32" s="348">
        <v>14267</v>
      </c>
      <c r="G32" s="348" t="s">
        <v>520</v>
      </c>
      <c r="H32" s="348"/>
      <c r="I32" s="348"/>
      <c r="J32" s="348"/>
      <c r="K32" s="348"/>
    </row>
    <row r="33" spans="2:11" s="123" customFormat="1">
      <c r="B33" s="325"/>
      <c r="C33" s="325"/>
      <c r="D33" s="325"/>
      <c r="E33" s="325"/>
      <c r="F33" s="348">
        <v>14270</v>
      </c>
      <c r="G33" s="348" t="s">
        <v>521</v>
      </c>
      <c r="H33" s="348"/>
      <c r="I33" s="348"/>
      <c r="J33" s="348"/>
      <c r="K33" s="348"/>
    </row>
    <row r="34" spans="2:11" s="123" customFormat="1">
      <c r="B34" s="325"/>
      <c r="C34" s="325"/>
      <c r="D34" s="325"/>
      <c r="E34" s="325"/>
      <c r="F34" s="348">
        <v>14764</v>
      </c>
      <c r="G34" s="348" t="s">
        <v>522</v>
      </c>
      <c r="H34" s="348"/>
      <c r="I34" s="348"/>
      <c r="J34" s="348"/>
      <c r="K34" s="348"/>
    </row>
    <row r="35" spans="2:11" s="123" customFormat="1">
      <c r="B35" s="325"/>
      <c r="C35" s="325"/>
      <c r="D35" s="325"/>
      <c r="E35" s="325"/>
      <c r="F35" s="348">
        <v>13683</v>
      </c>
      <c r="G35" s="348" t="s">
        <v>523</v>
      </c>
      <c r="H35" s="348"/>
      <c r="I35" s="348"/>
      <c r="J35" s="348"/>
      <c r="K35" s="348"/>
    </row>
    <row r="36" spans="2:11" s="123" customFormat="1">
      <c r="B36" s="325"/>
      <c r="C36" s="325"/>
      <c r="D36" s="325"/>
      <c r="E36" s="325"/>
      <c r="F36" s="348">
        <v>14324</v>
      </c>
      <c r="G36" s="348" t="s">
        <v>524</v>
      </c>
      <c r="H36" s="348"/>
      <c r="I36" s="348"/>
      <c r="J36" s="348"/>
      <c r="K36" s="348"/>
    </row>
    <row r="37" spans="2:11" s="123" customFormat="1">
      <c r="B37" s="325"/>
      <c r="C37" s="325"/>
      <c r="D37" s="325"/>
      <c r="E37" s="325"/>
      <c r="F37" s="348">
        <v>15588</v>
      </c>
      <c r="G37" s="348" t="s">
        <v>525</v>
      </c>
      <c r="H37" s="348"/>
      <c r="I37" s="348"/>
      <c r="J37" s="348"/>
      <c r="K37" s="348"/>
    </row>
    <row r="38" spans="2:11" s="123" customFormat="1">
      <c r="B38" s="325"/>
      <c r="C38" s="325"/>
      <c r="D38" s="325"/>
      <c r="E38" s="325"/>
      <c r="F38" s="348">
        <v>15203</v>
      </c>
      <c r="G38" s="348" t="s">
        <v>526</v>
      </c>
      <c r="H38" s="348"/>
      <c r="I38" s="348"/>
      <c r="J38" s="348"/>
      <c r="K38" s="348"/>
    </row>
    <row r="39" spans="2:11" s="123" customFormat="1">
      <c r="B39" s="325"/>
      <c r="C39" s="325"/>
      <c r="D39" s="325"/>
      <c r="E39" s="325"/>
      <c r="F39" s="348">
        <v>15204</v>
      </c>
      <c r="G39" s="348" t="s">
        <v>527</v>
      </c>
      <c r="H39" s="348"/>
      <c r="I39" s="348"/>
      <c r="J39" s="348"/>
      <c r="K39" s="348"/>
    </row>
    <row r="40" spans="2:11" s="123" customFormat="1">
      <c r="B40" s="364"/>
      <c r="C40" s="323"/>
      <c r="D40" s="323"/>
      <c r="E40" s="323"/>
      <c r="F40" s="405">
        <v>15202</v>
      </c>
      <c r="G40" s="405" t="s">
        <v>528</v>
      </c>
      <c r="H40" s="348"/>
      <c r="I40" s="348"/>
      <c r="J40" s="348"/>
      <c r="K40" s="348"/>
    </row>
    <row r="41" spans="2:11" s="123" customFormat="1">
      <c r="B41" s="364"/>
      <c r="C41" s="323"/>
      <c r="D41" s="323"/>
      <c r="E41" s="323"/>
      <c r="F41" s="405">
        <v>15201</v>
      </c>
      <c r="G41" s="405" t="s">
        <v>529</v>
      </c>
      <c r="H41" s="348"/>
      <c r="I41" s="348"/>
      <c r="J41" s="348"/>
      <c r="K41" s="348"/>
    </row>
    <row r="42" spans="2:11" s="123" customFormat="1">
      <c r="B42" s="364"/>
      <c r="C42" s="323"/>
      <c r="D42" s="323"/>
      <c r="E42" s="323"/>
      <c r="F42" s="405">
        <v>13684</v>
      </c>
      <c r="G42" s="405" t="s">
        <v>530</v>
      </c>
      <c r="H42" s="348"/>
      <c r="I42" s="348"/>
      <c r="J42" s="348"/>
      <c r="K42" s="348"/>
    </row>
    <row r="43" spans="2:11" s="123" customFormat="1">
      <c r="B43" s="364"/>
      <c r="C43" s="323"/>
      <c r="D43" s="323"/>
      <c r="E43" s="323"/>
      <c r="F43" s="405">
        <v>14108</v>
      </c>
      <c r="G43" s="405" t="s">
        <v>531</v>
      </c>
      <c r="H43" s="348"/>
      <c r="I43" s="348"/>
      <c r="J43" s="348"/>
      <c r="K43" s="348"/>
    </row>
    <row r="44" spans="2:11" s="123" customFormat="1">
      <c r="B44" s="364"/>
      <c r="C44" s="323"/>
      <c r="D44" s="323"/>
      <c r="E44" s="323"/>
      <c r="F44" s="405">
        <v>2995</v>
      </c>
      <c r="G44" s="405" t="s">
        <v>532</v>
      </c>
      <c r="H44" s="348"/>
      <c r="I44" s="348"/>
      <c r="J44" s="348"/>
      <c r="K44" s="348"/>
    </row>
    <row r="45" spans="2:11" s="123" customFormat="1">
      <c r="B45" s="364"/>
      <c r="C45" s="323"/>
      <c r="D45" s="323"/>
      <c r="E45" s="323"/>
      <c r="F45" s="405">
        <v>15813</v>
      </c>
      <c r="G45" s="405" t="s">
        <v>533</v>
      </c>
      <c r="H45" s="348"/>
      <c r="I45" s="348"/>
      <c r="J45" s="348"/>
      <c r="K45" s="348"/>
    </row>
    <row r="46" spans="2:11" s="123" customFormat="1">
      <c r="B46" s="364"/>
      <c r="C46" s="323"/>
      <c r="D46" s="323"/>
      <c r="E46" s="323"/>
      <c r="F46" s="405">
        <v>15205</v>
      </c>
      <c r="G46" s="405" t="s">
        <v>534</v>
      </c>
      <c r="H46" s="348"/>
      <c r="I46" s="348"/>
      <c r="J46" s="348"/>
      <c r="K46" s="348"/>
    </row>
    <row r="47" spans="2:11" s="123" customFormat="1">
      <c r="B47" s="364"/>
      <c r="C47" s="323"/>
      <c r="D47" s="323"/>
      <c r="E47" s="323"/>
      <c r="F47" s="405">
        <v>14104</v>
      </c>
      <c r="G47" s="405" t="s">
        <v>535</v>
      </c>
      <c r="H47" s="348"/>
      <c r="I47" s="348"/>
      <c r="J47" s="348"/>
      <c r="K47" s="348"/>
    </row>
    <row r="48" spans="2:11" s="123" customFormat="1">
      <c r="B48" s="364"/>
      <c r="C48" s="323"/>
      <c r="D48" s="323"/>
      <c r="E48" s="323"/>
      <c r="F48" s="405">
        <v>14121</v>
      </c>
      <c r="G48" s="405" t="s">
        <v>536</v>
      </c>
      <c r="H48" s="348"/>
      <c r="I48" s="348"/>
      <c r="J48" s="348"/>
      <c r="K48" s="348"/>
    </row>
    <row r="49" spans="2:11" s="123" customFormat="1">
      <c r="B49" s="364"/>
      <c r="C49" s="323"/>
      <c r="D49" s="323"/>
      <c r="E49" s="323"/>
      <c r="F49" s="405">
        <v>7409</v>
      </c>
      <c r="G49" s="405" t="s">
        <v>537</v>
      </c>
      <c r="H49" s="348"/>
      <c r="I49" s="348"/>
      <c r="J49" s="348"/>
      <c r="K49" s="348"/>
    </row>
    <row r="50" spans="2:11" s="123" customFormat="1">
      <c r="B50" s="364"/>
      <c r="C50" s="323"/>
      <c r="D50" s="323"/>
      <c r="E50" s="323"/>
      <c r="F50" s="405">
        <v>18202</v>
      </c>
      <c r="G50" s="405" t="s">
        <v>1865</v>
      </c>
      <c r="H50" s="348"/>
      <c r="I50" s="348"/>
      <c r="J50" s="348"/>
      <c r="K50" s="348"/>
    </row>
    <row r="51" spans="2:11" s="123" customFormat="1">
      <c r="B51" s="364"/>
      <c r="C51" s="323"/>
      <c r="D51" s="323"/>
      <c r="E51" s="323"/>
      <c r="F51" s="405">
        <v>11619</v>
      </c>
      <c r="G51" s="405" t="s">
        <v>538</v>
      </c>
      <c r="H51" s="348"/>
      <c r="I51" s="348"/>
      <c r="J51" s="348"/>
      <c r="K51" s="348"/>
    </row>
    <row r="52" spans="2:11" s="123" customFormat="1">
      <c r="B52" s="364"/>
      <c r="C52" s="323"/>
      <c r="D52" s="323"/>
      <c r="E52" s="323"/>
      <c r="F52" s="405">
        <v>15815</v>
      </c>
      <c r="G52" s="405" t="s">
        <v>539</v>
      </c>
      <c r="H52" s="348"/>
      <c r="I52" s="348"/>
      <c r="J52" s="348"/>
      <c r="K52" s="348"/>
    </row>
    <row r="53" spans="2:11" s="123" customFormat="1">
      <c r="B53" s="364"/>
      <c r="C53" s="323"/>
      <c r="D53" s="323"/>
      <c r="E53" s="323"/>
      <c r="F53" s="405">
        <v>16226</v>
      </c>
      <c r="G53" s="405" t="s">
        <v>540</v>
      </c>
      <c r="H53" s="348"/>
      <c r="I53" s="348"/>
      <c r="J53" s="348"/>
      <c r="K53" s="348"/>
    </row>
    <row r="54" spans="2:11" s="123" customFormat="1">
      <c r="B54" s="364"/>
      <c r="C54" s="323"/>
      <c r="D54" s="323"/>
      <c r="E54" s="323"/>
      <c r="F54" s="405">
        <v>15816</v>
      </c>
      <c r="G54" s="405" t="s">
        <v>541</v>
      </c>
      <c r="H54" s="348"/>
      <c r="I54" s="348"/>
      <c r="J54" s="348"/>
      <c r="K54" s="348"/>
    </row>
    <row r="55" spans="2:11" s="123" customFormat="1" ht="22.5" customHeight="1">
      <c r="B55" s="364"/>
      <c r="C55" s="323"/>
      <c r="D55" s="323"/>
      <c r="E55" s="323"/>
      <c r="F55" s="405">
        <v>15814</v>
      </c>
      <c r="G55" s="405" t="s">
        <v>542</v>
      </c>
      <c r="H55" s="348"/>
      <c r="I55" s="348"/>
      <c r="J55" s="348"/>
      <c r="K55" s="348"/>
    </row>
    <row r="56" spans="2:11" s="123" customFormat="1">
      <c r="B56" s="364"/>
      <c r="C56" s="323"/>
      <c r="D56" s="323"/>
      <c r="E56" s="323"/>
      <c r="F56" s="405">
        <v>6127</v>
      </c>
      <c r="G56" s="405" t="s">
        <v>543</v>
      </c>
      <c r="H56" s="348"/>
      <c r="I56" s="348"/>
      <c r="J56" s="348"/>
      <c r="K56" s="348"/>
    </row>
    <row r="57" spans="2:11" s="123" customFormat="1">
      <c r="B57" s="364"/>
      <c r="C57" s="323"/>
      <c r="D57" s="323"/>
      <c r="E57" s="323"/>
      <c r="F57" s="405">
        <v>8107</v>
      </c>
      <c r="G57" s="405" t="s">
        <v>544</v>
      </c>
      <c r="H57" s="348"/>
      <c r="I57" s="348"/>
      <c r="J57" s="348"/>
      <c r="K57" s="348"/>
    </row>
    <row r="58" spans="2:11" s="123" customFormat="1">
      <c r="B58" s="364"/>
      <c r="C58" s="323"/>
      <c r="D58" s="323"/>
      <c r="E58" s="323"/>
      <c r="F58" s="405">
        <v>703</v>
      </c>
      <c r="G58" s="405" t="s">
        <v>545</v>
      </c>
      <c r="H58" s="348"/>
      <c r="I58" s="348"/>
      <c r="J58" s="348"/>
      <c r="K58" s="348"/>
    </row>
    <row r="59" spans="2:11" s="123" customFormat="1">
      <c r="B59" s="364"/>
      <c r="C59" s="323"/>
      <c r="D59" s="323"/>
      <c r="E59" s="323"/>
      <c r="F59"/>
      <c r="G59"/>
    </row>
    <row r="60" spans="2:11" s="123" customFormat="1">
      <c r="B60" s="364"/>
      <c r="C60" s="323"/>
      <c r="D60" s="323"/>
      <c r="E60" s="323"/>
      <c r="F60"/>
      <c r="G60"/>
    </row>
    <row r="61" spans="2:11" s="123" customFormat="1">
      <c r="B61" s="364"/>
      <c r="C61" s="323"/>
      <c r="D61" s="323"/>
      <c r="E61" s="323"/>
      <c r="F61"/>
      <c r="G61"/>
    </row>
    <row r="62" spans="2:11" s="123" customFormat="1">
      <c r="B62" s="364"/>
      <c r="C62" s="323"/>
      <c r="D62" s="323"/>
      <c r="E62" s="323"/>
      <c r="F62"/>
      <c r="G62"/>
    </row>
    <row r="63" spans="2:11" s="123" customFormat="1">
      <c r="B63" s="364"/>
      <c r="C63" s="323"/>
      <c r="D63" s="323"/>
      <c r="E63" s="323"/>
      <c r="F63"/>
      <c r="G63"/>
    </row>
    <row r="64" spans="2:11" s="123" customFormat="1">
      <c r="B64" s="364"/>
      <c r="C64" s="323"/>
      <c r="D64" s="323"/>
      <c r="E64" s="323"/>
      <c r="F64"/>
      <c r="G64"/>
    </row>
    <row r="65" spans="2:7" s="123" customFormat="1">
      <c r="B65" s="364"/>
      <c r="C65" s="323"/>
      <c r="D65" s="323"/>
      <c r="E65" s="323"/>
      <c r="F65"/>
      <c r="G65"/>
    </row>
    <row r="66" spans="2:7" s="123" customFormat="1">
      <c r="B66" s="364"/>
      <c r="C66" s="323"/>
      <c r="D66" s="323"/>
      <c r="E66" s="323"/>
      <c r="F66"/>
      <c r="G66"/>
    </row>
    <row r="67" spans="2:7" s="123" customFormat="1">
      <c r="B67" s="364"/>
      <c r="C67" s="323"/>
      <c r="D67" s="323"/>
      <c r="E67" s="323"/>
      <c r="F67"/>
      <c r="G67"/>
    </row>
    <row r="68" spans="2:7" s="123" customFormat="1">
      <c r="B68" s="364"/>
      <c r="C68" s="323"/>
      <c r="D68" s="323"/>
      <c r="E68" s="323"/>
      <c r="F68"/>
      <c r="G68"/>
    </row>
    <row r="69" spans="2:7" s="123" customFormat="1">
      <c r="B69" s="364"/>
      <c r="C69" s="323"/>
      <c r="D69" s="323"/>
      <c r="E69" s="323"/>
      <c r="F69"/>
      <c r="G69"/>
    </row>
    <row r="70" spans="2:7" s="123" customFormat="1">
      <c r="B70" s="364"/>
      <c r="C70" s="323"/>
      <c r="D70" s="323"/>
      <c r="E70" s="323"/>
      <c r="F70"/>
      <c r="G70"/>
    </row>
    <row r="71" spans="2:7" s="123" customFormat="1">
      <c r="B71" s="364"/>
      <c r="C71" s="323"/>
      <c r="D71" s="323"/>
      <c r="E71" s="323"/>
      <c r="F71"/>
      <c r="G71"/>
    </row>
    <row r="72" spans="2:7" s="123" customFormat="1">
      <c r="B72" s="364"/>
      <c r="C72" s="323"/>
      <c r="D72" s="323"/>
      <c r="E72" s="323"/>
      <c r="F72"/>
      <c r="G72"/>
    </row>
    <row r="73" spans="2:7" s="123" customFormat="1">
      <c r="B73" s="364"/>
      <c r="C73" s="323"/>
      <c r="D73" s="323"/>
      <c r="E73" s="323"/>
      <c r="F73"/>
      <c r="G73"/>
    </row>
    <row r="74" spans="2:7" s="123" customFormat="1">
      <c r="B74" s="364"/>
      <c r="C74" s="323"/>
      <c r="D74" s="323"/>
      <c r="E74" s="323"/>
      <c r="F74"/>
      <c r="G74"/>
    </row>
    <row r="75" spans="2:7" s="123" customFormat="1">
      <c r="B75" s="364"/>
      <c r="C75" s="323"/>
      <c r="D75" s="323"/>
      <c r="E75" s="323"/>
      <c r="F75"/>
      <c r="G75"/>
    </row>
    <row r="76" spans="2:7" s="123" customFormat="1">
      <c r="B76" s="364"/>
      <c r="C76" s="323"/>
      <c r="D76" s="323"/>
      <c r="E76" s="323"/>
      <c r="F76"/>
      <c r="G76"/>
    </row>
    <row r="77" spans="2:7" s="123" customFormat="1">
      <c r="B77" s="364"/>
      <c r="C77" s="323"/>
      <c r="D77" s="323"/>
      <c r="E77" s="323"/>
      <c r="F77"/>
      <c r="G77"/>
    </row>
    <row r="78" spans="2:7" s="123" customFormat="1">
      <c r="B78" s="364"/>
      <c r="C78" s="323"/>
      <c r="D78" s="323"/>
      <c r="E78" s="323"/>
      <c r="F78"/>
      <c r="G78"/>
    </row>
    <row r="79" spans="2:7" s="123" customFormat="1">
      <c r="B79" s="364"/>
      <c r="C79" s="323"/>
      <c r="D79" s="323"/>
      <c r="E79" s="323"/>
      <c r="F79"/>
      <c r="G79"/>
    </row>
    <row r="80" spans="2:7" s="123" customFormat="1">
      <c r="B80" s="364"/>
      <c r="C80" s="323"/>
      <c r="D80" s="323"/>
      <c r="E80" s="323"/>
      <c r="F80"/>
      <c r="G80"/>
    </row>
    <row r="81" spans="2:7" s="123" customFormat="1">
      <c r="B81" s="364"/>
      <c r="C81" s="323"/>
      <c r="D81" s="323"/>
      <c r="E81" s="323"/>
      <c r="F81"/>
      <c r="G81"/>
    </row>
    <row r="82" spans="2:7" s="123" customFormat="1">
      <c r="B82" s="364"/>
      <c r="C82" s="323"/>
      <c r="D82" s="323"/>
      <c r="E82" s="323"/>
      <c r="F82"/>
      <c r="G82"/>
    </row>
    <row r="83" spans="2:7" s="123" customFormat="1">
      <c r="B83" s="364"/>
      <c r="C83" s="323"/>
      <c r="D83" s="323"/>
      <c r="E83" s="323"/>
      <c r="F83"/>
      <c r="G83"/>
    </row>
    <row r="84" spans="2:7" s="123" customFormat="1">
      <c r="B84" s="364"/>
      <c r="C84" s="323"/>
      <c r="D84" s="323"/>
      <c r="E84" s="323"/>
      <c r="F84"/>
      <c r="G84"/>
    </row>
    <row r="85" spans="2:7" s="123" customFormat="1">
      <c r="B85" s="364"/>
      <c r="C85" s="323"/>
      <c r="D85" s="323"/>
      <c r="E85" s="323"/>
      <c r="F85"/>
      <c r="G85"/>
    </row>
    <row r="86" spans="2:7" s="123" customFormat="1">
      <c r="B86" s="364"/>
      <c r="C86" s="323"/>
      <c r="D86" s="323"/>
      <c r="E86" s="323"/>
      <c r="F86"/>
      <c r="G86"/>
    </row>
    <row r="87" spans="2:7" s="123" customFormat="1">
      <c r="B87" s="364"/>
      <c r="C87" s="323"/>
      <c r="D87" s="323"/>
      <c r="E87" s="323"/>
      <c r="F87"/>
      <c r="G87"/>
    </row>
    <row r="88" spans="2:7" s="123" customFormat="1">
      <c r="B88" s="364"/>
      <c r="C88" s="323"/>
      <c r="D88" s="323"/>
      <c r="E88" s="323"/>
      <c r="F88"/>
      <c r="G88"/>
    </row>
    <row r="89" spans="2:7" s="123" customFormat="1">
      <c r="B89" s="364"/>
      <c r="C89" s="323"/>
      <c r="D89" s="323"/>
      <c r="E89" s="323"/>
      <c r="F89"/>
      <c r="G89"/>
    </row>
    <row r="90" spans="2:7" s="123" customFormat="1">
      <c r="B90" s="364"/>
      <c r="C90" s="323"/>
      <c r="D90" s="323"/>
      <c r="E90" s="323"/>
      <c r="F90"/>
      <c r="G90"/>
    </row>
    <row r="91" spans="2:7" s="123" customFormat="1">
      <c r="B91" s="364"/>
      <c r="C91" s="323"/>
      <c r="D91" s="323"/>
      <c r="E91" s="323"/>
      <c r="F91"/>
      <c r="G91"/>
    </row>
    <row r="92" spans="2:7" s="123" customFormat="1">
      <c r="B92" s="364"/>
      <c r="C92" s="323"/>
      <c r="D92" s="323"/>
      <c r="E92" s="323"/>
      <c r="F92"/>
      <c r="G92"/>
    </row>
    <row r="93" spans="2:7" s="123" customFormat="1">
      <c r="B93" s="364"/>
      <c r="C93" s="323"/>
      <c r="D93" s="323"/>
      <c r="E93" s="323"/>
      <c r="F93"/>
      <c r="G93"/>
    </row>
    <row r="94" spans="2:7" s="123" customFormat="1">
      <c r="B94" s="364"/>
      <c r="C94" s="323"/>
      <c r="D94" s="323"/>
      <c r="E94" s="323"/>
      <c r="F94"/>
      <c r="G94"/>
    </row>
    <row r="95" spans="2:7" s="123" customFormat="1">
      <c r="B95" s="364"/>
      <c r="C95" s="323"/>
      <c r="D95" s="323"/>
      <c r="E95" s="323"/>
      <c r="F95"/>
      <c r="G95"/>
    </row>
    <row r="96" spans="2:7" s="123" customFormat="1">
      <c r="B96" s="364"/>
      <c r="C96" s="323"/>
      <c r="D96" s="323"/>
      <c r="E96" s="323"/>
      <c r="F96"/>
      <c r="G96"/>
    </row>
    <row r="97" spans="2:7" s="123" customFormat="1">
      <c r="B97" s="364"/>
      <c r="C97" s="323"/>
      <c r="D97" s="323"/>
      <c r="E97" s="323"/>
      <c r="F97"/>
      <c r="G97"/>
    </row>
    <row r="98" spans="2:7" s="123" customFormat="1">
      <c r="B98" s="364"/>
      <c r="C98" s="323"/>
      <c r="D98" s="323"/>
      <c r="E98" s="323"/>
      <c r="F98"/>
      <c r="G98"/>
    </row>
    <row r="99" spans="2:7" s="123" customFormat="1">
      <c r="B99" s="364"/>
      <c r="C99" s="323"/>
      <c r="D99" s="323"/>
      <c r="E99" s="323"/>
      <c r="F99"/>
      <c r="G99"/>
    </row>
    <row r="100" spans="2:7" s="123" customFormat="1">
      <c r="B100" s="364"/>
      <c r="C100" s="323"/>
      <c r="D100" s="323"/>
      <c r="E100" s="323"/>
      <c r="F100"/>
      <c r="G100"/>
    </row>
    <row r="101" spans="2:7" s="123" customFormat="1">
      <c r="B101" s="364"/>
      <c r="C101" s="323"/>
      <c r="D101" s="323"/>
      <c r="E101" s="323"/>
      <c r="F101"/>
      <c r="G101"/>
    </row>
    <row r="102" spans="2:7" s="123" customFormat="1">
      <c r="B102" s="364"/>
      <c r="C102" s="323"/>
      <c r="D102" s="323"/>
      <c r="E102" s="323"/>
      <c r="F102"/>
      <c r="G102"/>
    </row>
    <row r="103" spans="2:7" s="123" customFormat="1">
      <c r="B103" s="364"/>
      <c r="C103" s="323"/>
      <c r="D103" s="323"/>
      <c r="E103" s="323"/>
      <c r="F103"/>
      <c r="G103"/>
    </row>
    <row r="104" spans="2:7" s="123" customFormat="1">
      <c r="B104" s="364"/>
      <c r="C104" s="323"/>
      <c r="D104" s="323"/>
      <c r="E104" s="323"/>
      <c r="F104"/>
      <c r="G104"/>
    </row>
    <row r="105" spans="2:7" s="123" customFormat="1">
      <c r="B105" s="364"/>
      <c r="C105" s="323"/>
      <c r="D105" s="323"/>
      <c r="E105" s="323"/>
      <c r="F105"/>
      <c r="G105"/>
    </row>
    <row r="106" spans="2:7" s="123" customFormat="1">
      <c r="B106" s="364"/>
      <c r="C106" s="323"/>
      <c r="D106" s="323"/>
      <c r="E106" s="323"/>
      <c r="F106"/>
      <c r="G106"/>
    </row>
    <row r="107" spans="2:7" s="123" customFormat="1">
      <c r="B107" s="364"/>
      <c r="C107" s="323"/>
      <c r="D107" s="323"/>
      <c r="E107" s="323"/>
      <c r="F107"/>
      <c r="G107"/>
    </row>
    <row r="108" spans="2:7" s="123" customFormat="1">
      <c r="B108" s="364"/>
      <c r="C108" s="323"/>
      <c r="D108" s="323"/>
      <c r="E108" s="323"/>
      <c r="F108"/>
      <c r="G108"/>
    </row>
    <row r="109" spans="2:7" s="123" customFormat="1">
      <c r="B109" s="364"/>
      <c r="C109" s="323"/>
      <c r="D109" s="323"/>
      <c r="E109" s="323"/>
      <c r="F109"/>
      <c r="G109"/>
    </row>
    <row r="110" spans="2:7" s="123" customFormat="1">
      <c r="B110" s="364"/>
      <c r="C110" s="323"/>
      <c r="D110" s="323"/>
      <c r="E110" s="323"/>
      <c r="F110"/>
      <c r="G110"/>
    </row>
    <row r="111" spans="2:7" s="123" customFormat="1">
      <c r="B111" s="364"/>
      <c r="C111" s="323"/>
      <c r="D111" s="323"/>
      <c r="E111" s="323"/>
      <c r="F111"/>
      <c r="G111"/>
    </row>
    <row r="112" spans="2:7" s="123" customFormat="1">
      <c r="B112" s="364"/>
      <c r="C112" s="323"/>
      <c r="D112" s="323"/>
      <c r="E112" s="323"/>
      <c r="F112"/>
      <c r="G112"/>
    </row>
    <row r="113" spans="2:7" s="123" customFormat="1">
      <c r="B113" s="364"/>
      <c r="C113" s="323"/>
      <c r="D113" s="323"/>
      <c r="E113" s="323"/>
      <c r="F113"/>
      <c r="G113"/>
    </row>
    <row r="114" spans="2:7" s="123" customFormat="1">
      <c r="B114" s="364"/>
      <c r="C114" s="323"/>
      <c r="D114" s="323"/>
      <c r="E114" s="323"/>
      <c r="F114"/>
      <c r="G114"/>
    </row>
    <row r="115" spans="2:7" s="123" customFormat="1">
      <c r="B115" s="364"/>
      <c r="C115" s="323"/>
      <c r="D115" s="323"/>
      <c r="E115" s="323"/>
      <c r="F115"/>
      <c r="G115"/>
    </row>
    <row r="116" spans="2:7" s="123" customFormat="1">
      <c r="B116" s="364"/>
      <c r="C116" s="323"/>
      <c r="D116" s="323"/>
      <c r="E116" s="323"/>
      <c r="F116"/>
      <c r="G116"/>
    </row>
    <row r="117" spans="2:7" s="123" customFormat="1">
      <c r="B117" s="364"/>
      <c r="C117" s="323"/>
      <c r="D117" s="323"/>
      <c r="E117" s="323"/>
      <c r="F117"/>
      <c r="G117"/>
    </row>
    <row r="118" spans="2:7" s="123" customFormat="1">
      <c r="B118" s="364"/>
      <c r="C118" s="323"/>
      <c r="D118" s="323"/>
      <c r="E118" s="323"/>
      <c r="F118"/>
      <c r="G118"/>
    </row>
    <row r="119" spans="2:7" s="123" customFormat="1">
      <c r="B119" s="364"/>
      <c r="C119" s="323"/>
      <c r="D119" s="323"/>
      <c r="E119" s="323"/>
      <c r="F119"/>
      <c r="G119"/>
    </row>
    <row r="120" spans="2:7" s="123" customFormat="1">
      <c r="B120" s="364"/>
      <c r="C120" s="323"/>
      <c r="D120" s="323"/>
      <c r="E120" s="323"/>
      <c r="F120"/>
      <c r="G120"/>
    </row>
    <row r="121" spans="2:7" s="123" customFormat="1">
      <c r="B121" s="364"/>
      <c r="C121" s="323"/>
      <c r="D121" s="323"/>
      <c r="E121" s="323"/>
      <c r="F121"/>
      <c r="G121"/>
    </row>
    <row r="122" spans="2:7" s="123" customFormat="1">
      <c r="B122" s="364"/>
      <c r="C122" s="323"/>
      <c r="D122" s="323"/>
      <c r="E122" s="323"/>
      <c r="F122"/>
      <c r="G122"/>
    </row>
    <row r="123" spans="2:7" s="123" customFormat="1">
      <c r="B123" s="364"/>
      <c r="C123" s="323"/>
      <c r="D123" s="323"/>
      <c r="E123" s="323"/>
      <c r="F123"/>
      <c r="G123"/>
    </row>
    <row r="124" spans="2:7" s="123" customFormat="1">
      <c r="B124" s="364"/>
      <c r="C124" s="323"/>
      <c r="D124" s="323"/>
      <c r="E124" s="323"/>
      <c r="F124"/>
      <c r="G124"/>
    </row>
    <row r="125" spans="2:7" s="123" customFormat="1">
      <c r="B125" s="364"/>
      <c r="C125" s="323"/>
      <c r="D125" s="323"/>
      <c r="E125" s="323"/>
      <c r="F125"/>
      <c r="G125"/>
    </row>
    <row r="126" spans="2:7" s="123" customFormat="1">
      <c r="B126" s="364"/>
      <c r="C126" s="323"/>
      <c r="D126" s="323"/>
      <c r="E126" s="323"/>
      <c r="F126"/>
      <c r="G126"/>
    </row>
    <row r="127" spans="2:7" s="123" customFormat="1">
      <c r="B127" s="364"/>
      <c r="C127" s="323"/>
      <c r="D127" s="323"/>
      <c r="E127" s="323"/>
      <c r="F127"/>
      <c r="G127"/>
    </row>
    <row r="128" spans="2:7" s="123" customFormat="1">
      <c r="B128" s="364"/>
      <c r="C128" s="323"/>
      <c r="D128" s="323"/>
      <c r="E128" s="323"/>
      <c r="F128"/>
      <c r="G128"/>
    </row>
    <row r="129" spans="2:7" s="123" customFormat="1">
      <c r="B129" s="364"/>
      <c r="C129" s="323"/>
      <c r="D129" s="323"/>
      <c r="E129" s="323"/>
      <c r="F129"/>
      <c r="G129"/>
    </row>
    <row r="130" spans="2:7" s="123" customFormat="1">
      <c r="B130" s="364"/>
      <c r="C130" s="323"/>
      <c r="D130" s="323"/>
      <c r="E130" s="323"/>
      <c r="F130"/>
      <c r="G130"/>
    </row>
    <row r="131" spans="2:7" s="123" customFormat="1">
      <c r="B131" s="364"/>
      <c r="C131" s="323"/>
      <c r="D131" s="323"/>
      <c r="E131" s="323"/>
      <c r="F131"/>
      <c r="G131"/>
    </row>
    <row r="132" spans="2:7" s="123" customFormat="1">
      <c r="B132" s="364"/>
      <c r="C132" s="323"/>
      <c r="D132" s="323"/>
      <c r="E132" s="323"/>
      <c r="F132"/>
      <c r="G132"/>
    </row>
    <row r="133" spans="2:7" s="123" customFormat="1">
      <c r="B133" s="364"/>
      <c r="C133" s="323"/>
      <c r="D133" s="323"/>
      <c r="E133" s="323"/>
      <c r="F133"/>
      <c r="G133"/>
    </row>
    <row r="134" spans="2:7" s="123" customFormat="1">
      <c r="B134" s="364"/>
      <c r="C134" s="323"/>
      <c r="D134" s="323"/>
      <c r="E134" s="323"/>
      <c r="F134"/>
      <c r="G134"/>
    </row>
    <row r="135" spans="2:7" s="123" customFormat="1">
      <c r="B135" s="364"/>
      <c r="C135" s="323"/>
      <c r="D135" s="323"/>
      <c r="E135" s="323"/>
      <c r="F135"/>
      <c r="G135"/>
    </row>
    <row r="136" spans="2:7" s="123" customFormat="1">
      <c r="B136" s="364"/>
      <c r="C136" s="323"/>
      <c r="D136" s="323"/>
      <c r="E136" s="323"/>
      <c r="F136"/>
      <c r="G136"/>
    </row>
    <row r="137" spans="2:7" s="123" customFormat="1">
      <c r="B137" s="364"/>
      <c r="C137" s="323"/>
      <c r="D137" s="323"/>
      <c r="E137" s="323"/>
      <c r="F137"/>
      <c r="G137"/>
    </row>
    <row r="138" spans="2:7" s="123" customFormat="1">
      <c r="B138" s="364"/>
      <c r="C138" s="323"/>
      <c r="D138" s="323"/>
      <c r="E138" s="323"/>
      <c r="F138"/>
      <c r="G138"/>
    </row>
    <row r="139" spans="2:7" s="123" customFormat="1">
      <c r="B139" s="364"/>
      <c r="C139" s="323"/>
      <c r="D139" s="323"/>
      <c r="E139" s="323"/>
      <c r="F139"/>
      <c r="G139"/>
    </row>
    <row r="140" spans="2:7" s="123" customFormat="1">
      <c r="B140" s="364"/>
      <c r="C140" s="323"/>
      <c r="D140" s="323"/>
      <c r="E140" s="323"/>
      <c r="F140"/>
      <c r="G140"/>
    </row>
    <row r="141" spans="2:7" s="123" customFormat="1">
      <c r="B141" s="364"/>
      <c r="C141" s="323"/>
      <c r="D141" s="323"/>
      <c r="E141" s="323"/>
      <c r="F141"/>
      <c r="G141"/>
    </row>
    <row r="142" spans="2:7" s="123" customFormat="1">
      <c r="B142" s="364"/>
      <c r="C142" s="323"/>
      <c r="D142" s="323"/>
      <c r="E142" s="323"/>
      <c r="F142"/>
      <c r="G142"/>
    </row>
    <row r="143" spans="2:7" s="123" customFormat="1">
      <c r="B143" s="364"/>
      <c r="C143" s="323"/>
      <c r="D143" s="323"/>
      <c r="E143" s="323"/>
      <c r="F143"/>
      <c r="G143"/>
    </row>
    <row r="144" spans="2:7" s="123" customFormat="1">
      <c r="B144" s="364"/>
      <c r="C144" s="323"/>
      <c r="D144" s="323"/>
      <c r="E144" s="323"/>
      <c r="F144"/>
      <c r="G144"/>
    </row>
    <row r="145" spans="2:7" s="123" customFormat="1">
      <c r="B145" s="364"/>
      <c r="C145" s="323"/>
      <c r="D145" s="323"/>
      <c r="E145" s="323"/>
      <c r="F145"/>
      <c r="G145"/>
    </row>
    <row r="146" spans="2:7" s="123" customFormat="1">
      <c r="B146" s="364"/>
      <c r="C146" s="323"/>
      <c r="D146" s="323"/>
      <c r="E146" s="323"/>
      <c r="F146"/>
      <c r="G146"/>
    </row>
    <row r="147" spans="2:7" s="123" customFormat="1">
      <c r="B147" s="364"/>
      <c r="C147" s="323"/>
      <c r="D147" s="323"/>
      <c r="E147" s="323"/>
      <c r="F147"/>
      <c r="G147"/>
    </row>
    <row r="148" spans="2:7" s="123" customFormat="1">
      <c r="B148" s="364"/>
      <c r="C148" s="323"/>
      <c r="D148" s="323"/>
      <c r="E148" s="323"/>
      <c r="F148"/>
      <c r="G148"/>
    </row>
    <row r="149" spans="2:7" s="123" customFormat="1">
      <c r="B149" s="364"/>
      <c r="C149" s="323"/>
      <c r="D149" s="323"/>
      <c r="E149" s="323"/>
      <c r="F149"/>
      <c r="G149"/>
    </row>
    <row r="150" spans="2:7" s="123" customFormat="1">
      <c r="B150" s="364"/>
      <c r="C150" s="323"/>
      <c r="D150" s="323"/>
      <c r="E150" s="323"/>
      <c r="F150"/>
      <c r="G150"/>
    </row>
    <row r="151" spans="2:7" s="123" customFormat="1">
      <c r="B151" s="364"/>
      <c r="C151" s="323"/>
      <c r="D151" s="323"/>
      <c r="E151" s="323"/>
      <c r="F151"/>
      <c r="G151"/>
    </row>
    <row r="152" spans="2:7" s="123" customFormat="1">
      <c r="B152" s="364"/>
      <c r="C152" s="323"/>
      <c r="D152" s="323"/>
      <c r="E152" s="323"/>
      <c r="F152"/>
      <c r="G152"/>
    </row>
    <row r="153" spans="2:7" s="123" customFormat="1">
      <c r="B153" s="364"/>
      <c r="C153" s="323"/>
      <c r="D153" s="323"/>
      <c r="E153" s="323"/>
      <c r="F153"/>
      <c r="G153"/>
    </row>
    <row r="154" spans="2:7" s="123" customFormat="1">
      <c r="B154" s="364"/>
      <c r="C154" s="323"/>
      <c r="D154" s="323"/>
      <c r="E154" s="323"/>
      <c r="F154"/>
      <c r="G154"/>
    </row>
    <row r="155" spans="2:7" s="123" customFormat="1">
      <c r="B155" s="364"/>
      <c r="C155" s="323"/>
      <c r="D155" s="323"/>
      <c r="E155" s="323"/>
      <c r="F155"/>
      <c r="G155"/>
    </row>
    <row r="156" spans="2:7" s="123" customFormat="1">
      <c r="B156" s="364"/>
      <c r="C156" s="323"/>
      <c r="D156" s="323"/>
      <c r="E156" s="323"/>
      <c r="F156"/>
      <c r="G156"/>
    </row>
    <row r="157" spans="2:7" s="123" customFormat="1">
      <c r="B157" s="364"/>
      <c r="C157" s="323"/>
      <c r="D157" s="323"/>
      <c r="E157" s="323"/>
      <c r="F157"/>
      <c r="G157"/>
    </row>
  </sheetData>
  <pageMargins left="0.7" right="0.7" top="0.75" bottom="0.75" header="0.3" footer="0.3"/>
  <pageSetup paperSize="9" orientation="landscape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5:H10"/>
  <sheetViews>
    <sheetView workbookViewId="0">
      <selection activeCell="C14" sqref="C14"/>
    </sheetView>
  </sheetViews>
  <sheetFormatPr baseColWidth="10" defaultRowHeight="15"/>
  <cols>
    <col min="3" max="3" width="48.5703125" customWidth="1"/>
    <col min="4" max="6" width="0" hidden="1" customWidth="1"/>
    <col min="7" max="7" width="9.42578125" customWidth="1"/>
  </cols>
  <sheetData>
    <row r="5" spans="2:8" ht="30">
      <c r="B5" s="54" t="s">
        <v>0</v>
      </c>
      <c r="C5" s="54" t="s">
        <v>553</v>
      </c>
      <c r="D5" s="54" t="s">
        <v>122</v>
      </c>
      <c r="E5" s="54" t="s">
        <v>547</v>
      </c>
      <c r="F5" s="55" t="s">
        <v>552</v>
      </c>
      <c r="G5" s="56" t="s">
        <v>68</v>
      </c>
      <c r="H5" s="25"/>
    </row>
    <row r="6" spans="2:8">
      <c r="B6" s="21">
        <v>6089</v>
      </c>
      <c r="C6" s="21" t="s">
        <v>548</v>
      </c>
      <c r="D6" s="22">
        <v>60</v>
      </c>
      <c r="E6" s="52">
        <f>F6/30</f>
        <v>1.232</v>
      </c>
      <c r="F6" s="22">
        <v>36.96</v>
      </c>
      <c r="G6" s="22">
        <v>3</v>
      </c>
      <c r="H6" s="25" t="s">
        <v>554</v>
      </c>
    </row>
    <row r="7" spans="2:8">
      <c r="B7" s="21">
        <v>6090</v>
      </c>
      <c r="C7" s="21" t="s">
        <v>549</v>
      </c>
      <c r="D7" s="22">
        <v>60</v>
      </c>
      <c r="E7" s="52">
        <f>F7/30</f>
        <v>1.68</v>
      </c>
      <c r="F7" s="22">
        <v>50.4</v>
      </c>
      <c r="G7" s="22">
        <v>2</v>
      </c>
      <c r="H7" s="25" t="s">
        <v>554</v>
      </c>
    </row>
    <row r="8" spans="2:8">
      <c r="B8" s="21">
        <v>12327</v>
      </c>
      <c r="C8" s="21" t="s">
        <v>550</v>
      </c>
      <c r="D8" s="22">
        <v>60</v>
      </c>
      <c r="E8" s="52">
        <f>F8/30</f>
        <v>2.464</v>
      </c>
      <c r="F8" s="22">
        <v>73.92</v>
      </c>
      <c r="G8" s="22">
        <v>1</v>
      </c>
      <c r="H8" s="25" t="s">
        <v>554</v>
      </c>
    </row>
    <row r="9" spans="2:8">
      <c r="B9" s="21"/>
      <c r="C9" s="53" t="s">
        <v>551</v>
      </c>
      <c r="D9" s="22"/>
      <c r="E9" s="52">
        <f>F9/30</f>
        <v>2.016</v>
      </c>
      <c r="F9" s="22">
        <v>60.48</v>
      </c>
      <c r="G9" s="22">
        <v>2</v>
      </c>
      <c r="H9" s="25" t="s">
        <v>554</v>
      </c>
    </row>
    <row r="10" spans="2:8">
      <c r="F10" t="s">
        <v>65</v>
      </c>
    </row>
  </sheetData>
  <pageMargins left="0.7" right="0.7" top="0.75" bottom="0.75" header="0.3" footer="0.3"/>
  <pageSetup paperSize="11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S21"/>
  <sheetViews>
    <sheetView workbookViewId="0">
      <selection activeCell="E2" sqref="E2:K2"/>
    </sheetView>
  </sheetViews>
  <sheetFormatPr baseColWidth="10" defaultRowHeight="15"/>
  <cols>
    <col min="3" max="3" width="11.42578125" style="404"/>
    <col min="4" max="4" width="49" customWidth="1"/>
    <col min="5" max="5" width="16.85546875" customWidth="1"/>
    <col min="6" max="7" width="16.85546875" style="404" hidden="1" customWidth="1"/>
    <col min="8" max="8" width="13.85546875" customWidth="1"/>
    <col min="9" max="10" width="13.85546875" style="404" hidden="1" customWidth="1"/>
    <col min="11" max="11" width="11.42578125" customWidth="1"/>
    <col min="12" max="13" width="11.42578125" style="404" hidden="1" customWidth="1"/>
    <col min="14" max="14" width="11.42578125" customWidth="1"/>
    <col min="15" max="16" width="11.42578125" style="404" hidden="1" customWidth="1"/>
    <col min="17" max="17" width="11.42578125" customWidth="1"/>
    <col min="18" max="19" width="11.42578125" hidden="1" customWidth="1"/>
  </cols>
  <sheetData>
    <row r="1" spans="2:19">
      <c r="D1" t="s">
        <v>65</v>
      </c>
    </row>
    <row r="2" spans="2:19" ht="45">
      <c r="B2" s="21" t="s">
        <v>0</v>
      </c>
      <c r="C2" s="568" t="s">
        <v>2543</v>
      </c>
      <c r="D2" s="22" t="s">
        <v>5650</v>
      </c>
      <c r="E2" s="39" t="s">
        <v>19</v>
      </c>
      <c r="F2" s="39" t="s">
        <v>110</v>
      </c>
      <c r="G2" s="39" t="s">
        <v>111</v>
      </c>
      <c r="H2" s="39" t="s">
        <v>20</v>
      </c>
      <c r="I2" s="39" t="s">
        <v>110</v>
      </c>
      <c r="J2" s="39" t="s">
        <v>111</v>
      </c>
      <c r="K2" s="39" t="s">
        <v>21</v>
      </c>
      <c r="L2" s="39" t="s">
        <v>110</v>
      </c>
      <c r="M2" s="39" t="s">
        <v>111</v>
      </c>
      <c r="N2" s="39" t="s">
        <v>23</v>
      </c>
      <c r="O2" s="39" t="s">
        <v>110</v>
      </c>
      <c r="P2" s="39" t="s">
        <v>111</v>
      </c>
      <c r="Q2" s="39" t="s">
        <v>24</v>
      </c>
      <c r="R2" s="39" t="s">
        <v>110</v>
      </c>
      <c r="S2" s="39" t="s">
        <v>111</v>
      </c>
    </row>
    <row r="3" spans="2:19">
      <c r="B3" s="21">
        <v>1508</v>
      </c>
      <c r="C3" s="21" t="s">
        <v>65</v>
      </c>
      <c r="D3" s="21" t="s">
        <v>1152</v>
      </c>
      <c r="E3" s="460" t="s">
        <v>5520</v>
      </c>
      <c r="F3" s="460">
        <v>12</v>
      </c>
      <c r="G3" s="460">
        <v>30</v>
      </c>
      <c r="H3" s="480" t="s">
        <v>5655</v>
      </c>
      <c r="I3" s="460">
        <v>3</v>
      </c>
      <c r="J3" s="460">
        <v>8</v>
      </c>
      <c r="K3" s="460" t="s">
        <v>4564</v>
      </c>
      <c r="L3" s="460"/>
      <c r="M3" s="460"/>
      <c r="N3" s="528" t="s">
        <v>591</v>
      </c>
      <c r="O3" s="460"/>
      <c r="P3" s="460"/>
      <c r="Q3" s="460" t="s">
        <v>591</v>
      </c>
      <c r="R3" s="457"/>
      <c r="S3" s="457"/>
    </row>
    <row r="4" spans="2:19">
      <c r="B4" s="21">
        <v>2001</v>
      </c>
      <c r="C4" s="21"/>
      <c r="D4" s="21" t="s">
        <v>1153</v>
      </c>
      <c r="E4" s="460" t="s">
        <v>5520</v>
      </c>
      <c r="F4" s="460">
        <v>11</v>
      </c>
      <c r="G4" s="460">
        <v>36</v>
      </c>
      <c r="H4" s="480" t="s">
        <v>5655</v>
      </c>
      <c r="I4" s="460">
        <v>3</v>
      </c>
      <c r="J4" s="460">
        <v>9</v>
      </c>
      <c r="K4" s="460" t="s">
        <v>5656</v>
      </c>
      <c r="L4" s="460"/>
      <c r="M4" s="460"/>
      <c r="N4" s="460" t="s">
        <v>591</v>
      </c>
      <c r="O4" s="460"/>
      <c r="P4" s="460"/>
      <c r="Q4" s="460" t="s">
        <v>591</v>
      </c>
      <c r="R4" s="457"/>
      <c r="S4" s="457"/>
    </row>
    <row r="5" spans="2:19">
      <c r="B5" s="21">
        <v>2002</v>
      </c>
      <c r="C5" s="21">
        <v>50</v>
      </c>
      <c r="D5" s="21" t="s">
        <v>1154</v>
      </c>
      <c r="E5" s="460" t="s">
        <v>4562</v>
      </c>
      <c r="F5" s="460">
        <v>624</v>
      </c>
      <c r="G5" s="460">
        <v>390</v>
      </c>
      <c r="H5" s="480" t="s">
        <v>4563</v>
      </c>
      <c r="I5" s="460">
        <v>79</v>
      </c>
      <c r="J5" s="460">
        <v>31</v>
      </c>
      <c r="K5" s="460" t="s">
        <v>4565</v>
      </c>
      <c r="L5" s="460">
        <v>229</v>
      </c>
      <c r="M5" s="460">
        <v>71</v>
      </c>
      <c r="N5" s="460" t="s">
        <v>5657</v>
      </c>
      <c r="O5" s="460"/>
      <c r="P5" s="460"/>
      <c r="Q5" s="460" t="s">
        <v>4569</v>
      </c>
      <c r="R5" s="457" t="s">
        <v>3743</v>
      </c>
      <c r="S5" s="457"/>
    </row>
    <row r="6" spans="2:19">
      <c r="B6" s="21">
        <v>1510</v>
      </c>
      <c r="C6" s="21"/>
      <c r="D6" s="21" t="s">
        <v>1155</v>
      </c>
      <c r="E6" s="460" t="s">
        <v>3996</v>
      </c>
      <c r="F6" s="460">
        <v>13</v>
      </c>
      <c r="G6" s="460">
        <v>23</v>
      </c>
      <c r="H6" s="480" t="s">
        <v>5655</v>
      </c>
      <c r="I6" s="460">
        <v>5</v>
      </c>
      <c r="J6" s="460">
        <v>2</v>
      </c>
      <c r="K6" s="460" t="s">
        <v>3996</v>
      </c>
      <c r="L6" s="460"/>
      <c r="M6" s="460"/>
      <c r="N6" s="460" t="s">
        <v>591</v>
      </c>
      <c r="O6" s="460"/>
      <c r="P6" s="460"/>
      <c r="Q6" s="460" t="s">
        <v>591</v>
      </c>
      <c r="R6" s="457"/>
      <c r="S6" s="457"/>
    </row>
    <row r="7" spans="2:19" hidden="1">
      <c r="B7" s="21">
        <v>1511</v>
      </c>
      <c r="C7" s="21"/>
      <c r="D7" s="21" t="s">
        <v>1156</v>
      </c>
      <c r="E7" s="460" t="s">
        <v>3996</v>
      </c>
      <c r="F7" s="460">
        <v>20</v>
      </c>
      <c r="G7" s="460">
        <v>27</v>
      </c>
      <c r="H7" s="480" t="s">
        <v>591</v>
      </c>
      <c r="I7" s="460"/>
      <c r="J7" s="460"/>
      <c r="K7" s="460" t="s">
        <v>3996</v>
      </c>
      <c r="L7" s="460"/>
      <c r="M7" s="460"/>
      <c r="N7" s="460" t="s">
        <v>591</v>
      </c>
      <c r="O7" s="460"/>
      <c r="P7" s="460"/>
      <c r="Q7" s="460" t="s">
        <v>591</v>
      </c>
      <c r="R7" s="457"/>
      <c r="S7" s="457"/>
    </row>
    <row r="8" spans="2:19">
      <c r="H8" s="481" t="s">
        <v>65</v>
      </c>
      <c r="K8" s="481" t="s">
        <v>65</v>
      </c>
    </row>
    <row r="12" spans="2:19">
      <c r="D12" t="s">
        <v>3731</v>
      </c>
    </row>
    <row r="13" spans="2:19">
      <c r="D13" t="s">
        <v>3733</v>
      </c>
    </row>
    <row r="14" spans="2:19">
      <c r="D14" t="s">
        <v>3732</v>
      </c>
    </row>
    <row r="18" spans="4:19">
      <c r="D18" t="s">
        <v>2369</v>
      </c>
    </row>
    <row r="19" spans="4:19">
      <c r="D19" s="479" t="s">
        <v>2256</v>
      </c>
    </row>
    <row r="21" spans="4:19">
      <c r="N21">
        <v>32499</v>
      </c>
      <c r="Q21">
        <v>4.4000000000000004</v>
      </c>
      <c r="R21">
        <f>+N21/Q21</f>
        <v>7386.1363636363631</v>
      </c>
      <c r="S21">
        <f>+R21/150</f>
        <v>49.240909090909085</v>
      </c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3:J64"/>
  <sheetViews>
    <sheetView workbookViewId="0">
      <selection activeCell="L19" sqref="L19"/>
    </sheetView>
  </sheetViews>
  <sheetFormatPr baseColWidth="10" defaultRowHeight="15"/>
  <cols>
    <col min="3" max="3" width="50.42578125" customWidth="1"/>
    <col min="4" max="4" width="30.85546875" customWidth="1"/>
    <col min="5" max="5" width="18.42578125" customWidth="1"/>
  </cols>
  <sheetData>
    <row r="3" spans="1:10">
      <c r="A3" s="139"/>
      <c r="B3" s="139"/>
      <c r="C3" s="139"/>
      <c r="D3" s="139"/>
      <c r="E3" s="139"/>
      <c r="F3" s="140"/>
      <c r="G3" s="139"/>
      <c r="H3" s="139"/>
      <c r="I3" s="139"/>
      <c r="J3" s="139"/>
    </row>
    <row r="4" spans="1:10">
      <c r="A4" s="139"/>
      <c r="B4" s="139"/>
      <c r="C4" s="139"/>
      <c r="D4" s="139"/>
      <c r="E4" s="139"/>
      <c r="F4" s="140"/>
      <c r="G4" s="139"/>
      <c r="H4" s="139"/>
      <c r="I4" s="139"/>
      <c r="J4" s="139"/>
    </row>
    <row r="5" spans="1:10">
      <c r="A5" s="139"/>
      <c r="B5" s="139"/>
      <c r="C5" s="139"/>
      <c r="D5" s="139"/>
      <c r="E5" s="139"/>
      <c r="F5" s="140"/>
      <c r="G5" s="139"/>
      <c r="H5" s="139"/>
      <c r="I5" s="139"/>
      <c r="J5" s="139"/>
    </row>
    <row r="6" spans="1:10" ht="15.75" thickBot="1">
      <c r="A6" s="139"/>
      <c r="B6" s="139"/>
      <c r="C6" s="139"/>
      <c r="D6" s="139"/>
      <c r="E6" s="139"/>
      <c r="F6" s="140"/>
      <c r="G6" s="139"/>
      <c r="H6" s="139"/>
      <c r="I6" s="139"/>
      <c r="J6" s="139"/>
    </row>
    <row r="7" spans="1:10" ht="15.75" thickBot="1">
      <c r="A7" s="2450" t="s">
        <v>791</v>
      </c>
      <c r="B7" s="2451"/>
      <c r="C7" s="2451"/>
      <c r="D7" s="2451"/>
      <c r="E7" s="2451"/>
      <c r="F7" s="2451"/>
      <c r="G7" s="2452" t="s">
        <v>792</v>
      </c>
      <c r="H7" s="2453"/>
      <c r="I7" s="2453"/>
      <c r="J7" s="2454"/>
    </row>
    <row r="8" spans="1:10" ht="64.5" thickBot="1">
      <c r="A8" s="141" t="s">
        <v>793</v>
      </c>
      <c r="B8" s="142" t="s">
        <v>794</v>
      </c>
      <c r="C8" s="141" t="s">
        <v>795</v>
      </c>
      <c r="D8" s="143" t="s">
        <v>796</v>
      </c>
      <c r="E8" s="144" t="s">
        <v>797</v>
      </c>
      <c r="F8" s="145" t="s">
        <v>798</v>
      </c>
      <c r="G8" s="146" t="s">
        <v>799</v>
      </c>
      <c r="H8" s="147" t="s">
        <v>800</v>
      </c>
      <c r="I8" s="147" t="s">
        <v>801</v>
      </c>
      <c r="J8" s="148" t="s">
        <v>802</v>
      </c>
    </row>
    <row r="9" spans="1:10" ht="15.75">
      <c r="A9" s="2455" t="s">
        <v>803</v>
      </c>
      <c r="B9" s="2455" t="s">
        <v>804</v>
      </c>
      <c r="C9" s="149" t="s">
        <v>805</v>
      </c>
      <c r="D9" s="150">
        <v>7592396000984</v>
      </c>
      <c r="E9" s="151" t="s">
        <v>806</v>
      </c>
      <c r="F9" s="152">
        <v>24</v>
      </c>
      <c r="G9" s="153">
        <v>9.76</v>
      </c>
      <c r="H9" s="154">
        <v>11.32</v>
      </c>
      <c r="I9" s="155">
        <f>G9/F9</f>
        <v>0.40666666666666668</v>
      </c>
      <c r="J9" s="156">
        <f>H9/F9</f>
        <v>0.47166666666666668</v>
      </c>
    </row>
    <row r="10" spans="1:10" ht="15.75">
      <c r="A10" s="2456"/>
      <c r="B10" s="2456"/>
      <c r="C10" s="157" t="s">
        <v>807</v>
      </c>
      <c r="D10" s="158">
        <v>7592396000991</v>
      </c>
      <c r="E10" s="159" t="s">
        <v>806</v>
      </c>
      <c r="F10" s="160">
        <v>24</v>
      </c>
      <c r="G10" s="161">
        <v>9.76</v>
      </c>
      <c r="H10" s="162">
        <v>11.32</v>
      </c>
      <c r="I10" s="163">
        <f t="shared" ref="I10:I64" si="0">G10/F10</f>
        <v>0.40666666666666668</v>
      </c>
      <c r="J10" s="164">
        <f t="shared" ref="J10:J64" si="1">H10/F10</f>
        <v>0.47166666666666668</v>
      </c>
    </row>
    <row r="11" spans="1:10" ht="15.75">
      <c r="A11" s="2456"/>
      <c r="B11" s="2456"/>
      <c r="C11" s="157" t="s">
        <v>808</v>
      </c>
      <c r="D11" s="158">
        <v>7592396001004</v>
      </c>
      <c r="E11" s="159" t="s">
        <v>806</v>
      </c>
      <c r="F11" s="160">
        <v>24</v>
      </c>
      <c r="G11" s="161">
        <v>9.76</v>
      </c>
      <c r="H11" s="162">
        <v>11.32</v>
      </c>
      <c r="I11" s="163">
        <f t="shared" si="0"/>
        <v>0.40666666666666668</v>
      </c>
      <c r="J11" s="164">
        <f t="shared" si="1"/>
        <v>0.47166666666666668</v>
      </c>
    </row>
    <row r="12" spans="1:10" ht="15.75">
      <c r="A12" s="2456"/>
      <c r="B12" s="2456"/>
      <c r="C12" s="157" t="s">
        <v>809</v>
      </c>
      <c r="D12" s="158">
        <v>7592396001028</v>
      </c>
      <c r="E12" s="159" t="s">
        <v>806</v>
      </c>
      <c r="F12" s="160">
        <v>24</v>
      </c>
      <c r="G12" s="161">
        <v>9.76</v>
      </c>
      <c r="H12" s="162">
        <v>11.32</v>
      </c>
      <c r="I12" s="163">
        <f t="shared" si="0"/>
        <v>0.40666666666666668</v>
      </c>
      <c r="J12" s="164">
        <f t="shared" si="1"/>
        <v>0.47166666666666668</v>
      </c>
    </row>
    <row r="13" spans="1:10" ht="15.75">
      <c r="A13" s="2456"/>
      <c r="B13" s="2456"/>
      <c r="C13" s="157" t="s">
        <v>810</v>
      </c>
      <c r="D13" s="158">
        <v>7592396000977</v>
      </c>
      <c r="E13" s="159" t="s">
        <v>806</v>
      </c>
      <c r="F13" s="160">
        <v>24</v>
      </c>
      <c r="G13" s="161">
        <v>9.76</v>
      </c>
      <c r="H13" s="162">
        <v>11.32</v>
      </c>
      <c r="I13" s="163">
        <f t="shared" si="0"/>
        <v>0.40666666666666668</v>
      </c>
      <c r="J13" s="164">
        <f t="shared" si="1"/>
        <v>0.47166666666666668</v>
      </c>
    </row>
    <row r="14" spans="1:10" ht="15.75">
      <c r="A14" s="2456"/>
      <c r="B14" s="2456"/>
      <c r="C14" s="157" t="s">
        <v>811</v>
      </c>
      <c r="D14" s="158">
        <v>7592396001035</v>
      </c>
      <c r="E14" s="159" t="s">
        <v>806</v>
      </c>
      <c r="F14" s="160">
        <v>24</v>
      </c>
      <c r="G14" s="161">
        <v>9.76</v>
      </c>
      <c r="H14" s="162">
        <v>11.32</v>
      </c>
      <c r="I14" s="163">
        <f t="shared" si="0"/>
        <v>0.40666666666666668</v>
      </c>
      <c r="J14" s="164">
        <f t="shared" si="1"/>
        <v>0.47166666666666668</v>
      </c>
    </row>
    <row r="15" spans="1:10" ht="15.75">
      <c r="A15" s="2456"/>
      <c r="B15" s="2456"/>
      <c r="C15" s="157" t="s">
        <v>812</v>
      </c>
      <c r="D15" s="158">
        <v>7592396001219</v>
      </c>
      <c r="E15" s="159" t="s">
        <v>806</v>
      </c>
      <c r="F15" s="160">
        <v>24</v>
      </c>
      <c r="G15" s="161">
        <v>9.76</v>
      </c>
      <c r="H15" s="162">
        <v>11.32</v>
      </c>
      <c r="I15" s="163">
        <f t="shared" si="0"/>
        <v>0.40666666666666668</v>
      </c>
      <c r="J15" s="164">
        <f t="shared" si="1"/>
        <v>0.47166666666666668</v>
      </c>
    </row>
    <row r="16" spans="1:10" ht="16.5" thickBot="1">
      <c r="A16" s="2456"/>
      <c r="B16" s="2457"/>
      <c r="C16" s="165" t="s">
        <v>813</v>
      </c>
      <c r="D16" s="166">
        <v>7592396001820</v>
      </c>
      <c r="E16" s="167" t="s">
        <v>806</v>
      </c>
      <c r="F16" s="168">
        <v>24</v>
      </c>
      <c r="G16" s="169">
        <v>9.76</v>
      </c>
      <c r="H16" s="170">
        <v>11.32</v>
      </c>
      <c r="I16" s="171">
        <f t="shared" si="0"/>
        <v>0.40666666666666668</v>
      </c>
      <c r="J16" s="172">
        <f t="shared" si="1"/>
        <v>0.47166666666666668</v>
      </c>
    </row>
    <row r="17" spans="1:10" ht="15.75">
      <c r="A17" s="2456"/>
      <c r="B17" s="2456" t="s">
        <v>814</v>
      </c>
      <c r="C17" s="149" t="s">
        <v>815</v>
      </c>
      <c r="D17" s="150">
        <v>7592396000328</v>
      </c>
      <c r="E17" s="151" t="s">
        <v>816</v>
      </c>
      <c r="F17" s="152">
        <v>24</v>
      </c>
      <c r="G17" s="153">
        <v>9.17</v>
      </c>
      <c r="H17" s="154">
        <v>10.64</v>
      </c>
      <c r="I17" s="155">
        <f t="shared" si="0"/>
        <v>0.38208333333333333</v>
      </c>
      <c r="J17" s="156">
        <f t="shared" si="1"/>
        <v>0.44333333333333336</v>
      </c>
    </row>
    <row r="18" spans="1:10" ht="15.75">
      <c r="A18" s="2456"/>
      <c r="B18" s="2456"/>
      <c r="C18" s="173" t="s">
        <v>817</v>
      </c>
      <c r="D18" s="174">
        <v>7592396000335</v>
      </c>
      <c r="E18" s="175" t="s">
        <v>816</v>
      </c>
      <c r="F18" s="176">
        <v>24</v>
      </c>
      <c r="G18" s="161">
        <v>9.17</v>
      </c>
      <c r="H18" s="162">
        <v>10.64</v>
      </c>
      <c r="I18" s="163">
        <f t="shared" si="0"/>
        <v>0.38208333333333333</v>
      </c>
      <c r="J18" s="164">
        <f t="shared" si="1"/>
        <v>0.44333333333333336</v>
      </c>
    </row>
    <row r="19" spans="1:10" ht="15.75">
      <c r="A19" s="2456"/>
      <c r="B19" s="2456"/>
      <c r="C19" s="173" t="s">
        <v>818</v>
      </c>
      <c r="D19" s="174">
        <v>7592396000342</v>
      </c>
      <c r="E19" s="175" t="s">
        <v>816</v>
      </c>
      <c r="F19" s="176">
        <v>24</v>
      </c>
      <c r="G19" s="161">
        <v>9.17</v>
      </c>
      <c r="H19" s="162">
        <v>10.64</v>
      </c>
      <c r="I19" s="163">
        <f t="shared" si="0"/>
        <v>0.38208333333333333</v>
      </c>
      <c r="J19" s="164">
        <f t="shared" si="1"/>
        <v>0.44333333333333336</v>
      </c>
    </row>
    <row r="20" spans="1:10" ht="15.75">
      <c r="A20" s="2456"/>
      <c r="B20" s="2456"/>
      <c r="C20" s="173" t="s">
        <v>819</v>
      </c>
      <c r="D20" s="174">
        <v>7592396000359</v>
      </c>
      <c r="E20" s="175" t="s">
        <v>816</v>
      </c>
      <c r="F20" s="176">
        <v>24</v>
      </c>
      <c r="G20" s="161">
        <v>9.17</v>
      </c>
      <c r="H20" s="162">
        <v>10.64</v>
      </c>
      <c r="I20" s="163">
        <f t="shared" si="0"/>
        <v>0.38208333333333333</v>
      </c>
      <c r="J20" s="164">
        <f t="shared" si="1"/>
        <v>0.44333333333333336</v>
      </c>
    </row>
    <row r="21" spans="1:10" ht="15.75">
      <c r="A21" s="2456"/>
      <c r="B21" s="2456"/>
      <c r="C21" s="173" t="s">
        <v>820</v>
      </c>
      <c r="D21" s="174">
        <v>7592396001097</v>
      </c>
      <c r="E21" s="175" t="s">
        <v>816</v>
      </c>
      <c r="F21" s="176">
        <v>24</v>
      </c>
      <c r="G21" s="161">
        <v>9.17</v>
      </c>
      <c r="H21" s="162">
        <v>10.64</v>
      </c>
      <c r="I21" s="163">
        <f t="shared" si="0"/>
        <v>0.38208333333333333</v>
      </c>
      <c r="J21" s="164">
        <f t="shared" si="1"/>
        <v>0.44333333333333336</v>
      </c>
    </row>
    <row r="22" spans="1:10" ht="15.75">
      <c r="A22" s="2456"/>
      <c r="B22" s="2456"/>
      <c r="C22" s="173" t="s">
        <v>821</v>
      </c>
      <c r="D22" s="174">
        <v>7592396000366</v>
      </c>
      <c r="E22" s="175" t="s">
        <v>816</v>
      </c>
      <c r="F22" s="176">
        <v>24</v>
      </c>
      <c r="G22" s="161">
        <v>9.17</v>
      </c>
      <c r="H22" s="162">
        <v>10.64</v>
      </c>
      <c r="I22" s="163">
        <f t="shared" si="0"/>
        <v>0.38208333333333333</v>
      </c>
      <c r="J22" s="164">
        <f t="shared" si="1"/>
        <v>0.44333333333333336</v>
      </c>
    </row>
    <row r="23" spans="1:10" ht="15.75">
      <c r="A23" s="2456"/>
      <c r="B23" s="2456"/>
      <c r="C23" s="173" t="s">
        <v>822</v>
      </c>
      <c r="D23" s="174">
        <v>7592396000526</v>
      </c>
      <c r="E23" s="175" t="s">
        <v>816</v>
      </c>
      <c r="F23" s="176">
        <v>24</v>
      </c>
      <c r="G23" s="161">
        <v>9.17</v>
      </c>
      <c r="H23" s="162">
        <v>10.64</v>
      </c>
      <c r="I23" s="163">
        <f t="shared" si="0"/>
        <v>0.38208333333333333</v>
      </c>
      <c r="J23" s="164">
        <f t="shared" si="1"/>
        <v>0.44333333333333336</v>
      </c>
    </row>
    <row r="24" spans="1:10" ht="16.5" thickBot="1">
      <c r="A24" s="2456"/>
      <c r="B24" s="2457"/>
      <c r="C24" s="177" t="s">
        <v>823</v>
      </c>
      <c r="D24" s="178">
        <v>7592396003077</v>
      </c>
      <c r="E24" s="179" t="s">
        <v>816</v>
      </c>
      <c r="F24" s="180">
        <v>24</v>
      </c>
      <c r="G24" s="169">
        <v>9.17</v>
      </c>
      <c r="H24" s="170">
        <v>10.64</v>
      </c>
      <c r="I24" s="171">
        <f t="shared" si="0"/>
        <v>0.38208333333333333</v>
      </c>
      <c r="J24" s="172">
        <f t="shared" si="1"/>
        <v>0.44333333333333336</v>
      </c>
    </row>
    <row r="25" spans="1:10" ht="15.75">
      <c r="A25" s="2456"/>
      <c r="B25" s="2455" t="s">
        <v>824</v>
      </c>
      <c r="C25" s="181" t="s">
        <v>825</v>
      </c>
      <c r="D25" s="150">
        <v>7592396000724</v>
      </c>
      <c r="E25" s="151" t="s">
        <v>826</v>
      </c>
      <c r="F25" s="152">
        <v>12</v>
      </c>
      <c r="G25" s="153">
        <v>11.84</v>
      </c>
      <c r="H25" s="154">
        <v>13.73</v>
      </c>
      <c r="I25" s="155">
        <f t="shared" si="0"/>
        <v>0.98666666666666669</v>
      </c>
      <c r="J25" s="156">
        <f t="shared" si="1"/>
        <v>1.1441666666666668</v>
      </c>
    </row>
    <row r="26" spans="1:10" ht="15.75">
      <c r="A26" s="2456"/>
      <c r="B26" s="2456"/>
      <c r="C26" s="182" t="s">
        <v>827</v>
      </c>
      <c r="D26" s="174">
        <v>7592396000731</v>
      </c>
      <c r="E26" s="175" t="s">
        <v>826</v>
      </c>
      <c r="F26" s="176">
        <v>12</v>
      </c>
      <c r="G26" s="161">
        <v>11.84</v>
      </c>
      <c r="H26" s="162">
        <v>13.73</v>
      </c>
      <c r="I26" s="163">
        <f t="shared" si="0"/>
        <v>0.98666666666666669</v>
      </c>
      <c r="J26" s="164">
        <f t="shared" si="1"/>
        <v>1.1441666666666668</v>
      </c>
    </row>
    <row r="27" spans="1:10" ht="15.75">
      <c r="A27" s="2456"/>
      <c r="B27" s="2456"/>
      <c r="C27" s="182" t="s">
        <v>828</v>
      </c>
      <c r="D27" s="174">
        <v>7592396000830</v>
      </c>
      <c r="E27" s="175" t="s">
        <v>826</v>
      </c>
      <c r="F27" s="176">
        <v>12</v>
      </c>
      <c r="G27" s="161">
        <v>11.84</v>
      </c>
      <c r="H27" s="162">
        <v>13.73</v>
      </c>
      <c r="I27" s="163">
        <f t="shared" si="0"/>
        <v>0.98666666666666669</v>
      </c>
      <c r="J27" s="164">
        <f t="shared" si="1"/>
        <v>1.1441666666666668</v>
      </c>
    </row>
    <row r="28" spans="1:10" ht="15.75">
      <c r="A28" s="2456"/>
      <c r="B28" s="2456"/>
      <c r="C28" s="182" t="s">
        <v>829</v>
      </c>
      <c r="D28" s="174">
        <v>7592396000762</v>
      </c>
      <c r="E28" s="175" t="s">
        <v>826</v>
      </c>
      <c r="F28" s="176">
        <v>12</v>
      </c>
      <c r="G28" s="161">
        <v>11.84</v>
      </c>
      <c r="H28" s="162">
        <v>13.73</v>
      </c>
      <c r="I28" s="163">
        <f t="shared" si="0"/>
        <v>0.98666666666666669</v>
      </c>
      <c r="J28" s="164">
        <f t="shared" si="1"/>
        <v>1.1441666666666668</v>
      </c>
    </row>
    <row r="29" spans="1:10" ht="15.75">
      <c r="A29" s="2456"/>
      <c r="B29" s="2456"/>
      <c r="C29" s="182" t="s">
        <v>830</v>
      </c>
      <c r="D29" s="174">
        <v>7592396001080</v>
      </c>
      <c r="E29" s="175" t="s">
        <v>826</v>
      </c>
      <c r="F29" s="176">
        <v>12</v>
      </c>
      <c r="G29" s="161">
        <v>11.84</v>
      </c>
      <c r="H29" s="162">
        <v>13.73</v>
      </c>
      <c r="I29" s="163">
        <f t="shared" si="0"/>
        <v>0.98666666666666669</v>
      </c>
      <c r="J29" s="164">
        <f t="shared" si="1"/>
        <v>1.1441666666666668</v>
      </c>
    </row>
    <row r="30" spans="1:10" ht="15.75">
      <c r="A30" s="2456"/>
      <c r="B30" s="2456"/>
      <c r="C30" s="182" t="s">
        <v>831</v>
      </c>
      <c r="D30" s="174">
        <v>7592396001103</v>
      </c>
      <c r="E30" s="175" t="s">
        <v>826</v>
      </c>
      <c r="F30" s="176">
        <v>12</v>
      </c>
      <c r="G30" s="161">
        <v>11.84</v>
      </c>
      <c r="H30" s="162">
        <v>13.73</v>
      </c>
      <c r="I30" s="163">
        <f t="shared" si="0"/>
        <v>0.98666666666666669</v>
      </c>
      <c r="J30" s="164">
        <f t="shared" si="1"/>
        <v>1.1441666666666668</v>
      </c>
    </row>
    <row r="31" spans="1:10" ht="15.75">
      <c r="A31" s="2456"/>
      <c r="B31" s="2456"/>
      <c r="C31" s="182" t="s">
        <v>832</v>
      </c>
      <c r="D31" s="174">
        <v>7592396000809</v>
      </c>
      <c r="E31" s="175" t="s">
        <v>826</v>
      </c>
      <c r="F31" s="176">
        <v>12</v>
      </c>
      <c r="G31" s="161">
        <v>11.84</v>
      </c>
      <c r="H31" s="162">
        <v>13.73</v>
      </c>
      <c r="I31" s="163">
        <f t="shared" si="0"/>
        <v>0.98666666666666669</v>
      </c>
      <c r="J31" s="164">
        <f t="shared" si="1"/>
        <v>1.1441666666666668</v>
      </c>
    </row>
    <row r="32" spans="1:10" ht="16.5" thickBot="1">
      <c r="A32" s="2456"/>
      <c r="B32" s="2457"/>
      <c r="C32" s="183" t="s">
        <v>833</v>
      </c>
      <c r="D32" s="178">
        <v>7592396003084</v>
      </c>
      <c r="E32" s="179" t="s">
        <v>826</v>
      </c>
      <c r="F32" s="180">
        <v>12</v>
      </c>
      <c r="G32" s="169">
        <v>11.84</v>
      </c>
      <c r="H32" s="170">
        <v>13.73</v>
      </c>
      <c r="I32" s="171">
        <f t="shared" si="0"/>
        <v>0.98666666666666669</v>
      </c>
      <c r="J32" s="172">
        <f t="shared" si="1"/>
        <v>1.1441666666666668</v>
      </c>
    </row>
    <row r="33" spans="1:10" ht="15.75">
      <c r="A33" s="2456"/>
      <c r="B33" s="2456" t="s">
        <v>834</v>
      </c>
      <c r="C33" s="149" t="s">
        <v>835</v>
      </c>
      <c r="D33" s="150">
        <v>7592396001332</v>
      </c>
      <c r="E33" s="151" t="s">
        <v>836</v>
      </c>
      <c r="F33" s="152">
        <v>24</v>
      </c>
      <c r="G33" s="153">
        <v>5.33</v>
      </c>
      <c r="H33" s="154">
        <v>6.18</v>
      </c>
      <c r="I33" s="184">
        <f t="shared" si="0"/>
        <v>0.22208333333333333</v>
      </c>
      <c r="J33" s="185">
        <f t="shared" si="1"/>
        <v>0.25750000000000001</v>
      </c>
    </row>
    <row r="34" spans="1:10" ht="15.75">
      <c r="A34" s="2456"/>
      <c r="B34" s="2456"/>
      <c r="C34" s="173" t="s">
        <v>837</v>
      </c>
      <c r="D34" s="174">
        <v>7592396001356</v>
      </c>
      <c r="E34" s="175" t="s">
        <v>836</v>
      </c>
      <c r="F34" s="176">
        <v>24</v>
      </c>
      <c r="G34" s="161">
        <v>5.33</v>
      </c>
      <c r="H34" s="162">
        <v>6.18</v>
      </c>
      <c r="I34" s="163">
        <f t="shared" si="0"/>
        <v>0.22208333333333333</v>
      </c>
      <c r="J34" s="164">
        <f t="shared" si="1"/>
        <v>0.25750000000000001</v>
      </c>
    </row>
    <row r="35" spans="1:10" ht="16.5" thickBot="1">
      <c r="A35" s="2456"/>
      <c r="B35" s="2457"/>
      <c r="C35" s="177" t="s">
        <v>838</v>
      </c>
      <c r="D35" s="178">
        <v>7592396001349</v>
      </c>
      <c r="E35" s="179" t="s">
        <v>836</v>
      </c>
      <c r="F35" s="180">
        <v>24</v>
      </c>
      <c r="G35" s="169">
        <v>5.33</v>
      </c>
      <c r="H35" s="170">
        <v>6.18</v>
      </c>
      <c r="I35" s="186">
        <f t="shared" si="0"/>
        <v>0.22208333333333333</v>
      </c>
      <c r="J35" s="187">
        <f t="shared" si="1"/>
        <v>0.25750000000000001</v>
      </c>
    </row>
    <row r="36" spans="1:10" ht="15.75">
      <c r="A36" s="2456"/>
      <c r="B36" s="2458" t="s">
        <v>839</v>
      </c>
      <c r="C36" s="149" t="s">
        <v>840</v>
      </c>
      <c r="D36" s="150">
        <v>17592396003593</v>
      </c>
      <c r="E36" s="151" t="s">
        <v>841</v>
      </c>
      <c r="F36" s="152">
        <v>6</v>
      </c>
      <c r="G36" s="153">
        <v>8.36</v>
      </c>
      <c r="H36" s="154">
        <v>9.6999999999999993</v>
      </c>
      <c r="I36" s="155">
        <f t="shared" si="0"/>
        <v>1.3933333333333333</v>
      </c>
      <c r="J36" s="156">
        <f t="shared" si="1"/>
        <v>1.6166666666666665</v>
      </c>
    </row>
    <row r="37" spans="1:10" ht="15.75">
      <c r="A37" s="2456"/>
      <c r="B37" s="2459"/>
      <c r="C37" s="173" t="s">
        <v>842</v>
      </c>
      <c r="D37" s="174">
        <v>17592396003609</v>
      </c>
      <c r="E37" s="175" t="s">
        <v>841</v>
      </c>
      <c r="F37" s="176">
        <v>6</v>
      </c>
      <c r="G37" s="161">
        <v>8.36</v>
      </c>
      <c r="H37" s="162">
        <v>9.6999999999999993</v>
      </c>
      <c r="I37" s="163">
        <f t="shared" si="0"/>
        <v>1.3933333333333333</v>
      </c>
      <c r="J37" s="164">
        <f t="shared" si="1"/>
        <v>1.6166666666666665</v>
      </c>
    </row>
    <row r="38" spans="1:10" ht="16.5" thickBot="1">
      <c r="A38" s="2456"/>
      <c r="B38" s="2460"/>
      <c r="C38" s="177" t="s">
        <v>843</v>
      </c>
      <c r="D38" s="178">
        <v>17592396003616</v>
      </c>
      <c r="E38" s="179" t="s">
        <v>841</v>
      </c>
      <c r="F38" s="180">
        <v>6</v>
      </c>
      <c r="G38" s="169">
        <v>8.36</v>
      </c>
      <c r="H38" s="170">
        <v>9.6999999999999993</v>
      </c>
      <c r="I38" s="171">
        <f t="shared" si="0"/>
        <v>1.3933333333333333</v>
      </c>
      <c r="J38" s="172">
        <f t="shared" si="1"/>
        <v>1.6166666666666665</v>
      </c>
    </row>
    <row r="39" spans="1:10" ht="15.75">
      <c r="A39" s="2456"/>
      <c r="B39" s="2458" t="s">
        <v>844</v>
      </c>
      <c r="C39" s="149" t="s">
        <v>845</v>
      </c>
      <c r="D39" s="150">
        <v>7592396001448</v>
      </c>
      <c r="E39" s="151" t="s">
        <v>846</v>
      </c>
      <c r="F39" s="152">
        <v>24</v>
      </c>
      <c r="G39" s="153">
        <v>8.36</v>
      </c>
      <c r="H39" s="154">
        <v>9.6999999999999993</v>
      </c>
      <c r="I39" s="184">
        <f t="shared" si="0"/>
        <v>0.34833333333333333</v>
      </c>
      <c r="J39" s="185">
        <f t="shared" si="1"/>
        <v>0.40416666666666662</v>
      </c>
    </row>
    <row r="40" spans="1:10" ht="15.75">
      <c r="A40" s="2456"/>
      <c r="B40" s="2459"/>
      <c r="C40" s="188" t="s">
        <v>847</v>
      </c>
      <c r="D40" s="189">
        <v>7592396001455</v>
      </c>
      <c r="E40" s="190" t="s">
        <v>846</v>
      </c>
      <c r="F40" s="191">
        <v>24</v>
      </c>
      <c r="G40" s="161">
        <v>8.36</v>
      </c>
      <c r="H40" s="162">
        <v>9.6999999999999993</v>
      </c>
      <c r="I40" s="163">
        <f t="shared" si="0"/>
        <v>0.34833333333333333</v>
      </c>
      <c r="J40" s="164">
        <f t="shared" si="1"/>
        <v>0.40416666666666662</v>
      </c>
    </row>
    <row r="41" spans="1:10" ht="15.75">
      <c r="A41" s="2456"/>
      <c r="B41" s="2459"/>
      <c r="C41" s="188" t="s">
        <v>848</v>
      </c>
      <c r="D41" s="189">
        <v>7592396001462</v>
      </c>
      <c r="E41" s="190" t="s">
        <v>846</v>
      </c>
      <c r="F41" s="191">
        <v>24</v>
      </c>
      <c r="G41" s="161">
        <v>8.36</v>
      </c>
      <c r="H41" s="162">
        <v>9.6999999999999993</v>
      </c>
      <c r="I41" s="163">
        <f t="shared" si="0"/>
        <v>0.34833333333333333</v>
      </c>
      <c r="J41" s="164">
        <f t="shared" si="1"/>
        <v>0.40416666666666662</v>
      </c>
    </row>
    <row r="42" spans="1:10" ht="16.5" thickBot="1">
      <c r="A42" s="2456"/>
      <c r="B42" s="2460"/>
      <c r="C42" s="177" t="s">
        <v>849</v>
      </c>
      <c r="D42" s="178">
        <v>7592396001547</v>
      </c>
      <c r="E42" s="179" t="s">
        <v>846</v>
      </c>
      <c r="F42" s="180">
        <v>24</v>
      </c>
      <c r="G42" s="169">
        <v>8.36</v>
      </c>
      <c r="H42" s="170">
        <v>9.6999999999999993</v>
      </c>
      <c r="I42" s="186">
        <f t="shared" si="0"/>
        <v>0.34833333333333333</v>
      </c>
      <c r="J42" s="187">
        <f t="shared" si="1"/>
        <v>0.40416666666666662</v>
      </c>
    </row>
    <row r="43" spans="1:10" ht="15.75">
      <c r="A43" s="2456"/>
      <c r="B43" s="2458" t="s">
        <v>850</v>
      </c>
      <c r="C43" s="192" t="s">
        <v>851</v>
      </c>
      <c r="D43" s="193">
        <v>7592396002070</v>
      </c>
      <c r="E43" s="194" t="s">
        <v>852</v>
      </c>
      <c r="F43" s="195">
        <v>12</v>
      </c>
      <c r="G43" s="153">
        <v>11.1</v>
      </c>
      <c r="H43" s="154">
        <v>12.88</v>
      </c>
      <c r="I43" s="155">
        <f t="shared" si="0"/>
        <v>0.92499999999999993</v>
      </c>
      <c r="J43" s="156">
        <f t="shared" si="1"/>
        <v>1.0733333333333335</v>
      </c>
    </row>
    <row r="44" spans="1:10" ht="15.75">
      <c r="A44" s="2456"/>
      <c r="B44" s="2459"/>
      <c r="C44" s="188" t="s">
        <v>853</v>
      </c>
      <c r="D44" s="189">
        <v>7592396002094</v>
      </c>
      <c r="E44" s="190" t="s">
        <v>852</v>
      </c>
      <c r="F44" s="191">
        <v>12</v>
      </c>
      <c r="G44" s="161">
        <v>11.1</v>
      </c>
      <c r="H44" s="162">
        <v>12.88</v>
      </c>
      <c r="I44" s="163">
        <f t="shared" si="0"/>
        <v>0.92499999999999993</v>
      </c>
      <c r="J44" s="164">
        <f t="shared" si="1"/>
        <v>1.0733333333333335</v>
      </c>
    </row>
    <row r="45" spans="1:10" ht="15.75">
      <c r="A45" s="2456"/>
      <c r="B45" s="2459"/>
      <c r="C45" s="188" t="s">
        <v>854</v>
      </c>
      <c r="D45" s="189">
        <v>7592396002117</v>
      </c>
      <c r="E45" s="190" t="s">
        <v>852</v>
      </c>
      <c r="F45" s="191">
        <v>12</v>
      </c>
      <c r="G45" s="161">
        <v>11.1</v>
      </c>
      <c r="H45" s="162">
        <v>12.88</v>
      </c>
      <c r="I45" s="163">
        <f t="shared" si="0"/>
        <v>0.92499999999999993</v>
      </c>
      <c r="J45" s="164">
        <f t="shared" si="1"/>
        <v>1.0733333333333335</v>
      </c>
    </row>
    <row r="46" spans="1:10" ht="15.75">
      <c r="A46" s="2456"/>
      <c r="B46" s="2459"/>
      <c r="C46" s="188" t="s">
        <v>855</v>
      </c>
      <c r="D46" s="189">
        <v>7592396002131</v>
      </c>
      <c r="E46" s="190" t="s">
        <v>852</v>
      </c>
      <c r="F46" s="191">
        <v>12</v>
      </c>
      <c r="G46" s="161">
        <v>11.1</v>
      </c>
      <c r="H46" s="162">
        <v>12.88</v>
      </c>
      <c r="I46" s="163">
        <f t="shared" si="0"/>
        <v>0.92499999999999993</v>
      </c>
      <c r="J46" s="164">
        <f t="shared" si="1"/>
        <v>1.0733333333333335</v>
      </c>
    </row>
    <row r="47" spans="1:10" ht="15.75">
      <c r="A47" s="2456"/>
      <c r="B47" s="2459"/>
      <c r="C47" s="188" t="s">
        <v>856</v>
      </c>
      <c r="D47" s="189">
        <v>7592396002155</v>
      </c>
      <c r="E47" s="190" t="s">
        <v>852</v>
      </c>
      <c r="F47" s="191">
        <v>12</v>
      </c>
      <c r="G47" s="161">
        <v>11.1</v>
      </c>
      <c r="H47" s="162">
        <v>12.88</v>
      </c>
      <c r="I47" s="163">
        <f t="shared" si="0"/>
        <v>0.92499999999999993</v>
      </c>
      <c r="J47" s="164">
        <f t="shared" si="1"/>
        <v>1.0733333333333335</v>
      </c>
    </row>
    <row r="48" spans="1:10" ht="16.5" thickBot="1">
      <c r="A48" s="2456"/>
      <c r="B48" s="2459"/>
      <c r="C48" s="188" t="s">
        <v>857</v>
      </c>
      <c r="D48" s="189">
        <v>7592396002179</v>
      </c>
      <c r="E48" s="190" t="s">
        <v>852</v>
      </c>
      <c r="F48" s="191">
        <v>12</v>
      </c>
      <c r="G48" s="169">
        <v>11.1</v>
      </c>
      <c r="H48" s="170">
        <v>12.88</v>
      </c>
      <c r="I48" s="196">
        <f t="shared" si="0"/>
        <v>0.92499999999999993</v>
      </c>
      <c r="J48" s="197">
        <f t="shared" si="1"/>
        <v>1.0733333333333335</v>
      </c>
    </row>
    <row r="49" spans="1:10" ht="15.75">
      <c r="A49" s="2461" t="s">
        <v>858</v>
      </c>
      <c r="B49" s="2464" t="s">
        <v>859</v>
      </c>
      <c r="C49" s="198" t="s">
        <v>860</v>
      </c>
      <c r="D49" s="199">
        <v>7592396004869</v>
      </c>
      <c r="E49" s="200" t="s">
        <v>861</v>
      </c>
      <c r="F49" s="201">
        <v>24</v>
      </c>
      <c r="G49" s="153">
        <v>9.86</v>
      </c>
      <c r="H49" s="154">
        <v>11.44</v>
      </c>
      <c r="I49" s="184">
        <f t="shared" si="0"/>
        <v>0.41083333333333333</v>
      </c>
      <c r="J49" s="185">
        <f t="shared" si="1"/>
        <v>0.47666666666666663</v>
      </c>
    </row>
    <row r="50" spans="1:10" ht="15.75">
      <c r="A50" s="2462"/>
      <c r="B50" s="2465"/>
      <c r="C50" s="188" t="s">
        <v>862</v>
      </c>
      <c r="D50" s="189">
        <v>7592396004876</v>
      </c>
      <c r="E50" s="202" t="s">
        <v>861</v>
      </c>
      <c r="F50" s="191">
        <v>24</v>
      </c>
      <c r="G50" s="161">
        <v>9.86</v>
      </c>
      <c r="H50" s="162">
        <v>11.44</v>
      </c>
      <c r="I50" s="163">
        <f t="shared" si="0"/>
        <v>0.41083333333333333</v>
      </c>
      <c r="J50" s="164">
        <f t="shared" si="1"/>
        <v>0.47666666666666663</v>
      </c>
    </row>
    <row r="51" spans="1:10" ht="16.5" thickBot="1">
      <c r="A51" s="2462"/>
      <c r="B51" s="2465"/>
      <c r="C51" s="188" t="s">
        <v>863</v>
      </c>
      <c r="D51" s="189">
        <v>7592396001653</v>
      </c>
      <c r="E51" s="203" t="s">
        <v>861</v>
      </c>
      <c r="F51" s="191">
        <v>24</v>
      </c>
      <c r="G51" s="169">
        <v>9.86</v>
      </c>
      <c r="H51" s="170">
        <v>11.44</v>
      </c>
      <c r="I51" s="186">
        <f t="shared" si="0"/>
        <v>0.41083333333333333</v>
      </c>
      <c r="J51" s="187">
        <f t="shared" si="1"/>
        <v>0.47666666666666663</v>
      </c>
    </row>
    <row r="52" spans="1:10" ht="15.75">
      <c r="A52" s="2462"/>
      <c r="B52" s="2466" t="s">
        <v>864</v>
      </c>
      <c r="C52" s="204" t="s">
        <v>865</v>
      </c>
      <c r="D52" s="205">
        <v>7592396003688</v>
      </c>
      <c r="E52" s="194" t="s">
        <v>866</v>
      </c>
      <c r="F52" s="201">
        <v>24</v>
      </c>
      <c r="G52" s="153">
        <v>11.65</v>
      </c>
      <c r="H52" s="154">
        <v>13.51</v>
      </c>
      <c r="I52" s="155">
        <f>G52/F52</f>
        <v>0.48541666666666666</v>
      </c>
      <c r="J52" s="156">
        <f>H52/F52</f>
        <v>0.56291666666666662</v>
      </c>
    </row>
    <row r="53" spans="1:10" ht="15.75">
      <c r="A53" s="2462"/>
      <c r="B53" s="2467"/>
      <c r="C53" s="206" t="s">
        <v>867</v>
      </c>
      <c r="D53" s="207">
        <v>7592396003695</v>
      </c>
      <c r="E53" s="190" t="s">
        <v>866</v>
      </c>
      <c r="F53" s="191">
        <v>24</v>
      </c>
      <c r="G53" s="161">
        <v>11.65</v>
      </c>
      <c r="H53" s="162">
        <v>13.51</v>
      </c>
      <c r="I53" s="163">
        <f>G53/F53</f>
        <v>0.48541666666666666</v>
      </c>
      <c r="J53" s="164">
        <f>H53/F53</f>
        <v>0.56291666666666662</v>
      </c>
    </row>
    <row r="54" spans="1:10" ht="16.5" thickBot="1">
      <c r="A54" s="2463"/>
      <c r="B54" s="2468"/>
      <c r="C54" s="208" t="s">
        <v>868</v>
      </c>
      <c r="D54" s="209">
        <v>7592396003671</v>
      </c>
      <c r="E54" s="190" t="s">
        <v>866</v>
      </c>
      <c r="F54" s="180">
        <v>24</v>
      </c>
      <c r="G54" s="169">
        <v>11.65</v>
      </c>
      <c r="H54" s="170">
        <v>13.51</v>
      </c>
      <c r="I54" s="171">
        <f>G54/F54</f>
        <v>0.48541666666666666</v>
      </c>
      <c r="J54" s="172">
        <f>H54/F54</f>
        <v>0.56291666666666662</v>
      </c>
    </row>
    <row r="55" spans="1:10" ht="15.75">
      <c r="A55" s="2458" t="s">
        <v>869</v>
      </c>
      <c r="B55" s="149" t="s">
        <v>870</v>
      </c>
      <c r="C55" s="149" t="s">
        <v>871</v>
      </c>
      <c r="D55" s="150">
        <v>7592396000922</v>
      </c>
      <c r="E55" s="149" t="s">
        <v>872</v>
      </c>
      <c r="F55" s="152">
        <v>24</v>
      </c>
      <c r="G55" s="153">
        <v>30.22</v>
      </c>
      <c r="H55" s="154">
        <v>30.22</v>
      </c>
      <c r="I55" s="155">
        <f t="shared" si="0"/>
        <v>1.2591666666666665</v>
      </c>
      <c r="J55" s="156">
        <f t="shared" si="1"/>
        <v>1.2591666666666665</v>
      </c>
    </row>
    <row r="56" spans="1:10" ht="15.75">
      <c r="A56" s="2459"/>
      <c r="B56" s="192" t="s">
        <v>873</v>
      </c>
      <c r="C56" s="192" t="s">
        <v>874</v>
      </c>
      <c r="D56" s="193">
        <v>7592396004562</v>
      </c>
      <c r="E56" s="192" t="s">
        <v>875</v>
      </c>
      <c r="F56" s="160">
        <v>24</v>
      </c>
      <c r="G56" s="161">
        <v>24.08</v>
      </c>
      <c r="H56" s="162">
        <v>24.08</v>
      </c>
      <c r="I56" s="184">
        <f t="shared" si="0"/>
        <v>1.0033333333333332</v>
      </c>
      <c r="J56" s="185">
        <f t="shared" si="1"/>
        <v>1.0033333333333332</v>
      </c>
    </row>
    <row r="57" spans="1:10" ht="15.75">
      <c r="A57" s="2459"/>
      <c r="B57" s="173" t="s">
        <v>876</v>
      </c>
      <c r="C57" s="173" t="s">
        <v>877</v>
      </c>
      <c r="D57" s="174">
        <v>7592396002056</v>
      </c>
      <c r="E57" s="173" t="s">
        <v>878</v>
      </c>
      <c r="F57" s="176">
        <v>24</v>
      </c>
      <c r="G57" s="161">
        <v>10.98</v>
      </c>
      <c r="H57" s="162">
        <v>10.98</v>
      </c>
      <c r="I57" s="163">
        <f t="shared" si="0"/>
        <v>0.45750000000000002</v>
      </c>
      <c r="J57" s="164">
        <f t="shared" si="1"/>
        <v>0.45750000000000002</v>
      </c>
    </row>
    <row r="58" spans="1:10" ht="15.75">
      <c r="A58" s="2459"/>
      <c r="B58" s="173" t="s">
        <v>879</v>
      </c>
      <c r="C58" s="173" t="s">
        <v>880</v>
      </c>
      <c r="D58" s="174">
        <v>7592396000908</v>
      </c>
      <c r="E58" s="173" t="s">
        <v>881</v>
      </c>
      <c r="F58" s="176">
        <v>144</v>
      </c>
      <c r="G58" s="161">
        <v>53.61</v>
      </c>
      <c r="H58" s="162">
        <v>53.61</v>
      </c>
      <c r="I58" s="184">
        <f t="shared" si="0"/>
        <v>0.37229166666666669</v>
      </c>
      <c r="J58" s="185">
        <f t="shared" si="1"/>
        <v>0.37229166666666669</v>
      </c>
    </row>
    <row r="59" spans="1:10" ht="16.5" thickBot="1">
      <c r="A59" s="2460"/>
      <c r="B59" s="165" t="s">
        <v>882</v>
      </c>
      <c r="C59" s="165" t="s">
        <v>883</v>
      </c>
      <c r="D59" s="166">
        <v>7592396004579</v>
      </c>
      <c r="E59" s="165" t="s">
        <v>884</v>
      </c>
      <c r="F59" s="168">
        <v>2</v>
      </c>
      <c r="G59" s="169">
        <v>27.94</v>
      </c>
      <c r="H59" s="170">
        <v>27.94</v>
      </c>
      <c r="I59" s="196">
        <f t="shared" si="0"/>
        <v>13.97</v>
      </c>
      <c r="J59" s="197">
        <f t="shared" si="1"/>
        <v>13.97</v>
      </c>
    </row>
    <row r="60" spans="1:10" ht="15.75">
      <c r="A60" s="2469" t="s">
        <v>885</v>
      </c>
      <c r="B60" s="157" t="s">
        <v>886</v>
      </c>
      <c r="C60" s="157" t="s">
        <v>887</v>
      </c>
      <c r="D60" s="158">
        <v>7592396000151</v>
      </c>
      <c r="E60" s="157" t="s">
        <v>888</v>
      </c>
      <c r="F60" s="195">
        <v>16</v>
      </c>
      <c r="G60" s="153">
        <v>13.7</v>
      </c>
      <c r="H60" s="154">
        <v>13.7</v>
      </c>
      <c r="I60" s="184">
        <f t="shared" si="0"/>
        <v>0.85624999999999996</v>
      </c>
      <c r="J60" s="185">
        <f t="shared" si="1"/>
        <v>0.85624999999999996</v>
      </c>
    </row>
    <row r="61" spans="1:10" ht="16.5" thickBot="1">
      <c r="A61" s="2470"/>
      <c r="B61" s="157" t="s">
        <v>886</v>
      </c>
      <c r="C61" s="188" t="s">
        <v>889</v>
      </c>
      <c r="D61" s="189">
        <v>7592396001905</v>
      </c>
      <c r="E61" s="188" t="s">
        <v>890</v>
      </c>
      <c r="F61" s="180">
        <v>12</v>
      </c>
      <c r="G61" s="169">
        <v>69.48</v>
      </c>
      <c r="H61" s="170">
        <v>69.48</v>
      </c>
      <c r="I61" s="171">
        <f t="shared" si="0"/>
        <v>5.79</v>
      </c>
      <c r="J61" s="172">
        <f t="shared" si="1"/>
        <v>5.79</v>
      </c>
    </row>
    <row r="62" spans="1:10" ht="15.75">
      <c r="A62" s="2447" t="s">
        <v>891</v>
      </c>
      <c r="B62" s="210" t="s">
        <v>879</v>
      </c>
      <c r="C62" s="210" t="s">
        <v>892</v>
      </c>
      <c r="D62" s="199">
        <v>7592396003336</v>
      </c>
      <c r="E62" s="210" t="s">
        <v>893</v>
      </c>
      <c r="F62" s="152">
        <v>144</v>
      </c>
      <c r="G62" s="153">
        <v>53.61</v>
      </c>
      <c r="H62" s="154">
        <v>62.19</v>
      </c>
      <c r="I62" s="155">
        <f t="shared" si="0"/>
        <v>0.37229166666666669</v>
      </c>
      <c r="J62" s="156">
        <f t="shared" si="1"/>
        <v>0.43187500000000001</v>
      </c>
    </row>
    <row r="63" spans="1:10" ht="15.75">
      <c r="A63" s="2448"/>
      <c r="B63" s="173" t="s">
        <v>870</v>
      </c>
      <c r="C63" s="173" t="s">
        <v>894</v>
      </c>
      <c r="D63" s="174">
        <v>7592396005019</v>
      </c>
      <c r="E63" s="173" t="s">
        <v>895</v>
      </c>
      <c r="F63" s="160">
        <v>24</v>
      </c>
      <c r="G63" s="161">
        <v>35.56</v>
      </c>
      <c r="H63" s="162">
        <v>41.25</v>
      </c>
      <c r="I63" s="184">
        <f t="shared" si="0"/>
        <v>1.4816666666666667</v>
      </c>
      <c r="J63" s="185">
        <f t="shared" si="1"/>
        <v>1.71875</v>
      </c>
    </row>
    <row r="64" spans="1:10" ht="32.25" thickBot="1">
      <c r="A64" s="2449"/>
      <c r="B64" s="211" t="s">
        <v>882</v>
      </c>
      <c r="C64" s="177" t="s">
        <v>896</v>
      </c>
      <c r="D64" s="178">
        <v>7592396004609</v>
      </c>
      <c r="E64" s="179" t="s">
        <v>884</v>
      </c>
      <c r="F64" s="180">
        <v>2</v>
      </c>
      <c r="G64" s="169">
        <v>31.94</v>
      </c>
      <c r="H64" s="170">
        <v>37.049999999999997</v>
      </c>
      <c r="I64" s="171">
        <f t="shared" si="0"/>
        <v>15.97</v>
      </c>
      <c r="J64" s="172">
        <f t="shared" si="1"/>
        <v>18.524999999999999</v>
      </c>
    </row>
  </sheetData>
  <mergeCells count="16">
    <mergeCell ref="A62:A64"/>
    <mergeCell ref="A7:F7"/>
    <mergeCell ref="G7:J7"/>
    <mergeCell ref="A9:A48"/>
    <mergeCell ref="B9:B16"/>
    <mergeCell ref="B17:B24"/>
    <mergeCell ref="B25:B32"/>
    <mergeCell ref="B33:B35"/>
    <mergeCell ref="B36:B38"/>
    <mergeCell ref="B39:B42"/>
    <mergeCell ref="B43:B48"/>
    <mergeCell ref="A49:A54"/>
    <mergeCell ref="B49:B51"/>
    <mergeCell ref="B52:B54"/>
    <mergeCell ref="A55:A59"/>
    <mergeCell ref="A60:A61"/>
  </mergeCells>
  <pageMargins left="0.7" right="0.7" top="0.75" bottom="0.75" header="0.3" footer="0.3"/>
  <pageSetup paperSize="119" orientation="landscape" r:id="rId1"/>
  <drawing r:id="rId2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5:R84"/>
  <sheetViews>
    <sheetView topLeftCell="A17" workbookViewId="0">
      <selection activeCell="M78" sqref="M78"/>
    </sheetView>
  </sheetViews>
  <sheetFormatPr baseColWidth="10" defaultRowHeight="15"/>
  <cols>
    <col min="1" max="1" width="34" style="95" customWidth="1"/>
    <col min="2" max="2" width="0" hidden="1" customWidth="1"/>
    <col min="3" max="3" width="24" customWidth="1"/>
    <col min="5" max="10" width="0" hidden="1" customWidth="1"/>
    <col min="11" max="11" width="20" customWidth="1"/>
    <col min="12" max="12" width="20.140625" customWidth="1"/>
    <col min="13" max="13" width="15.28515625" customWidth="1"/>
    <col min="14" max="14" width="21.28515625" customWidth="1"/>
    <col min="15" max="15" width="18.28515625" customWidth="1"/>
  </cols>
  <sheetData>
    <row r="5" spans="1:18" ht="60">
      <c r="K5" s="101" t="s">
        <v>0</v>
      </c>
      <c r="L5" s="101" t="s">
        <v>1</v>
      </c>
      <c r="M5" s="40" t="s">
        <v>19</v>
      </c>
      <c r="N5" s="40" t="s">
        <v>20</v>
      </c>
      <c r="O5" s="40" t="s">
        <v>21</v>
      </c>
      <c r="P5" s="40" t="s">
        <v>22</v>
      </c>
      <c r="Q5" s="40" t="s">
        <v>23</v>
      </c>
      <c r="R5" s="40" t="s">
        <v>24</v>
      </c>
    </row>
    <row r="6" spans="1:18">
      <c r="K6" s="101">
        <v>14458</v>
      </c>
      <c r="L6" s="230" t="s">
        <v>941</v>
      </c>
      <c r="M6" s="101"/>
      <c r="N6" s="101"/>
      <c r="O6" s="101"/>
      <c r="P6" s="101"/>
      <c r="Q6" s="101"/>
      <c r="R6" s="101"/>
    </row>
    <row r="7" spans="1:18">
      <c r="K7" s="101">
        <v>14460</v>
      </c>
      <c r="L7" s="230" t="s">
        <v>942</v>
      </c>
      <c r="M7" s="101"/>
      <c r="N7" s="101"/>
      <c r="O7" s="101"/>
      <c r="P7" s="101"/>
      <c r="Q7" s="101"/>
      <c r="R7" s="101"/>
    </row>
    <row r="8" spans="1:18">
      <c r="K8" s="101">
        <v>14459</v>
      </c>
      <c r="L8" s="230" t="s">
        <v>943</v>
      </c>
      <c r="M8" s="101"/>
      <c r="N8" s="101"/>
      <c r="O8" s="101"/>
      <c r="P8" s="101"/>
      <c r="Q8" s="101"/>
      <c r="R8" s="101"/>
    </row>
    <row r="9" spans="1:18">
      <c r="K9" s="101">
        <v>10977</v>
      </c>
      <c r="L9" s="230" t="s">
        <v>944</v>
      </c>
      <c r="M9" s="101"/>
      <c r="N9" s="101"/>
      <c r="O9" s="101"/>
      <c r="P9" s="101"/>
      <c r="Q9" s="101"/>
      <c r="R9" s="101"/>
    </row>
    <row r="10" spans="1:18">
      <c r="K10" s="101">
        <v>11886</v>
      </c>
      <c r="L10" s="230" t="s">
        <v>945</v>
      </c>
      <c r="M10" s="101"/>
      <c r="N10" s="101"/>
      <c r="O10" s="101"/>
      <c r="P10" s="101"/>
      <c r="Q10" s="101"/>
      <c r="R10" s="101"/>
    </row>
    <row r="11" spans="1:18">
      <c r="K11" s="101">
        <v>7333</v>
      </c>
      <c r="L11" s="230" t="s">
        <v>946</v>
      </c>
      <c r="M11" s="101"/>
      <c r="N11" s="101"/>
      <c r="O11" s="101"/>
      <c r="P11" s="101"/>
      <c r="Q11" s="101"/>
      <c r="R11" s="101"/>
    </row>
    <row r="12" spans="1:18">
      <c r="K12" s="101">
        <v>4941</v>
      </c>
      <c r="L12" s="230" t="s">
        <v>947</v>
      </c>
      <c r="M12" s="101"/>
      <c r="N12" s="101"/>
      <c r="O12" s="101"/>
      <c r="P12" s="101"/>
      <c r="Q12" s="101"/>
      <c r="R12" s="101"/>
    </row>
    <row r="13" spans="1:18">
      <c r="K13" s="101">
        <v>6074</v>
      </c>
      <c r="L13" s="230" t="s">
        <v>948</v>
      </c>
      <c r="M13" s="101"/>
      <c r="N13" s="101"/>
      <c r="O13" s="101"/>
      <c r="P13" s="101"/>
      <c r="Q13" s="101"/>
      <c r="R13" s="101"/>
    </row>
    <row r="16" spans="1:18" s="217" customFormat="1" ht="63.75" hidden="1" customHeight="1">
      <c r="A16" s="2480" t="s">
        <v>1024</v>
      </c>
      <c r="B16" s="2481"/>
      <c r="C16" s="2481"/>
      <c r="D16" s="2481"/>
      <c r="E16" s="2481"/>
      <c r="F16" s="2481"/>
      <c r="G16" s="2481"/>
      <c r="H16" s="2481"/>
      <c r="I16" s="2481"/>
      <c r="J16" s="2482"/>
      <c r="K16" s="255"/>
      <c r="L16" s="255"/>
      <c r="M16" s="255"/>
      <c r="N16" s="255"/>
      <c r="O16" s="255"/>
      <c r="P16" s="255"/>
      <c r="Q16" s="255"/>
    </row>
    <row r="17" spans="1:17" s="217" customFormat="1" ht="63.75" customHeight="1">
      <c r="A17" s="231" t="s">
        <v>1025</v>
      </c>
      <c r="B17" s="232" t="s">
        <v>1026</v>
      </c>
      <c r="C17" s="233" t="s">
        <v>1027</v>
      </c>
      <c r="D17" s="234" t="s">
        <v>1028</v>
      </c>
      <c r="E17" s="232" t="s">
        <v>1029</v>
      </c>
      <c r="F17" s="218" t="s">
        <v>1030</v>
      </c>
      <c r="G17" s="233" t="s">
        <v>1031</v>
      </c>
      <c r="H17" s="234" t="s">
        <v>1032</v>
      </c>
      <c r="I17" s="235" t="s">
        <v>1033</v>
      </c>
      <c r="J17" s="257" t="s">
        <v>1034</v>
      </c>
      <c r="K17" s="256" t="s">
        <v>19</v>
      </c>
      <c r="L17" s="256" t="s">
        <v>20</v>
      </c>
      <c r="M17" s="256" t="s">
        <v>21</v>
      </c>
      <c r="N17" s="256" t="s">
        <v>690</v>
      </c>
      <c r="O17" s="256" t="s">
        <v>24</v>
      </c>
      <c r="P17" s="255"/>
      <c r="Q17" s="255"/>
    </row>
    <row r="18" spans="1:17" s="217" customFormat="1" ht="44.25" customHeight="1">
      <c r="A18" s="236" t="s">
        <v>1016</v>
      </c>
      <c r="B18" s="237">
        <v>5</v>
      </c>
      <c r="C18" s="238">
        <v>7592433000151</v>
      </c>
      <c r="D18" s="239" t="s">
        <v>949</v>
      </c>
      <c r="E18" s="238">
        <v>12</v>
      </c>
      <c r="F18" s="240">
        <v>6.47</v>
      </c>
      <c r="G18" s="241">
        <v>77.69</v>
      </c>
      <c r="H18" s="242">
        <v>8.09</v>
      </c>
      <c r="I18" s="243" t="s">
        <v>950</v>
      </c>
      <c r="J18" s="258">
        <v>8.09</v>
      </c>
      <c r="K18" s="259" t="s">
        <v>1018</v>
      </c>
      <c r="L18" s="259" t="s">
        <v>591</v>
      </c>
      <c r="M18" s="259" t="s">
        <v>591</v>
      </c>
      <c r="N18" s="259" t="s">
        <v>556</v>
      </c>
      <c r="O18" s="259" t="s">
        <v>591</v>
      </c>
      <c r="P18" s="255"/>
      <c r="Q18" s="255"/>
    </row>
    <row r="19" spans="1:17" s="217" customFormat="1" ht="63.75" hidden="1" customHeight="1">
      <c r="A19" s="236" t="s">
        <v>1016</v>
      </c>
      <c r="B19" s="237">
        <v>3</v>
      </c>
      <c r="C19" s="238">
        <v>7592433000137</v>
      </c>
      <c r="D19" s="239" t="s">
        <v>951</v>
      </c>
      <c r="E19" s="238">
        <v>24</v>
      </c>
      <c r="F19" s="240">
        <v>3.33</v>
      </c>
      <c r="G19" s="241">
        <v>79.92</v>
      </c>
      <c r="H19" s="242">
        <v>4.16</v>
      </c>
      <c r="I19" s="243" t="s">
        <v>950</v>
      </c>
      <c r="J19" s="258">
        <v>4.16</v>
      </c>
      <c r="K19" s="259" t="s">
        <v>65</v>
      </c>
      <c r="L19" s="259"/>
      <c r="M19" s="259"/>
      <c r="N19" s="259" t="s">
        <v>65</v>
      </c>
      <c r="O19" s="259"/>
      <c r="P19" s="255"/>
      <c r="Q19" s="255"/>
    </row>
    <row r="20" spans="1:17" s="217" customFormat="1" ht="63.75" hidden="1" customHeight="1">
      <c r="A20" s="243" t="s">
        <v>1016</v>
      </c>
      <c r="B20" s="237">
        <v>1</v>
      </c>
      <c r="C20" s="238">
        <v>7592433000311</v>
      </c>
      <c r="D20" s="239" t="s">
        <v>952</v>
      </c>
      <c r="E20" s="238">
        <v>48</v>
      </c>
      <c r="F20" s="240">
        <v>1.03</v>
      </c>
      <c r="G20" s="241">
        <v>49.48</v>
      </c>
      <c r="H20" s="242">
        <v>1.29</v>
      </c>
      <c r="I20" s="243" t="s">
        <v>950</v>
      </c>
      <c r="J20" s="258">
        <v>1.29</v>
      </c>
      <c r="K20" s="259"/>
      <c r="L20" s="259"/>
      <c r="M20" s="259"/>
      <c r="N20" s="259"/>
      <c r="O20" s="259"/>
      <c r="P20" s="255"/>
      <c r="Q20" s="255"/>
    </row>
    <row r="21" spans="1:17" s="217" customFormat="1" ht="63.75" hidden="1" customHeight="1">
      <c r="A21" s="243" t="s">
        <v>1017</v>
      </c>
      <c r="B21" s="237">
        <v>10</v>
      </c>
      <c r="C21" s="238">
        <v>7592433000649</v>
      </c>
      <c r="D21" s="239" t="s">
        <v>949</v>
      </c>
      <c r="E21" s="238">
        <v>12</v>
      </c>
      <c r="F21" s="240">
        <v>6.72</v>
      </c>
      <c r="G21" s="241">
        <v>80.66</v>
      </c>
      <c r="H21" s="242">
        <v>8.4</v>
      </c>
      <c r="I21" s="243" t="s">
        <v>950</v>
      </c>
      <c r="J21" s="258">
        <v>8.4</v>
      </c>
      <c r="K21" s="259"/>
      <c r="L21" s="259"/>
      <c r="M21" s="259"/>
      <c r="N21" s="259"/>
      <c r="O21" s="259"/>
      <c r="P21" s="255"/>
      <c r="Q21" s="255"/>
    </row>
    <row r="22" spans="1:17" s="217" customFormat="1" ht="63.75" hidden="1" customHeight="1">
      <c r="A22" s="243" t="s">
        <v>953</v>
      </c>
      <c r="B22" s="237">
        <v>4</v>
      </c>
      <c r="C22" s="238">
        <v>7592433000908</v>
      </c>
      <c r="D22" s="239" t="s">
        <v>954</v>
      </c>
      <c r="E22" s="238">
        <v>12</v>
      </c>
      <c r="F22" s="240">
        <v>6.24</v>
      </c>
      <c r="G22" s="241">
        <v>74.849999999999994</v>
      </c>
      <c r="H22" s="242">
        <v>7.8</v>
      </c>
      <c r="I22" s="243" t="s">
        <v>950</v>
      </c>
      <c r="J22" s="258">
        <v>7.8</v>
      </c>
      <c r="K22" s="259"/>
      <c r="L22" s="259"/>
      <c r="M22" s="259"/>
      <c r="N22" s="259"/>
      <c r="O22" s="259"/>
      <c r="P22" s="255"/>
      <c r="Q22" s="255"/>
    </row>
    <row r="23" spans="1:17" s="217" customFormat="1" ht="63.75" hidden="1" customHeight="1">
      <c r="A23" s="243" t="s">
        <v>953</v>
      </c>
      <c r="B23" s="237">
        <v>549</v>
      </c>
      <c r="C23" s="238">
        <v>7592433000564</v>
      </c>
      <c r="D23" s="239" t="s">
        <v>955</v>
      </c>
      <c r="E23" s="238">
        <v>24</v>
      </c>
      <c r="F23" s="240">
        <v>3.34</v>
      </c>
      <c r="G23" s="241">
        <v>80.16</v>
      </c>
      <c r="H23" s="242">
        <v>4.18</v>
      </c>
      <c r="I23" s="243" t="s">
        <v>950</v>
      </c>
      <c r="J23" s="258">
        <v>4.18</v>
      </c>
      <c r="K23" s="259"/>
      <c r="L23" s="259"/>
      <c r="M23" s="259"/>
      <c r="N23" s="259"/>
      <c r="O23" s="259"/>
      <c r="P23" s="255"/>
      <c r="Q23" s="255"/>
    </row>
    <row r="24" spans="1:17" s="217" customFormat="1" ht="63.75" hidden="1" customHeight="1">
      <c r="A24" s="243" t="s">
        <v>953</v>
      </c>
      <c r="B24" s="237">
        <v>13</v>
      </c>
      <c r="C24" s="238">
        <v>7592433001851</v>
      </c>
      <c r="D24" s="239" t="s">
        <v>956</v>
      </c>
      <c r="E24" s="238">
        <v>48</v>
      </c>
      <c r="F24" s="240">
        <v>0.95</v>
      </c>
      <c r="G24" s="241">
        <v>45.53</v>
      </c>
      <c r="H24" s="242">
        <v>1.19</v>
      </c>
      <c r="I24" s="243" t="s">
        <v>950</v>
      </c>
      <c r="J24" s="258">
        <v>1.19</v>
      </c>
      <c r="K24" s="259"/>
      <c r="L24" s="259"/>
      <c r="M24" s="259"/>
      <c r="N24" s="259"/>
      <c r="O24" s="259"/>
      <c r="P24" s="255"/>
      <c r="Q24" s="255"/>
    </row>
    <row r="25" spans="1:17" s="217" customFormat="1" ht="63.75" hidden="1" customHeight="1">
      <c r="A25" s="243" t="s">
        <v>957</v>
      </c>
      <c r="B25" s="237">
        <v>9</v>
      </c>
      <c r="C25" s="238">
        <v>7592433000502</v>
      </c>
      <c r="D25" s="239" t="s">
        <v>958</v>
      </c>
      <c r="E25" s="238">
        <v>12</v>
      </c>
      <c r="F25" s="240">
        <v>7.92</v>
      </c>
      <c r="G25" s="241">
        <v>95.01</v>
      </c>
      <c r="H25" s="242">
        <v>9.9</v>
      </c>
      <c r="I25" s="243" t="s">
        <v>950</v>
      </c>
      <c r="J25" s="258">
        <v>9.9</v>
      </c>
      <c r="K25" s="259"/>
      <c r="L25" s="259"/>
      <c r="M25" s="259"/>
      <c r="N25" s="259"/>
      <c r="O25" s="259"/>
      <c r="P25" s="255"/>
      <c r="Q25" s="255"/>
    </row>
    <row r="26" spans="1:17" s="217" customFormat="1" ht="63.75" hidden="1" customHeight="1">
      <c r="A26" s="243" t="s">
        <v>957</v>
      </c>
      <c r="B26" s="237">
        <v>8</v>
      </c>
      <c r="C26" s="238">
        <v>7592433000519</v>
      </c>
      <c r="D26" s="239" t="s">
        <v>955</v>
      </c>
      <c r="E26" s="238">
        <v>24</v>
      </c>
      <c r="F26" s="240">
        <v>4.04</v>
      </c>
      <c r="G26" s="241">
        <v>96.99</v>
      </c>
      <c r="H26" s="242">
        <v>5.05</v>
      </c>
      <c r="I26" s="243" t="s">
        <v>950</v>
      </c>
      <c r="J26" s="258">
        <v>5.05</v>
      </c>
      <c r="K26" s="259"/>
      <c r="L26" s="259"/>
      <c r="M26" s="259"/>
      <c r="N26" s="259"/>
      <c r="O26" s="259"/>
      <c r="P26" s="255"/>
      <c r="Q26" s="255"/>
    </row>
    <row r="27" spans="1:17" s="217" customFormat="1" ht="42.75" customHeight="1">
      <c r="A27" s="236" t="s">
        <v>959</v>
      </c>
      <c r="B27" s="237">
        <v>71</v>
      </c>
      <c r="C27" s="238">
        <v>7592433000885</v>
      </c>
      <c r="D27" s="239" t="s">
        <v>954</v>
      </c>
      <c r="E27" s="238">
        <v>12</v>
      </c>
      <c r="F27" s="240">
        <v>4.5</v>
      </c>
      <c r="G27" s="241">
        <v>54</v>
      </c>
      <c r="H27" s="242">
        <v>5.63</v>
      </c>
      <c r="I27" s="243" t="s">
        <v>950</v>
      </c>
      <c r="J27" s="258">
        <v>5.63</v>
      </c>
      <c r="K27" s="259" t="s">
        <v>243</v>
      </c>
      <c r="L27" s="259" t="s">
        <v>268</v>
      </c>
      <c r="M27" s="259" t="s">
        <v>268</v>
      </c>
      <c r="N27" s="259" t="s">
        <v>268</v>
      </c>
      <c r="O27" s="259" t="s">
        <v>268</v>
      </c>
      <c r="P27" s="255"/>
      <c r="Q27" s="255"/>
    </row>
    <row r="28" spans="1:17" s="217" customFormat="1" ht="38.25" customHeight="1">
      <c r="A28" s="254" t="s">
        <v>959</v>
      </c>
      <c r="B28" s="237">
        <v>887</v>
      </c>
      <c r="C28" s="238">
        <v>7592433001981</v>
      </c>
      <c r="D28" s="239" t="s">
        <v>960</v>
      </c>
      <c r="E28" s="238">
        <v>24</v>
      </c>
      <c r="F28" s="240">
        <v>2.1</v>
      </c>
      <c r="G28" s="241">
        <v>50.4</v>
      </c>
      <c r="H28" s="242">
        <v>2.63</v>
      </c>
      <c r="I28" s="243" t="s">
        <v>950</v>
      </c>
      <c r="J28" s="258">
        <v>2.63</v>
      </c>
      <c r="K28" s="259" t="s">
        <v>243</v>
      </c>
      <c r="L28" s="259" t="s">
        <v>556</v>
      </c>
      <c r="M28" s="259" t="s">
        <v>556</v>
      </c>
      <c r="N28" s="259" t="s">
        <v>268</v>
      </c>
      <c r="O28" s="259" t="s">
        <v>268</v>
      </c>
      <c r="P28" s="255"/>
      <c r="Q28" s="255"/>
    </row>
    <row r="29" spans="1:17" s="217" customFormat="1" ht="63.75" hidden="1" customHeight="1">
      <c r="A29" s="243" t="s">
        <v>959</v>
      </c>
      <c r="B29" s="237">
        <v>181</v>
      </c>
      <c r="C29" s="238">
        <v>7592433001042</v>
      </c>
      <c r="D29" s="239" t="s">
        <v>956</v>
      </c>
      <c r="E29" s="238">
        <v>48</v>
      </c>
      <c r="F29" s="240">
        <v>0.66</v>
      </c>
      <c r="G29" s="241">
        <v>31.68</v>
      </c>
      <c r="H29" s="242">
        <v>0.83</v>
      </c>
      <c r="I29" s="243" t="s">
        <v>950</v>
      </c>
      <c r="J29" s="258">
        <v>0.83</v>
      </c>
      <c r="K29" s="259"/>
      <c r="L29" s="259"/>
      <c r="M29" s="259"/>
      <c r="N29" s="259"/>
      <c r="O29" s="259"/>
      <c r="P29" s="255"/>
      <c r="Q29" s="255"/>
    </row>
    <row r="30" spans="1:17" s="217" customFormat="1" ht="63.75" hidden="1" customHeight="1">
      <c r="A30" s="2483" t="s">
        <v>1035</v>
      </c>
      <c r="B30" s="2484"/>
      <c r="C30" s="2484"/>
      <c r="D30" s="2484"/>
      <c r="E30" s="2484"/>
      <c r="F30" s="2484"/>
      <c r="G30" s="2484"/>
      <c r="H30" s="2484"/>
      <c r="I30" s="2484"/>
      <c r="J30" s="2484"/>
      <c r="K30" s="259"/>
      <c r="L30" s="259"/>
      <c r="M30" s="259"/>
      <c r="N30" s="259"/>
      <c r="O30" s="259"/>
      <c r="P30" s="255"/>
      <c r="Q30" s="255"/>
    </row>
    <row r="31" spans="1:17" s="217" customFormat="1" ht="39.75" customHeight="1">
      <c r="A31" s="245" t="s">
        <v>961</v>
      </c>
      <c r="B31" s="237">
        <v>17</v>
      </c>
      <c r="C31" s="238">
        <v>7592433000342</v>
      </c>
      <c r="D31" s="239" t="s">
        <v>962</v>
      </c>
      <c r="E31" s="238">
        <v>24</v>
      </c>
      <c r="F31" s="240">
        <v>1.67</v>
      </c>
      <c r="G31" s="241">
        <v>40.159999999999997</v>
      </c>
      <c r="H31" s="242">
        <v>2.38</v>
      </c>
      <c r="I31" s="243" t="s">
        <v>950</v>
      </c>
      <c r="J31" s="258">
        <v>2.38</v>
      </c>
      <c r="K31" s="259" t="s">
        <v>268</v>
      </c>
      <c r="L31" s="259" t="s">
        <v>557</v>
      </c>
      <c r="M31" s="259" t="s">
        <v>557</v>
      </c>
      <c r="N31" s="259" t="s">
        <v>556</v>
      </c>
      <c r="O31" s="259" t="s">
        <v>591</v>
      </c>
      <c r="P31" s="255"/>
      <c r="Q31" s="255"/>
    </row>
    <row r="32" spans="1:17" s="217" customFormat="1" ht="55.5" customHeight="1">
      <c r="A32" s="229" t="s">
        <v>1036</v>
      </c>
      <c r="B32" s="237">
        <v>921</v>
      </c>
      <c r="C32" s="238">
        <v>7592433000175</v>
      </c>
      <c r="D32" s="239" t="s">
        <v>962</v>
      </c>
      <c r="E32" s="238">
        <v>24</v>
      </c>
      <c r="F32" s="240">
        <v>1.27</v>
      </c>
      <c r="G32" s="241">
        <v>30.48</v>
      </c>
      <c r="H32" s="242">
        <v>1.65</v>
      </c>
      <c r="I32" s="243" t="s">
        <v>950</v>
      </c>
      <c r="J32" s="258">
        <v>1.65</v>
      </c>
      <c r="K32" s="259" t="s">
        <v>1019</v>
      </c>
      <c r="L32" s="259" t="s">
        <v>557</v>
      </c>
      <c r="M32" s="259" t="s">
        <v>557</v>
      </c>
      <c r="N32" s="259" t="s">
        <v>556</v>
      </c>
      <c r="O32" s="259" t="s">
        <v>557</v>
      </c>
      <c r="P32" s="255"/>
      <c r="Q32" s="255"/>
    </row>
    <row r="33" spans="1:17" s="217" customFormat="1" ht="63.75" hidden="1" customHeight="1">
      <c r="A33" s="2485" t="s">
        <v>1037</v>
      </c>
      <c r="B33" s="2486"/>
      <c r="C33" s="2486"/>
      <c r="D33" s="2486"/>
      <c r="E33" s="2486"/>
      <c r="F33" s="2486"/>
      <c r="G33" s="2486"/>
      <c r="H33" s="2486"/>
      <c r="I33" s="2486"/>
      <c r="J33" s="2486"/>
      <c r="K33" s="259"/>
      <c r="L33" s="259"/>
      <c r="M33" s="259"/>
      <c r="N33" s="259"/>
      <c r="O33" s="259"/>
      <c r="P33" s="255"/>
      <c r="Q33" s="255"/>
    </row>
    <row r="34" spans="1:17" s="217" customFormat="1" ht="34.5" customHeight="1">
      <c r="A34" s="243" t="s">
        <v>963</v>
      </c>
      <c r="B34" s="237">
        <v>52</v>
      </c>
      <c r="C34" s="238">
        <v>7592433001103</v>
      </c>
      <c r="D34" s="239" t="s">
        <v>964</v>
      </c>
      <c r="E34" s="238">
        <v>24</v>
      </c>
      <c r="F34" s="240">
        <v>3.06</v>
      </c>
      <c r="G34" s="241">
        <v>73.33</v>
      </c>
      <c r="H34" s="242">
        <v>4.34</v>
      </c>
      <c r="I34" s="243" t="s">
        <v>950</v>
      </c>
      <c r="J34" s="258">
        <v>4.34</v>
      </c>
      <c r="K34" s="259" t="s">
        <v>268</v>
      </c>
      <c r="L34" s="259" t="s">
        <v>591</v>
      </c>
      <c r="M34" s="259" t="s">
        <v>591</v>
      </c>
      <c r="N34" s="259" t="s">
        <v>557</v>
      </c>
      <c r="O34" s="259" t="s">
        <v>591</v>
      </c>
      <c r="P34" s="255"/>
      <c r="Q34" s="255"/>
    </row>
    <row r="35" spans="1:17" s="217" customFormat="1" ht="39.75" customHeight="1">
      <c r="A35" s="243" t="s">
        <v>963</v>
      </c>
      <c r="B35" s="237">
        <v>73</v>
      </c>
      <c r="C35" s="238">
        <v>7592433000960</v>
      </c>
      <c r="D35" s="239" t="s">
        <v>965</v>
      </c>
      <c r="E35" s="238">
        <v>25</v>
      </c>
      <c r="F35" s="240">
        <v>1.36</v>
      </c>
      <c r="G35" s="241">
        <v>33.950000000000003</v>
      </c>
      <c r="H35" s="242">
        <v>1.93</v>
      </c>
      <c r="I35" s="243" t="s">
        <v>950</v>
      </c>
      <c r="J35" s="258">
        <v>1.93</v>
      </c>
      <c r="K35" s="259" t="s">
        <v>591</v>
      </c>
      <c r="L35" s="259" t="s">
        <v>591</v>
      </c>
      <c r="M35" s="259" t="s">
        <v>591</v>
      </c>
      <c r="N35" s="259" t="s">
        <v>557</v>
      </c>
      <c r="O35" s="259" t="s">
        <v>591</v>
      </c>
      <c r="P35" s="255"/>
      <c r="Q35" s="255"/>
    </row>
    <row r="36" spans="1:17" s="217" customFormat="1" ht="63.75" hidden="1" customHeight="1">
      <c r="A36" s="2487" t="s">
        <v>1038</v>
      </c>
      <c r="B36" s="2488"/>
      <c r="C36" s="2488"/>
      <c r="D36" s="2488"/>
      <c r="E36" s="2488"/>
      <c r="F36" s="2488"/>
      <c r="G36" s="2488"/>
      <c r="H36" s="2488"/>
      <c r="I36" s="2488"/>
      <c r="J36" s="2488"/>
      <c r="K36" s="259"/>
      <c r="L36" s="259"/>
      <c r="M36" s="259"/>
      <c r="N36" s="259"/>
      <c r="O36" s="259"/>
      <c r="P36" s="255"/>
      <c r="Q36" s="255"/>
    </row>
    <row r="37" spans="1:17" s="217" customFormat="1" ht="63.75" hidden="1" customHeight="1">
      <c r="A37" s="246" t="s">
        <v>966</v>
      </c>
      <c r="B37" s="247">
        <v>791</v>
      </c>
      <c r="C37" s="248">
        <v>7592433007044</v>
      </c>
      <c r="D37" s="249" t="s">
        <v>967</v>
      </c>
      <c r="E37" s="250">
        <v>4</v>
      </c>
      <c r="F37" s="251">
        <v>18.079999999999998</v>
      </c>
      <c r="G37" s="241">
        <v>72.33</v>
      </c>
      <c r="H37" s="252">
        <v>25.68</v>
      </c>
      <c r="I37" s="244">
        <v>4.1100000000000003</v>
      </c>
      <c r="J37" s="258">
        <v>29.79</v>
      </c>
      <c r="K37" s="259"/>
      <c r="L37" s="259"/>
      <c r="M37" s="259"/>
      <c r="N37" s="259"/>
      <c r="O37" s="259"/>
      <c r="P37" s="255"/>
      <c r="Q37" s="255"/>
    </row>
    <row r="38" spans="1:17" s="217" customFormat="1" ht="63.75" hidden="1" customHeight="1">
      <c r="A38" s="2489" t="s">
        <v>1039</v>
      </c>
      <c r="B38" s="2490"/>
      <c r="C38" s="2490"/>
      <c r="D38" s="2490"/>
      <c r="E38" s="2490"/>
      <c r="F38" s="2490"/>
      <c r="G38" s="2490"/>
      <c r="H38" s="2490"/>
      <c r="I38" s="2490"/>
      <c r="J38" s="2490"/>
      <c r="K38" s="259"/>
      <c r="L38" s="259"/>
      <c r="M38" s="259"/>
      <c r="N38" s="259"/>
      <c r="O38" s="259"/>
      <c r="P38" s="255"/>
      <c r="Q38" s="255"/>
    </row>
    <row r="39" spans="1:17" s="217" customFormat="1" ht="63.75" hidden="1" customHeight="1">
      <c r="A39" s="243" t="s">
        <v>968</v>
      </c>
      <c r="B39" s="237">
        <v>571</v>
      </c>
      <c r="C39" s="238">
        <v>7592433001752</v>
      </c>
      <c r="D39" s="239" t="s">
        <v>969</v>
      </c>
      <c r="E39" s="238">
        <v>24</v>
      </c>
      <c r="F39" s="240">
        <v>1.1399999999999999</v>
      </c>
      <c r="G39" s="241">
        <v>27.27</v>
      </c>
      <c r="H39" s="242">
        <v>1.61</v>
      </c>
      <c r="I39" s="244">
        <v>0.26</v>
      </c>
      <c r="J39" s="258">
        <v>1.87</v>
      </c>
      <c r="K39" s="259"/>
      <c r="L39" s="259"/>
      <c r="M39" s="259"/>
      <c r="N39" s="259"/>
      <c r="O39" s="259"/>
      <c r="P39" s="255"/>
      <c r="Q39" s="255"/>
    </row>
    <row r="40" spans="1:17" s="217" customFormat="1" ht="63.75" hidden="1" customHeight="1">
      <c r="A40" s="243" t="s">
        <v>968</v>
      </c>
      <c r="B40" s="237">
        <v>572</v>
      </c>
      <c r="C40" s="238">
        <v>7592433001875</v>
      </c>
      <c r="D40" s="239" t="s">
        <v>970</v>
      </c>
      <c r="E40" s="238">
        <v>48</v>
      </c>
      <c r="F40" s="240">
        <v>0.69</v>
      </c>
      <c r="G40" s="241">
        <v>32.93</v>
      </c>
      <c r="H40" s="242">
        <v>0.97</v>
      </c>
      <c r="I40" s="244">
        <v>0.16</v>
      </c>
      <c r="J40" s="258">
        <v>1.1299999999999999</v>
      </c>
      <c r="K40" s="259"/>
      <c r="L40" s="259"/>
      <c r="M40" s="259"/>
      <c r="N40" s="259"/>
      <c r="O40" s="259"/>
      <c r="P40" s="255"/>
      <c r="Q40" s="255"/>
    </row>
    <row r="41" spans="1:17" s="217" customFormat="1" ht="63.75" hidden="1" customHeight="1">
      <c r="A41" s="243" t="s">
        <v>971</v>
      </c>
      <c r="B41" s="237">
        <v>587</v>
      </c>
      <c r="C41" s="238">
        <v>7592433006801</v>
      </c>
      <c r="D41" s="239" t="s">
        <v>972</v>
      </c>
      <c r="E41" s="238">
        <v>12</v>
      </c>
      <c r="F41" s="240">
        <v>3.91</v>
      </c>
      <c r="G41" s="241">
        <v>46.97</v>
      </c>
      <c r="H41" s="242">
        <v>5.56</v>
      </c>
      <c r="I41" s="244">
        <v>0.89</v>
      </c>
      <c r="J41" s="258">
        <v>6.45</v>
      </c>
      <c r="K41" s="259"/>
      <c r="L41" s="259"/>
      <c r="M41" s="259"/>
      <c r="N41" s="259"/>
      <c r="O41" s="259"/>
      <c r="P41" s="255"/>
      <c r="Q41" s="255"/>
    </row>
    <row r="42" spans="1:17" s="217" customFormat="1" ht="63.75" hidden="1" customHeight="1">
      <c r="A42" s="243" t="s">
        <v>973</v>
      </c>
      <c r="B42" s="237">
        <v>372</v>
      </c>
      <c r="C42" s="238">
        <v>7592433000991</v>
      </c>
      <c r="D42" s="239" t="s">
        <v>969</v>
      </c>
      <c r="E42" s="238">
        <v>24</v>
      </c>
      <c r="F42" s="240">
        <v>1.7</v>
      </c>
      <c r="G42" s="241">
        <v>40.869999999999997</v>
      </c>
      <c r="H42" s="242">
        <v>2.42</v>
      </c>
      <c r="I42" s="244">
        <v>0.39</v>
      </c>
      <c r="J42" s="258">
        <v>2.81</v>
      </c>
      <c r="K42" s="259"/>
      <c r="L42" s="259"/>
      <c r="M42" s="259"/>
      <c r="N42" s="259"/>
      <c r="O42" s="259"/>
      <c r="P42" s="255"/>
      <c r="Q42" s="255"/>
    </row>
    <row r="43" spans="1:17" s="217" customFormat="1" ht="63.75" hidden="1" customHeight="1">
      <c r="A43" s="243" t="s">
        <v>973</v>
      </c>
      <c r="B43" s="237">
        <v>574</v>
      </c>
      <c r="C43" s="238">
        <v>7592433001882</v>
      </c>
      <c r="D43" s="239" t="s">
        <v>970</v>
      </c>
      <c r="E43" s="238">
        <v>48</v>
      </c>
      <c r="F43" s="240">
        <v>0.87</v>
      </c>
      <c r="G43" s="241">
        <v>41.77</v>
      </c>
      <c r="H43" s="242">
        <v>1.24</v>
      </c>
      <c r="I43" s="244">
        <v>0.2</v>
      </c>
      <c r="J43" s="258">
        <v>1.43</v>
      </c>
      <c r="K43" s="259"/>
      <c r="L43" s="259"/>
      <c r="M43" s="259"/>
      <c r="N43" s="259"/>
      <c r="O43" s="259"/>
      <c r="P43" s="255"/>
      <c r="Q43" s="255"/>
    </row>
    <row r="44" spans="1:17" s="217" customFormat="1" ht="36" customHeight="1">
      <c r="A44" s="243" t="s">
        <v>974</v>
      </c>
      <c r="B44" s="237">
        <v>23</v>
      </c>
      <c r="C44" s="238">
        <v>7592433000618</v>
      </c>
      <c r="D44" s="239" t="s">
        <v>972</v>
      </c>
      <c r="E44" s="238">
        <v>12</v>
      </c>
      <c r="F44" s="240">
        <v>4.09</v>
      </c>
      <c r="G44" s="241">
        <v>49.08</v>
      </c>
      <c r="H44" s="242">
        <v>5.32</v>
      </c>
      <c r="I44" s="243" t="s">
        <v>950</v>
      </c>
      <c r="J44" s="258">
        <v>5.32</v>
      </c>
      <c r="K44" s="259" t="s">
        <v>244</v>
      </c>
      <c r="L44" s="259" t="s">
        <v>557</v>
      </c>
      <c r="M44" s="259" t="s">
        <v>591</v>
      </c>
      <c r="N44" s="259" t="s">
        <v>557</v>
      </c>
      <c r="O44" s="259" t="s">
        <v>591</v>
      </c>
      <c r="P44" s="255"/>
      <c r="Q44" s="255"/>
    </row>
    <row r="45" spans="1:17" s="217" customFormat="1" ht="63.75" hidden="1" customHeight="1">
      <c r="A45" s="243" t="s">
        <v>974</v>
      </c>
      <c r="B45" s="237">
        <v>679</v>
      </c>
      <c r="C45" s="238">
        <v>7592433002902</v>
      </c>
      <c r="D45" s="239" t="s">
        <v>975</v>
      </c>
      <c r="E45" s="238">
        <v>24</v>
      </c>
      <c r="F45" s="240">
        <v>2.0699999999999998</v>
      </c>
      <c r="G45" s="241">
        <v>49.7</v>
      </c>
      <c r="H45" s="242">
        <v>2.69</v>
      </c>
      <c r="I45" s="243" t="s">
        <v>950</v>
      </c>
      <c r="J45" s="258">
        <v>2.69</v>
      </c>
      <c r="K45" s="259"/>
      <c r="L45" s="259"/>
      <c r="M45" s="259"/>
      <c r="N45" s="259"/>
      <c r="O45" s="259"/>
      <c r="P45" s="255"/>
      <c r="Q45" s="255"/>
    </row>
    <row r="46" spans="1:17" s="217" customFormat="1" ht="63.75" hidden="1" customHeight="1">
      <c r="A46" s="243" t="s">
        <v>974</v>
      </c>
      <c r="B46" s="237">
        <v>672</v>
      </c>
      <c r="C46" s="238">
        <v>7592433002896</v>
      </c>
      <c r="D46" s="239" t="s">
        <v>970</v>
      </c>
      <c r="E46" s="238">
        <v>48</v>
      </c>
      <c r="F46" s="240">
        <v>0.93</v>
      </c>
      <c r="G46" s="241">
        <v>44.83</v>
      </c>
      <c r="H46" s="242">
        <v>1.21</v>
      </c>
      <c r="I46" s="243" t="s">
        <v>950</v>
      </c>
      <c r="J46" s="258">
        <v>1.21</v>
      </c>
      <c r="K46" s="259"/>
      <c r="L46" s="259"/>
      <c r="M46" s="259"/>
      <c r="N46" s="259"/>
      <c r="O46" s="259"/>
      <c r="P46" s="255"/>
      <c r="Q46" s="255"/>
    </row>
    <row r="47" spans="1:17" s="217" customFormat="1" ht="63.75" hidden="1" customHeight="1">
      <c r="A47" s="2491" t="s">
        <v>976</v>
      </c>
      <c r="B47" s="2492"/>
      <c r="C47" s="2492"/>
      <c r="D47" s="2492"/>
      <c r="E47" s="2492"/>
      <c r="F47" s="2492"/>
      <c r="G47" s="2492"/>
      <c r="H47" s="2492"/>
      <c r="I47" s="2492"/>
      <c r="J47" s="2492"/>
      <c r="K47" s="259"/>
      <c r="L47" s="259"/>
      <c r="M47" s="259"/>
      <c r="N47" s="259"/>
      <c r="O47" s="259"/>
      <c r="P47" s="255"/>
      <c r="Q47" s="255"/>
    </row>
    <row r="48" spans="1:17" s="217" customFormat="1" ht="38.25" customHeight="1">
      <c r="A48" s="236" t="s">
        <v>977</v>
      </c>
      <c r="B48" s="237">
        <v>62</v>
      </c>
      <c r="C48" s="238">
        <v>7592433001073</v>
      </c>
      <c r="D48" s="253" t="s">
        <v>978</v>
      </c>
      <c r="E48" s="238">
        <v>12</v>
      </c>
      <c r="F48" s="240">
        <v>1.3</v>
      </c>
      <c r="G48" s="241">
        <v>15.6</v>
      </c>
      <c r="H48" s="242">
        <v>1.85</v>
      </c>
      <c r="I48" s="244">
        <v>0.3</v>
      </c>
      <c r="J48" s="258">
        <v>2.14</v>
      </c>
      <c r="K48" s="259" t="s">
        <v>1020</v>
      </c>
      <c r="L48" s="259" t="s">
        <v>557</v>
      </c>
      <c r="M48" s="259" t="s">
        <v>556</v>
      </c>
      <c r="N48" s="259" t="s">
        <v>556</v>
      </c>
      <c r="O48" s="259" t="s">
        <v>556</v>
      </c>
      <c r="P48" s="255"/>
      <c r="Q48" s="255"/>
    </row>
    <row r="49" spans="1:17" s="217" customFormat="1" ht="42.75" customHeight="1">
      <c r="A49" s="236" t="s">
        <v>977</v>
      </c>
      <c r="B49" s="237">
        <v>63</v>
      </c>
      <c r="C49" s="238">
        <v>7592433001080</v>
      </c>
      <c r="D49" s="253" t="s">
        <v>979</v>
      </c>
      <c r="E49" s="238">
        <v>12</v>
      </c>
      <c r="F49" s="240">
        <v>2.04</v>
      </c>
      <c r="G49" s="241">
        <v>24.53</v>
      </c>
      <c r="H49" s="242">
        <v>2.9</v>
      </c>
      <c r="I49" s="244">
        <v>0.46</v>
      </c>
      <c r="J49" s="258">
        <v>3.37</v>
      </c>
      <c r="K49" s="259" t="s">
        <v>1020</v>
      </c>
      <c r="L49" s="259" t="s">
        <v>591</v>
      </c>
      <c r="M49" s="259" t="s">
        <v>556</v>
      </c>
      <c r="N49" s="259" t="s">
        <v>556</v>
      </c>
      <c r="O49" s="259" t="s">
        <v>556</v>
      </c>
      <c r="P49" s="255"/>
      <c r="Q49" s="255"/>
    </row>
    <row r="50" spans="1:17" s="217" customFormat="1" ht="63.75" hidden="1" customHeight="1">
      <c r="A50" s="243" t="s">
        <v>980</v>
      </c>
      <c r="B50" s="237">
        <v>643</v>
      </c>
      <c r="C50" s="238">
        <v>7592433001523</v>
      </c>
      <c r="D50" s="253" t="s">
        <v>978</v>
      </c>
      <c r="E50" s="238">
        <v>12</v>
      </c>
      <c r="F50" s="240">
        <v>1.1100000000000001</v>
      </c>
      <c r="G50" s="241">
        <v>13.33</v>
      </c>
      <c r="H50" s="242">
        <v>1.58</v>
      </c>
      <c r="I50" s="244">
        <v>0.25</v>
      </c>
      <c r="J50" s="258">
        <v>1.83</v>
      </c>
      <c r="K50" s="259"/>
      <c r="L50" s="259"/>
      <c r="M50" s="259"/>
      <c r="N50" s="259"/>
      <c r="O50" s="259"/>
      <c r="P50" s="255"/>
      <c r="Q50" s="255"/>
    </row>
    <row r="51" spans="1:17" s="217" customFormat="1" ht="63.75" hidden="1" customHeight="1">
      <c r="A51" s="243" t="s">
        <v>981</v>
      </c>
      <c r="B51" s="237">
        <v>321</v>
      </c>
      <c r="C51" s="238">
        <v>7592433001455</v>
      </c>
      <c r="D51" s="253" t="s">
        <v>982</v>
      </c>
      <c r="E51" s="238">
        <v>4</v>
      </c>
      <c r="F51" s="251">
        <v>21.4</v>
      </c>
      <c r="G51" s="241">
        <v>85.58</v>
      </c>
      <c r="H51" s="252">
        <v>30.38</v>
      </c>
      <c r="I51" s="244">
        <v>4.8600000000000003</v>
      </c>
      <c r="J51" s="258">
        <v>35.24</v>
      </c>
      <c r="K51" s="259"/>
      <c r="L51" s="259"/>
      <c r="M51" s="259"/>
      <c r="N51" s="259"/>
      <c r="O51" s="259"/>
      <c r="P51" s="255"/>
      <c r="Q51" s="255"/>
    </row>
    <row r="52" spans="1:17" s="217" customFormat="1" ht="63.75" hidden="1" customHeight="1">
      <c r="A52" s="2471" t="s">
        <v>983</v>
      </c>
      <c r="B52" s="2472"/>
      <c r="C52" s="2472"/>
      <c r="D52" s="2472"/>
      <c r="E52" s="2472"/>
      <c r="F52" s="2472"/>
      <c r="G52" s="2472"/>
      <c r="H52" s="2472"/>
      <c r="I52" s="2472"/>
      <c r="J52" s="2472"/>
      <c r="K52" s="259"/>
      <c r="L52" s="259"/>
      <c r="M52" s="259"/>
      <c r="N52" s="259"/>
      <c r="O52" s="259"/>
      <c r="P52" s="255"/>
      <c r="Q52" s="255"/>
    </row>
    <row r="53" spans="1:17" s="217" customFormat="1" ht="63.75" hidden="1" customHeight="1">
      <c r="A53" s="243" t="s">
        <v>984</v>
      </c>
      <c r="B53" s="237">
        <v>512</v>
      </c>
      <c r="C53" s="238">
        <v>7592433001578</v>
      </c>
      <c r="D53" s="243" t="s">
        <v>985</v>
      </c>
      <c r="E53" s="238">
        <v>3</v>
      </c>
      <c r="F53" s="240">
        <v>6.05</v>
      </c>
      <c r="G53" s="241">
        <v>18.16</v>
      </c>
      <c r="H53" s="242">
        <v>8.7799999999999994</v>
      </c>
      <c r="I53" s="244">
        <v>1.4</v>
      </c>
      <c r="J53" s="258">
        <v>10.18</v>
      </c>
      <c r="K53" s="259"/>
      <c r="L53" s="259"/>
      <c r="M53" s="259"/>
      <c r="N53" s="259"/>
      <c r="O53" s="259"/>
      <c r="P53" s="255"/>
      <c r="Q53" s="255"/>
    </row>
    <row r="54" spans="1:17" s="217" customFormat="1" ht="63.75" hidden="1" customHeight="1">
      <c r="A54" s="243" t="s">
        <v>986</v>
      </c>
      <c r="B54" s="237">
        <v>331</v>
      </c>
      <c r="C54" s="238">
        <v>7592433006986</v>
      </c>
      <c r="D54" s="243" t="s">
        <v>985</v>
      </c>
      <c r="E54" s="238">
        <v>2</v>
      </c>
      <c r="F54" s="240">
        <v>7.75</v>
      </c>
      <c r="G54" s="241">
        <v>15.51</v>
      </c>
      <c r="H54" s="252">
        <v>11.24</v>
      </c>
      <c r="I54" s="244">
        <v>1.8</v>
      </c>
      <c r="J54" s="258">
        <v>13.04</v>
      </c>
      <c r="K54" s="259"/>
      <c r="L54" s="259"/>
      <c r="M54" s="259"/>
      <c r="N54" s="259"/>
      <c r="O54" s="259"/>
      <c r="P54" s="255"/>
      <c r="Q54" s="255"/>
    </row>
    <row r="55" spans="1:17" s="217" customFormat="1" ht="63.75" hidden="1" customHeight="1">
      <c r="A55" s="243" t="s">
        <v>987</v>
      </c>
      <c r="B55" s="237">
        <v>289</v>
      </c>
      <c r="C55" s="238">
        <v>7592433006832</v>
      </c>
      <c r="D55" s="243" t="s">
        <v>988</v>
      </c>
      <c r="E55" s="238">
        <v>4</v>
      </c>
      <c r="F55" s="251">
        <v>21.18</v>
      </c>
      <c r="G55" s="241">
        <v>84.72</v>
      </c>
      <c r="H55" s="252">
        <v>30.71</v>
      </c>
      <c r="I55" s="244">
        <v>4.91</v>
      </c>
      <c r="J55" s="258">
        <v>35.619999999999997</v>
      </c>
      <c r="K55" s="259"/>
      <c r="L55" s="259"/>
      <c r="M55" s="259"/>
      <c r="N55" s="259"/>
      <c r="O55" s="259"/>
      <c r="P55" s="255"/>
      <c r="Q55" s="255"/>
    </row>
    <row r="56" spans="1:17" s="217" customFormat="1" ht="63.75" hidden="1" customHeight="1">
      <c r="A56" s="243" t="s">
        <v>989</v>
      </c>
      <c r="B56" s="237">
        <v>726</v>
      </c>
      <c r="C56" s="238">
        <v>7592433007006</v>
      </c>
      <c r="D56" s="243" t="s">
        <v>990</v>
      </c>
      <c r="E56" s="238">
        <v>3</v>
      </c>
      <c r="F56" s="240">
        <v>4.8</v>
      </c>
      <c r="G56" s="241">
        <v>14.4</v>
      </c>
      <c r="H56" s="242">
        <v>6.96</v>
      </c>
      <c r="I56" s="243" t="s">
        <v>950</v>
      </c>
      <c r="J56" s="258">
        <v>6.96</v>
      </c>
      <c r="K56" s="259"/>
      <c r="L56" s="259"/>
      <c r="M56" s="259"/>
      <c r="N56" s="259"/>
      <c r="O56" s="259"/>
      <c r="P56" s="255"/>
      <c r="Q56" s="255"/>
    </row>
    <row r="57" spans="1:17" s="217" customFormat="1" ht="63.75" hidden="1" customHeight="1">
      <c r="A57" s="243" t="s">
        <v>991</v>
      </c>
      <c r="B57" s="237">
        <v>287</v>
      </c>
      <c r="C57" s="238">
        <v>7592433001394</v>
      </c>
      <c r="D57" s="243" t="s">
        <v>990</v>
      </c>
      <c r="E57" s="238">
        <v>3</v>
      </c>
      <c r="F57" s="240">
        <v>4.7699999999999996</v>
      </c>
      <c r="G57" s="241">
        <v>14.31</v>
      </c>
      <c r="H57" s="242">
        <v>6.92</v>
      </c>
      <c r="I57" s="244">
        <v>1.1100000000000001</v>
      </c>
      <c r="J57" s="258">
        <v>8.02</v>
      </c>
      <c r="K57" s="259"/>
      <c r="L57" s="259"/>
      <c r="M57" s="259"/>
      <c r="N57" s="259"/>
      <c r="O57" s="259"/>
      <c r="P57" s="255"/>
      <c r="Q57" s="255"/>
    </row>
    <row r="58" spans="1:17" s="217" customFormat="1" ht="63.75" hidden="1" customHeight="1">
      <c r="A58" s="243" t="s">
        <v>992</v>
      </c>
      <c r="B58" s="237">
        <v>285</v>
      </c>
      <c r="C58" s="238">
        <v>7592433001141</v>
      </c>
      <c r="D58" s="243" t="s">
        <v>990</v>
      </c>
      <c r="E58" s="238">
        <v>3</v>
      </c>
      <c r="F58" s="240">
        <v>3.39</v>
      </c>
      <c r="G58" s="241">
        <v>10.17</v>
      </c>
      <c r="H58" s="242">
        <v>4.92</v>
      </c>
      <c r="I58" s="243" t="s">
        <v>950</v>
      </c>
      <c r="J58" s="258">
        <v>4.92</v>
      </c>
      <c r="K58" s="259"/>
      <c r="L58" s="259"/>
      <c r="M58" s="259"/>
      <c r="N58" s="259"/>
      <c r="O58" s="259"/>
      <c r="P58" s="255"/>
      <c r="Q58" s="255"/>
    </row>
    <row r="59" spans="1:17" s="217" customFormat="1" ht="63.75" hidden="1" customHeight="1">
      <c r="A59" s="228" t="s">
        <v>1040</v>
      </c>
      <c r="B59" s="237">
        <v>1027</v>
      </c>
      <c r="C59" s="238">
        <v>7592433001974</v>
      </c>
      <c r="D59" s="243" t="s">
        <v>993</v>
      </c>
      <c r="E59" s="238">
        <v>12</v>
      </c>
      <c r="F59" s="240">
        <v>4.5</v>
      </c>
      <c r="G59" s="241">
        <v>54</v>
      </c>
      <c r="H59" s="242">
        <v>6.53</v>
      </c>
      <c r="I59" s="244">
        <v>1.04</v>
      </c>
      <c r="J59" s="258">
        <v>7.57</v>
      </c>
      <c r="K59" s="259"/>
      <c r="L59" s="259"/>
      <c r="M59" s="259"/>
      <c r="N59" s="259"/>
      <c r="O59" s="259"/>
      <c r="P59" s="255"/>
      <c r="Q59" s="255"/>
    </row>
    <row r="60" spans="1:17" s="217" customFormat="1" ht="63.75" hidden="1" customHeight="1">
      <c r="A60" s="228" t="s">
        <v>1041</v>
      </c>
      <c r="B60" s="237">
        <v>1028</v>
      </c>
      <c r="C60" s="238">
        <v>7592433001967</v>
      </c>
      <c r="D60" s="243" t="s">
        <v>993</v>
      </c>
      <c r="E60" s="238">
        <v>12</v>
      </c>
      <c r="F60" s="240">
        <v>4.5</v>
      </c>
      <c r="G60" s="241">
        <v>54</v>
      </c>
      <c r="H60" s="242">
        <v>6.53</v>
      </c>
      <c r="I60" s="244">
        <v>1.04</v>
      </c>
      <c r="J60" s="258">
        <v>7.57</v>
      </c>
      <c r="K60" s="259"/>
      <c r="L60" s="259"/>
      <c r="M60" s="259"/>
      <c r="N60" s="259"/>
      <c r="O60" s="259"/>
      <c r="P60" s="255"/>
      <c r="Q60" s="255"/>
    </row>
    <row r="61" spans="1:17" s="217" customFormat="1" ht="63.75" hidden="1" customHeight="1">
      <c r="A61" s="228" t="s">
        <v>1042</v>
      </c>
      <c r="B61" s="237">
        <v>1024</v>
      </c>
      <c r="C61" s="238">
        <v>7592433001943</v>
      </c>
      <c r="D61" s="243" t="s">
        <v>993</v>
      </c>
      <c r="E61" s="238">
        <v>12</v>
      </c>
      <c r="F61" s="240">
        <v>4.5999999999999996</v>
      </c>
      <c r="G61" s="241">
        <v>55.2</v>
      </c>
      <c r="H61" s="242">
        <v>6.67</v>
      </c>
      <c r="I61" s="244">
        <v>1.07</v>
      </c>
      <c r="J61" s="258">
        <v>7.74</v>
      </c>
      <c r="K61" s="259"/>
      <c r="L61" s="259"/>
      <c r="M61" s="259"/>
      <c r="N61" s="259"/>
      <c r="O61" s="259"/>
      <c r="P61" s="255"/>
      <c r="Q61" s="255"/>
    </row>
    <row r="62" spans="1:17" s="217" customFormat="1" ht="63.75" hidden="1" customHeight="1">
      <c r="A62" s="2473" t="s">
        <v>1043</v>
      </c>
      <c r="B62" s="2474"/>
      <c r="C62" s="2474"/>
      <c r="D62" s="2474"/>
      <c r="E62" s="2474"/>
      <c r="F62" s="2474"/>
      <c r="G62" s="2474"/>
      <c r="H62" s="2474"/>
      <c r="I62" s="2474"/>
      <c r="J62" s="2474"/>
      <c r="K62" s="259"/>
      <c r="L62" s="259"/>
      <c r="M62" s="259"/>
      <c r="N62" s="259"/>
      <c r="O62" s="259"/>
      <c r="P62" s="255"/>
      <c r="Q62" s="255"/>
    </row>
    <row r="63" spans="1:17" s="217" customFormat="1" ht="63.75" hidden="1" customHeight="1">
      <c r="A63" s="243" t="s">
        <v>994</v>
      </c>
      <c r="B63" s="237">
        <v>641</v>
      </c>
      <c r="C63" s="238">
        <v>7592433001820</v>
      </c>
      <c r="D63" s="239" t="s">
        <v>995</v>
      </c>
      <c r="E63" s="238">
        <v>12</v>
      </c>
      <c r="F63" s="240">
        <v>1.37</v>
      </c>
      <c r="G63" s="241">
        <v>16.440000000000001</v>
      </c>
      <c r="H63" s="242">
        <v>1.95</v>
      </c>
      <c r="I63" s="244">
        <v>0.31</v>
      </c>
      <c r="J63" s="258">
        <v>2.2599999999999998</v>
      </c>
      <c r="K63" s="259"/>
      <c r="L63" s="259"/>
      <c r="M63" s="259"/>
      <c r="N63" s="259"/>
      <c r="O63" s="259"/>
      <c r="P63" s="255"/>
      <c r="Q63" s="255"/>
    </row>
    <row r="64" spans="1:17" s="217" customFormat="1" ht="63.75" hidden="1" customHeight="1">
      <c r="A64" s="243" t="s">
        <v>996</v>
      </c>
      <c r="B64" s="237">
        <v>642</v>
      </c>
      <c r="C64" s="238">
        <v>7592433001813</v>
      </c>
      <c r="D64" s="239" t="s">
        <v>995</v>
      </c>
      <c r="E64" s="238">
        <v>12</v>
      </c>
      <c r="F64" s="240">
        <v>1.37</v>
      </c>
      <c r="G64" s="241">
        <v>16.440000000000001</v>
      </c>
      <c r="H64" s="242">
        <v>1.95</v>
      </c>
      <c r="I64" s="244">
        <v>0.31</v>
      </c>
      <c r="J64" s="258">
        <v>2.2599999999999998</v>
      </c>
      <c r="K64" s="259"/>
      <c r="L64" s="259"/>
      <c r="M64" s="259"/>
      <c r="N64" s="259"/>
      <c r="O64" s="259"/>
      <c r="P64" s="255"/>
      <c r="Q64" s="255"/>
    </row>
    <row r="65" spans="1:17" s="217" customFormat="1" ht="63.75" hidden="1" customHeight="1">
      <c r="A65" s="243" t="s">
        <v>997</v>
      </c>
      <c r="B65" s="237">
        <v>629</v>
      </c>
      <c r="C65" s="238">
        <v>7592433001837</v>
      </c>
      <c r="D65" s="239" t="s">
        <v>998</v>
      </c>
      <c r="E65" s="238">
        <v>72</v>
      </c>
      <c r="F65" s="240">
        <v>0.37</v>
      </c>
      <c r="G65" s="241">
        <v>26.64</v>
      </c>
      <c r="H65" s="242">
        <v>0.53</v>
      </c>
      <c r="I65" s="244">
        <v>0.08</v>
      </c>
      <c r="J65" s="258">
        <v>0.61</v>
      </c>
      <c r="K65" s="259"/>
      <c r="L65" s="259"/>
      <c r="M65" s="259"/>
      <c r="N65" s="259"/>
      <c r="O65" s="259"/>
      <c r="P65" s="255"/>
      <c r="Q65" s="255"/>
    </row>
    <row r="66" spans="1:17" s="217" customFormat="1" ht="63.75" hidden="1" customHeight="1">
      <c r="A66" s="243" t="s">
        <v>999</v>
      </c>
      <c r="B66" s="237">
        <v>628</v>
      </c>
      <c r="C66" s="238">
        <v>7592433001844</v>
      </c>
      <c r="D66" s="239" t="s">
        <v>998</v>
      </c>
      <c r="E66" s="238">
        <v>72</v>
      </c>
      <c r="F66" s="240">
        <v>0.37</v>
      </c>
      <c r="G66" s="241">
        <v>26.64</v>
      </c>
      <c r="H66" s="242">
        <v>0.53</v>
      </c>
      <c r="I66" s="244">
        <v>0.08</v>
      </c>
      <c r="J66" s="258">
        <v>0.61</v>
      </c>
      <c r="K66" s="259"/>
      <c r="L66" s="259"/>
      <c r="M66" s="259"/>
      <c r="N66" s="259"/>
      <c r="O66" s="259"/>
      <c r="P66" s="255"/>
      <c r="Q66" s="255"/>
    </row>
    <row r="67" spans="1:17" s="217" customFormat="1" ht="63.75" hidden="1" customHeight="1">
      <c r="A67" s="228" t="s">
        <v>1044</v>
      </c>
      <c r="B67" s="237">
        <v>630</v>
      </c>
      <c r="C67" s="238">
        <v>7592433001783</v>
      </c>
      <c r="D67" s="239" t="s">
        <v>1000</v>
      </c>
      <c r="E67" s="238">
        <v>72</v>
      </c>
      <c r="F67" s="240">
        <v>0.22</v>
      </c>
      <c r="G67" s="241">
        <v>15.84</v>
      </c>
      <c r="H67" s="242">
        <v>0.31</v>
      </c>
      <c r="I67" s="244">
        <v>0.05</v>
      </c>
      <c r="J67" s="258">
        <v>0.36</v>
      </c>
      <c r="K67" s="259"/>
      <c r="L67" s="259"/>
      <c r="M67" s="259"/>
      <c r="N67" s="259"/>
      <c r="O67" s="259"/>
      <c r="P67" s="255"/>
      <c r="Q67" s="255"/>
    </row>
    <row r="68" spans="1:17" s="217" customFormat="1" ht="63.75" hidden="1" customHeight="1">
      <c r="A68" s="228" t="s">
        <v>1045</v>
      </c>
      <c r="B68" s="237">
        <v>631</v>
      </c>
      <c r="C68" s="238">
        <v>7592433001769</v>
      </c>
      <c r="D68" s="239" t="s">
        <v>1000</v>
      </c>
      <c r="E68" s="238">
        <v>72</v>
      </c>
      <c r="F68" s="240">
        <v>0.22</v>
      </c>
      <c r="G68" s="241">
        <v>15.84</v>
      </c>
      <c r="H68" s="242">
        <v>0.31</v>
      </c>
      <c r="I68" s="244">
        <v>0.05</v>
      </c>
      <c r="J68" s="258">
        <v>0.36</v>
      </c>
      <c r="K68" s="259"/>
      <c r="L68" s="259"/>
      <c r="M68" s="259"/>
      <c r="N68" s="259"/>
      <c r="O68" s="259"/>
      <c r="P68" s="255"/>
      <c r="Q68" s="255"/>
    </row>
    <row r="69" spans="1:17" s="217" customFormat="1" ht="63.75" hidden="1" customHeight="1">
      <c r="A69" s="228" t="s">
        <v>1046</v>
      </c>
      <c r="B69" s="237">
        <v>632</v>
      </c>
      <c r="C69" s="238">
        <v>7592433001776</v>
      </c>
      <c r="D69" s="239" t="s">
        <v>1000</v>
      </c>
      <c r="E69" s="238">
        <v>72</v>
      </c>
      <c r="F69" s="240">
        <v>0.22</v>
      </c>
      <c r="G69" s="241">
        <v>15.84</v>
      </c>
      <c r="H69" s="242">
        <v>0.31</v>
      </c>
      <c r="I69" s="244">
        <v>0.05</v>
      </c>
      <c r="J69" s="258">
        <v>0.36</v>
      </c>
      <c r="K69" s="259"/>
      <c r="L69" s="259"/>
      <c r="M69" s="259"/>
      <c r="N69" s="259"/>
      <c r="O69" s="259"/>
      <c r="P69" s="255"/>
      <c r="Q69" s="255"/>
    </row>
    <row r="70" spans="1:17" s="217" customFormat="1" ht="63.75" hidden="1" customHeight="1">
      <c r="A70" s="2475" t="s">
        <v>1001</v>
      </c>
      <c r="B70" s="2476"/>
      <c r="C70" s="2476"/>
      <c r="D70" s="2476"/>
      <c r="E70" s="2476"/>
      <c r="F70" s="2476"/>
      <c r="G70" s="2476"/>
      <c r="H70" s="2476"/>
      <c r="I70" s="2476"/>
      <c r="J70" s="2476"/>
      <c r="K70" s="259"/>
      <c r="L70" s="259"/>
      <c r="M70" s="259"/>
      <c r="N70" s="259"/>
      <c r="O70" s="259"/>
      <c r="P70" s="255"/>
      <c r="Q70" s="255"/>
    </row>
    <row r="71" spans="1:17" s="217" customFormat="1" ht="63.75" hidden="1" customHeight="1">
      <c r="A71" s="243" t="s">
        <v>1002</v>
      </c>
      <c r="B71" s="237">
        <v>936</v>
      </c>
      <c r="C71" s="238">
        <v>7592433006662</v>
      </c>
      <c r="D71" s="239" t="s">
        <v>1003</v>
      </c>
      <c r="E71" s="238">
        <v>18</v>
      </c>
      <c r="F71" s="240">
        <v>0.85</v>
      </c>
      <c r="G71" s="241">
        <v>15.3</v>
      </c>
      <c r="H71" s="242">
        <v>1.06</v>
      </c>
      <c r="I71" s="243" t="s">
        <v>950</v>
      </c>
      <c r="J71" s="258">
        <v>1.06</v>
      </c>
      <c r="K71" s="259"/>
      <c r="L71" s="259"/>
      <c r="M71" s="259"/>
      <c r="N71" s="259"/>
      <c r="O71" s="259"/>
      <c r="P71" s="255"/>
      <c r="Q71" s="255"/>
    </row>
    <row r="72" spans="1:17" s="217" customFormat="1" ht="42" customHeight="1">
      <c r="A72" s="236" t="s">
        <v>1021</v>
      </c>
      <c r="B72" s="237">
        <v>881</v>
      </c>
      <c r="C72" s="238">
        <v>7592433006665</v>
      </c>
      <c r="D72" s="239" t="s">
        <v>1003</v>
      </c>
      <c r="E72" s="238">
        <v>18</v>
      </c>
      <c r="F72" s="240">
        <v>0.85</v>
      </c>
      <c r="G72" s="241">
        <v>15.3</v>
      </c>
      <c r="H72" s="242">
        <v>1.06</v>
      </c>
      <c r="I72" s="243" t="s">
        <v>950</v>
      </c>
      <c r="J72" s="258">
        <v>1.06</v>
      </c>
      <c r="K72" s="259" t="s">
        <v>1023</v>
      </c>
      <c r="L72" s="259" t="s">
        <v>557</v>
      </c>
      <c r="M72" s="259" t="s">
        <v>557</v>
      </c>
      <c r="N72" s="259" t="s">
        <v>591</v>
      </c>
      <c r="O72" s="259" t="s">
        <v>591</v>
      </c>
      <c r="P72" s="255"/>
      <c r="Q72" s="255"/>
    </row>
    <row r="73" spans="1:17" s="217" customFormat="1" ht="63.75" hidden="1" customHeight="1">
      <c r="A73" s="243" t="s">
        <v>1004</v>
      </c>
      <c r="B73" s="237">
        <v>931</v>
      </c>
      <c r="C73" s="238">
        <v>7592433006689</v>
      </c>
      <c r="D73" s="239" t="s">
        <v>1003</v>
      </c>
      <c r="E73" s="238">
        <v>18</v>
      </c>
      <c r="F73" s="240">
        <v>0.85</v>
      </c>
      <c r="G73" s="241">
        <v>15.3</v>
      </c>
      <c r="H73" s="242">
        <v>1.06</v>
      </c>
      <c r="I73" s="243" t="s">
        <v>950</v>
      </c>
      <c r="J73" s="258">
        <v>1.06</v>
      </c>
      <c r="K73" s="259"/>
      <c r="L73" s="259"/>
      <c r="M73" s="259"/>
      <c r="N73" s="259"/>
      <c r="O73" s="259"/>
      <c r="P73" s="255"/>
      <c r="Q73" s="255"/>
    </row>
    <row r="74" spans="1:17" s="217" customFormat="1" ht="63.75" hidden="1" customHeight="1">
      <c r="A74" s="254" t="s">
        <v>1022</v>
      </c>
      <c r="B74" s="237">
        <v>849</v>
      </c>
      <c r="C74" s="238">
        <v>7592433006689</v>
      </c>
      <c r="D74" s="239" t="s">
        <v>1003</v>
      </c>
      <c r="E74" s="238">
        <v>18</v>
      </c>
      <c r="F74" s="240">
        <v>0.85</v>
      </c>
      <c r="G74" s="241">
        <v>15.3</v>
      </c>
      <c r="H74" s="242">
        <v>1.06</v>
      </c>
      <c r="I74" s="243" t="s">
        <v>950</v>
      </c>
      <c r="J74" s="258">
        <v>1.06</v>
      </c>
      <c r="K74" s="259" t="s">
        <v>556</v>
      </c>
      <c r="L74" s="259" t="s">
        <v>557</v>
      </c>
      <c r="M74" s="259"/>
      <c r="N74" s="259"/>
      <c r="O74" s="259"/>
      <c r="P74" s="255"/>
      <c r="Q74" s="255"/>
    </row>
    <row r="75" spans="1:17" s="217" customFormat="1" ht="63.75" hidden="1" customHeight="1">
      <c r="A75" s="243" t="s">
        <v>1005</v>
      </c>
      <c r="B75" s="237">
        <v>932</v>
      </c>
      <c r="C75" s="238">
        <v>7592433006672</v>
      </c>
      <c r="D75" s="239" t="s">
        <v>1003</v>
      </c>
      <c r="E75" s="238">
        <v>18</v>
      </c>
      <c r="F75" s="240">
        <v>0.85</v>
      </c>
      <c r="G75" s="241">
        <v>15.3</v>
      </c>
      <c r="H75" s="242">
        <v>1.06</v>
      </c>
      <c r="I75" s="243" t="s">
        <v>950</v>
      </c>
      <c r="J75" s="258">
        <v>1.06</v>
      </c>
      <c r="K75" s="259"/>
      <c r="L75" s="259"/>
      <c r="M75" s="259"/>
      <c r="N75" s="259"/>
      <c r="O75" s="259"/>
      <c r="P75" s="255"/>
      <c r="Q75" s="255"/>
    </row>
    <row r="76" spans="1:17" s="217" customFormat="1" ht="63.75" hidden="1" customHeight="1">
      <c r="A76" s="254" t="s">
        <v>1006</v>
      </c>
      <c r="B76" s="237">
        <v>850</v>
      </c>
      <c r="C76" s="238">
        <v>7592433006672</v>
      </c>
      <c r="D76" s="239" t="s">
        <v>1003</v>
      </c>
      <c r="E76" s="238">
        <v>18</v>
      </c>
      <c r="F76" s="240">
        <v>0.85</v>
      </c>
      <c r="G76" s="241">
        <v>15.3</v>
      </c>
      <c r="H76" s="242">
        <v>1.06</v>
      </c>
      <c r="I76" s="243" t="s">
        <v>950</v>
      </c>
      <c r="J76" s="258">
        <v>1.06</v>
      </c>
      <c r="K76" s="259" t="s">
        <v>1023</v>
      </c>
      <c r="L76" s="259" t="s">
        <v>557</v>
      </c>
      <c r="M76" s="259"/>
      <c r="N76" s="259"/>
      <c r="O76" s="259"/>
      <c r="P76" s="255"/>
      <c r="Q76" s="255"/>
    </row>
    <row r="77" spans="1:17" s="217" customFormat="1" ht="63.75" hidden="1" customHeight="1">
      <c r="A77" s="243" t="s">
        <v>1007</v>
      </c>
      <c r="B77" s="237">
        <v>935</v>
      </c>
      <c r="C77" s="238">
        <v>7592433006702</v>
      </c>
      <c r="D77" s="239" t="s">
        <v>1003</v>
      </c>
      <c r="E77" s="238">
        <v>18</v>
      </c>
      <c r="F77" s="240">
        <v>0.71</v>
      </c>
      <c r="G77" s="241">
        <v>12.78</v>
      </c>
      <c r="H77" s="242">
        <v>0.89</v>
      </c>
      <c r="I77" s="243" t="s">
        <v>950</v>
      </c>
      <c r="J77" s="258">
        <v>0.89</v>
      </c>
      <c r="K77" s="259"/>
      <c r="L77" s="259"/>
      <c r="M77" s="259"/>
      <c r="N77" s="259"/>
      <c r="O77" s="259"/>
      <c r="P77" s="255"/>
      <c r="Q77" s="255"/>
    </row>
    <row r="78" spans="1:17" s="217" customFormat="1" ht="39" customHeight="1">
      <c r="A78" s="254" t="s">
        <v>1008</v>
      </c>
      <c r="B78" s="237">
        <v>848</v>
      </c>
      <c r="C78" s="238">
        <v>7592433006702</v>
      </c>
      <c r="D78" s="239" t="s">
        <v>1003</v>
      </c>
      <c r="E78" s="238">
        <v>18</v>
      </c>
      <c r="F78" s="240">
        <v>0.71</v>
      </c>
      <c r="G78" s="241">
        <v>12.78</v>
      </c>
      <c r="H78" s="242">
        <v>0.89</v>
      </c>
      <c r="I78" s="243" t="s">
        <v>950</v>
      </c>
      <c r="J78" s="258">
        <v>0.89</v>
      </c>
      <c r="K78" s="259" t="s">
        <v>556</v>
      </c>
      <c r="L78" s="259" t="s">
        <v>557</v>
      </c>
      <c r="M78" s="259" t="s">
        <v>557</v>
      </c>
      <c r="N78" s="259" t="s">
        <v>591</v>
      </c>
      <c r="O78" s="259" t="s">
        <v>591</v>
      </c>
      <c r="P78" s="255"/>
      <c r="Q78" s="255"/>
    </row>
    <row r="79" spans="1:17" s="217" customFormat="1" ht="63.75" hidden="1" customHeight="1">
      <c r="A79" s="2477" t="s">
        <v>1009</v>
      </c>
      <c r="B79" s="2478"/>
      <c r="C79" s="2478"/>
      <c r="D79" s="2478"/>
      <c r="E79" s="2478"/>
      <c r="F79" s="2478"/>
      <c r="G79" s="2478"/>
      <c r="H79" s="2478"/>
      <c r="I79" s="2478"/>
      <c r="J79" s="2479"/>
    </row>
    <row r="80" spans="1:17" s="217" customFormat="1" ht="63.75" hidden="1" customHeight="1">
      <c r="A80" s="226" t="s">
        <v>1010</v>
      </c>
      <c r="B80" s="219">
        <v>613</v>
      </c>
      <c r="C80" s="227"/>
      <c r="D80" s="226" t="s">
        <v>990</v>
      </c>
      <c r="E80" s="220">
        <v>25</v>
      </c>
      <c r="F80" s="221">
        <v>4.95</v>
      </c>
      <c r="G80" s="221">
        <v>123.75</v>
      </c>
      <c r="H80" s="223">
        <v>4.95</v>
      </c>
      <c r="I80" s="227"/>
      <c r="J80" s="227"/>
    </row>
    <row r="81" spans="1:10" s="217" customFormat="1" ht="63.75" hidden="1" customHeight="1">
      <c r="A81" s="228" t="s">
        <v>1011</v>
      </c>
      <c r="B81" s="219">
        <v>22</v>
      </c>
      <c r="C81" s="227"/>
      <c r="D81" s="226" t="s">
        <v>1012</v>
      </c>
      <c r="E81" s="220">
        <v>1</v>
      </c>
      <c r="F81" s="224">
        <v>24.75</v>
      </c>
      <c r="G81" s="222">
        <v>24.75</v>
      </c>
      <c r="H81" s="225">
        <v>24.75</v>
      </c>
      <c r="I81" s="227"/>
      <c r="J81" s="227"/>
    </row>
    <row r="82" spans="1:10" s="217" customFormat="1" ht="63.75" hidden="1" customHeight="1">
      <c r="A82" s="226" t="s">
        <v>1013</v>
      </c>
      <c r="B82" s="219">
        <v>569</v>
      </c>
      <c r="C82" s="227"/>
      <c r="D82" s="226" t="s">
        <v>990</v>
      </c>
      <c r="E82" s="220">
        <v>25</v>
      </c>
      <c r="F82" s="221">
        <v>6.9</v>
      </c>
      <c r="G82" s="221">
        <v>172.5</v>
      </c>
      <c r="H82" s="223">
        <v>6.9</v>
      </c>
      <c r="I82" s="227"/>
      <c r="J82" s="227"/>
    </row>
    <row r="83" spans="1:10" s="217" customFormat="1" ht="63.75" hidden="1" customHeight="1">
      <c r="A83" s="226" t="s">
        <v>1014</v>
      </c>
      <c r="B83" s="219">
        <v>684</v>
      </c>
      <c r="C83" s="227"/>
      <c r="D83" s="226" t="s">
        <v>990</v>
      </c>
      <c r="E83" s="220">
        <v>25</v>
      </c>
      <c r="F83" s="221">
        <v>6.5</v>
      </c>
      <c r="G83" s="221">
        <v>162.5</v>
      </c>
      <c r="H83" s="223">
        <v>6.5</v>
      </c>
      <c r="I83" s="227"/>
      <c r="J83" s="227"/>
    </row>
    <row r="84" spans="1:10" s="217" customFormat="1" ht="63.75" hidden="1" customHeight="1">
      <c r="A84" s="226" t="s">
        <v>1015</v>
      </c>
      <c r="B84" s="219">
        <v>570</v>
      </c>
      <c r="C84" s="227"/>
      <c r="D84" s="226" t="s">
        <v>990</v>
      </c>
      <c r="E84" s="220">
        <v>25</v>
      </c>
      <c r="F84" s="221">
        <v>5.9</v>
      </c>
      <c r="G84" s="221">
        <v>147.5</v>
      </c>
      <c r="H84" s="223">
        <v>5.9</v>
      </c>
      <c r="I84" s="227"/>
      <c r="J84" s="227"/>
    </row>
  </sheetData>
  <mergeCells count="10">
    <mergeCell ref="A52:J52"/>
    <mergeCell ref="A62:J62"/>
    <mergeCell ref="A70:J70"/>
    <mergeCell ref="A79:J79"/>
    <mergeCell ref="A16:J16"/>
    <mergeCell ref="A30:J30"/>
    <mergeCell ref="A33:J33"/>
    <mergeCell ref="A36:J36"/>
    <mergeCell ref="A38:J38"/>
    <mergeCell ref="A47:J47"/>
  </mergeCells>
  <pageMargins left="0.7" right="0.7" top="0.75" bottom="0.75" header="0.3" footer="0.3"/>
  <pageSetup paperSize="119" orientation="landscape" r:id="rId1"/>
  <drawing r:id="rId2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U19"/>
  <sheetViews>
    <sheetView workbookViewId="0">
      <selection activeCell="C5" sqref="C5:Q17"/>
    </sheetView>
  </sheetViews>
  <sheetFormatPr baseColWidth="10" defaultRowHeight="15"/>
  <cols>
    <col min="3" max="3" width="48.140625" style="65" customWidth="1"/>
    <col min="4" max="5" width="11.85546875" style="65" hidden="1" customWidth="1"/>
    <col min="6" max="6" width="11.5703125" style="65" hidden="1" customWidth="1"/>
    <col min="7" max="7" width="16.28515625" customWidth="1"/>
    <col min="8" max="11" width="16.28515625" style="404" hidden="1" customWidth="1"/>
    <col min="12" max="12" width="14" customWidth="1"/>
    <col min="13" max="16" width="14" style="404" hidden="1" customWidth="1"/>
    <col min="18" max="21" width="11.42578125" customWidth="1"/>
  </cols>
  <sheetData>
    <row r="3" spans="1:21">
      <c r="C3" s="65" t="s">
        <v>2446</v>
      </c>
    </row>
    <row r="4" spans="1:21">
      <c r="G4" s="404" t="s">
        <v>65</v>
      </c>
    </row>
    <row r="5" spans="1:21" ht="45">
      <c r="A5" t="s">
        <v>2544</v>
      </c>
      <c r="B5" s="528" t="s">
        <v>1151</v>
      </c>
      <c r="C5" s="528" t="s">
        <v>4684</v>
      </c>
      <c r="D5" s="310" t="s">
        <v>903</v>
      </c>
      <c r="E5" s="310" t="s">
        <v>68</v>
      </c>
      <c r="F5" s="310" t="s">
        <v>560</v>
      </c>
      <c r="G5" s="310" t="s">
        <v>19</v>
      </c>
      <c r="H5" s="310" t="s">
        <v>1984</v>
      </c>
      <c r="I5" s="528" t="s">
        <v>1985</v>
      </c>
      <c r="J5" s="310" t="s">
        <v>1986</v>
      </c>
      <c r="K5" s="310" t="s">
        <v>1987</v>
      </c>
      <c r="L5" s="310" t="s">
        <v>20</v>
      </c>
      <c r="M5" s="310" t="s">
        <v>1984</v>
      </c>
      <c r="N5" s="310" t="s">
        <v>1985</v>
      </c>
      <c r="O5" s="310" t="s">
        <v>1986</v>
      </c>
      <c r="P5" s="310" t="s">
        <v>1987</v>
      </c>
      <c r="Q5" s="310" t="s">
        <v>21</v>
      </c>
      <c r="R5" s="561" t="s">
        <v>1984</v>
      </c>
      <c r="S5" s="39" t="s">
        <v>1985</v>
      </c>
      <c r="T5" s="40" t="s">
        <v>1986</v>
      </c>
      <c r="U5" s="378" t="s">
        <v>1987</v>
      </c>
    </row>
    <row r="6" spans="1:21" hidden="1">
      <c r="A6">
        <v>24</v>
      </c>
      <c r="B6" s="528">
        <v>2867</v>
      </c>
      <c r="C6" s="1122" t="s">
        <v>1138</v>
      </c>
      <c r="D6" s="310">
        <v>18.48</v>
      </c>
      <c r="E6" s="310">
        <v>0</v>
      </c>
      <c r="F6" s="310">
        <f>+D6*E6</f>
        <v>0</v>
      </c>
      <c r="G6" s="297" t="s">
        <v>590</v>
      </c>
      <c r="H6" s="528">
        <v>21</v>
      </c>
      <c r="I6" s="564">
        <f>H6/24</f>
        <v>0.875</v>
      </c>
      <c r="J6" s="528">
        <v>6</v>
      </c>
      <c r="K6" s="564">
        <f>J6/24</f>
        <v>0.25</v>
      </c>
      <c r="L6" s="528" t="s">
        <v>555</v>
      </c>
      <c r="M6" s="528">
        <v>0</v>
      </c>
      <c r="N6" s="528">
        <f>M6/24</f>
        <v>0</v>
      </c>
      <c r="O6" s="528">
        <v>0</v>
      </c>
      <c r="P6" s="528">
        <f>O6/24</f>
        <v>0</v>
      </c>
      <c r="Q6" s="528" t="s">
        <v>555</v>
      </c>
      <c r="R6" s="563">
        <v>0</v>
      </c>
      <c r="S6" s="22">
        <f>R6/24</f>
        <v>0</v>
      </c>
      <c r="T6" s="22">
        <v>0</v>
      </c>
      <c r="U6" s="22">
        <f>T6/24</f>
        <v>0</v>
      </c>
    </row>
    <row r="7" spans="1:21" hidden="1">
      <c r="B7" s="528">
        <v>7976</v>
      </c>
      <c r="C7" s="347" t="s">
        <v>1139</v>
      </c>
      <c r="D7" s="310">
        <v>22.49</v>
      </c>
      <c r="E7" s="310">
        <v>0</v>
      </c>
      <c r="F7" s="310">
        <f t="shared" ref="F7:F16" si="0">+D7*E7</f>
        <v>0</v>
      </c>
      <c r="G7" s="528" t="s">
        <v>546</v>
      </c>
      <c r="H7" s="528">
        <v>19</v>
      </c>
      <c r="I7" s="564">
        <f>H7/24</f>
        <v>0.79166666666666663</v>
      </c>
      <c r="J7" s="528">
        <v>179</v>
      </c>
      <c r="K7" s="564">
        <f>J7/24</f>
        <v>7.458333333333333</v>
      </c>
      <c r="L7" s="528"/>
      <c r="M7" s="528">
        <v>0</v>
      </c>
      <c r="N7" s="528">
        <f>M7/24</f>
        <v>0</v>
      </c>
      <c r="O7" s="528">
        <v>0</v>
      </c>
      <c r="P7" s="528">
        <f>O7/24</f>
        <v>0</v>
      </c>
      <c r="Q7" s="528" t="s">
        <v>677</v>
      </c>
      <c r="R7" s="563">
        <v>0</v>
      </c>
      <c r="S7" s="22">
        <f>R7/24</f>
        <v>0</v>
      </c>
      <c r="T7" s="22">
        <v>0</v>
      </c>
      <c r="U7" s="22">
        <f>T7/24</f>
        <v>0</v>
      </c>
    </row>
    <row r="8" spans="1:21" hidden="1">
      <c r="B8" s="528">
        <v>12944</v>
      </c>
      <c r="C8" s="347" t="s">
        <v>1140</v>
      </c>
      <c r="D8" s="310">
        <v>20.79</v>
      </c>
      <c r="E8" s="310">
        <v>0</v>
      </c>
      <c r="F8" s="310">
        <f t="shared" si="0"/>
        <v>0</v>
      </c>
      <c r="G8" s="528" t="s">
        <v>546</v>
      </c>
      <c r="H8" s="528">
        <v>6</v>
      </c>
      <c r="I8" s="564">
        <f>H8/12</f>
        <v>0.5</v>
      </c>
      <c r="J8" s="528">
        <v>136</v>
      </c>
      <c r="K8" s="564">
        <f>J8/12</f>
        <v>11.333333333333334</v>
      </c>
      <c r="L8" s="528"/>
      <c r="M8" s="528">
        <v>0</v>
      </c>
      <c r="N8" s="528">
        <f>M8/12</f>
        <v>0</v>
      </c>
      <c r="O8" s="528">
        <v>0</v>
      </c>
      <c r="P8" s="528">
        <f>O8/12</f>
        <v>0</v>
      </c>
      <c r="Q8" s="528" t="s">
        <v>677</v>
      </c>
      <c r="R8" s="563">
        <v>0</v>
      </c>
      <c r="S8" s="22">
        <f>R8/12</f>
        <v>0</v>
      </c>
      <c r="T8" s="22">
        <v>0</v>
      </c>
      <c r="U8" s="22">
        <f>T8/12</f>
        <v>0</v>
      </c>
    </row>
    <row r="9" spans="1:21">
      <c r="A9">
        <v>20</v>
      </c>
      <c r="B9" s="528">
        <v>4342</v>
      </c>
      <c r="C9" s="1122" t="s">
        <v>1141</v>
      </c>
      <c r="D9" s="310">
        <v>17.170000000000002</v>
      </c>
      <c r="E9" s="310">
        <v>120</v>
      </c>
      <c r="F9" s="310">
        <f t="shared" si="0"/>
        <v>2060.4</v>
      </c>
      <c r="G9" s="528" t="s">
        <v>589</v>
      </c>
      <c r="H9" s="528"/>
      <c r="I9" s="564">
        <f>H9/20</f>
        <v>0</v>
      </c>
      <c r="J9" s="528"/>
      <c r="K9" s="564">
        <f>J8:J9/20</f>
        <v>0</v>
      </c>
      <c r="L9" s="528" t="s">
        <v>4744</v>
      </c>
      <c r="M9" s="528"/>
      <c r="N9" s="528">
        <f>M9/20</f>
        <v>0</v>
      </c>
      <c r="O9" s="528"/>
      <c r="P9" s="528">
        <f>O8:O9/20</f>
        <v>0</v>
      </c>
      <c r="Q9" s="528" t="s">
        <v>546</v>
      </c>
      <c r="R9" s="563"/>
      <c r="S9" s="23">
        <f>R9/20</f>
        <v>0</v>
      </c>
      <c r="T9" s="22"/>
      <c r="U9" s="23">
        <f>T8:T9/20</f>
        <v>0</v>
      </c>
    </row>
    <row r="10" spans="1:21" hidden="1">
      <c r="B10" s="528">
        <v>12591</v>
      </c>
      <c r="C10" s="731" t="s">
        <v>1142</v>
      </c>
      <c r="D10" s="310"/>
      <c r="E10" s="310"/>
      <c r="F10" s="310">
        <f t="shared" si="0"/>
        <v>0</v>
      </c>
      <c r="G10" s="528"/>
      <c r="H10" s="528"/>
      <c r="I10" s="564">
        <f>H10/20</f>
        <v>0</v>
      </c>
      <c r="J10" s="528"/>
      <c r="K10" s="564">
        <f>J9:J10/20</f>
        <v>0</v>
      </c>
      <c r="L10" s="528"/>
      <c r="M10" s="528"/>
      <c r="N10" s="528">
        <f>M10/20</f>
        <v>0</v>
      </c>
      <c r="O10" s="528"/>
      <c r="P10" s="528">
        <f>O9:O10/20</f>
        <v>0</v>
      </c>
      <c r="Q10" s="528"/>
      <c r="R10" s="563"/>
      <c r="S10" s="23">
        <f t="shared" ref="S10:S15" si="1">R10/20</f>
        <v>0</v>
      </c>
      <c r="T10" s="22"/>
      <c r="U10" s="23">
        <f t="shared" ref="U10:U16" si="2">T9:T10/20</f>
        <v>0</v>
      </c>
    </row>
    <row r="11" spans="1:21" hidden="1">
      <c r="B11" s="528">
        <v>9372</v>
      </c>
      <c r="C11" s="731" t="s">
        <v>1143</v>
      </c>
      <c r="D11" s="310"/>
      <c r="E11" s="310"/>
      <c r="F11" s="310">
        <f t="shared" si="0"/>
        <v>0</v>
      </c>
      <c r="G11" s="528" t="s">
        <v>3319</v>
      </c>
      <c r="H11" s="528"/>
      <c r="I11" s="564">
        <f>H11/20</f>
        <v>0</v>
      </c>
      <c r="J11" s="528"/>
      <c r="K11" s="564">
        <f>J10:J11/20</f>
        <v>0</v>
      </c>
      <c r="L11" s="528">
        <v>2</v>
      </c>
      <c r="M11" s="528"/>
      <c r="N11" s="528">
        <f>M11/20</f>
        <v>0</v>
      </c>
      <c r="O11" s="528"/>
      <c r="P11" s="528">
        <f>O10:O11/20</f>
        <v>0</v>
      </c>
      <c r="Q11" s="528" t="s">
        <v>676</v>
      </c>
      <c r="R11" s="563"/>
      <c r="S11" s="23">
        <f t="shared" si="1"/>
        <v>0</v>
      </c>
      <c r="T11" s="22"/>
      <c r="U11" s="23">
        <f t="shared" si="2"/>
        <v>0</v>
      </c>
    </row>
    <row r="12" spans="1:21" hidden="1">
      <c r="A12">
        <v>20</v>
      </c>
      <c r="B12" s="528">
        <v>8337</v>
      </c>
      <c r="C12" s="701" t="s">
        <v>1144</v>
      </c>
      <c r="D12" s="310">
        <v>17.12</v>
      </c>
      <c r="E12" s="310">
        <v>0</v>
      </c>
      <c r="F12" s="310">
        <f t="shared" si="0"/>
        <v>0</v>
      </c>
      <c r="G12" s="528">
        <v>10</v>
      </c>
      <c r="H12" s="528"/>
      <c r="I12" s="564">
        <f>H12/20</f>
        <v>0</v>
      </c>
      <c r="J12" s="528"/>
      <c r="K12" s="564">
        <f>J11:J12/20</f>
        <v>0</v>
      </c>
      <c r="L12" s="528">
        <v>2</v>
      </c>
      <c r="M12" s="528"/>
      <c r="N12" s="528">
        <f>M12/20</f>
        <v>0</v>
      </c>
      <c r="O12" s="528"/>
      <c r="P12" s="528">
        <f>O11:O12/20</f>
        <v>0</v>
      </c>
      <c r="Q12" s="528" t="s">
        <v>591</v>
      </c>
      <c r="R12" s="563"/>
      <c r="S12" s="23">
        <f t="shared" si="1"/>
        <v>0</v>
      </c>
      <c r="T12" s="22"/>
      <c r="U12" s="23">
        <f t="shared" si="2"/>
        <v>0</v>
      </c>
    </row>
    <row r="13" spans="1:21" hidden="1">
      <c r="A13">
        <v>20</v>
      </c>
      <c r="B13" s="528">
        <v>8554</v>
      </c>
      <c r="C13" s="1122" t="s">
        <v>1145</v>
      </c>
      <c r="D13" s="310"/>
      <c r="E13" s="310"/>
      <c r="F13" s="310">
        <f t="shared" si="0"/>
        <v>0</v>
      </c>
      <c r="G13" s="528" t="s">
        <v>589</v>
      </c>
      <c r="H13" s="528"/>
      <c r="I13" s="564">
        <f>H13/20</f>
        <v>0</v>
      </c>
      <c r="J13" s="528"/>
      <c r="K13" s="564">
        <f>J12:J13/20</f>
        <v>0</v>
      </c>
      <c r="L13" s="528" t="s">
        <v>591</v>
      </c>
      <c r="M13" s="528"/>
      <c r="N13" s="528">
        <f>M13/20</f>
        <v>0</v>
      </c>
      <c r="O13" s="528"/>
      <c r="P13" s="528">
        <f>O12:O13/20</f>
        <v>0</v>
      </c>
      <c r="Q13" s="528" t="s">
        <v>558</v>
      </c>
      <c r="R13" s="563"/>
      <c r="S13" s="23">
        <f t="shared" si="1"/>
        <v>0</v>
      </c>
      <c r="T13" s="22"/>
      <c r="U13" s="23">
        <f t="shared" si="2"/>
        <v>0</v>
      </c>
    </row>
    <row r="14" spans="1:21" hidden="1">
      <c r="A14">
        <v>24</v>
      </c>
      <c r="B14" s="528">
        <v>10239</v>
      </c>
      <c r="C14" s="701" t="s">
        <v>1146</v>
      </c>
      <c r="D14" s="310"/>
      <c r="E14" s="310"/>
      <c r="F14" s="310">
        <f t="shared" si="0"/>
        <v>0</v>
      </c>
      <c r="G14" s="528" t="s">
        <v>546</v>
      </c>
      <c r="H14" s="528"/>
      <c r="I14" s="564">
        <f>H14/12</f>
        <v>0</v>
      </c>
      <c r="J14" s="528"/>
      <c r="K14" s="564">
        <f>J14/12</f>
        <v>0</v>
      </c>
      <c r="L14" s="528" t="s">
        <v>677</v>
      </c>
      <c r="M14" s="528">
        <v>0</v>
      </c>
      <c r="N14" s="528">
        <f>M14/12</f>
        <v>0</v>
      </c>
      <c r="O14" s="528">
        <v>0</v>
      </c>
      <c r="P14" s="528">
        <f>O14/12</f>
        <v>0</v>
      </c>
      <c r="Q14" s="528" t="s">
        <v>677</v>
      </c>
      <c r="R14" s="563">
        <v>0</v>
      </c>
      <c r="S14" s="23">
        <f t="shared" si="1"/>
        <v>0</v>
      </c>
      <c r="T14" s="22"/>
      <c r="U14" s="23">
        <f t="shared" si="2"/>
        <v>0</v>
      </c>
    </row>
    <row r="15" spans="1:21" hidden="1">
      <c r="A15">
        <v>24</v>
      </c>
      <c r="B15" s="528">
        <v>9658</v>
      </c>
      <c r="C15" s="701" t="s">
        <v>1147</v>
      </c>
      <c r="D15" s="310"/>
      <c r="E15" s="310"/>
      <c r="F15" s="310">
        <f t="shared" si="0"/>
        <v>0</v>
      </c>
      <c r="G15" s="528">
        <v>3</v>
      </c>
      <c r="H15" s="528"/>
      <c r="I15" s="564">
        <f>H15/12</f>
        <v>0</v>
      </c>
      <c r="J15" s="528"/>
      <c r="K15" s="564">
        <f>J15/12</f>
        <v>0</v>
      </c>
      <c r="L15" s="528" t="s">
        <v>591</v>
      </c>
      <c r="M15" s="528">
        <v>0</v>
      </c>
      <c r="N15" s="528">
        <f>M15/12</f>
        <v>0</v>
      </c>
      <c r="O15" s="528">
        <v>5</v>
      </c>
      <c r="P15" s="528">
        <f>O15/12</f>
        <v>0.41666666666666669</v>
      </c>
      <c r="Q15" s="528">
        <v>1</v>
      </c>
      <c r="R15" s="563">
        <v>0</v>
      </c>
      <c r="S15" s="23">
        <f t="shared" si="1"/>
        <v>0</v>
      </c>
      <c r="T15" s="22"/>
      <c r="U15" s="23">
        <f t="shared" si="2"/>
        <v>0</v>
      </c>
    </row>
    <row r="16" spans="1:21" hidden="1">
      <c r="A16">
        <v>24</v>
      </c>
      <c r="B16" s="528">
        <v>9330</v>
      </c>
      <c r="C16" s="347" t="s">
        <v>1148</v>
      </c>
      <c r="D16" s="310"/>
      <c r="E16" s="310"/>
      <c r="F16" s="310">
        <f t="shared" si="0"/>
        <v>0</v>
      </c>
      <c r="G16" s="528" t="s">
        <v>591</v>
      </c>
      <c r="H16" s="528"/>
      <c r="I16" s="564">
        <f>H16/12</f>
        <v>0</v>
      </c>
      <c r="J16" s="528"/>
      <c r="K16" s="564">
        <f>J16/12</f>
        <v>0</v>
      </c>
      <c r="L16" s="528" t="s">
        <v>591</v>
      </c>
      <c r="M16" s="528">
        <v>0</v>
      </c>
      <c r="N16" s="528">
        <f>M16/12</f>
        <v>0</v>
      </c>
      <c r="O16" s="528">
        <v>0</v>
      </c>
      <c r="P16" s="528">
        <f>O16/12</f>
        <v>0</v>
      </c>
      <c r="Q16" s="528" t="s">
        <v>591</v>
      </c>
      <c r="R16" s="563">
        <v>0</v>
      </c>
      <c r="S16" s="22">
        <f>R16/12</f>
        <v>0</v>
      </c>
      <c r="T16" s="22"/>
      <c r="U16" s="23">
        <f t="shared" si="2"/>
        <v>0</v>
      </c>
    </row>
    <row r="17" spans="1:17">
      <c r="A17">
        <v>12</v>
      </c>
      <c r="B17" s="311">
        <v>5024</v>
      </c>
      <c r="C17" s="701" t="s">
        <v>4743</v>
      </c>
      <c r="D17" s="347">
        <v>2</v>
      </c>
      <c r="E17" s="347">
        <v>2</v>
      </c>
      <c r="F17" s="347">
        <f>SUM(F6:F16)</f>
        <v>2060.4</v>
      </c>
      <c r="G17" s="528" t="s">
        <v>546</v>
      </c>
      <c r="H17" s="528"/>
      <c r="I17" s="564">
        <f>H17/12</f>
        <v>0</v>
      </c>
      <c r="J17" s="528"/>
      <c r="K17" s="564">
        <f>J17/12</f>
        <v>0</v>
      </c>
      <c r="L17" s="528" t="s">
        <v>677</v>
      </c>
      <c r="M17" s="311"/>
      <c r="N17" s="311"/>
      <c r="O17" s="311"/>
      <c r="P17" s="311"/>
      <c r="Q17" s="528" t="s">
        <v>677</v>
      </c>
    </row>
    <row r="18" spans="1:17">
      <c r="F18" s="65">
        <v>1559.43</v>
      </c>
      <c r="K18" s="564" t="s">
        <v>65</v>
      </c>
      <c r="Q18" s="892"/>
    </row>
    <row r="19" spans="1:17">
      <c r="F19" s="65">
        <f>F17-F18</f>
        <v>500.97</v>
      </c>
      <c r="Q19" s="892"/>
    </row>
  </sheetData>
  <pageMargins left="0.7" right="0.7" top="0.75" bottom="0.75" header="0.3" footer="0.3"/>
  <pageSetup paperSize="9" orientation="landscape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3:G26"/>
  <sheetViews>
    <sheetView workbookViewId="0">
      <selection activeCell="C4" sqref="C4:E16"/>
    </sheetView>
  </sheetViews>
  <sheetFormatPr baseColWidth="10" defaultRowHeight="15"/>
  <cols>
    <col min="3" max="3" width="49.42578125" customWidth="1"/>
    <col min="4" max="4" width="0" style="1181" hidden="1" customWidth="1"/>
    <col min="5" max="7" width="11.42578125" style="1181"/>
  </cols>
  <sheetData>
    <row r="3" spans="2:7" ht="15.75" thickBot="1"/>
    <row r="4" spans="2:7" ht="30">
      <c r="B4" s="839" t="s">
        <v>0</v>
      </c>
      <c r="C4" s="614" t="s">
        <v>1</v>
      </c>
      <c r="D4" s="613"/>
      <c r="E4" s="615" t="s">
        <v>21</v>
      </c>
      <c r="F4" s="613"/>
      <c r="G4" s="526"/>
    </row>
    <row r="5" spans="2:7" hidden="1">
      <c r="B5" s="841">
        <v>1991</v>
      </c>
      <c r="C5" s="21" t="s">
        <v>4444</v>
      </c>
      <c r="D5" s="1180"/>
      <c r="E5" s="1180"/>
      <c r="F5" s="1180"/>
      <c r="G5" s="759"/>
    </row>
    <row r="6" spans="2:7" hidden="1">
      <c r="B6" s="841">
        <v>1953</v>
      </c>
      <c r="C6" s="21" t="s">
        <v>4445</v>
      </c>
      <c r="D6" s="1180"/>
      <c r="E6" s="1180"/>
      <c r="F6" s="1180"/>
      <c r="G6" s="759"/>
    </row>
    <row r="7" spans="2:7" hidden="1">
      <c r="B7" s="841">
        <v>1918</v>
      </c>
      <c r="C7" s="21" t="s">
        <v>4446</v>
      </c>
      <c r="D7" s="1180"/>
      <c r="E7" s="1180"/>
      <c r="F7" s="1180"/>
      <c r="G7" s="759"/>
    </row>
    <row r="8" spans="2:7" hidden="1">
      <c r="B8" s="841">
        <v>1987</v>
      </c>
      <c r="C8" s="21" t="s">
        <v>4447</v>
      </c>
      <c r="D8" s="1180"/>
      <c r="E8" s="1180"/>
      <c r="F8" s="1180"/>
      <c r="G8" s="759"/>
    </row>
    <row r="9" spans="2:7" hidden="1">
      <c r="B9" s="841">
        <v>3509</v>
      </c>
      <c r="C9" s="21" t="s">
        <v>2498</v>
      </c>
      <c r="D9" s="1180"/>
      <c r="E9" s="1180"/>
      <c r="F9" s="1180"/>
      <c r="G9" s="759"/>
    </row>
    <row r="10" spans="2:7" hidden="1">
      <c r="B10" s="841">
        <v>1931</v>
      </c>
      <c r="C10" s="21" t="s">
        <v>4448</v>
      </c>
      <c r="D10" s="1180"/>
      <c r="E10" s="1180"/>
      <c r="F10" s="1180"/>
      <c r="G10" s="759"/>
    </row>
    <row r="11" spans="2:7" hidden="1">
      <c r="B11" s="841">
        <v>2013</v>
      </c>
      <c r="C11" s="21" t="s">
        <v>4449</v>
      </c>
      <c r="D11" s="1180"/>
      <c r="E11" s="1180"/>
      <c r="F11" s="1180"/>
      <c r="G11" s="759"/>
    </row>
    <row r="12" spans="2:7" hidden="1">
      <c r="B12" s="841">
        <v>1904</v>
      </c>
      <c r="C12" s="21" t="s">
        <v>4450</v>
      </c>
      <c r="D12" s="1180"/>
      <c r="E12" s="1180"/>
      <c r="F12" s="1180"/>
      <c r="G12" s="759"/>
    </row>
    <row r="13" spans="2:7">
      <c r="B13" s="841">
        <v>1957</v>
      </c>
      <c r="C13" s="21" t="s">
        <v>4451</v>
      </c>
      <c r="D13" s="1180"/>
      <c r="E13" s="1180" t="s">
        <v>557</v>
      </c>
      <c r="F13" s="1180"/>
      <c r="G13" s="759"/>
    </row>
    <row r="14" spans="2:7">
      <c r="B14" s="841">
        <v>1901</v>
      </c>
      <c r="C14" s="21" t="s">
        <v>4452</v>
      </c>
      <c r="D14" s="1180"/>
      <c r="E14" s="1180" t="s">
        <v>557</v>
      </c>
      <c r="F14" s="1180"/>
      <c r="G14" s="759"/>
    </row>
    <row r="15" spans="2:7" hidden="1">
      <c r="B15" s="841">
        <v>1934</v>
      </c>
      <c r="C15" s="21" t="s">
        <v>4453</v>
      </c>
      <c r="D15" s="1180"/>
      <c r="E15" s="1180"/>
      <c r="F15" s="1180"/>
      <c r="G15" s="759"/>
    </row>
    <row r="16" spans="2:7">
      <c r="B16" s="841">
        <v>2077</v>
      </c>
      <c r="C16" s="21" t="s">
        <v>4454</v>
      </c>
      <c r="D16" s="1180"/>
      <c r="E16" s="1180" t="s">
        <v>557</v>
      </c>
      <c r="F16" s="1180"/>
      <c r="G16" s="759"/>
    </row>
    <row r="17" spans="2:7" hidden="1">
      <c r="B17" s="841">
        <v>1706</v>
      </c>
      <c r="C17" s="21" t="s">
        <v>4455</v>
      </c>
      <c r="D17" s="1180"/>
      <c r="E17" s="1180"/>
      <c r="F17" s="1180"/>
      <c r="G17" s="759"/>
    </row>
    <row r="18" spans="2:7" hidden="1">
      <c r="B18" s="841">
        <v>1902</v>
      </c>
      <c r="C18" s="21" t="s">
        <v>2524</v>
      </c>
      <c r="D18" s="1180"/>
      <c r="E18" s="1180"/>
      <c r="F18" s="1180"/>
      <c r="G18" s="759"/>
    </row>
    <row r="19" spans="2:7" hidden="1">
      <c r="B19" s="841">
        <v>2659</v>
      </c>
      <c r="C19" s="21" t="s">
        <v>4456</v>
      </c>
      <c r="D19" s="1180"/>
      <c r="E19" s="1180"/>
      <c r="F19" s="1180"/>
      <c r="G19" s="759"/>
    </row>
    <row r="20" spans="2:7" hidden="1">
      <c r="B20" s="841">
        <v>2082</v>
      </c>
      <c r="C20" s="21" t="s">
        <v>4457</v>
      </c>
      <c r="D20" s="1180"/>
      <c r="E20" s="1180"/>
      <c r="F20" s="1180"/>
      <c r="G20" s="759"/>
    </row>
    <row r="21" spans="2:7" hidden="1">
      <c r="B21" s="841">
        <v>1898</v>
      </c>
      <c r="C21" s="21" t="s">
        <v>4458</v>
      </c>
      <c r="D21" s="1180"/>
      <c r="E21" s="1180"/>
      <c r="F21" s="1180"/>
      <c r="G21" s="759"/>
    </row>
    <row r="22" spans="2:7" hidden="1">
      <c r="B22" s="841">
        <v>1941</v>
      </c>
      <c r="C22" s="21" t="s">
        <v>3473</v>
      </c>
      <c r="D22" s="1180"/>
      <c r="E22" s="1180"/>
      <c r="F22" s="1180"/>
      <c r="G22" s="759"/>
    </row>
    <row r="23" spans="2:7" hidden="1">
      <c r="B23" s="841">
        <v>1678</v>
      </c>
      <c r="C23" s="21" t="s">
        <v>3714</v>
      </c>
      <c r="D23" s="1180"/>
      <c r="E23" s="1180"/>
      <c r="F23" s="1180"/>
      <c r="G23" s="759"/>
    </row>
    <row r="24" spans="2:7" hidden="1">
      <c r="B24" s="841">
        <v>3242</v>
      </c>
      <c r="C24" s="21" t="s">
        <v>4459</v>
      </c>
      <c r="D24" s="1180"/>
      <c r="E24" s="1180"/>
      <c r="F24" s="1180"/>
      <c r="G24" s="759"/>
    </row>
    <row r="25" spans="2:7" ht="15.75" hidden="1" thickBot="1">
      <c r="B25" s="842">
        <v>1969</v>
      </c>
      <c r="C25" s="621" t="s">
        <v>2548</v>
      </c>
      <c r="D25" s="620"/>
      <c r="E25" s="620"/>
      <c r="F25" s="620"/>
      <c r="G25" s="527"/>
    </row>
    <row r="26" spans="2:7" hidden="1"/>
  </sheetData>
  <pageMargins left="0.7" right="0.7" top="0.75" bottom="0.75" header="0.3" footer="0.3"/>
  <pageSetup paperSize="9" orientation="landscape" horizontalDpi="0" verticalDpi="0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4:J36"/>
  <sheetViews>
    <sheetView workbookViewId="0">
      <selection activeCell="J18" sqref="J18"/>
    </sheetView>
  </sheetViews>
  <sheetFormatPr baseColWidth="10" defaultRowHeight="15"/>
  <cols>
    <col min="5" max="5" width="43.7109375" customWidth="1"/>
    <col min="6" max="8" width="11.42578125" style="932" customWidth="1"/>
    <col min="9" max="9" width="11.42578125" customWidth="1"/>
  </cols>
  <sheetData>
    <row r="4" spans="3:10" ht="15.75" thickBot="1"/>
    <row r="5" spans="3:10" ht="59.25" customHeight="1">
      <c r="C5" s="839"/>
      <c r="D5" s="614"/>
      <c r="E5" s="613" t="s">
        <v>4573</v>
      </c>
      <c r="F5" s="615" t="s">
        <v>3332</v>
      </c>
      <c r="G5" s="615" t="s">
        <v>2567</v>
      </c>
      <c r="H5" s="615" t="s">
        <v>111</v>
      </c>
      <c r="I5" s="615" t="s">
        <v>2568</v>
      </c>
      <c r="J5" s="1289" t="s">
        <v>68</v>
      </c>
    </row>
    <row r="6" spans="3:10" hidden="1">
      <c r="C6" s="617" t="s">
        <v>0</v>
      </c>
      <c r="D6" s="1273" t="s">
        <v>547</v>
      </c>
      <c r="E6" s="1273" t="s">
        <v>1</v>
      </c>
      <c r="F6" s="737"/>
      <c r="G6" s="737"/>
      <c r="H6" s="737"/>
      <c r="I6" s="737"/>
      <c r="J6" s="759"/>
    </row>
    <row r="7" spans="3:10" hidden="1">
      <c r="C7" s="841">
        <v>9690</v>
      </c>
      <c r="D7" s="21">
        <v>0.64</v>
      </c>
      <c r="E7" s="1273" t="s">
        <v>3765</v>
      </c>
      <c r="F7" s="737"/>
      <c r="G7" s="737"/>
      <c r="H7" s="737"/>
      <c r="I7" s="737"/>
      <c r="J7" s="759"/>
    </row>
    <row r="8" spans="3:10" hidden="1">
      <c r="C8" s="841">
        <v>21379</v>
      </c>
      <c r="D8" s="21">
        <v>0.48</v>
      </c>
      <c r="E8" s="1273" t="s">
        <v>3766</v>
      </c>
      <c r="F8" s="737"/>
      <c r="G8" s="737"/>
      <c r="H8" s="737"/>
      <c r="I8" s="737"/>
      <c r="J8" s="759"/>
    </row>
    <row r="9" spans="3:10" hidden="1">
      <c r="C9" s="841">
        <v>21179</v>
      </c>
      <c r="D9" s="21">
        <v>0.56000000000000005</v>
      </c>
      <c r="E9" s="1273" t="s">
        <v>3767</v>
      </c>
      <c r="F9" s="737"/>
      <c r="G9" s="737"/>
      <c r="H9" s="737"/>
      <c r="I9" s="737"/>
      <c r="J9" s="759"/>
    </row>
    <row r="10" spans="3:10" hidden="1">
      <c r="C10" s="841">
        <v>21180</v>
      </c>
      <c r="D10" s="21">
        <v>1.1200000000000001</v>
      </c>
      <c r="E10" s="1273" t="s">
        <v>3768</v>
      </c>
      <c r="F10" s="737"/>
      <c r="G10" s="737"/>
      <c r="H10" s="737"/>
      <c r="I10" s="737"/>
      <c r="J10" s="759"/>
    </row>
    <row r="11" spans="3:10" hidden="1">
      <c r="C11" s="841">
        <v>3122</v>
      </c>
      <c r="D11" s="21">
        <v>3.65</v>
      </c>
      <c r="E11" s="1273" t="s">
        <v>3769</v>
      </c>
      <c r="F11" s="737"/>
      <c r="G11" s="737"/>
      <c r="H11" s="737"/>
      <c r="I11" s="737"/>
      <c r="J11" s="759"/>
    </row>
    <row r="12" spans="3:10" hidden="1">
      <c r="C12" s="841">
        <v>1720</v>
      </c>
      <c r="D12" s="21">
        <v>1.75</v>
      </c>
      <c r="E12" s="1273" t="s">
        <v>3164</v>
      </c>
      <c r="F12" s="737"/>
      <c r="G12" s="737"/>
      <c r="H12" s="737"/>
      <c r="I12" s="737"/>
      <c r="J12" s="759"/>
    </row>
    <row r="13" spans="3:10" hidden="1">
      <c r="C13" s="841">
        <v>15492</v>
      </c>
      <c r="D13" s="21">
        <v>1.68</v>
      </c>
      <c r="E13" s="1273" t="s">
        <v>3164</v>
      </c>
      <c r="F13" s="737"/>
      <c r="G13" s="737"/>
      <c r="H13" s="737"/>
      <c r="I13" s="737"/>
      <c r="J13" s="759"/>
    </row>
    <row r="14" spans="3:10" hidden="1">
      <c r="C14" s="841">
        <v>15490</v>
      </c>
      <c r="D14" s="21">
        <v>1.83</v>
      </c>
      <c r="E14" s="1273" t="s">
        <v>3164</v>
      </c>
      <c r="F14" s="737"/>
      <c r="G14" s="737"/>
      <c r="H14" s="737"/>
      <c r="I14" s="737"/>
      <c r="J14" s="759"/>
    </row>
    <row r="15" spans="3:10" hidden="1">
      <c r="C15" s="841">
        <v>14382</v>
      </c>
      <c r="D15" s="21">
        <v>36</v>
      </c>
      <c r="E15" s="1273" t="s">
        <v>3770</v>
      </c>
      <c r="F15" s="737"/>
      <c r="G15" s="737"/>
      <c r="H15" s="737"/>
      <c r="I15" s="737"/>
      <c r="J15" s="759"/>
    </row>
    <row r="16" spans="3:10" hidden="1">
      <c r="C16" s="841">
        <v>6901</v>
      </c>
      <c r="D16" s="21">
        <v>0.8</v>
      </c>
      <c r="E16" s="1273" t="s">
        <v>1374</v>
      </c>
      <c r="F16" s="737"/>
      <c r="G16" s="737"/>
      <c r="H16" s="737"/>
      <c r="I16" s="737"/>
      <c r="J16" s="759"/>
    </row>
    <row r="17" spans="2:10" hidden="1">
      <c r="C17" s="841">
        <v>15403</v>
      </c>
      <c r="D17" s="21">
        <v>0.54</v>
      </c>
      <c r="E17" s="1273" t="s">
        <v>3356</v>
      </c>
      <c r="F17" s="737"/>
      <c r="G17" s="737"/>
      <c r="H17" s="737"/>
      <c r="I17" s="737"/>
      <c r="J17" s="759"/>
    </row>
    <row r="18" spans="2:10">
      <c r="B18">
        <v>200</v>
      </c>
      <c r="C18" s="841">
        <v>18604</v>
      </c>
      <c r="D18" s="21">
        <v>0.5</v>
      </c>
      <c r="E18" s="1273" t="s">
        <v>3771</v>
      </c>
      <c r="F18" s="737">
        <v>4419</v>
      </c>
      <c r="G18" s="737">
        <f>+F18/24</f>
        <v>184.125</v>
      </c>
      <c r="H18" s="737">
        <v>1388</v>
      </c>
      <c r="I18" s="737">
        <f>+H18/24</f>
        <v>57.833333333333336</v>
      </c>
      <c r="J18" s="759">
        <v>1388</v>
      </c>
    </row>
    <row r="19" spans="2:10">
      <c r="B19">
        <v>200</v>
      </c>
      <c r="C19" s="841">
        <v>21020</v>
      </c>
      <c r="D19" s="21">
        <v>0.95</v>
      </c>
      <c r="E19" s="1273" t="s">
        <v>3772</v>
      </c>
      <c r="F19" s="737">
        <v>207</v>
      </c>
      <c r="G19" s="737">
        <f>+F19/12</f>
        <v>17.25</v>
      </c>
      <c r="H19" s="737">
        <v>0</v>
      </c>
      <c r="I19" s="737">
        <f>+H19/12</f>
        <v>0</v>
      </c>
      <c r="J19" s="759"/>
    </row>
    <row r="20" spans="2:10" hidden="1">
      <c r="C20" s="841">
        <v>9755</v>
      </c>
      <c r="D20" s="21">
        <v>0.45</v>
      </c>
      <c r="E20" s="1273" t="s">
        <v>1897</v>
      </c>
      <c r="F20" s="737"/>
      <c r="G20" s="737"/>
      <c r="H20" s="737"/>
      <c r="I20" s="737"/>
      <c r="J20" s="759"/>
    </row>
    <row r="21" spans="2:10" hidden="1">
      <c r="C21" s="841">
        <v>10396</v>
      </c>
      <c r="D21" s="21">
        <v>1.03</v>
      </c>
      <c r="E21" s="1273" t="s">
        <v>1898</v>
      </c>
      <c r="F21" s="737"/>
      <c r="G21" s="737"/>
      <c r="H21" s="737"/>
      <c r="I21" s="737"/>
      <c r="J21" s="759"/>
    </row>
    <row r="22" spans="2:10" hidden="1">
      <c r="C22" s="841">
        <v>15493</v>
      </c>
      <c r="D22" s="21">
        <v>1.68</v>
      </c>
      <c r="E22" s="1273" t="s">
        <v>3773</v>
      </c>
      <c r="F22" s="737"/>
      <c r="G22" s="737"/>
      <c r="H22" s="737"/>
      <c r="I22" s="737"/>
      <c r="J22" s="759"/>
    </row>
    <row r="23" spans="2:10" hidden="1">
      <c r="C23" s="841">
        <v>15491</v>
      </c>
      <c r="D23" s="21">
        <v>1.83</v>
      </c>
      <c r="E23" s="1273" t="s">
        <v>3774</v>
      </c>
      <c r="F23" s="737"/>
      <c r="G23" s="737"/>
      <c r="H23" s="737"/>
      <c r="I23" s="737"/>
      <c r="J23" s="759"/>
    </row>
    <row r="24" spans="2:10" hidden="1">
      <c r="C24" s="841">
        <v>15536</v>
      </c>
      <c r="D24" s="21">
        <v>0.56999999999999995</v>
      </c>
      <c r="E24" s="1273" t="s">
        <v>3775</v>
      </c>
      <c r="F24" s="737"/>
      <c r="G24" s="737"/>
      <c r="H24" s="737"/>
      <c r="I24" s="737"/>
      <c r="J24" s="759"/>
    </row>
    <row r="25" spans="2:10" hidden="1">
      <c r="C25" s="841">
        <v>1666</v>
      </c>
      <c r="D25" s="21">
        <v>2.04</v>
      </c>
      <c r="E25" s="1273" t="s">
        <v>3705</v>
      </c>
      <c r="F25" s="737"/>
      <c r="G25" s="737"/>
      <c r="H25" s="737"/>
      <c r="I25" s="737"/>
      <c r="J25" s="759"/>
    </row>
    <row r="26" spans="2:10" hidden="1">
      <c r="C26" s="841">
        <v>16178</v>
      </c>
      <c r="D26" s="21">
        <v>1.05</v>
      </c>
      <c r="E26" s="1273" t="s">
        <v>3776</v>
      </c>
      <c r="F26" s="737"/>
      <c r="G26" s="737"/>
      <c r="H26" s="737"/>
      <c r="I26" s="737"/>
      <c r="J26" s="759"/>
    </row>
    <row r="27" spans="2:10" hidden="1">
      <c r="C27" s="841">
        <v>1930</v>
      </c>
      <c r="D27" s="21">
        <v>4</v>
      </c>
      <c r="E27" s="1273" t="s">
        <v>3777</v>
      </c>
      <c r="F27" s="737"/>
      <c r="G27" s="737"/>
      <c r="H27" s="737"/>
      <c r="I27" s="737"/>
      <c r="J27" s="759"/>
    </row>
    <row r="28" spans="2:10" hidden="1">
      <c r="C28" s="841">
        <v>3120</v>
      </c>
      <c r="D28" s="21">
        <v>1.78</v>
      </c>
      <c r="E28" s="1273" t="s">
        <v>3778</v>
      </c>
      <c r="F28" s="737"/>
      <c r="G28" s="737"/>
      <c r="H28" s="737"/>
      <c r="I28" s="737"/>
      <c r="J28" s="759"/>
    </row>
    <row r="29" spans="2:10" hidden="1">
      <c r="C29" s="841">
        <v>5992</v>
      </c>
      <c r="D29" s="21">
        <v>6.8</v>
      </c>
      <c r="E29" s="1273" t="s">
        <v>3779</v>
      </c>
      <c r="F29" s="737"/>
      <c r="G29" s="737"/>
      <c r="H29" s="737"/>
      <c r="I29" s="737"/>
      <c r="J29" s="759"/>
    </row>
    <row r="30" spans="2:10" hidden="1">
      <c r="C30" s="841">
        <v>5656</v>
      </c>
      <c r="D30" s="21">
        <v>30</v>
      </c>
      <c r="E30" s="1273" t="s">
        <v>3780</v>
      </c>
      <c r="F30" s="737"/>
      <c r="G30" s="737"/>
      <c r="H30" s="737"/>
      <c r="I30" s="737"/>
      <c r="J30" s="759"/>
    </row>
    <row r="31" spans="2:10" hidden="1">
      <c r="C31" s="841">
        <v>4061</v>
      </c>
      <c r="D31" s="21">
        <v>1.78</v>
      </c>
      <c r="E31" s="1273" t="s">
        <v>3781</v>
      </c>
      <c r="F31" s="737"/>
      <c r="G31" s="737"/>
      <c r="H31" s="737"/>
      <c r="I31" s="737"/>
      <c r="J31" s="759"/>
    </row>
    <row r="32" spans="2:10" hidden="1">
      <c r="C32" s="841">
        <v>3877</v>
      </c>
      <c r="D32" s="21">
        <v>6.9</v>
      </c>
      <c r="E32" s="1273" t="s">
        <v>3782</v>
      </c>
      <c r="F32" s="737"/>
      <c r="G32" s="737"/>
      <c r="H32" s="737"/>
      <c r="I32" s="737"/>
      <c r="J32" s="759"/>
    </row>
    <row r="33" spans="2:10" ht="15.75" thickBot="1">
      <c r="B33" t="s">
        <v>3726</v>
      </c>
      <c r="C33" s="842">
        <v>21246</v>
      </c>
      <c r="D33" s="621">
        <v>0.32</v>
      </c>
      <c r="E33" s="620" t="s">
        <v>3783</v>
      </c>
      <c r="F33" s="1290">
        <v>9813</v>
      </c>
      <c r="G33" s="1290">
        <f>+F33/30</f>
        <v>327.10000000000002</v>
      </c>
      <c r="H33" s="1290">
        <v>2521</v>
      </c>
      <c r="I33" s="1290">
        <f>+H33/30</f>
        <v>84.033333333333331</v>
      </c>
      <c r="J33" s="527" t="s">
        <v>4572</v>
      </c>
    </row>
    <row r="34" spans="2:10" ht="15.75" thickBot="1">
      <c r="C34" s="1593">
        <v>21078</v>
      </c>
      <c r="D34" s="1427">
        <v>0.97</v>
      </c>
      <c r="E34" s="1453" t="s">
        <v>4876</v>
      </c>
      <c r="F34" s="394">
        <v>3371</v>
      </c>
      <c r="G34" s="1290">
        <f>+F34/24</f>
        <v>140.45833333333334</v>
      </c>
      <c r="H34" s="394">
        <v>13595</v>
      </c>
      <c r="I34" s="1290">
        <f>+H34/24</f>
        <v>566.45833333333337</v>
      </c>
    </row>
    <row r="35" spans="2:10" ht="15.75" thickBot="1">
      <c r="B35">
        <f>300*8.8</f>
        <v>2640</v>
      </c>
      <c r="E35" s="1453" t="s">
        <v>5196</v>
      </c>
      <c r="G35" s="1290">
        <f>+F35/30</f>
        <v>0</v>
      </c>
      <c r="I35" s="1290">
        <f>+H35/30</f>
        <v>0</v>
      </c>
    </row>
    <row r="36" spans="2:10" ht="15.75" thickBot="1">
      <c r="B36">
        <f>200*10.4</f>
        <v>2080</v>
      </c>
      <c r="C36" s="1399">
        <v>21379</v>
      </c>
      <c r="E36" s="1453" t="s">
        <v>5197</v>
      </c>
      <c r="F36" s="932">
        <v>4830</v>
      </c>
      <c r="G36" s="1290">
        <f>+F36/30</f>
        <v>161</v>
      </c>
      <c r="H36" s="932">
        <v>22979</v>
      </c>
      <c r="I36" s="1290">
        <f>+H36/30</f>
        <v>765.9666666666667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7:G21"/>
  <sheetViews>
    <sheetView workbookViewId="0">
      <selection activeCell="A39" sqref="A39"/>
    </sheetView>
  </sheetViews>
  <sheetFormatPr baseColWidth="10" defaultRowHeight="15"/>
  <cols>
    <col min="4" max="4" width="31.7109375" customWidth="1"/>
    <col min="5" max="5" width="15.85546875" customWidth="1"/>
    <col min="6" max="6" width="15.140625" customWidth="1"/>
    <col min="7" max="7" width="10" customWidth="1"/>
  </cols>
  <sheetData>
    <row r="7" spans="2:7">
      <c r="D7" t="s">
        <v>1370</v>
      </c>
    </row>
    <row r="8" spans="2:7" ht="45">
      <c r="B8" s="87" t="s">
        <v>119</v>
      </c>
      <c r="C8" s="87" t="s">
        <v>559</v>
      </c>
      <c r="D8" s="87" t="s">
        <v>107</v>
      </c>
      <c r="E8" s="3" t="s">
        <v>19</v>
      </c>
      <c r="F8" s="3" t="s">
        <v>20</v>
      </c>
      <c r="G8" s="3" t="s">
        <v>21</v>
      </c>
    </row>
    <row r="9" spans="2:7">
      <c r="B9" s="87">
        <v>14668</v>
      </c>
      <c r="C9" s="87">
        <v>7.25</v>
      </c>
      <c r="D9" s="109" t="s">
        <v>1357</v>
      </c>
      <c r="E9" s="87">
        <v>2</v>
      </c>
      <c r="F9" s="87">
        <v>3</v>
      </c>
      <c r="G9" s="87">
        <v>2</v>
      </c>
    </row>
    <row r="10" spans="2:7" hidden="1">
      <c r="B10" s="87">
        <v>14667</v>
      </c>
      <c r="C10" s="87">
        <v>7.25</v>
      </c>
      <c r="D10" s="111" t="s">
        <v>1358</v>
      </c>
      <c r="E10" s="87"/>
      <c r="F10" s="87"/>
      <c r="G10" s="87"/>
    </row>
    <row r="11" spans="2:7">
      <c r="B11" s="87">
        <v>1587</v>
      </c>
      <c r="C11" s="87">
        <v>3.78</v>
      </c>
      <c r="D11" s="109" t="s">
        <v>1369</v>
      </c>
      <c r="E11" s="87">
        <v>8</v>
      </c>
      <c r="F11" s="87">
        <v>3</v>
      </c>
      <c r="G11" s="87">
        <v>5</v>
      </c>
    </row>
    <row r="12" spans="2:7" hidden="1">
      <c r="B12" s="87">
        <v>1579</v>
      </c>
      <c r="C12" s="87">
        <v>3.78</v>
      </c>
      <c r="D12" s="111" t="s">
        <v>1359</v>
      </c>
      <c r="E12" s="87"/>
      <c r="F12" s="87"/>
      <c r="G12" s="87"/>
    </row>
    <row r="13" spans="2:7" hidden="1">
      <c r="B13" s="87">
        <v>1574</v>
      </c>
      <c r="C13" s="87">
        <v>3.78</v>
      </c>
      <c r="D13" s="111" t="s">
        <v>1360</v>
      </c>
      <c r="E13" s="87"/>
      <c r="F13" s="87"/>
      <c r="G13" s="87"/>
    </row>
    <row r="14" spans="2:7">
      <c r="B14" s="87">
        <v>1566</v>
      </c>
      <c r="C14" s="87">
        <v>3.78</v>
      </c>
      <c r="D14" s="109" t="s">
        <v>1361</v>
      </c>
      <c r="E14" s="87">
        <v>4</v>
      </c>
      <c r="F14" s="87">
        <v>3</v>
      </c>
      <c r="G14" s="87">
        <v>5</v>
      </c>
    </row>
    <row r="15" spans="2:7" hidden="1">
      <c r="B15" s="87">
        <v>15398</v>
      </c>
      <c r="C15" s="87">
        <v>7.26</v>
      </c>
      <c r="D15" s="111" t="s">
        <v>1362</v>
      </c>
      <c r="E15" s="87"/>
      <c r="F15" s="87"/>
      <c r="G15" s="87"/>
    </row>
    <row r="16" spans="2:7" hidden="1">
      <c r="B16" s="87">
        <v>15399</v>
      </c>
      <c r="C16" s="87">
        <v>7.26</v>
      </c>
      <c r="D16" s="111" t="s">
        <v>1363</v>
      </c>
      <c r="E16" s="87"/>
      <c r="F16" s="87"/>
      <c r="G16" s="87"/>
    </row>
    <row r="17" spans="2:7" hidden="1">
      <c r="B17" s="87">
        <v>14669</v>
      </c>
      <c r="C17" s="87">
        <v>7.25</v>
      </c>
      <c r="D17" s="111" t="s">
        <v>1364</v>
      </c>
      <c r="E17" s="87"/>
      <c r="F17" s="87"/>
      <c r="G17" s="87"/>
    </row>
    <row r="18" spans="2:7">
      <c r="B18" s="87">
        <v>1580</v>
      </c>
      <c r="C18" s="87">
        <v>3.78</v>
      </c>
      <c r="D18" s="109" t="s">
        <v>1365</v>
      </c>
      <c r="E18" s="87">
        <v>4</v>
      </c>
      <c r="F18" s="87">
        <v>3</v>
      </c>
      <c r="G18" s="87">
        <v>3</v>
      </c>
    </row>
    <row r="19" spans="2:7" hidden="1">
      <c r="B19" s="87">
        <v>1581</v>
      </c>
      <c r="C19" s="87">
        <v>7.25</v>
      </c>
      <c r="D19" s="111" t="s">
        <v>1366</v>
      </c>
      <c r="E19" s="87"/>
      <c r="F19" s="87"/>
      <c r="G19" s="87"/>
    </row>
    <row r="20" spans="2:7">
      <c r="B20" s="87">
        <v>1576</v>
      </c>
      <c r="C20" s="87">
        <v>3.86</v>
      </c>
      <c r="D20" s="109" t="s">
        <v>1367</v>
      </c>
      <c r="E20" s="87">
        <v>5</v>
      </c>
      <c r="F20" s="87">
        <v>3</v>
      </c>
      <c r="G20" s="87">
        <v>4</v>
      </c>
    </row>
    <row r="21" spans="2:7">
      <c r="B21" s="87">
        <v>1568</v>
      </c>
      <c r="C21" s="87">
        <v>3.86</v>
      </c>
      <c r="D21" s="109" t="s">
        <v>1368</v>
      </c>
      <c r="E21" s="87">
        <v>8</v>
      </c>
      <c r="F21" s="87">
        <v>0</v>
      </c>
      <c r="G21" s="87">
        <v>6</v>
      </c>
    </row>
  </sheetData>
  <pageMargins left="0.7" right="0.7" top="0.75" bottom="0.75" header="0.3" footer="0.3"/>
  <pageSetup paperSize="11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3:T61"/>
  <sheetViews>
    <sheetView workbookViewId="0">
      <selection activeCell="A7" sqref="A7:F30"/>
    </sheetView>
  </sheetViews>
  <sheetFormatPr baseColWidth="10" defaultRowHeight="15"/>
  <cols>
    <col min="1" max="1" width="9.140625" style="321" customWidth="1"/>
    <col min="2" max="2" width="47" customWidth="1"/>
    <col min="3" max="3" width="7.85546875" style="1113" hidden="1" customWidth="1"/>
    <col min="4" max="4" width="7.42578125" style="1113" hidden="1" customWidth="1"/>
    <col min="5" max="5" width="9.85546875" style="1113" hidden="1" customWidth="1"/>
    <col min="6" max="6" width="16" style="123" customWidth="1"/>
    <col min="7" max="10" width="14.7109375" style="404" hidden="1" customWidth="1"/>
    <col min="11" max="11" width="14.42578125" customWidth="1"/>
    <col min="12" max="15" width="14.42578125" style="404" hidden="1" customWidth="1"/>
    <col min="16" max="16" width="11.42578125" style="312" customWidth="1"/>
    <col min="17" max="17" width="11.42578125" style="427" hidden="1" customWidth="1"/>
    <col min="18" max="18" width="14" style="427" hidden="1" customWidth="1"/>
    <col min="19" max="20" width="11.42578125" style="427" hidden="1" customWidth="1"/>
  </cols>
  <sheetData>
    <row r="3" spans="1:20">
      <c r="B3" t="s">
        <v>1932</v>
      </c>
      <c r="I3" s="404" t="s">
        <v>5184</v>
      </c>
    </row>
    <row r="4" spans="1:20">
      <c r="B4" t="s">
        <v>4092</v>
      </c>
    </row>
    <row r="6" spans="1:20">
      <c r="A6" s="325"/>
      <c r="B6" s="325"/>
      <c r="C6" s="325"/>
      <c r="D6" s="325"/>
      <c r="E6" s="325"/>
      <c r="G6" s="646"/>
      <c r="H6" s="646"/>
      <c r="I6" s="646"/>
      <c r="J6" s="646"/>
      <c r="L6" s="646"/>
      <c r="M6" s="646"/>
      <c r="N6" s="646"/>
      <c r="O6" s="646"/>
    </row>
    <row r="7" spans="1:20" ht="45">
      <c r="A7" s="310" t="s">
        <v>119</v>
      </c>
      <c r="B7" s="528" t="s">
        <v>5650</v>
      </c>
      <c r="C7" s="310" t="s">
        <v>2647</v>
      </c>
      <c r="D7" s="310" t="s">
        <v>4086</v>
      </c>
      <c r="E7" s="310" t="s">
        <v>4085</v>
      </c>
      <c r="F7" s="310" t="s">
        <v>19</v>
      </c>
      <c r="G7" s="528" t="s">
        <v>1929</v>
      </c>
      <c r="H7" s="528" t="s">
        <v>1665</v>
      </c>
      <c r="I7" s="528" t="s">
        <v>1930</v>
      </c>
      <c r="J7" s="528" t="s">
        <v>1931</v>
      </c>
      <c r="K7" s="310" t="s">
        <v>20</v>
      </c>
      <c r="L7" s="528" t="s">
        <v>1929</v>
      </c>
      <c r="M7" s="528" t="s">
        <v>1665</v>
      </c>
      <c r="N7" s="528" t="s">
        <v>1930</v>
      </c>
      <c r="O7" s="528" t="s">
        <v>1931</v>
      </c>
      <c r="P7" s="310" t="s">
        <v>21</v>
      </c>
      <c r="Q7" s="428" t="s">
        <v>1929</v>
      </c>
      <c r="R7" s="428" t="s">
        <v>1665</v>
      </c>
      <c r="S7" s="428" t="s">
        <v>1930</v>
      </c>
      <c r="T7" s="428" t="s">
        <v>1931</v>
      </c>
    </row>
    <row r="8" spans="1:20">
      <c r="A8" s="528">
        <v>9098</v>
      </c>
      <c r="B8" s="311" t="s">
        <v>5</v>
      </c>
      <c r="C8" s="528">
        <v>24</v>
      </c>
      <c r="D8" s="528">
        <f>+E8/C8</f>
        <v>0.63</v>
      </c>
      <c r="E8" s="528">
        <v>15.12</v>
      </c>
      <c r="F8" s="1711" t="s">
        <v>590</v>
      </c>
      <c r="G8" s="528">
        <v>0</v>
      </c>
      <c r="H8" s="564">
        <f>G8/24</f>
        <v>0</v>
      </c>
      <c r="I8" s="528">
        <v>0</v>
      </c>
      <c r="J8" s="564">
        <f>I8/24</f>
        <v>0</v>
      </c>
      <c r="K8" s="528" t="s">
        <v>591</v>
      </c>
      <c r="L8" s="528"/>
      <c r="M8" s="564">
        <f>+L8/24</f>
        <v>0</v>
      </c>
      <c r="N8" s="528"/>
      <c r="O8" s="564">
        <f>+N8/24</f>
        <v>0</v>
      </c>
      <c r="P8" s="528" t="s">
        <v>591</v>
      </c>
      <c r="Q8" s="428"/>
      <c r="R8" s="399">
        <f>Q8/24</f>
        <v>0</v>
      </c>
      <c r="S8" s="428"/>
      <c r="T8" s="399">
        <f>S8/24</f>
        <v>0</v>
      </c>
    </row>
    <row r="9" spans="1:20">
      <c r="A9" s="528">
        <v>9099</v>
      </c>
      <c r="B9" s="311" t="s">
        <v>6</v>
      </c>
      <c r="C9" s="297">
        <v>24</v>
      </c>
      <c r="D9" s="528">
        <f t="shared" ref="D9:D30" si="0">+E9/C9</f>
        <v>0.68</v>
      </c>
      <c r="E9" s="297">
        <v>16.32</v>
      </c>
      <c r="F9" s="1711" t="s">
        <v>590</v>
      </c>
      <c r="G9" s="528">
        <v>369</v>
      </c>
      <c r="H9" s="564">
        <f t="shared" ref="H9:H30" si="1">G9/24</f>
        <v>15.375</v>
      </c>
      <c r="I9" s="528">
        <v>32</v>
      </c>
      <c r="J9" s="564">
        <f t="shared" ref="J9:J30" si="2">I9/24</f>
        <v>1.3333333333333333</v>
      </c>
      <c r="K9" s="528" t="s">
        <v>591</v>
      </c>
      <c r="L9" s="528"/>
      <c r="M9" s="564">
        <f t="shared" ref="M9:M30" si="3">+L9/24</f>
        <v>0</v>
      </c>
      <c r="N9" s="528"/>
      <c r="O9" s="564">
        <f t="shared" ref="O9:O30" si="4">+N9/24</f>
        <v>0</v>
      </c>
      <c r="P9" s="528" t="s">
        <v>591</v>
      </c>
      <c r="Q9" s="428"/>
      <c r="R9" s="399">
        <f t="shared" ref="R9:R30" si="5">Q9/24</f>
        <v>0</v>
      </c>
      <c r="S9" s="428"/>
      <c r="T9" s="399">
        <f t="shared" ref="T9:T30" si="6">S9/24</f>
        <v>0</v>
      </c>
    </row>
    <row r="10" spans="1:20">
      <c r="A10" s="528">
        <v>6486</v>
      </c>
      <c r="B10" s="311" t="s">
        <v>4091</v>
      </c>
      <c r="C10" s="528">
        <v>24</v>
      </c>
      <c r="D10" s="528">
        <f t="shared" si="0"/>
        <v>0.57999999999999996</v>
      </c>
      <c r="E10" s="528">
        <v>13.92</v>
      </c>
      <c r="F10" s="1711" t="s">
        <v>590</v>
      </c>
      <c r="G10" s="528">
        <v>28</v>
      </c>
      <c r="H10" s="564">
        <f t="shared" si="1"/>
        <v>1.1666666666666667</v>
      </c>
      <c r="I10" s="528">
        <v>110</v>
      </c>
      <c r="J10" s="564">
        <f t="shared" si="2"/>
        <v>4.583333333333333</v>
      </c>
      <c r="K10" s="528" t="s">
        <v>591</v>
      </c>
      <c r="L10" s="528"/>
      <c r="M10" s="564">
        <f t="shared" si="3"/>
        <v>0</v>
      </c>
      <c r="N10" s="528"/>
      <c r="O10" s="564">
        <f t="shared" si="4"/>
        <v>0</v>
      </c>
      <c r="P10" s="528" t="s">
        <v>591</v>
      </c>
      <c r="Q10" s="428"/>
      <c r="R10" s="399">
        <f t="shared" si="5"/>
        <v>0</v>
      </c>
      <c r="S10" s="428"/>
      <c r="T10" s="399">
        <f t="shared" si="6"/>
        <v>0</v>
      </c>
    </row>
    <row r="11" spans="1:20" hidden="1">
      <c r="A11" s="528">
        <v>6708</v>
      </c>
      <c r="B11" s="1086" t="s">
        <v>12</v>
      </c>
      <c r="C11" s="528">
        <v>24</v>
      </c>
      <c r="D11" s="528">
        <f t="shared" si="0"/>
        <v>0.6</v>
      </c>
      <c r="E11" s="528">
        <v>14.4</v>
      </c>
      <c r="F11" s="1711" t="s">
        <v>591</v>
      </c>
      <c r="G11" s="528">
        <v>0</v>
      </c>
      <c r="H11" s="564">
        <f t="shared" si="1"/>
        <v>0</v>
      </c>
      <c r="I11" s="528">
        <v>0</v>
      </c>
      <c r="J11" s="564">
        <f t="shared" si="2"/>
        <v>0</v>
      </c>
      <c r="K11" s="528" t="s">
        <v>591</v>
      </c>
      <c r="L11" s="528"/>
      <c r="M11" s="564">
        <f t="shared" si="3"/>
        <v>0</v>
      </c>
      <c r="N11" s="528"/>
      <c r="O11" s="564">
        <f t="shared" si="4"/>
        <v>0</v>
      </c>
      <c r="P11" s="528" t="s">
        <v>591</v>
      </c>
      <c r="Q11" s="428"/>
      <c r="R11" s="399">
        <f t="shared" si="5"/>
        <v>0</v>
      </c>
      <c r="S11" s="428"/>
      <c r="T11" s="399">
        <f t="shared" si="6"/>
        <v>0</v>
      </c>
    </row>
    <row r="12" spans="1:20" hidden="1">
      <c r="A12" s="528">
        <v>7334</v>
      </c>
      <c r="B12" s="589" t="s">
        <v>13</v>
      </c>
      <c r="C12" s="297">
        <v>24</v>
      </c>
      <c r="D12" s="528">
        <f t="shared" si="0"/>
        <v>1.3</v>
      </c>
      <c r="E12" s="297">
        <v>31.2</v>
      </c>
      <c r="F12" s="1711" t="s">
        <v>591</v>
      </c>
      <c r="G12" s="528">
        <v>128</v>
      </c>
      <c r="H12" s="564">
        <f t="shared" si="1"/>
        <v>5.333333333333333</v>
      </c>
      <c r="I12" s="528">
        <v>180</v>
      </c>
      <c r="J12" s="564">
        <f t="shared" si="2"/>
        <v>7.5</v>
      </c>
      <c r="K12" s="528" t="s">
        <v>591</v>
      </c>
      <c r="L12" s="528"/>
      <c r="M12" s="564">
        <f t="shared" si="3"/>
        <v>0</v>
      </c>
      <c r="N12" s="528"/>
      <c r="O12" s="564">
        <f t="shared" si="4"/>
        <v>0</v>
      </c>
      <c r="P12" s="528" t="s">
        <v>65</v>
      </c>
      <c r="Q12" s="428">
        <v>38</v>
      </c>
      <c r="R12" s="399">
        <f t="shared" si="5"/>
        <v>1.5833333333333333</v>
      </c>
      <c r="S12" s="428">
        <v>25</v>
      </c>
      <c r="T12" s="399">
        <f t="shared" si="6"/>
        <v>1.0416666666666667</v>
      </c>
    </row>
    <row r="13" spans="1:20">
      <c r="A13" s="297">
        <v>3246</v>
      </c>
      <c r="B13" s="589" t="s">
        <v>3</v>
      </c>
      <c r="C13" s="297">
        <v>24</v>
      </c>
      <c r="D13" s="528">
        <f t="shared" si="0"/>
        <v>0.9</v>
      </c>
      <c r="E13" s="297">
        <v>21.6</v>
      </c>
      <c r="F13" s="1711" t="s">
        <v>589</v>
      </c>
      <c r="G13" s="528">
        <v>910</v>
      </c>
      <c r="H13" s="564">
        <f t="shared" si="1"/>
        <v>37.916666666666664</v>
      </c>
      <c r="I13" s="528">
        <v>458</v>
      </c>
      <c r="J13" s="564">
        <f t="shared" si="2"/>
        <v>19.083333333333332</v>
      </c>
      <c r="K13" s="528" t="s">
        <v>65</v>
      </c>
      <c r="L13" s="528">
        <v>0</v>
      </c>
      <c r="M13" s="564">
        <f t="shared" si="3"/>
        <v>0</v>
      </c>
      <c r="N13" s="528">
        <v>26</v>
      </c>
      <c r="O13" s="564">
        <f t="shared" si="4"/>
        <v>1.0833333333333333</v>
      </c>
      <c r="P13" s="528" t="s">
        <v>555</v>
      </c>
      <c r="Q13" s="428">
        <v>66</v>
      </c>
      <c r="R13" s="399">
        <f t="shared" si="5"/>
        <v>2.75</v>
      </c>
      <c r="S13" s="428">
        <v>37</v>
      </c>
      <c r="T13" s="399">
        <f t="shared" si="6"/>
        <v>1.5416666666666667</v>
      </c>
    </row>
    <row r="14" spans="1:20">
      <c r="A14" s="297">
        <v>3245</v>
      </c>
      <c r="B14" s="589" t="s">
        <v>17</v>
      </c>
      <c r="C14" s="297">
        <v>12</v>
      </c>
      <c r="D14" s="528">
        <f t="shared" si="0"/>
        <v>1.6500000000000001</v>
      </c>
      <c r="E14" s="297">
        <v>19.8</v>
      </c>
      <c r="F14" s="1711" t="s">
        <v>1130</v>
      </c>
      <c r="G14" s="528">
        <v>450</v>
      </c>
      <c r="H14" s="564">
        <f>G14/12</f>
        <v>37.5</v>
      </c>
      <c r="I14" s="528">
        <v>145</v>
      </c>
      <c r="J14" s="564">
        <f>I14/12</f>
        <v>12.083333333333334</v>
      </c>
      <c r="K14" s="528">
        <v>0</v>
      </c>
      <c r="L14" s="528">
        <v>0</v>
      </c>
      <c r="M14" s="564">
        <f t="shared" si="3"/>
        <v>0</v>
      </c>
      <c r="N14" s="528">
        <v>23</v>
      </c>
      <c r="O14" s="564">
        <f t="shared" si="4"/>
        <v>0.95833333333333337</v>
      </c>
      <c r="P14" s="528" t="s">
        <v>546</v>
      </c>
      <c r="Q14" s="428">
        <v>33</v>
      </c>
      <c r="R14" s="399">
        <f t="shared" si="5"/>
        <v>1.375</v>
      </c>
      <c r="S14" s="428"/>
      <c r="T14" s="399">
        <f t="shared" si="6"/>
        <v>0</v>
      </c>
    </row>
    <row r="15" spans="1:20">
      <c r="A15" s="297">
        <v>6701</v>
      </c>
      <c r="B15" s="589" t="s">
        <v>4</v>
      </c>
      <c r="C15" s="297">
        <v>24</v>
      </c>
      <c r="D15" s="528">
        <f t="shared" si="0"/>
        <v>1.8</v>
      </c>
      <c r="E15" s="297">
        <v>43.2</v>
      </c>
      <c r="F15" s="1711" t="s">
        <v>589</v>
      </c>
      <c r="G15" s="528">
        <v>1290</v>
      </c>
      <c r="H15" s="564">
        <f t="shared" si="1"/>
        <v>53.75</v>
      </c>
      <c r="I15" s="528">
        <v>457</v>
      </c>
      <c r="J15" s="564">
        <f t="shared" si="2"/>
        <v>19.041666666666668</v>
      </c>
      <c r="K15" s="528">
        <v>0</v>
      </c>
      <c r="L15" s="528">
        <v>0</v>
      </c>
      <c r="M15" s="564">
        <f t="shared" si="3"/>
        <v>0</v>
      </c>
      <c r="N15" s="528">
        <v>0</v>
      </c>
      <c r="O15" s="564">
        <f t="shared" si="4"/>
        <v>0</v>
      </c>
      <c r="P15" s="528" t="s">
        <v>591</v>
      </c>
      <c r="Q15" s="428">
        <v>76</v>
      </c>
      <c r="R15" s="399">
        <f t="shared" si="5"/>
        <v>3.1666666666666665</v>
      </c>
      <c r="S15" s="428">
        <v>37</v>
      </c>
      <c r="T15" s="399">
        <f t="shared" si="6"/>
        <v>1.5416666666666667</v>
      </c>
    </row>
    <row r="16" spans="1:20" s="827" customFormat="1">
      <c r="A16" s="297">
        <v>3151</v>
      </c>
      <c r="B16" s="589" t="s">
        <v>2</v>
      </c>
      <c r="C16" s="297">
        <v>24</v>
      </c>
      <c r="D16" s="528">
        <f t="shared" si="0"/>
        <v>1</v>
      </c>
      <c r="E16" s="297">
        <v>24</v>
      </c>
      <c r="F16" s="1711" t="s">
        <v>3319</v>
      </c>
      <c r="G16" s="528">
        <v>1521</v>
      </c>
      <c r="H16" s="564">
        <f t="shared" si="1"/>
        <v>63.375</v>
      </c>
      <c r="I16" s="528">
        <v>558</v>
      </c>
      <c r="J16" s="564">
        <f t="shared" si="2"/>
        <v>23.25</v>
      </c>
      <c r="K16" s="528" t="s">
        <v>555</v>
      </c>
      <c r="L16" s="528">
        <v>123</v>
      </c>
      <c r="M16" s="564">
        <f t="shared" si="3"/>
        <v>5.125</v>
      </c>
      <c r="N16" s="528">
        <v>23</v>
      </c>
      <c r="O16" s="564">
        <f t="shared" si="4"/>
        <v>0.95833333333333337</v>
      </c>
      <c r="P16" s="528" t="s">
        <v>558</v>
      </c>
      <c r="Q16" s="857">
        <v>160</v>
      </c>
      <c r="R16" s="399">
        <f t="shared" si="5"/>
        <v>6.666666666666667</v>
      </c>
      <c r="S16" s="857">
        <v>67</v>
      </c>
      <c r="T16" s="399">
        <f t="shared" si="6"/>
        <v>2.7916666666666665</v>
      </c>
    </row>
    <row r="17" spans="1:20" s="827" customFormat="1" ht="15" hidden="1" customHeight="1">
      <c r="A17" s="297">
        <v>20677</v>
      </c>
      <c r="B17" s="311" t="s">
        <v>4090</v>
      </c>
      <c r="C17" s="297">
        <v>24</v>
      </c>
      <c r="D17" s="528">
        <f t="shared" si="0"/>
        <v>1.5999999999999999</v>
      </c>
      <c r="E17" s="297">
        <v>38.4</v>
      </c>
      <c r="F17" s="1711" t="s">
        <v>591</v>
      </c>
      <c r="G17" s="528">
        <v>0</v>
      </c>
      <c r="H17" s="564">
        <f t="shared" si="1"/>
        <v>0</v>
      </c>
      <c r="I17" s="528"/>
      <c r="J17" s="564">
        <f t="shared" si="2"/>
        <v>0</v>
      </c>
      <c r="K17" s="528" t="s">
        <v>591</v>
      </c>
      <c r="L17" s="528"/>
      <c r="M17" s="564"/>
      <c r="N17" s="528"/>
      <c r="O17" s="564"/>
      <c r="P17" s="528" t="s">
        <v>591</v>
      </c>
      <c r="Q17" s="1114"/>
      <c r="R17" s="399">
        <f t="shared" si="5"/>
        <v>0</v>
      </c>
      <c r="S17" s="1114"/>
      <c r="T17" s="399"/>
    </row>
    <row r="18" spans="1:20" s="827" customFormat="1" ht="15" hidden="1" customHeight="1">
      <c r="B18" s="311" t="s">
        <v>4089</v>
      </c>
      <c r="C18" s="297">
        <v>24</v>
      </c>
      <c r="D18" s="528">
        <f t="shared" si="0"/>
        <v>1.0999999999999999</v>
      </c>
      <c r="E18" s="297">
        <v>26.4</v>
      </c>
      <c r="F18" s="1711" t="s">
        <v>591</v>
      </c>
      <c r="G18" s="528">
        <v>0</v>
      </c>
      <c r="H18" s="564">
        <f t="shared" si="1"/>
        <v>0</v>
      </c>
      <c r="I18" s="528">
        <v>0</v>
      </c>
      <c r="J18" s="564">
        <f t="shared" si="2"/>
        <v>0</v>
      </c>
      <c r="K18" s="528" t="s">
        <v>591</v>
      </c>
      <c r="L18" s="528"/>
      <c r="M18" s="564"/>
      <c r="N18" s="528"/>
      <c r="O18" s="564"/>
      <c r="P18" s="528" t="s">
        <v>591</v>
      </c>
      <c r="Q18" s="1114"/>
      <c r="R18" s="399"/>
      <c r="S18" s="1114"/>
      <c r="T18" s="399"/>
    </row>
    <row r="19" spans="1:20" ht="15" hidden="1" customHeight="1">
      <c r="A19" s="528">
        <v>9217</v>
      </c>
      <c r="B19" s="311" t="s">
        <v>10</v>
      </c>
      <c r="C19" s="297">
        <v>24</v>
      </c>
      <c r="D19" s="528">
        <f t="shared" si="0"/>
        <v>1.5999999999999999</v>
      </c>
      <c r="E19" s="528">
        <v>38.4</v>
      </c>
      <c r="F19" s="1711" t="s">
        <v>591</v>
      </c>
      <c r="G19" s="528">
        <v>25</v>
      </c>
      <c r="H19" s="564">
        <f t="shared" si="1"/>
        <v>1.0416666666666667</v>
      </c>
      <c r="I19" s="528">
        <v>273</v>
      </c>
      <c r="J19" s="564">
        <f t="shared" si="2"/>
        <v>11.375</v>
      </c>
      <c r="K19" s="528" t="s">
        <v>591</v>
      </c>
      <c r="L19" s="528"/>
      <c r="M19" s="564">
        <f t="shared" si="3"/>
        <v>0</v>
      </c>
      <c r="N19" s="528"/>
      <c r="O19" s="564">
        <f t="shared" si="4"/>
        <v>0</v>
      </c>
      <c r="P19" s="528">
        <v>0</v>
      </c>
      <c r="Q19" s="428"/>
      <c r="R19" s="399">
        <f t="shared" si="5"/>
        <v>0</v>
      </c>
      <c r="S19" s="428"/>
      <c r="T19" s="399">
        <f t="shared" si="6"/>
        <v>0</v>
      </c>
    </row>
    <row r="20" spans="1:20" ht="15" hidden="1" customHeight="1">
      <c r="A20" s="528">
        <v>5097</v>
      </c>
      <c r="B20" s="311" t="s">
        <v>14</v>
      </c>
      <c r="C20" s="297">
        <v>24</v>
      </c>
      <c r="D20" s="528">
        <f t="shared" si="0"/>
        <v>1.7</v>
      </c>
      <c r="E20" s="528">
        <v>40.799999999999997</v>
      </c>
      <c r="F20" s="1711" t="s">
        <v>591</v>
      </c>
      <c r="G20" s="528">
        <v>88</v>
      </c>
      <c r="H20" s="564">
        <f t="shared" si="1"/>
        <v>3.6666666666666665</v>
      </c>
      <c r="I20" s="528">
        <v>40</v>
      </c>
      <c r="J20" s="564">
        <f t="shared" si="2"/>
        <v>1.6666666666666667</v>
      </c>
      <c r="K20" s="528" t="s">
        <v>591</v>
      </c>
      <c r="L20" s="528"/>
      <c r="M20" s="564">
        <f t="shared" si="3"/>
        <v>0</v>
      </c>
      <c r="N20" s="528"/>
      <c r="O20" s="564">
        <f t="shared" si="4"/>
        <v>0</v>
      </c>
      <c r="P20" s="528" t="s">
        <v>591</v>
      </c>
      <c r="Q20" s="428"/>
      <c r="R20" s="399">
        <f t="shared" si="5"/>
        <v>0</v>
      </c>
      <c r="S20" s="428"/>
      <c r="T20" s="399">
        <f t="shared" si="6"/>
        <v>0</v>
      </c>
    </row>
    <row r="21" spans="1:20" hidden="1">
      <c r="A21" s="528">
        <v>3247</v>
      </c>
      <c r="B21" s="311" t="s">
        <v>9</v>
      </c>
      <c r="C21" s="297">
        <v>24</v>
      </c>
      <c r="D21" s="528">
        <f t="shared" si="0"/>
        <v>0.62</v>
      </c>
      <c r="E21" s="528">
        <v>14.88</v>
      </c>
      <c r="F21" s="1711" t="s">
        <v>591</v>
      </c>
      <c r="G21" s="528">
        <v>2</v>
      </c>
      <c r="H21" s="564">
        <f t="shared" si="1"/>
        <v>8.3333333333333329E-2</v>
      </c>
      <c r="I21" s="528">
        <v>72</v>
      </c>
      <c r="J21" s="564">
        <f t="shared" si="2"/>
        <v>3</v>
      </c>
      <c r="K21" s="528" t="s">
        <v>591</v>
      </c>
      <c r="L21" s="528"/>
      <c r="M21" s="564">
        <f t="shared" si="3"/>
        <v>0</v>
      </c>
      <c r="N21" s="528"/>
      <c r="O21" s="564">
        <f t="shared" si="4"/>
        <v>0</v>
      </c>
      <c r="P21" s="528" t="s">
        <v>591</v>
      </c>
      <c r="Q21" s="428"/>
      <c r="R21" s="399">
        <f t="shared" si="5"/>
        <v>0</v>
      </c>
      <c r="S21" s="428"/>
      <c r="T21" s="399">
        <f t="shared" si="6"/>
        <v>0</v>
      </c>
    </row>
    <row r="22" spans="1:20" hidden="1">
      <c r="A22" s="528">
        <v>6405</v>
      </c>
      <c r="B22" s="311" t="s">
        <v>8</v>
      </c>
      <c r="C22" s="297">
        <v>24</v>
      </c>
      <c r="D22" s="528">
        <f t="shared" si="0"/>
        <v>1.5999999999999999</v>
      </c>
      <c r="E22" s="528">
        <v>38.4</v>
      </c>
      <c r="F22" s="1711" t="s">
        <v>591</v>
      </c>
      <c r="G22" s="528">
        <v>0</v>
      </c>
      <c r="H22" s="564">
        <f t="shared" si="1"/>
        <v>0</v>
      </c>
      <c r="I22" s="528">
        <v>137</v>
      </c>
      <c r="J22" s="564">
        <f t="shared" si="2"/>
        <v>5.708333333333333</v>
      </c>
      <c r="K22" s="528" t="s">
        <v>591</v>
      </c>
      <c r="L22" s="528"/>
      <c r="M22" s="564">
        <f t="shared" si="3"/>
        <v>0</v>
      </c>
      <c r="N22" s="528"/>
      <c r="O22" s="564">
        <f t="shared" si="4"/>
        <v>0</v>
      </c>
      <c r="P22" s="528" t="s">
        <v>591</v>
      </c>
      <c r="Q22" s="428"/>
      <c r="R22" s="399">
        <f t="shared" si="5"/>
        <v>0</v>
      </c>
      <c r="S22" s="428"/>
      <c r="T22" s="399">
        <f t="shared" si="6"/>
        <v>0</v>
      </c>
    </row>
    <row r="23" spans="1:20">
      <c r="A23" s="528">
        <v>1014</v>
      </c>
      <c r="B23" s="311" t="s">
        <v>3662</v>
      </c>
      <c r="C23" s="297">
        <v>24</v>
      </c>
      <c r="D23" s="528">
        <f t="shared" si="0"/>
        <v>0.6166666666666667</v>
      </c>
      <c r="E23" s="528">
        <v>14.8</v>
      </c>
      <c r="F23" s="1711" t="s">
        <v>590</v>
      </c>
      <c r="G23" s="528">
        <v>51</v>
      </c>
      <c r="H23" s="564">
        <f t="shared" si="1"/>
        <v>2.125</v>
      </c>
      <c r="I23" s="528">
        <v>274</v>
      </c>
      <c r="J23" s="564">
        <f t="shared" si="2"/>
        <v>11.416666666666666</v>
      </c>
      <c r="K23" s="528" t="s">
        <v>591</v>
      </c>
      <c r="L23" s="528"/>
      <c r="M23" s="564">
        <f t="shared" si="3"/>
        <v>0</v>
      </c>
      <c r="N23" s="528"/>
      <c r="O23" s="564">
        <f t="shared" si="4"/>
        <v>0</v>
      </c>
      <c r="P23" s="528" t="s">
        <v>591</v>
      </c>
      <c r="Q23" s="428"/>
      <c r="R23" s="399">
        <f t="shared" si="5"/>
        <v>0</v>
      </c>
      <c r="S23" s="428"/>
      <c r="T23" s="399">
        <f t="shared" si="6"/>
        <v>0</v>
      </c>
    </row>
    <row r="24" spans="1:20">
      <c r="A24" s="528">
        <v>1023</v>
      </c>
      <c r="B24" s="311" t="s">
        <v>3663</v>
      </c>
      <c r="C24" s="297">
        <v>24</v>
      </c>
      <c r="D24" s="528">
        <f t="shared" si="0"/>
        <v>0.62</v>
      </c>
      <c r="E24" s="528">
        <v>14.88</v>
      </c>
      <c r="F24" s="1711" t="s">
        <v>590</v>
      </c>
      <c r="G24" s="528">
        <v>159</v>
      </c>
      <c r="H24" s="564">
        <f t="shared" si="1"/>
        <v>6.625</v>
      </c>
      <c r="I24" s="528">
        <v>179</v>
      </c>
      <c r="J24" s="564">
        <f t="shared" si="2"/>
        <v>7.458333333333333</v>
      </c>
      <c r="K24" s="528" t="s">
        <v>591</v>
      </c>
      <c r="L24" s="528"/>
      <c r="M24" s="564">
        <f t="shared" si="3"/>
        <v>0</v>
      </c>
      <c r="N24" s="528"/>
      <c r="O24" s="564">
        <f t="shared" si="4"/>
        <v>0</v>
      </c>
      <c r="P24" s="528" t="s">
        <v>591</v>
      </c>
      <c r="Q24" s="428"/>
      <c r="R24" s="399">
        <f t="shared" si="5"/>
        <v>0</v>
      </c>
      <c r="S24" s="428"/>
      <c r="T24" s="399">
        <f t="shared" si="6"/>
        <v>0</v>
      </c>
    </row>
    <row r="25" spans="1:20">
      <c r="A25" s="528">
        <v>1019</v>
      </c>
      <c r="B25" s="311" t="s">
        <v>3664</v>
      </c>
      <c r="C25" s="297">
        <v>24</v>
      </c>
      <c r="D25" s="528">
        <f t="shared" si="0"/>
        <v>0.70000000000000007</v>
      </c>
      <c r="E25" s="528">
        <v>16.8</v>
      </c>
      <c r="F25" s="1711" t="s">
        <v>590</v>
      </c>
      <c r="G25" s="528">
        <v>73</v>
      </c>
      <c r="H25" s="564">
        <f t="shared" si="1"/>
        <v>3.0416666666666665</v>
      </c>
      <c r="I25" s="528">
        <v>295</v>
      </c>
      <c r="J25" s="564">
        <f t="shared" si="2"/>
        <v>12.291666666666666</v>
      </c>
      <c r="K25" s="528" t="s">
        <v>591</v>
      </c>
      <c r="L25" s="528"/>
      <c r="M25" s="564">
        <f t="shared" si="3"/>
        <v>0</v>
      </c>
      <c r="N25" s="528"/>
      <c r="O25" s="564">
        <f t="shared" si="4"/>
        <v>0</v>
      </c>
      <c r="P25" s="528" t="s">
        <v>3999</v>
      </c>
      <c r="Q25" s="428"/>
      <c r="R25" s="399">
        <f t="shared" si="5"/>
        <v>0</v>
      </c>
      <c r="S25" s="428"/>
      <c r="T25" s="399">
        <f t="shared" si="6"/>
        <v>0</v>
      </c>
    </row>
    <row r="26" spans="1:20" hidden="1">
      <c r="A26" s="528">
        <v>1017</v>
      </c>
      <c r="B26" s="311" t="s">
        <v>3665</v>
      </c>
      <c r="C26" s="297">
        <v>24</v>
      </c>
      <c r="D26" s="528">
        <f t="shared" si="0"/>
        <v>0.79999999999999993</v>
      </c>
      <c r="E26" s="528">
        <v>19.2</v>
      </c>
      <c r="F26" s="1711" t="s">
        <v>591</v>
      </c>
      <c r="G26" s="528">
        <v>37</v>
      </c>
      <c r="H26" s="564">
        <f t="shared" si="1"/>
        <v>1.5416666666666667</v>
      </c>
      <c r="I26" s="528">
        <v>156</v>
      </c>
      <c r="J26" s="564">
        <f t="shared" si="2"/>
        <v>6.5</v>
      </c>
      <c r="K26" s="528" t="s">
        <v>591</v>
      </c>
      <c r="L26" s="528"/>
      <c r="M26" s="564">
        <f t="shared" si="3"/>
        <v>0</v>
      </c>
      <c r="N26" s="528"/>
      <c r="O26" s="564">
        <f t="shared" si="4"/>
        <v>0</v>
      </c>
      <c r="P26" s="528" t="s">
        <v>591</v>
      </c>
      <c r="Q26" s="428"/>
      <c r="R26" s="399">
        <f t="shared" si="5"/>
        <v>0</v>
      </c>
      <c r="S26" s="428"/>
      <c r="T26" s="399">
        <f t="shared" si="6"/>
        <v>0</v>
      </c>
    </row>
    <row r="27" spans="1:20">
      <c r="A27" s="528">
        <v>9738</v>
      </c>
      <c r="B27" s="311" t="s">
        <v>15</v>
      </c>
      <c r="C27" s="297">
        <v>24</v>
      </c>
      <c r="D27" s="528">
        <f t="shared" si="0"/>
        <v>0.9</v>
      </c>
      <c r="E27" s="528">
        <v>21.6</v>
      </c>
      <c r="F27" s="1711" t="s">
        <v>5562</v>
      </c>
      <c r="G27" s="528">
        <v>636</v>
      </c>
      <c r="H27" s="564">
        <f t="shared" si="1"/>
        <v>26.5</v>
      </c>
      <c r="I27" s="528">
        <v>81</v>
      </c>
      <c r="J27" s="564">
        <f t="shared" si="2"/>
        <v>3.375</v>
      </c>
      <c r="K27" s="528" t="s">
        <v>1133</v>
      </c>
      <c r="L27" s="528">
        <v>109</v>
      </c>
      <c r="M27" s="564">
        <f t="shared" si="3"/>
        <v>4.541666666666667</v>
      </c>
      <c r="N27" s="528">
        <v>18</v>
      </c>
      <c r="O27" s="564">
        <f t="shared" si="4"/>
        <v>0.75</v>
      </c>
      <c r="P27" s="528"/>
      <c r="Q27" s="428"/>
      <c r="R27" s="399">
        <f t="shared" si="5"/>
        <v>0</v>
      </c>
      <c r="S27" s="428"/>
      <c r="T27" s="399">
        <f t="shared" si="6"/>
        <v>0</v>
      </c>
    </row>
    <row r="28" spans="1:20">
      <c r="A28" s="297">
        <v>1021</v>
      </c>
      <c r="B28" s="589" t="s">
        <v>7</v>
      </c>
      <c r="C28" s="297">
        <v>24</v>
      </c>
      <c r="D28" s="528">
        <f t="shared" si="0"/>
        <v>1</v>
      </c>
      <c r="E28" s="297">
        <v>24</v>
      </c>
      <c r="F28" s="1711" t="s">
        <v>676</v>
      </c>
      <c r="G28" s="528">
        <v>0</v>
      </c>
      <c r="H28" s="564">
        <f t="shared" si="1"/>
        <v>0</v>
      </c>
      <c r="I28" s="528">
        <v>0</v>
      </c>
      <c r="J28" s="564">
        <f t="shared" si="2"/>
        <v>0</v>
      </c>
      <c r="K28" s="528" t="s">
        <v>591</v>
      </c>
      <c r="L28" s="528"/>
      <c r="M28" s="564">
        <f t="shared" si="3"/>
        <v>0</v>
      </c>
      <c r="N28" s="528"/>
      <c r="O28" s="564">
        <f t="shared" si="4"/>
        <v>0</v>
      </c>
      <c r="P28" s="528"/>
      <c r="Q28" s="428"/>
      <c r="R28" s="399">
        <f t="shared" si="5"/>
        <v>0</v>
      </c>
      <c r="S28" s="428"/>
      <c r="T28" s="399">
        <f t="shared" si="6"/>
        <v>0</v>
      </c>
    </row>
    <row r="29" spans="1:20">
      <c r="A29" s="528">
        <v>3065</v>
      </c>
      <c r="B29" s="311" t="s">
        <v>16</v>
      </c>
      <c r="C29" s="297">
        <v>24</v>
      </c>
      <c r="D29" s="528">
        <f t="shared" si="0"/>
        <v>1.8</v>
      </c>
      <c r="E29" s="528">
        <v>43.2</v>
      </c>
      <c r="F29" s="1711" t="s">
        <v>676</v>
      </c>
      <c r="G29" s="528">
        <v>79</v>
      </c>
      <c r="H29" s="564">
        <f t="shared" si="1"/>
        <v>3.2916666666666665</v>
      </c>
      <c r="I29" s="528">
        <v>0</v>
      </c>
      <c r="J29" s="564">
        <f t="shared" si="2"/>
        <v>0</v>
      </c>
      <c r="K29" s="528" t="s">
        <v>591</v>
      </c>
      <c r="L29" s="528"/>
      <c r="M29" s="564">
        <f t="shared" si="3"/>
        <v>0</v>
      </c>
      <c r="N29" s="528"/>
      <c r="O29" s="564">
        <f t="shared" si="4"/>
        <v>0</v>
      </c>
      <c r="P29" s="528" t="s">
        <v>591</v>
      </c>
      <c r="Q29" s="428">
        <v>71</v>
      </c>
      <c r="R29" s="399">
        <f t="shared" si="5"/>
        <v>2.9583333333333335</v>
      </c>
      <c r="S29" s="428">
        <v>37</v>
      </c>
      <c r="T29" s="399">
        <f t="shared" si="6"/>
        <v>1.5416666666666667</v>
      </c>
    </row>
    <row r="30" spans="1:20">
      <c r="A30" s="297">
        <v>1015</v>
      </c>
      <c r="B30" s="589" t="s">
        <v>11</v>
      </c>
      <c r="C30" s="297">
        <v>24</v>
      </c>
      <c r="D30" s="528">
        <f t="shared" si="0"/>
        <v>1</v>
      </c>
      <c r="E30" s="297">
        <v>24</v>
      </c>
      <c r="F30" s="1711" t="s">
        <v>5563</v>
      </c>
      <c r="G30" s="528">
        <v>796</v>
      </c>
      <c r="H30" s="564">
        <f t="shared" si="1"/>
        <v>33.166666666666664</v>
      </c>
      <c r="I30" s="528">
        <v>371</v>
      </c>
      <c r="J30" s="564">
        <f t="shared" si="2"/>
        <v>15.458333333333334</v>
      </c>
      <c r="K30" s="528" t="s">
        <v>555</v>
      </c>
      <c r="L30" s="528">
        <v>76</v>
      </c>
      <c r="M30" s="564">
        <f t="shared" si="3"/>
        <v>3.1666666666666665</v>
      </c>
      <c r="N30" s="528">
        <v>14</v>
      </c>
      <c r="O30" s="564">
        <f t="shared" si="4"/>
        <v>0.58333333333333337</v>
      </c>
      <c r="P30" s="528" t="s">
        <v>555</v>
      </c>
      <c r="Q30" s="428">
        <v>106</v>
      </c>
      <c r="R30" s="399">
        <f t="shared" si="5"/>
        <v>4.416666666666667</v>
      </c>
      <c r="S30" s="428">
        <v>38</v>
      </c>
      <c r="T30" s="399">
        <f t="shared" si="6"/>
        <v>1.5833333333333333</v>
      </c>
    </row>
    <row r="31" spans="1:20">
      <c r="B31" s="496"/>
      <c r="C31" s="1115"/>
      <c r="D31" s="1115"/>
      <c r="E31" s="1115"/>
      <c r="K31" s="135"/>
      <c r="M31" s="428">
        <f>L31/24</f>
        <v>0</v>
      </c>
      <c r="Q31" s="427" t="s">
        <v>65</v>
      </c>
      <c r="R31" s="427" t="s">
        <v>65</v>
      </c>
    </row>
    <row r="37" spans="1:8" ht="45">
      <c r="A37" s="310" t="s">
        <v>119</v>
      </c>
      <c r="B37" s="528" t="s">
        <v>4087</v>
      </c>
      <c r="C37" s="310" t="s">
        <v>2647</v>
      </c>
      <c r="D37" s="310" t="s">
        <v>4086</v>
      </c>
      <c r="E37" s="310" t="s">
        <v>4085</v>
      </c>
      <c r="F37" s="1709" t="s">
        <v>4102</v>
      </c>
      <c r="G37" s="1145" t="s">
        <v>4103</v>
      </c>
    </row>
    <row r="38" spans="1:8">
      <c r="A38" s="528">
        <v>9098</v>
      </c>
      <c r="B38" s="311" t="s">
        <v>5</v>
      </c>
      <c r="C38" s="528">
        <v>24</v>
      </c>
      <c r="D38" s="576">
        <f>+E38/C38</f>
        <v>0.63</v>
      </c>
      <c r="E38" s="528">
        <v>15.12</v>
      </c>
      <c r="F38" s="1924">
        <f>+D38*30%</f>
        <v>0.189</v>
      </c>
      <c r="G38" s="6">
        <f>+D38+F38</f>
        <v>0.81899999999999995</v>
      </c>
    </row>
    <row r="39" spans="1:8">
      <c r="A39" s="528">
        <v>9099</v>
      </c>
      <c r="B39" s="589" t="s">
        <v>6</v>
      </c>
      <c r="C39" s="297">
        <v>24</v>
      </c>
      <c r="D39" s="576">
        <f t="shared" ref="D39:D61" si="7">+E39/C39</f>
        <v>0.68</v>
      </c>
      <c r="E39" s="297">
        <v>16.32</v>
      </c>
      <c r="F39" s="1924">
        <f t="shared" ref="F39:F61" si="8">+D39*30%</f>
        <v>0.20400000000000001</v>
      </c>
      <c r="G39" s="6">
        <f t="shared" ref="G39:G61" si="9">+D39+F39</f>
        <v>0.88400000000000012</v>
      </c>
    </row>
    <row r="40" spans="1:8">
      <c r="A40" s="528">
        <v>6486</v>
      </c>
      <c r="B40" s="311" t="s">
        <v>4091</v>
      </c>
      <c r="C40" s="528">
        <v>24</v>
      </c>
      <c r="D40" s="576">
        <f t="shared" si="7"/>
        <v>0.57999999999999996</v>
      </c>
      <c r="E40" s="528">
        <v>13.92</v>
      </c>
      <c r="F40" s="1924">
        <f t="shared" si="8"/>
        <v>0.17399999999999999</v>
      </c>
      <c r="G40" s="6">
        <f t="shared" si="9"/>
        <v>0.754</v>
      </c>
    </row>
    <row r="41" spans="1:8">
      <c r="A41" s="528">
        <v>6708</v>
      </c>
      <c r="B41" s="311" t="s">
        <v>12</v>
      </c>
      <c r="C41" s="528">
        <v>24</v>
      </c>
      <c r="D41" s="576">
        <f t="shared" si="7"/>
        <v>0.6</v>
      </c>
      <c r="E41" s="528">
        <v>14.4</v>
      </c>
      <c r="F41" s="1924">
        <f t="shared" si="8"/>
        <v>0.18</v>
      </c>
      <c r="G41" s="6">
        <f t="shared" si="9"/>
        <v>0.78</v>
      </c>
    </row>
    <row r="42" spans="1:8">
      <c r="A42" s="528">
        <v>7334</v>
      </c>
      <c r="B42" s="589" t="s">
        <v>13</v>
      </c>
      <c r="C42" s="1152">
        <v>24</v>
      </c>
      <c r="D42" s="1155">
        <f t="shared" si="7"/>
        <v>1.3</v>
      </c>
      <c r="E42" s="1152">
        <v>31.2</v>
      </c>
      <c r="F42" s="1925">
        <f t="shared" si="8"/>
        <v>0.39</v>
      </c>
      <c r="G42" s="1153">
        <f t="shared" si="9"/>
        <v>1.69</v>
      </c>
      <c r="H42" s="404" t="s">
        <v>591</v>
      </c>
    </row>
    <row r="43" spans="1:8">
      <c r="A43" s="297">
        <v>3246</v>
      </c>
      <c r="B43" s="589" t="s">
        <v>3</v>
      </c>
      <c r="C43" s="297">
        <v>24</v>
      </c>
      <c r="D43" s="576">
        <f t="shared" si="7"/>
        <v>0.9</v>
      </c>
      <c r="E43" s="297">
        <v>21.6</v>
      </c>
      <c r="F43" s="1924">
        <f t="shared" si="8"/>
        <v>0.27</v>
      </c>
      <c r="G43" s="6">
        <f t="shared" si="9"/>
        <v>1.17</v>
      </c>
    </row>
    <row r="44" spans="1:8">
      <c r="A44" s="297">
        <v>3245</v>
      </c>
      <c r="B44" s="589" t="s">
        <v>17</v>
      </c>
      <c r="C44" s="1152">
        <v>12</v>
      </c>
      <c r="D44" s="1155">
        <f t="shared" si="7"/>
        <v>1.6500000000000001</v>
      </c>
      <c r="E44" s="1152">
        <v>19.8</v>
      </c>
      <c r="F44" s="1924">
        <f t="shared" si="8"/>
        <v>0.495</v>
      </c>
      <c r="G44" s="1154">
        <f t="shared" si="9"/>
        <v>2.145</v>
      </c>
      <c r="H44" s="404" t="s">
        <v>591</v>
      </c>
    </row>
    <row r="45" spans="1:8">
      <c r="A45" s="297">
        <v>6701</v>
      </c>
      <c r="B45" s="589" t="s">
        <v>4</v>
      </c>
      <c r="C45" s="1152">
        <v>24</v>
      </c>
      <c r="D45" s="1155">
        <f t="shared" si="7"/>
        <v>1.8</v>
      </c>
      <c r="E45" s="1152">
        <v>43.2</v>
      </c>
      <c r="F45" s="1924">
        <f t="shared" si="8"/>
        <v>0.54</v>
      </c>
      <c r="G45" s="1154">
        <f t="shared" si="9"/>
        <v>2.34</v>
      </c>
      <c r="H45" s="404" t="s">
        <v>591</v>
      </c>
    </row>
    <row r="46" spans="1:8">
      <c r="A46" s="297">
        <v>3151</v>
      </c>
      <c r="B46" s="589" t="s">
        <v>2</v>
      </c>
      <c r="C46" s="297">
        <v>24</v>
      </c>
      <c r="D46" s="576">
        <f t="shared" si="7"/>
        <v>1</v>
      </c>
      <c r="E46" s="297">
        <v>24</v>
      </c>
      <c r="F46" s="1924">
        <f t="shared" si="8"/>
        <v>0.3</v>
      </c>
      <c r="G46" s="6">
        <f t="shared" si="9"/>
        <v>1.3</v>
      </c>
    </row>
    <row r="47" spans="1:8">
      <c r="A47" s="297">
        <v>20677</v>
      </c>
      <c r="B47" s="311" t="s">
        <v>4090</v>
      </c>
      <c r="C47" s="1152">
        <v>24</v>
      </c>
      <c r="D47" s="1155">
        <f t="shared" si="7"/>
        <v>1.5999999999999999</v>
      </c>
      <c r="E47" s="1152">
        <v>38.4</v>
      </c>
      <c r="F47" s="1924">
        <f t="shared" si="8"/>
        <v>0.47999999999999993</v>
      </c>
      <c r="G47" s="1154">
        <f t="shared" si="9"/>
        <v>2.0799999999999996</v>
      </c>
    </row>
    <row r="48" spans="1:8">
      <c r="A48" s="827"/>
      <c r="B48" s="311" t="s">
        <v>4089</v>
      </c>
      <c r="C48" s="297">
        <v>24</v>
      </c>
      <c r="D48" s="576">
        <f t="shared" si="7"/>
        <v>1.0999999999999999</v>
      </c>
      <c r="E48" s="297">
        <v>26.4</v>
      </c>
      <c r="F48" s="1924">
        <f t="shared" si="8"/>
        <v>0.32999999999999996</v>
      </c>
      <c r="G48" s="6">
        <f t="shared" si="9"/>
        <v>1.4299999999999997</v>
      </c>
    </row>
    <row r="49" spans="1:20">
      <c r="A49" s="528">
        <v>9217</v>
      </c>
      <c r="B49" s="311" t="s">
        <v>10</v>
      </c>
      <c r="C49" s="1152">
        <v>24</v>
      </c>
      <c r="D49" s="1155">
        <f t="shared" si="7"/>
        <v>1.5999999999999999</v>
      </c>
      <c r="E49" s="1152">
        <v>38.4</v>
      </c>
      <c r="F49" s="1924">
        <f t="shared" si="8"/>
        <v>0.47999999999999993</v>
      </c>
      <c r="G49" s="1154">
        <f t="shared" si="9"/>
        <v>2.0799999999999996</v>
      </c>
    </row>
    <row r="50" spans="1:20">
      <c r="A50" s="528">
        <v>5097</v>
      </c>
      <c r="B50" s="311" t="s">
        <v>14</v>
      </c>
      <c r="C50" s="1152">
        <v>24</v>
      </c>
      <c r="D50" s="1155">
        <f t="shared" si="7"/>
        <v>1.7</v>
      </c>
      <c r="E50" s="1152">
        <v>40.799999999999997</v>
      </c>
      <c r="F50" s="1924">
        <f t="shared" si="8"/>
        <v>0.51</v>
      </c>
      <c r="G50" s="1154">
        <f t="shared" si="9"/>
        <v>2.21</v>
      </c>
    </row>
    <row r="51" spans="1:20">
      <c r="A51" s="528">
        <v>3247</v>
      </c>
      <c r="B51" s="311" t="s">
        <v>9</v>
      </c>
      <c r="C51" s="297">
        <v>24</v>
      </c>
      <c r="D51" s="576">
        <f t="shared" si="7"/>
        <v>0.62</v>
      </c>
      <c r="E51" s="528">
        <v>14.88</v>
      </c>
      <c r="F51" s="1924">
        <f t="shared" si="8"/>
        <v>0.186</v>
      </c>
      <c r="G51" s="6">
        <f t="shared" si="9"/>
        <v>0.80600000000000005</v>
      </c>
    </row>
    <row r="52" spans="1:20">
      <c r="A52" s="528">
        <v>6405</v>
      </c>
      <c r="B52" s="311" t="s">
        <v>8</v>
      </c>
      <c r="C52" s="1152">
        <v>24</v>
      </c>
      <c r="D52" s="1155">
        <f t="shared" si="7"/>
        <v>1.5999999999999999</v>
      </c>
      <c r="E52" s="1152">
        <v>38.4</v>
      </c>
      <c r="F52" s="1924">
        <f t="shared" si="8"/>
        <v>0.47999999999999993</v>
      </c>
      <c r="G52" s="1154">
        <f t="shared" si="9"/>
        <v>2.0799999999999996</v>
      </c>
    </row>
    <row r="53" spans="1:20">
      <c r="A53" s="528">
        <v>1014</v>
      </c>
      <c r="B53" s="311" t="s">
        <v>3662</v>
      </c>
      <c r="C53" s="297">
        <v>24</v>
      </c>
      <c r="D53" s="576">
        <f t="shared" si="7"/>
        <v>0.62</v>
      </c>
      <c r="E53" s="528">
        <v>14.88</v>
      </c>
      <c r="F53" s="1924">
        <f t="shared" si="8"/>
        <v>0.186</v>
      </c>
      <c r="G53" s="6">
        <f t="shared" si="9"/>
        <v>0.80600000000000005</v>
      </c>
    </row>
    <row r="54" spans="1:20">
      <c r="A54" s="528">
        <v>1023</v>
      </c>
      <c r="B54" s="311" t="s">
        <v>3663</v>
      </c>
      <c r="C54" s="297">
        <v>24</v>
      </c>
      <c r="D54" s="576">
        <f t="shared" si="7"/>
        <v>0.62</v>
      </c>
      <c r="E54" s="528">
        <v>14.88</v>
      </c>
      <c r="F54" s="1924">
        <f t="shared" si="8"/>
        <v>0.186</v>
      </c>
      <c r="G54" s="6">
        <f t="shared" si="9"/>
        <v>0.80600000000000005</v>
      </c>
    </row>
    <row r="55" spans="1:20">
      <c r="A55" s="528">
        <v>1019</v>
      </c>
      <c r="B55" s="311" t="s">
        <v>3664</v>
      </c>
      <c r="C55" s="297">
        <v>24</v>
      </c>
      <c r="D55" s="576">
        <f t="shared" si="7"/>
        <v>0.70000000000000007</v>
      </c>
      <c r="E55" s="528">
        <v>16.8</v>
      </c>
      <c r="F55" s="1924">
        <f t="shared" si="8"/>
        <v>0.21000000000000002</v>
      </c>
      <c r="G55" s="6">
        <f t="shared" si="9"/>
        <v>0.91000000000000014</v>
      </c>
    </row>
    <row r="56" spans="1:20">
      <c r="A56" s="528">
        <v>1017</v>
      </c>
      <c r="B56" s="311" t="s">
        <v>3665</v>
      </c>
      <c r="C56" s="297">
        <v>24</v>
      </c>
      <c r="D56" s="576">
        <f t="shared" si="7"/>
        <v>0.79999999999999993</v>
      </c>
      <c r="E56" s="528">
        <v>19.2</v>
      </c>
      <c r="F56" s="1924">
        <f t="shared" si="8"/>
        <v>0.23999999999999996</v>
      </c>
      <c r="G56" s="6">
        <f t="shared" si="9"/>
        <v>1.0399999999999998</v>
      </c>
    </row>
    <row r="57" spans="1:20" s="827" customFormat="1">
      <c r="A57" s="1448"/>
      <c r="B57" s="311" t="s">
        <v>4887</v>
      </c>
      <c r="C57" s="297">
        <v>24</v>
      </c>
      <c r="D57" s="576">
        <f t="shared" si="7"/>
        <v>2.1</v>
      </c>
      <c r="E57" s="1448">
        <v>50.4</v>
      </c>
      <c r="F57" s="1924">
        <f t="shared" si="8"/>
        <v>0.63</v>
      </c>
      <c r="G57" s="6">
        <f t="shared" si="9"/>
        <v>2.73</v>
      </c>
      <c r="P57" s="1446"/>
      <c r="Q57" s="1446"/>
      <c r="R57" s="1446"/>
      <c r="S57" s="1446"/>
      <c r="T57" s="1446"/>
    </row>
    <row r="58" spans="1:20">
      <c r="A58" s="528">
        <v>9738</v>
      </c>
      <c r="B58" s="311" t="s">
        <v>15</v>
      </c>
      <c r="C58" s="297">
        <v>24</v>
      </c>
      <c r="D58" s="576">
        <f t="shared" si="7"/>
        <v>1</v>
      </c>
      <c r="E58" s="528">
        <v>24</v>
      </c>
      <c r="F58" s="1924">
        <f t="shared" si="8"/>
        <v>0.3</v>
      </c>
      <c r="G58" s="6">
        <f t="shared" si="9"/>
        <v>1.3</v>
      </c>
    </row>
    <row r="59" spans="1:20">
      <c r="A59" s="297">
        <v>1021</v>
      </c>
      <c r="B59" s="589" t="s">
        <v>7</v>
      </c>
      <c r="C59" s="297">
        <v>24</v>
      </c>
      <c r="D59" s="576">
        <f t="shared" si="7"/>
        <v>1.1500000000000001</v>
      </c>
      <c r="E59" s="297">
        <v>27.6</v>
      </c>
      <c r="F59" s="1924">
        <f t="shared" si="8"/>
        <v>0.34500000000000003</v>
      </c>
      <c r="G59" s="6">
        <f t="shared" si="9"/>
        <v>1.4950000000000001</v>
      </c>
    </row>
    <row r="60" spans="1:20">
      <c r="A60" s="528">
        <v>3065</v>
      </c>
      <c r="B60" s="311" t="s">
        <v>16</v>
      </c>
      <c r="C60" s="1152">
        <v>24</v>
      </c>
      <c r="D60" s="1155">
        <f t="shared" si="7"/>
        <v>2.1</v>
      </c>
      <c r="E60" s="1152">
        <v>50.4</v>
      </c>
      <c r="F60" s="1924">
        <f t="shared" si="8"/>
        <v>0.63</v>
      </c>
      <c r="G60" s="1154">
        <f t="shared" si="9"/>
        <v>2.73</v>
      </c>
    </row>
    <row r="61" spans="1:20">
      <c r="A61" s="297">
        <v>1015</v>
      </c>
      <c r="B61" s="589" t="s">
        <v>11</v>
      </c>
      <c r="C61" s="297">
        <v>24</v>
      </c>
      <c r="D61" s="576">
        <f t="shared" si="7"/>
        <v>1</v>
      </c>
      <c r="E61" s="297">
        <v>24</v>
      </c>
      <c r="F61" s="1924">
        <f t="shared" si="8"/>
        <v>0.3</v>
      </c>
      <c r="G61" s="6">
        <f t="shared" si="9"/>
        <v>1.3</v>
      </c>
    </row>
  </sheetData>
  <sortState ref="A2:B178">
    <sortCondition ref="B2:B178"/>
  </sortState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2"/>
  <sheetViews>
    <sheetView workbookViewId="0">
      <selection activeCell="E2" sqref="E2:H6"/>
    </sheetView>
  </sheetViews>
  <sheetFormatPr baseColWidth="10" defaultRowHeight="15"/>
  <cols>
    <col min="4" max="4" width="11" customWidth="1"/>
    <col min="5" max="5" width="48.85546875" customWidth="1"/>
    <col min="6" max="7" width="0" hidden="1" customWidth="1"/>
    <col min="8" max="8" width="11.42578125" style="404"/>
    <col min="9" max="9" width="0" style="404" hidden="1" customWidth="1"/>
  </cols>
  <sheetData>
    <row r="2" spans="2:16" ht="84.75" customHeight="1">
      <c r="B2" s="986" t="s">
        <v>0</v>
      </c>
      <c r="C2" s="985" t="s">
        <v>3823</v>
      </c>
      <c r="D2" s="986" t="s">
        <v>547</v>
      </c>
      <c r="E2" s="983" t="s">
        <v>5770</v>
      </c>
      <c r="F2" s="19" t="s">
        <v>68</v>
      </c>
      <c r="G2" s="19" t="s">
        <v>2852</v>
      </c>
      <c r="H2" s="19" t="s">
        <v>3822</v>
      </c>
      <c r="I2" s="19" t="s">
        <v>2851</v>
      </c>
      <c r="J2" s="19" t="s">
        <v>2847</v>
      </c>
      <c r="K2" s="19" t="s">
        <v>19</v>
      </c>
      <c r="L2" s="19" t="s">
        <v>20</v>
      </c>
      <c r="M2" s="19" t="s">
        <v>21</v>
      </c>
      <c r="N2" s="19" t="s">
        <v>22</v>
      </c>
      <c r="O2" s="19" t="s">
        <v>23</v>
      </c>
      <c r="P2" s="19" t="s">
        <v>24</v>
      </c>
    </row>
    <row r="3" spans="2:16">
      <c r="B3" s="986">
        <v>82</v>
      </c>
      <c r="C3" s="986">
        <f>+J3*D3</f>
        <v>720</v>
      </c>
      <c r="D3" s="986">
        <v>4.8</v>
      </c>
      <c r="E3" s="293" t="s">
        <v>2850</v>
      </c>
      <c r="F3" s="983"/>
      <c r="G3" s="983">
        <v>3</v>
      </c>
      <c r="H3" s="983">
        <v>50</v>
      </c>
      <c r="I3" s="636"/>
      <c r="J3" s="636">
        <f>+H3*G3</f>
        <v>150</v>
      </c>
    </row>
    <row r="4" spans="2:16">
      <c r="B4" s="986">
        <v>1633</v>
      </c>
      <c r="C4" s="986">
        <v>46.88</v>
      </c>
      <c r="D4" s="986">
        <v>4.7</v>
      </c>
      <c r="E4" s="293" t="s">
        <v>2849</v>
      </c>
      <c r="F4" s="636">
        <v>2</v>
      </c>
      <c r="G4" s="636">
        <v>3</v>
      </c>
      <c r="H4" s="1434">
        <v>30</v>
      </c>
      <c r="I4" s="636"/>
      <c r="J4" s="2112">
        <f>+H4*G4</f>
        <v>90</v>
      </c>
      <c r="K4" s="14">
        <v>5</v>
      </c>
      <c r="L4" s="14">
        <v>2</v>
      </c>
    </row>
    <row r="10" spans="2:16">
      <c r="E10" t="s">
        <v>3821</v>
      </c>
    </row>
    <row r="12" spans="2:16">
      <c r="J12">
        <v>3</v>
      </c>
    </row>
  </sheetData>
  <pageMargins left="0.7" right="0.7" top="0.75" bottom="0.75" header="0.3" footer="0.3"/>
  <pageSetup paperSize="11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O34"/>
  <sheetViews>
    <sheetView workbookViewId="0">
      <selection activeCell="D3" sqref="D3:H20"/>
    </sheetView>
  </sheetViews>
  <sheetFormatPr baseColWidth="10" defaultRowHeight="15"/>
  <cols>
    <col min="2" max="2" width="11.42578125" style="404"/>
    <col min="3" max="3" width="15.5703125" style="404" customWidth="1"/>
    <col min="4" max="4" width="37.28515625" customWidth="1"/>
    <col min="5" max="5" width="18.85546875" style="404" hidden="1" customWidth="1"/>
    <col min="6" max="7" width="16.5703125" style="404" hidden="1" customWidth="1"/>
    <col min="8" max="8" width="16.5703125" style="827" customWidth="1"/>
    <col min="9" max="9" width="16" hidden="1" customWidth="1"/>
    <col min="10" max="10" width="14.140625" hidden="1" customWidth="1"/>
    <col min="11" max="13" width="11.42578125" hidden="1" customWidth="1"/>
    <col min="14" max="14" width="0" hidden="1" customWidth="1"/>
  </cols>
  <sheetData>
    <row r="3" spans="1:15" ht="45">
      <c r="A3" s="632" t="s">
        <v>0</v>
      </c>
      <c r="B3" s="637" t="s">
        <v>559</v>
      </c>
      <c r="C3" s="19" t="str">
        <f>G3</f>
        <v>TOTAL EN KG</v>
      </c>
      <c r="D3" s="1606" t="s">
        <v>5770</v>
      </c>
      <c r="E3" s="1607" t="s">
        <v>19</v>
      </c>
      <c r="F3" s="1607" t="s">
        <v>2848</v>
      </c>
      <c r="G3" s="1607" t="s">
        <v>2847</v>
      </c>
      <c r="H3" s="108" t="s">
        <v>19</v>
      </c>
      <c r="J3" s="19" t="s">
        <v>20</v>
      </c>
      <c r="K3" s="19" t="s">
        <v>21</v>
      </c>
      <c r="L3" s="19" t="s">
        <v>23</v>
      </c>
      <c r="M3" s="19" t="s">
        <v>24</v>
      </c>
    </row>
    <row r="4" spans="1:15" hidden="1">
      <c r="A4" s="632">
        <v>1209</v>
      </c>
      <c r="B4" s="632">
        <v>2.14</v>
      </c>
      <c r="C4" s="634">
        <f>G4</f>
        <v>0</v>
      </c>
      <c r="D4" s="311" t="s">
        <v>35</v>
      </c>
      <c r="E4" s="310"/>
      <c r="F4" s="310">
        <v>12</v>
      </c>
      <c r="G4" s="310"/>
      <c r="H4" s="310"/>
      <c r="I4" s="1711"/>
      <c r="J4" s="1711"/>
      <c r="K4" s="1711"/>
      <c r="L4" s="718"/>
      <c r="M4" s="718"/>
    </row>
    <row r="5" spans="1:15" ht="24.75" hidden="1" customHeight="1">
      <c r="A5" s="632">
        <v>2310</v>
      </c>
      <c r="B5" s="632">
        <v>1.53</v>
      </c>
      <c r="C5" s="634">
        <f>G5</f>
        <v>0</v>
      </c>
      <c r="D5" s="311" t="s">
        <v>34</v>
      </c>
      <c r="E5" s="310">
        <v>0</v>
      </c>
      <c r="F5" s="310">
        <v>24</v>
      </c>
      <c r="G5" s="310">
        <f>E5*F5</f>
        <v>0</v>
      </c>
      <c r="H5" s="1711">
        <v>0</v>
      </c>
      <c r="J5" s="310" t="s">
        <v>3724</v>
      </c>
      <c r="K5" s="1711" t="s">
        <v>1549</v>
      </c>
      <c r="L5" s="718" t="s">
        <v>557</v>
      </c>
      <c r="M5" s="718"/>
    </row>
    <row r="6" spans="1:15" ht="22.5" hidden="1" customHeight="1">
      <c r="A6" s="632">
        <v>3401</v>
      </c>
      <c r="B6" s="632">
        <v>2.78</v>
      </c>
      <c r="C6" s="724">
        <f>G6</f>
        <v>0</v>
      </c>
      <c r="D6" s="311" t="s">
        <v>33</v>
      </c>
      <c r="E6" s="310">
        <v>0</v>
      </c>
      <c r="F6" s="310">
        <v>12</v>
      </c>
      <c r="G6" s="310">
        <f>E6*F6</f>
        <v>0</v>
      </c>
      <c r="H6" s="1711">
        <v>0</v>
      </c>
      <c r="J6" s="310" t="s">
        <v>3724</v>
      </c>
      <c r="K6" s="1711" t="s">
        <v>591</v>
      </c>
      <c r="L6" s="720" t="s">
        <v>557</v>
      </c>
      <c r="M6" s="718"/>
    </row>
    <row r="7" spans="1:15" s="692" customFormat="1" hidden="1">
      <c r="A7" s="693" t="s">
        <v>0</v>
      </c>
      <c r="B7" s="693" t="s">
        <v>122</v>
      </c>
      <c r="C7" s="26" t="s">
        <v>547</v>
      </c>
      <c r="D7" s="348" t="s">
        <v>1</v>
      </c>
      <c r="E7" s="348"/>
      <c r="F7" s="348"/>
      <c r="G7" s="348"/>
      <c r="H7" s="348"/>
      <c r="J7" s="348"/>
      <c r="K7" s="348"/>
      <c r="L7" s="693"/>
      <c r="M7" s="693"/>
    </row>
    <row r="8" spans="1:15" hidden="1">
      <c r="A8" s="632">
        <v>1483</v>
      </c>
      <c r="B8" s="632"/>
      <c r="C8" s="724">
        <f>G8</f>
        <v>0</v>
      </c>
      <c r="D8" s="311" t="s">
        <v>32</v>
      </c>
      <c r="E8" s="310">
        <v>0</v>
      </c>
      <c r="F8" s="310">
        <v>24</v>
      </c>
      <c r="G8" s="310">
        <f>E8*F8</f>
        <v>0</v>
      </c>
      <c r="H8" s="1711"/>
      <c r="J8" s="1711"/>
      <c r="K8" s="1711"/>
      <c r="L8" s="720"/>
      <c r="M8" s="718"/>
    </row>
    <row r="9" spans="1:15" hidden="1">
      <c r="A9" s="632"/>
      <c r="B9" s="632"/>
      <c r="C9" s="724"/>
      <c r="D9" s="311" t="s">
        <v>3314</v>
      </c>
      <c r="E9" s="310"/>
      <c r="F9" s="310"/>
      <c r="G9" s="310"/>
      <c r="H9" s="1711"/>
      <c r="J9" s="1711"/>
      <c r="K9" s="1711"/>
      <c r="L9" s="854"/>
      <c r="M9" s="718"/>
    </row>
    <row r="10" spans="1:15" s="404" customFormat="1" hidden="1">
      <c r="A10" s="632">
        <v>6214</v>
      </c>
      <c r="B10" s="632">
        <v>0.97</v>
      </c>
      <c r="C10" s="724">
        <f t="shared" ref="C10:C18" si="0">G10</f>
        <v>0</v>
      </c>
      <c r="D10" s="311" t="s">
        <v>31</v>
      </c>
      <c r="E10" s="310">
        <v>0</v>
      </c>
      <c r="F10" s="310">
        <v>24</v>
      </c>
      <c r="G10" s="310">
        <f t="shared" ref="G10:G18" si="1">E10*F10</f>
        <v>0</v>
      </c>
      <c r="H10" s="1711"/>
      <c r="J10" s="1711"/>
      <c r="K10" s="1711"/>
      <c r="L10" s="718"/>
      <c r="M10" s="718"/>
    </row>
    <row r="11" spans="1:15" hidden="1">
      <c r="A11" s="632">
        <v>1823</v>
      </c>
      <c r="B11" s="632">
        <v>11.94</v>
      </c>
      <c r="C11" s="724">
        <f t="shared" si="0"/>
        <v>0</v>
      </c>
      <c r="D11" s="311" t="s">
        <v>30</v>
      </c>
      <c r="E11" s="310">
        <v>0</v>
      </c>
      <c r="F11" s="310">
        <v>22</v>
      </c>
      <c r="G11" s="310">
        <f t="shared" si="1"/>
        <v>0</v>
      </c>
      <c r="H11" s="1711"/>
      <c r="J11" s="1711" t="s">
        <v>591</v>
      </c>
      <c r="K11" s="1711"/>
      <c r="L11" s="718"/>
      <c r="M11" s="718"/>
      <c r="O11" s="570"/>
    </row>
    <row r="12" spans="1:15">
      <c r="A12" s="632">
        <v>1809</v>
      </c>
      <c r="B12" s="632">
        <v>8.59</v>
      </c>
      <c r="C12" s="724">
        <f t="shared" si="0"/>
        <v>0</v>
      </c>
      <c r="D12" s="311" t="s">
        <v>29</v>
      </c>
      <c r="E12" s="310">
        <v>0</v>
      </c>
      <c r="F12" s="310">
        <v>22</v>
      </c>
      <c r="G12" s="310">
        <f t="shared" si="1"/>
        <v>0</v>
      </c>
      <c r="H12" s="1711" t="s">
        <v>268</v>
      </c>
      <c r="J12" s="1711" t="s">
        <v>65</v>
      </c>
      <c r="K12" s="1711" t="s">
        <v>591</v>
      </c>
      <c r="L12" s="297"/>
      <c r="M12" s="718"/>
    </row>
    <row r="13" spans="1:15" hidden="1">
      <c r="A13" s="632">
        <v>3201</v>
      </c>
      <c r="B13" s="632">
        <v>11.35</v>
      </c>
      <c r="C13" s="724">
        <f t="shared" si="0"/>
        <v>0</v>
      </c>
      <c r="D13" s="311" t="s">
        <v>28</v>
      </c>
      <c r="E13" s="310">
        <v>0</v>
      </c>
      <c r="F13" s="310">
        <v>22</v>
      </c>
      <c r="G13" s="310">
        <f t="shared" si="1"/>
        <v>0</v>
      </c>
      <c r="H13" s="1711">
        <v>0</v>
      </c>
      <c r="J13" s="1711" t="s">
        <v>591</v>
      </c>
      <c r="K13" s="1711" t="s">
        <v>591</v>
      </c>
      <c r="L13" s="718" t="s">
        <v>556</v>
      </c>
      <c r="M13" s="718"/>
      <c r="N13" t="s">
        <v>3256</v>
      </c>
      <c r="O13" s="570"/>
    </row>
    <row r="14" spans="1:15" hidden="1">
      <c r="A14" s="632">
        <v>2084</v>
      </c>
      <c r="B14" s="632">
        <v>8.2200000000000006</v>
      </c>
      <c r="C14" s="724">
        <f t="shared" si="0"/>
        <v>0</v>
      </c>
      <c r="D14" s="311" t="s">
        <v>3255</v>
      </c>
      <c r="E14" s="310">
        <v>0</v>
      </c>
      <c r="F14" s="310">
        <v>12</v>
      </c>
      <c r="G14" s="310">
        <f t="shared" si="1"/>
        <v>0</v>
      </c>
      <c r="H14" s="1711">
        <v>0</v>
      </c>
      <c r="J14" s="1711"/>
      <c r="K14" s="1711" t="s">
        <v>591</v>
      </c>
      <c r="L14" s="718"/>
      <c r="M14" s="718"/>
    </row>
    <row r="15" spans="1:15" ht="17.25" hidden="1" customHeight="1">
      <c r="A15" s="632">
        <v>2304</v>
      </c>
      <c r="B15" s="632">
        <v>1.89</v>
      </c>
      <c r="C15" s="724">
        <f t="shared" si="0"/>
        <v>0</v>
      </c>
      <c r="D15" s="311" t="s">
        <v>3723</v>
      </c>
      <c r="E15" s="310">
        <v>0</v>
      </c>
      <c r="F15" s="310">
        <v>24</v>
      </c>
      <c r="G15" s="310">
        <f t="shared" si="1"/>
        <v>0</v>
      </c>
      <c r="H15" s="1711">
        <v>0</v>
      </c>
      <c r="J15" s="310" t="s">
        <v>3724</v>
      </c>
      <c r="K15" s="1711" t="s">
        <v>1549</v>
      </c>
      <c r="L15" s="718" t="s">
        <v>557</v>
      </c>
      <c r="M15" s="718"/>
      <c r="N15" t="s">
        <v>554</v>
      </c>
    </row>
    <row r="16" spans="1:15" hidden="1">
      <c r="A16" s="632">
        <v>1844</v>
      </c>
      <c r="B16" s="632">
        <v>11.94</v>
      </c>
      <c r="C16" s="724">
        <f t="shared" si="0"/>
        <v>0</v>
      </c>
      <c r="D16" s="311" t="s">
        <v>27</v>
      </c>
      <c r="E16" s="310">
        <v>0</v>
      </c>
      <c r="F16" s="310">
        <v>22</v>
      </c>
      <c r="G16" s="310">
        <f t="shared" si="1"/>
        <v>0</v>
      </c>
      <c r="H16" s="1711">
        <v>0</v>
      </c>
      <c r="J16" s="1711" t="s">
        <v>591</v>
      </c>
      <c r="K16" s="1711" t="s">
        <v>591</v>
      </c>
      <c r="L16" s="297" t="s">
        <v>557</v>
      </c>
      <c r="M16" s="718"/>
    </row>
    <row r="17" spans="1:15" hidden="1">
      <c r="A17" s="632">
        <v>1806</v>
      </c>
      <c r="B17" s="632">
        <v>9.8800000000000008</v>
      </c>
      <c r="C17" s="724">
        <f t="shared" si="0"/>
        <v>0</v>
      </c>
      <c r="D17" s="347" t="s">
        <v>26</v>
      </c>
      <c r="E17" s="310">
        <v>0</v>
      </c>
      <c r="F17" s="310">
        <v>22</v>
      </c>
      <c r="G17" s="310">
        <f t="shared" si="1"/>
        <v>0</v>
      </c>
      <c r="H17" s="1711">
        <v>0</v>
      </c>
      <c r="J17" s="1711" t="s">
        <v>65</v>
      </c>
      <c r="K17" s="1711" t="s">
        <v>591</v>
      </c>
      <c r="L17" s="718"/>
      <c r="M17" s="718"/>
      <c r="N17" t="s">
        <v>554</v>
      </c>
    </row>
    <row r="18" spans="1:15" s="404" customFormat="1" hidden="1">
      <c r="A18" s="852">
        <v>2041</v>
      </c>
      <c r="B18" s="852">
        <v>11.94</v>
      </c>
      <c r="C18" s="724">
        <f t="shared" si="0"/>
        <v>0</v>
      </c>
      <c r="D18" s="311" t="s">
        <v>25</v>
      </c>
      <c r="E18" s="310">
        <v>0</v>
      </c>
      <c r="F18" s="310">
        <v>22</v>
      </c>
      <c r="G18" s="310">
        <f t="shared" si="1"/>
        <v>0</v>
      </c>
      <c r="H18" s="310">
        <v>0</v>
      </c>
      <c r="J18" s="1711" t="s">
        <v>591</v>
      </c>
      <c r="K18" s="1711" t="s">
        <v>557</v>
      </c>
      <c r="L18" s="852" t="s">
        <v>591</v>
      </c>
      <c r="M18" s="852"/>
      <c r="O18" s="570"/>
    </row>
    <row r="19" spans="1:15">
      <c r="A19" s="105">
        <v>5175</v>
      </c>
      <c r="B19"/>
      <c r="C19"/>
      <c r="D19" s="7" t="s">
        <v>65</v>
      </c>
      <c r="E19" s="123"/>
      <c r="F19" s="123"/>
      <c r="G19" s="123"/>
      <c r="H19" s="123"/>
      <c r="I19" s="123"/>
      <c r="J19" s="123"/>
      <c r="K19" s="123"/>
    </row>
    <row r="20" spans="1:15">
      <c r="B20"/>
      <c r="C20"/>
      <c r="D20" s="123"/>
      <c r="E20" s="123"/>
      <c r="F20" s="123"/>
      <c r="G20" s="123"/>
      <c r="H20" s="123"/>
      <c r="I20" s="123"/>
      <c r="J20" s="123"/>
      <c r="K20" s="123"/>
    </row>
    <row r="21" spans="1:15">
      <c r="B21"/>
      <c r="C21"/>
      <c r="D21" s="123"/>
      <c r="E21" s="123"/>
      <c r="F21" s="123"/>
      <c r="G21" s="123"/>
      <c r="H21" s="123"/>
      <c r="I21" s="123"/>
      <c r="J21" s="123"/>
      <c r="K21" s="123"/>
    </row>
    <row r="22" spans="1:15">
      <c r="B22"/>
      <c r="C22"/>
      <c r="E22"/>
      <c r="F22"/>
      <c r="G22"/>
    </row>
    <row r="23" spans="1:15">
      <c r="B23"/>
      <c r="C23"/>
      <c r="E23"/>
      <c r="F23"/>
      <c r="G23"/>
    </row>
    <row r="24" spans="1:15">
      <c r="B24"/>
      <c r="C24"/>
      <c r="E24"/>
      <c r="F24"/>
      <c r="G24"/>
    </row>
    <row r="25" spans="1:15">
      <c r="B25"/>
      <c r="C25"/>
      <c r="E25"/>
      <c r="F25"/>
      <c r="G25"/>
    </row>
    <row r="26" spans="1:15">
      <c r="B26"/>
      <c r="C26"/>
      <c r="E26"/>
      <c r="F26"/>
      <c r="G26"/>
    </row>
    <row r="27" spans="1:15">
      <c r="B27"/>
      <c r="C27"/>
      <c r="E27"/>
      <c r="F27"/>
      <c r="G27"/>
    </row>
    <row r="28" spans="1:15">
      <c r="B28"/>
      <c r="C28"/>
      <c r="E28"/>
      <c r="F28"/>
      <c r="G28"/>
    </row>
    <row r="29" spans="1:15">
      <c r="B29"/>
      <c r="C29"/>
      <c r="E29"/>
      <c r="F29"/>
      <c r="G29"/>
    </row>
    <row r="30" spans="1:15">
      <c r="B30"/>
      <c r="C30"/>
      <c r="E30"/>
      <c r="F30"/>
      <c r="G30"/>
    </row>
    <row r="31" spans="1:15">
      <c r="B31"/>
      <c r="C31"/>
      <c r="E31"/>
      <c r="F31"/>
      <c r="G31"/>
    </row>
    <row r="32" spans="1:15">
      <c r="B32"/>
      <c r="C32"/>
      <c r="E32"/>
      <c r="F32"/>
      <c r="G32"/>
    </row>
    <row r="33" spans="2:7">
      <c r="B33"/>
      <c r="C33"/>
      <c r="E33"/>
      <c r="F33"/>
      <c r="G33"/>
    </row>
    <row r="34" spans="2:7">
      <c r="B34"/>
      <c r="C34"/>
      <c r="E34"/>
      <c r="F34"/>
      <c r="G34"/>
    </row>
  </sheetData>
  <sortState ref="A4:L19">
    <sortCondition ref="D4:D19"/>
  </sortState>
  <pageMargins left="0.7" right="0.7" top="0.75" bottom="0.75" header="0.3" footer="0.3"/>
  <pageSetup paperSize="11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1"/>
  <sheetViews>
    <sheetView workbookViewId="0">
      <selection activeCell="H18" sqref="H18:J23"/>
    </sheetView>
  </sheetViews>
  <sheetFormatPr baseColWidth="10" defaultRowHeight="15"/>
  <cols>
    <col min="2" max="6" width="11.42578125" customWidth="1"/>
    <col min="7" max="7" width="11.42578125" style="357" customWidth="1"/>
    <col min="8" max="8" width="38.42578125" customWidth="1"/>
  </cols>
  <sheetData>
    <row r="4" spans="2:10" ht="71.25" customHeight="1">
      <c r="B4" s="390" t="s">
        <v>254</v>
      </c>
      <c r="C4" s="390" t="s">
        <v>1627</v>
      </c>
      <c r="D4" s="390" t="s">
        <v>0</v>
      </c>
      <c r="E4" s="390" t="s">
        <v>122</v>
      </c>
      <c r="F4" s="390" t="s">
        <v>547</v>
      </c>
      <c r="G4" s="390"/>
      <c r="H4" s="1445" t="s">
        <v>5182</v>
      </c>
      <c r="I4" s="1445" t="s">
        <v>68</v>
      </c>
    </row>
    <row r="5" spans="2:10">
      <c r="B5" s="390"/>
      <c r="C5" s="390"/>
      <c r="D5" s="390">
        <v>1692</v>
      </c>
      <c r="E5" s="390"/>
      <c r="F5" s="390">
        <v>7</v>
      </c>
      <c r="G5" s="390"/>
      <c r="H5" s="293" t="s">
        <v>1657</v>
      </c>
      <c r="I5" s="1445" t="s">
        <v>243</v>
      </c>
    </row>
    <row r="6" spans="2:10">
      <c r="B6" s="390"/>
      <c r="C6" s="390"/>
      <c r="D6" s="390">
        <v>1836</v>
      </c>
      <c r="E6" s="390"/>
      <c r="F6" s="390">
        <v>6.5</v>
      </c>
      <c r="G6" s="390"/>
      <c r="H6" s="293" t="s">
        <v>1658</v>
      </c>
      <c r="I6" s="1445" t="s">
        <v>243</v>
      </c>
    </row>
    <row r="7" spans="2:10">
      <c r="B7" s="390"/>
      <c r="C7" s="390"/>
      <c r="D7" s="390"/>
      <c r="E7" s="390"/>
      <c r="F7" s="390"/>
      <c r="G7" s="390"/>
      <c r="H7" s="1445"/>
      <c r="I7" s="21"/>
    </row>
    <row r="12" spans="2:10" ht="30">
      <c r="B12" s="378" t="s">
        <v>566</v>
      </c>
      <c r="C12" s="378" t="s">
        <v>1661</v>
      </c>
      <c r="D12" s="378" t="s">
        <v>1660</v>
      </c>
      <c r="E12" s="378" t="s">
        <v>1662</v>
      </c>
      <c r="F12" s="378" t="s">
        <v>559</v>
      </c>
      <c r="G12" s="378" t="s">
        <v>74</v>
      </c>
      <c r="H12" s="378" t="s">
        <v>793</v>
      </c>
    </row>
    <row r="13" spans="2:10">
      <c r="B13" s="530">
        <v>44490</v>
      </c>
      <c r="C13" s="22">
        <v>5734</v>
      </c>
      <c r="D13" s="22">
        <v>1692</v>
      </c>
      <c r="E13" s="22">
        <v>367.8</v>
      </c>
      <c r="F13" s="22">
        <v>6.2</v>
      </c>
      <c r="G13" s="22">
        <f>E13*F13</f>
        <v>2280.36</v>
      </c>
      <c r="H13" s="730" t="s">
        <v>1657</v>
      </c>
    </row>
    <row r="14" spans="2:10" ht="15.75" thickBot="1">
      <c r="H14" s="338"/>
      <c r="I14" s="693"/>
      <c r="J14" s="693"/>
    </row>
    <row r="15" spans="2:10">
      <c r="E15" s="1210"/>
      <c r="F15" s="1211"/>
      <c r="G15" s="1211"/>
      <c r="H15" s="1212"/>
      <c r="I15" s="33"/>
      <c r="J15" s="693"/>
    </row>
    <row r="16" spans="2:10">
      <c r="B16" s="404"/>
      <c r="C16" s="404"/>
      <c r="D16" s="404"/>
      <c r="E16" s="1213"/>
      <c r="F16" s="105"/>
      <c r="G16" s="105"/>
      <c r="H16" s="1214"/>
      <c r="I16" s="33"/>
      <c r="J16" s="693"/>
    </row>
    <row r="17" spans="1:10">
      <c r="B17" s="404"/>
      <c r="C17" s="404"/>
      <c r="D17" s="404"/>
      <c r="E17" s="1213"/>
      <c r="F17" s="105"/>
      <c r="G17" s="105"/>
      <c r="H17" s="1214"/>
      <c r="I17" s="33"/>
      <c r="J17" s="693"/>
    </row>
    <row r="18" spans="1:10" ht="49.5" customHeight="1">
      <c r="B18" s="404"/>
      <c r="C18" s="404"/>
      <c r="D18" s="404"/>
      <c r="E18" s="1213"/>
      <c r="F18" s="105"/>
      <c r="G18" s="105"/>
      <c r="H18" s="1214"/>
      <c r="I18" s="33"/>
      <c r="J18" s="693"/>
    </row>
    <row r="19" spans="1:10" ht="49.5" customHeight="1">
      <c r="B19" s="378" t="s">
        <v>566</v>
      </c>
      <c r="C19" s="378" t="s">
        <v>1661</v>
      </c>
      <c r="D19" s="729" t="s">
        <v>1660</v>
      </c>
      <c r="E19" s="378" t="s">
        <v>1662</v>
      </c>
      <c r="F19" s="378" t="s">
        <v>559</v>
      </c>
      <c r="G19" s="378" t="s">
        <v>74</v>
      </c>
      <c r="H19" s="378" t="s">
        <v>793</v>
      </c>
      <c r="I19" s="1219" t="s">
        <v>68</v>
      </c>
      <c r="J19" s="693"/>
    </row>
    <row r="20" spans="1:10" ht="15.75" thickBot="1">
      <c r="B20" s="530" t="s">
        <v>65</v>
      </c>
      <c r="C20" s="632" t="s">
        <v>65</v>
      </c>
      <c r="D20" s="1178">
        <v>1692</v>
      </c>
      <c r="E20" s="1187">
        <v>555.79999999999995</v>
      </c>
      <c r="F20" s="1188">
        <v>6.8</v>
      </c>
      <c r="G20" s="1188">
        <f>E20*F20</f>
        <v>3779.4399999999996</v>
      </c>
      <c r="H20" s="1220" t="s">
        <v>1657</v>
      </c>
      <c r="I20" s="1707" t="s">
        <v>243</v>
      </c>
      <c r="J20" s="693"/>
    </row>
    <row r="21" spans="1:10">
      <c r="A21" s="1594"/>
      <c r="B21" s="1715"/>
      <c r="C21" s="1715"/>
      <c r="D21" s="1715">
        <v>1836</v>
      </c>
      <c r="E21" s="1715"/>
      <c r="F21" s="1715">
        <v>5.5</v>
      </c>
      <c r="G21" s="1715"/>
      <c r="H21" s="293" t="s">
        <v>1658</v>
      </c>
      <c r="I21" s="1706" t="s">
        <v>244</v>
      </c>
    </row>
  </sheetData>
  <pageMargins left="0.7" right="0.7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topLeftCell="A23" workbookViewId="0">
      <selection activeCell="E22" sqref="E22"/>
    </sheetView>
  </sheetViews>
  <sheetFormatPr baseColWidth="10" defaultRowHeight="15"/>
  <cols>
    <col min="1" max="1" width="11.42578125" style="1594"/>
    <col min="2" max="2" width="11.42578125" style="2255"/>
    <col min="3" max="3" width="55.5703125" customWidth="1"/>
    <col min="4" max="4" width="17.7109375" customWidth="1"/>
  </cols>
  <sheetData>
    <row r="2" spans="2:7" ht="15.75" thickBot="1"/>
    <row r="3" spans="2:7" ht="83.25" customHeight="1">
      <c r="C3" s="525" t="s">
        <v>5522</v>
      </c>
      <c r="D3" s="840"/>
    </row>
    <row r="4" spans="2:7">
      <c r="C4" s="1911" t="s">
        <v>4472</v>
      </c>
      <c r="D4" s="1912" t="s">
        <v>68</v>
      </c>
      <c r="E4" t="s">
        <v>1662</v>
      </c>
      <c r="F4" t="s">
        <v>5530</v>
      </c>
      <c r="G4" t="s">
        <v>560</v>
      </c>
    </row>
    <row r="5" spans="2:7">
      <c r="C5" s="21" t="s">
        <v>4473</v>
      </c>
      <c r="D5" s="1712"/>
      <c r="E5" s="1706">
        <v>1280</v>
      </c>
      <c r="F5" s="1706">
        <v>1.75</v>
      </c>
      <c r="G5" s="1706">
        <f>+E5*F5</f>
        <v>2240</v>
      </c>
    </row>
    <row r="6" spans="2:7">
      <c r="C6" s="21" t="s">
        <v>4474</v>
      </c>
      <c r="D6" s="1706"/>
      <c r="E6" s="1706">
        <v>1280</v>
      </c>
      <c r="F6" s="1706">
        <v>1.86</v>
      </c>
      <c r="G6" s="1713">
        <f>+E6*F6</f>
        <v>2380.8000000000002</v>
      </c>
    </row>
    <row r="7" spans="2:7">
      <c r="C7" s="21" t="s">
        <v>5531</v>
      </c>
      <c r="D7" s="1706"/>
      <c r="E7" s="1706">
        <v>700</v>
      </c>
      <c r="F7" s="1706">
        <v>2.0499999999999998</v>
      </c>
      <c r="G7" s="1706">
        <f>+E7*F7</f>
        <v>1434.9999999999998</v>
      </c>
    </row>
    <row r="8" spans="2:7">
      <c r="C8" s="21"/>
      <c r="D8" s="1706"/>
      <c r="E8" s="1706"/>
      <c r="F8" s="1706"/>
      <c r="G8" s="1706"/>
    </row>
    <row r="9" spans="2:7">
      <c r="C9" s="21"/>
      <c r="D9" s="1706"/>
      <c r="E9" s="1706"/>
      <c r="F9" s="1706"/>
      <c r="G9" s="1706"/>
    </row>
    <row r="12" spans="2:7" ht="15.75" thickBot="1"/>
    <row r="13" spans="2:7" ht="49.5" customHeight="1" thickBot="1">
      <c r="B13" s="275"/>
      <c r="C13" s="2258" t="s">
        <v>6053</v>
      </c>
      <c r="D13" s="2257"/>
    </row>
    <row r="14" spans="2:7" ht="15" customHeight="1">
      <c r="B14" s="275" t="s">
        <v>116</v>
      </c>
      <c r="C14" s="2256" t="s">
        <v>4472</v>
      </c>
      <c r="D14" s="2259" t="s">
        <v>68</v>
      </c>
    </row>
    <row r="15" spans="2:7" hidden="1">
      <c r="B15" s="2254">
        <v>22049</v>
      </c>
      <c r="C15" s="21" t="s">
        <v>4473</v>
      </c>
      <c r="D15" s="733"/>
    </row>
    <row r="16" spans="2:7" s="1594" customFormat="1" hidden="1">
      <c r="B16" s="2254">
        <v>4710</v>
      </c>
      <c r="C16" s="21" t="s">
        <v>6048</v>
      </c>
      <c r="D16" s="1172"/>
    </row>
    <row r="17" spans="2:4" s="1594" customFormat="1">
      <c r="B17" s="2254">
        <v>24251</v>
      </c>
      <c r="C17" s="21" t="s">
        <v>6049</v>
      </c>
      <c r="D17" s="1172" t="s">
        <v>6054</v>
      </c>
    </row>
    <row r="18" spans="2:4" s="1594" customFormat="1">
      <c r="B18" s="2254">
        <v>24250</v>
      </c>
      <c r="C18" s="21" t="s">
        <v>6050</v>
      </c>
      <c r="D18" s="1172" t="s">
        <v>6054</v>
      </c>
    </row>
    <row r="19" spans="2:4" s="1594" customFormat="1" hidden="1">
      <c r="B19" s="2254">
        <v>24249</v>
      </c>
      <c r="C19" s="21" t="s">
        <v>6051</v>
      </c>
      <c r="D19" s="1172"/>
    </row>
    <row r="20" spans="2:4" s="1594" customFormat="1">
      <c r="B20" s="2254">
        <v>22050</v>
      </c>
      <c r="C20" s="21" t="s">
        <v>6052</v>
      </c>
      <c r="D20" s="1172" t="s">
        <v>4475</v>
      </c>
    </row>
    <row r="21" spans="2:4" s="1594" customFormat="1">
      <c r="B21" s="2255"/>
    </row>
    <row r="22" spans="2:4" s="1594" customFormat="1">
      <c r="B22" s="2255"/>
    </row>
    <row r="23" spans="2:4" s="1594" customFormat="1">
      <c r="B23" s="2255"/>
    </row>
    <row r="24" spans="2:4" s="1594" customFormat="1">
      <c r="B24" s="2255"/>
    </row>
    <row r="25" spans="2:4" s="1594" customFormat="1">
      <c r="B25" s="2255"/>
    </row>
    <row r="26" spans="2:4" s="1594" customFormat="1">
      <c r="B26" s="2255"/>
    </row>
    <row r="28" spans="2:4" ht="15.75" thickBot="1"/>
    <row r="29" spans="2:4">
      <c r="B29" s="2294" t="s">
        <v>116</v>
      </c>
      <c r="C29" s="2295" t="s">
        <v>4472</v>
      </c>
      <c r="D29" s="2297" t="s">
        <v>6047</v>
      </c>
    </row>
    <row r="30" spans="2:4" ht="51.75" customHeight="1">
      <c r="B30" s="2294"/>
      <c r="C30" s="2296"/>
      <c r="D30" s="2298"/>
    </row>
    <row r="31" spans="2:4">
      <c r="B31" s="2254">
        <v>22049</v>
      </c>
      <c r="C31" s="21" t="s">
        <v>4473</v>
      </c>
      <c r="D31" s="733">
        <v>225</v>
      </c>
    </row>
    <row r="32" spans="2:4">
      <c r="B32" s="2254">
        <v>4710</v>
      </c>
      <c r="C32" s="21" t="s">
        <v>6048</v>
      </c>
      <c r="D32" s="1172">
        <v>27.035</v>
      </c>
    </row>
    <row r="33" spans="2:4" s="1594" customFormat="1">
      <c r="B33" s="2254">
        <v>24251</v>
      </c>
      <c r="C33" s="21" t="s">
        <v>6049</v>
      </c>
      <c r="D33" s="1172">
        <v>1.4450000000000001</v>
      </c>
    </row>
    <row r="34" spans="2:4">
      <c r="B34" s="2254">
        <v>24250</v>
      </c>
      <c r="C34" s="21" t="s">
        <v>6050</v>
      </c>
      <c r="D34" s="1172">
        <v>5.2750000000000004</v>
      </c>
    </row>
    <row r="35" spans="2:4">
      <c r="B35" s="2254">
        <v>24249</v>
      </c>
      <c r="C35" s="21" t="s">
        <v>6051</v>
      </c>
      <c r="D35" s="1172">
        <v>551.13</v>
      </c>
    </row>
    <row r="36" spans="2:4">
      <c r="B36" s="2254">
        <v>22050</v>
      </c>
      <c r="C36" s="21" t="s">
        <v>6052</v>
      </c>
      <c r="D36" s="1172">
        <v>307.48500000000001</v>
      </c>
    </row>
  </sheetData>
  <mergeCells count="3">
    <mergeCell ref="C29:C30"/>
    <mergeCell ref="D29:D30"/>
    <mergeCell ref="B29:B30"/>
  </mergeCells>
  <pageMargins left="0.7" right="0.7" top="0.75" bottom="0.75" header="0.3" footer="0.3"/>
  <pageSetup paperSize="9" orientation="landscape" horizontalDpi="200" verticalDpi="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O75"/>
  <sheetViews>
    <sheetView workbookViewId="0">
      <selection activeCell="G4" sqref="G4:K75"/>
    </sheetView>
  </sheetViews>
  <sheetFormatPr baseColWidth="10" defaultRowHeight="15"/>
  <cols>
    <col min="2" max="3" width="11.42578125" style="827"/>
    <col min="4" max="5" width="11.42578125" style="404" customWidth="1"/>
    <col min="7" max="7" width="42.5703125" customWidth="1"/>
    <col min="8" max="10" width="0" hidden="1" customWidth="1"/>
    <col min="11" max="11" width="17.28515625" customWidth="1"/>
    <col min="12" max="12" width="14.85546875" customWidth="1"/>
  </cols>
  <sheetData>
    <row r="4" spans="1:15" ht="45">
      <c r="A4" s="583" t="s">
        <v>119</v>
      </c>
      <c r="B4" s="935"/>
      <c r="C4" s="583" t="s">
        <v>559</v>
      </c>
      <c r="D4" s="582" t="str">
        <f>I4</f>
        <v>CAJA X EMP APROX</v>
      </c>
      <c r="E4" s="19" t="s">
        <v>2851</v>
      </c>
      <c r="G4" s="2111" t="s">
        <v>5770</v>
      </c>
      <c r="H4" s="310" t="s">
        <v>68</v>
      </c>
      <c r="I4" s="310" t="s">
        <v>2851</v>
      </c>
      <c r="J4" s="310" t="s">
        <v>2847</v>
      </c>
      <c r="K4" s="310" t="s">
        <v>19</v>
      </c>
      <c r="L4" s="1702" t="s">
        <v>20</v>
      </c>
      <c r="M4" s="992" t="s">
        <v>21</v>
      </c>
      <c r="N4" s="992" t="s">
        <v>23</v>
      </c>
      <c r="O4" s="992" t="s">
        <v>24</v>
      </c>
    </row>
    <row r="5" spans="1:15" hidden="1">
      <c r="A5" s="583">
        <v>15422</v>
      </c>
      <c r="B5" s="935"/>
      <c r="C5" s="583">
        <v>0.92</v>
      </c>
      <c r="D5" s="583"/>
      <c r="E5" s="636"/>
      <c r="G5" s="311" t="s">
        <v>2628</v>
      </c>
      <c r="H5" s="2111"/>
      <c r="I5" s="2111"/>
      <c r="J5" s="2111"/>
      <c r="K5" s="311"/>
      <c r="L5" s="33"/>
      <c r="M5" s="693"/>
      <c r="N5" s="693"/>
      <c r="O5" s="693"/>
    </row>
    <row r="6" spans="1:15" hidden="1">
      <c r="A6" s="583">
        <v>15421</v>
      </c>
      <c r="B6" s="935"/>
      <c r="C6" s="583">
        <v>2.33</v>
      </c>
      <c r="D6" s="583"/>
      <c r="E6" s="636"/>
      <c r="G6" s="311" t="s">
        <v>2627</v>
      </c>
      <c r="H6" s="2111">
        <v>10</v>
      </c>
      <c r="I6" s="2111" t="e">
        <f>#REF!*#REF!</f>
        <v>#REF!</v>
      </c>
      <c r="J6" s="2111" t="e">
        <f>H6*I6</f>
        <v>#REF!</v>
      </c>
      <c r="K6" s="311"/>
      <c r="L6" s="33"/>
      <c r="M6" s="693"/>
      <c r="N6" s="693"/>
      <c r="O6" s="693"/>
    </row>
    <row r="7" spans="1:15" hidden="1">
      <c r="A7" s="583">
        <v>10598</v>
      </c>
      <c r="B7" s="935"/>
      <c r="C7" s="583">
        <v>0.92</v>
      </c>
      <c r="D7" s="583"/>
      <c r="E7" s="636"/>
      <c r="G7" s="311" t="s">
        <v>2626</v>
      </c>
      <c r="H7" s="2111">
        <v>10</v>
      </c>
      <c r="I7" s="2111" t="e">
        <f>#REF!*#REF!</f>
        <v>#REF!</v>
      </c>
      <c r="J7" s="2111" t="e">
        <f>H7*I7</f>
        <v>#REF!</v>
      </c>
      <c r="K7" s="311"/>
      <c r="L7" s="33"/>
      <c r="M7" s="693"/>
      <c r="N7" s="693"/>
      <c r="O7" s="693"/>
    </row>
    <row r="8" spans="1:15" hidden="1">
      <c r="A8" s="583">
        <v>10552</v>
      </c>
      <c r="B8" s="935"/>
      <c r="C8" s="583">
        <v>2.33</v>
      </c>
      <c r="D8" s="583"/>
      <c r="E8" s="636"/>
      <c r="G8" s="311" t="s">
        <v>2625</v>
      </c>
      <c r="H8" s="311"/>
      <c r="I8" s="311"/>
      <c r="J8" s="311"/>
      <c r="K8" s="311"/>
      <c r="L8" s="33"/>
      <c r="M8" s="693"/>
      <c r="N8" s="693"/>
      <c r="O8" s="693"/>
    </row>
    <row r="9" spans="1:15" hidden="1">
      <c r="A9" s="583">
        <v>14329</v>
      </c>
      <c r="B9" s="935"/>
      <c r="C9" s="583">
        <v>0.9</v>
      </c>
      <c r="D9" s="583"/>
      <c r="E9" s="636"/>
      <c r="G9" s="311" t="s">
        <v>2624</v>
      </c>
      <c r="H9" s="311"/>
      <c r="I9" s="311"/>
      <c r="J9" s="311"/>
      <c r="K9" s="311"/>
      <c r="L9" s="33"/>
      <c r="M9" s="693"/>
      <c r="N9" s="693"/>
      <c r="O9" s="693"/>
    </row>
    <row r="10" spans="1:15" hidden="1">
      <c r="A10" s="636">
        <v>14331</v>
      </c>
      <c r="B10" s="935"/>
      <c r="C10" s="636">
        <v>1.96</v>
      </c>
      <c r="D10" s="636">
        <v>12</v>
      </c>
      <c r="E10" s="636">
        <f>J10</f>
        <v>24</v>
      </c>
      <c r="G10" s="347" t="s">
        <v>2623</v>
      </c>
      <c r="H10" s="2111">
        <v>2</v>
      </c>
      <c r="I10" s="2111">
        <f>D10</f>
        <v>12</v>
      </c>
      <c r="J10" s="2111">
        <f>H10*I10</f>
        <v>24</v>
      </c>
      <c r="K10" s="2111" t="s">
        <v>556</v>
      </c>
      <c r="L10" s="33"/>
      <c r="M10" s="693"/>
      <c r="N10" s="693"/>
      <c r="O10" s="693"/>
    </row>
    <row r="11" spans="1:15" hidden="1">
      <c r="A11" s="636">
        <v>14327</v>
      </c>
      <c r="B11" s="935"/>
      <c r="C11" s="636">
        <v>1.1399999999999999</v>
      </c>
      <c r="D11" s="636"/>
      <c r="E11" s="636">
        <f t="shared" ref="E11:E32" si="0">J11</f>
        <v>0</v>
      </c>
      <c r="G11" s="347" t="s">
        <v>2622</v>
      </c>
      <c r="H11" s="2111"/>
      <c r="I11" s="2111">
        <f t="shared" ref="I11:I33" si="1">D11</f>
        <v>0</v>
      </c>
      <c r="J11" s="2111">
        <f t="shared" ref="J11:J33" si="2">H11*I11</f>
        <v>0</v>
      </c>
      <c r="K11" s="311"/>
      <c r="L11" s="33"/>
      <c r="M11" s="693"/>
      <c r="N11" s="693"/>
      <c r="O11" s="693"/>
    </row>
    <row r="12" spans="1:15" hidden="1">
      <c r="A12" s="636">
        <v>10550</v>
      </c>
      <c r="B12" s="935"/>
      <c r="C12" s="636">
        <v>0.51</v>
      </c>
      <c r="D12" s="636"/>
      <c r="E12" s="636">
        <f t="shared" si="0"/>
        <v>0</v>
      </c>
      <c r="G12" s="347" t="s">
        <v>2621</v>
      </c>
      <c r="H12" s="2111"/>
      <c r="I12" s="2111">
        <f t="shared" si="1"/>
        <v>0</v>
      </c>
      <c r="J12" s="2111">
        <f t="shared" si="2"/>
        <v>0</v>
      </c>
      <c r="K12" s="311"/>
      <c r="L12" s="33"/>
      <c r="M12" s="693"/>
      <c r="N12" s="693"/>
      <c r="O12" s="693"/>
    </row>
    <row r="13" spans="1:15" hidden="1">
      <c r="A13" s="636">
        <v>19823</v>
      </c>
      <c r="B13" s="935"/>
      <c r="C13" s="636">
        <v>0.5</v>
      </c>
      <c r="D13" s="636"/>
      <c r="E13" s="636">
        <f t="shared" si="0"/>
        <v>0</v>
      </c>
      <c r="G13" s="347" t="s">
        <v>2620</v>
      </c>
      <c r="H13" s="2111"/>
      <c r="I13" s="2111">
        <f t="shared" si="1"/>
        <v>0</v>
      </c>
      <c r="J13" s="2111">
        <f t="shared" si="2"/>
        <v>0</v>
      </c>
      <c r="K13" s="311"/>
      <c r="L13" s="33"/>
      <c r="M13" s="693"/>
      <c r="N13" s="693"/>
      <c r="O13" s="693"/>
    </row>
    <row r="14" spans="1:15" hidden="1">
      <c r="A14" s="636">
        <v>19825</v>
      </c>
      <c r="B14" s="935"/>
      <c r="C14" s="636">
        <v>0.5</v>
      </c>
      <c r="D14" s="636"/>
      <c r="E14" s="636">
        <f t="shared" si="0"/>
        <v>0</v>
      </c>
      <c r="G14" s="347" t="s">
        <v>2619</v>
      </c>
      <c r="H14" s="2111"/>
      <c r="I14" s="2111">
        <f t="shared" si="1"/>
        <v>0</v>
      </c>
      <c r="J14" s="2111">
        <f t="shared" si="2"/>
        <v>0</v>
      </c>
      <c r="K14" s="311"/>
      <c r="L14" s="33"/>
      <c r="M14" s="693"/>
      <c r="N14" s="693"/>
      <c r="O14" s="693"/>
    </row>
    <row r="15" spans="1:15" hidden="1">
      <c r="A15" s="636">
        <v>20726</v>
      </c>
      <c r="B15" s="935"/>
      <c r="C15" s="636">
        <v>0.69</v>
      </c>
      <c r="D15" s="636"/>
      <c r="E15" s="636">
        <f t="shared" si="0"/>
        <v>0</v>
      </c>
      <c r="G15" s="347" t="s">
        <v>2618</v>
      </c>
      <c r="H15" s="2111"/>
      <c r="I15" s="2111">
        <f t="shared" si="1"/>
        <v>0</v>
      </c>
      <c r="J15" s="2111">
        <f t="shared" si="2"/>
        <v>0</v>
      </c>
      <c r="K15" s="311"/>
      <c r="L15" s="33"/>
      <c r="M15" s="693"/>
      <c r="N15" s="693"/>
      <c r="O15" s="693"/>
    </row>
    <row r="16" spans="1:15" hidden="1">
      <c r="A16" s="636">
        <v>20728</v>
      </c>
      <c r="B16" s="935"/>
      <c r="C16" s="636">
        <v>0.69</v>
      </c>
      <c r="D16" s="636"/>
      <c r="E16" s="636">
        <f t="shared" si="0"/>
        <v>0</v>
      </c>
      <c r="G16" s="347" t="s">
        <v>2617</v>
      </c>
      <c r="H16" s="2111"/>
      <c r="I16" s="2111">
        <f t="shared" si="1"/>
        <v>0</v>
      </c>
      <c r="J16" s="2111">
        <f t="shared" si="2"/>
        <v>0</v>
      </c>
      <c r="K16" s="311"/>
      <c r="L16" s="33"/>
      <c r="M16" s="693"/>
      <c r="N16" s="693"/>
      <c r="O16" s="693"/>
    </row>
    <row r="17" spans="1:15" hidden="1">
      <c r="A17" s="636">
        <v>20727</v>
      </c>
      <c r="B17" s="935"/>
      <c r="C17" s="636">
        <v>0.69</v>
      </c>
      <c r="D17" s="636"/>
      <c r="E17" s="636">
        <f t="shared" si="0"/>
        <v>0</v>
      </c>
      <c r="G17" s="347" t="s">
        <v>2616</v>
      </c>
      <c r="H17" s="2111"/>
      <c r="I17" s="2111">
        <f t="shared" si="1"/>
        <v>0</v>
      </c>
      <c r="J17" s="2111">
        <f t="shared" si="2"/>
        <v>0</v>
      </c>
      <c r="K17" s="311"/>
      <c r="L17" s="33"/>
      <c r="M17" s="693"/>
      <c r="N17" s="693"/>
      <c r="O17" s="693"/>
    </row>
    <row r="18" spans="1:15" hidden="1">
      <c r="A18" s="636">
        <v>20730</v>
      </c>
      <c r="B18" s="935"/>
      <c r="C18" s="636">
        <v>0.64</v>
      </c>
      <c r="D18" s="636"/>
      <c r="E18" s="636">
        <f t="shared" si="0"/>
        <v>0</v>
      </c>
      <c r="G18" s="347" t="s">
        <v>2615</v>
      </c>
      <c r="H18" s="2111"/>
      <c r="I18" s="2111">
        <f t="shared" si="1"/>
        <v>0</v>
      </c>
      <c r="J18" s="2111">
        <f t="shared" si="2"/>
        <v>0</v>
      </c>
      <c r="K18" s="311"/>
      <c r="L18" s="33"/>
      <c r="M18" s="693"/>
      <c r="N18" s="693"/>
      <c r="O18" s="693"/>
    </row>
    <row r="19" spans="1:15" hidden="1">
      <c r="A19" s="636">
        <v>20729</v>
      </c>
      <c r="B19" s="935"/>
      <c r="C19" s="636">
        <v>0.64</v>
      </c>
      <c r="D19" s="636"/>
      <c r="E19" s="636">
        <f t="shared" si="0"/>
        <v>0</v>
      </c>
      <c r="G19" s="347" t="s">
        <v>2614</v>
      </c>
      <c r="H19" s="2111"/>
      <c r="I19" s="2111">
        <f t="shared" si="1"/>
        <v>0</v>
      </c>
      <c r="J19" s="2111">
        <f t="shared" si="2"/>
        <v>0</v>
      </c>
      <c r="K19" s="311"/>
      <c r="L19" s="33"/>
      <c r="M19" s="693"/>
      <c r="N19" s="693"/>
      <c r="O19" s="693"/>
    </row>
    <row r="20" spans="1:15" hidden="1">
      <c r="A20" s="636">
        <v>15026</v>
      </c>
      <c r="B20" s="935"/>
      <c r="C20" s="636">
        <v>1.1399999999999999</v>
      </c>
      <c r="D20" s="636"/>
      <c r="E20" s="636">
        <f t="shared" si="0"/>
        <v>0</v>
      </c>
      <c r="G20" s="347" t="s">
        <v>2613</v>
      </c>
      <c r="H20" s="2111"/>
      <c r="I20" s="2111">
        <f t="shared" si="1"/>
        <v>0</v>
      </c>
      <c r="J20" s="2111">
        <f t="shared" si="2"/>
        <v>0</v>
      </c>
      <c r="K20" s="311"/>
      <c r="L20" s="33"/>
      <c r="M20" s="693"/>
      <c r="N20" s="693"/>
      <c r="O20" s="693"/>
    </row>
    <row r="21" spans="1:15" hidden="1">
      <c r="A21" s="636">
        <v>10544</v>
      </c>
      <c r="B21" s="935"/>
      <c r="C21" s="636">
        <v>1.1399999999999999</v>
      </c>
      <c r="D21" s="636"/>
      <c r="E21" s="636">
        <f t="shared" si="0"/>
        <v>0</v>
      </c>
      <c r="G21" s="347" t="s">
        <v>2612</v>
      </c>
      <c r="H21" s="2111"/>
      <c r="I21" s="2111">
        <f t="shared" si="1"/>
        <v>0</v>
      </c>
      <c r="J21" s="2111">
        <f t="shared" si="2"/>
        <v>0</v>
      </c>
      <c r="K21" s="311"/>
      <c r="L21" s="33"/>
      <c r="M21" s="693"/>
      <c r="N21" s="693"/>
      <c r="O21" s="693"/>
    </row>
    <row r="22" spans="1:15" hidden="1">
      <c r="A22" s="636">
        <v>10465</v>
      </c>
      <c r="B22" s="935"/>
      <c r="C22" s="636">
        <v>6</v>
      </c>
      <c r="D22" s="636"/>
      <c r="E22" s="636">
        <f t="shared" si="0"/>
        <v>0</v>
      </c>
      <c r="G22" s="347" t="s">
        <v>2611</v>
      </c>
      <c r="H22" s="2111"/>
      <c r="I22" s="2111">
        <f t="shared" si="1"/>
        <v>0</v>
      </c>
      <c r="J22" s="2111">
        <f t="shared" si="2"/>
        <v>0</v>
      </c>
      <c r="K22" s="2111" t="s">
        <v>65</v>
      </c>
      <c r="L22" s="1700" t="s">
        <v>555</v>
      </c>
      <c r="M22" s="993" t="s">
        <v>555</v>
      </c>
      <c r="N22" s="693" t="s">
        <v>546</v>
      </c>
      <c r="O22" s="693"/>
    </row>
    <row r="23" spans="1:15" hidden="1">
      <c r="A23" s="636">
        <v>14456</v>
      </c>
      <c r="B23" s="935"/>
      <c r="C23" s="636">
        <v>3.13</v>
      </c>
      <c r="D23" s="636"/>
      <c r="E23" s="636">
        <f t="shared" si="0"/>
        <v>0</v>
      </c>
      <c r="G23" s="347" t="s">
        <v>2610</v>
      </c>
      <c r="H23" s="2111"/>
      <c r="I23" s="2111">
        <f t="shared" si="1"/>
        <v>0</v>
      </c>
      <c r="J23" s="2111">
        <f t="shared" si="2"/>
        <v>0</v>
      </c>
      <c r="K23" s="2111" t="s">
        <v>65</v>
      </c>
      <c r="L23" s="1700" t="s">
        <v>555</v>
      </c>
      <c r="M23" s="993" t="s">
        <v>555</v>
      </c>
      <c r="N23" s="693" t="s">
        <v>546</v>
      </c>
      <c r="O23" s="693"/>
    </row>
    <row r="24" spans="1:15" hidden="1">
      <c r="A24" s="636">
        <v>10611</v>
      </c>
      <c r="B24" s="935"/>
      <c r="C24" s="636">
        <v>0.84</v>
      </c>
      <c r="D24" s="636"/>
      <c r="E24" s="636">
        <f t="shared" si="0"/>
        <v>0</v>
      </c>
      <c r="G24" s="347" t="s">
        <v>2609</v>
      </c>
      <c r="H24" s="2111"/>
      <c r="I24" s="2111">
        <f t="shared" si="1"/>
        <v>0</v>
      </c>
      <c r="J24" s="2111">
        <f t="shared" si="2"/>
        <v>0</v>
      </c>
      <c r="K24" s="311"/>
    </row>
    <row r="25" spans="1:15" hidden="1">
      <c r="A25" s="636">
        <v>10576</v>
      </c>
      <c r="B25" s="935"/>
      <c r="C25" s="636">
        <v>1.68</v>
      </c>
      <c r="D25" s="636"/>
      <c r="E25" s="636">
        <f t="shared" si="0"/>
        <v>0</v>
      </c>
      <c r="G25" s="347" t="s">
        <v>2608</v>
      </c>
      <c r="H25" s="2111"/>
      <c r="I25" s="2111">
        <f t="shared" si="1"/>
        <v>0</v>
      </c>
      <c r="J25" s="2111">
        <f t="shared" si="2"/>
        <v>0</v>
      </c>
      <c r="K25" s="311"/>
    </row>
    <row r="26" spans="1:15" ht="15" hidden="1" customHeight="1">
      <c r="A26" s="636">
        <v>14330</v>
      </c>
      <c r="B26" s="935"/>
      <c r="C26" s="636">
        <v>1.33</v>
      </c>
      <c r="D26" s="636">
        <v>25</v>
      </c>
      <c r="E26" s="636">
        <f t="shared" si="0"/>
        <v>50</v>
      </c>
      <c r="G26" s="347" t="s">
        <v>2607</v>
      </c>
      <c r="H26" s="2111">
        <v>2</v>
      </c>
      <c r="I26" s="2111">
        <f t="shared" si="1"/>
        <v>25</v>
      </c>
      <c r="J26" s="2111">
        <f t="shared" si="2"/>
        <v>50</v>
      </c>
      <c r="K26" s="2111">
        <v>0</v>
      </c>
      <c r="L26" t="s">
        <v>65</v>
      </c>
    </row>
    <row r="27" spans="1:15">
      <c r="A27" s="636">
        <v>3946</v>
      </c>
      <c r="B27" s="935"/>
      <c r="C27" s="636">
        <v>5.75</v>
      </c>
      <c r="D27" s="636">
        <v>23</v>
      </c>
      <c r="E27" s="636">
        <f t="shared" si="0"/>
        <v>230</v>
      </c>
      <c r="G27" s="347" t="s">
        <v>5776</v>
      </c>
      <c r="H27" s="2111">
        <v>10</v>
      </c>
      <c r="I27" s="2111">
        <f t="shared" si="1"/>
        <v>23</v>
      </c>
      <c r="J27" s="2111">
        <f t="shared" si="2"/>
        <v>230</v>
      </c>
      <c r="K27" s="2111" t="s">
        <v>5284</v>
      </c>
    </row>
    <row r="28" spans="1:15" hidden="1">
      <c r="A28" s="636">
        <v>4641</v>
      </c>
      <c r="B28" s="935"/>
      <c r="C28" s="636">
        <v>4</v>
      </c>
      <c r="D28" s="636">
        <v>23</v>
      </c>
      <c r="E28" s="636">
        <f t="shared" si="0"/>
        <v>230</v>
      </c>
      <c r="G28" s="2110" t="s">
        <v>2606</v>
      </c>
      <c r="H28" s="2110">
        <v>10</v>
      </c>
      <c r="I28" s="2110">
        <f t="shared" si="1"/>
        <v>23</v>
      </c>
      <c r="J28" s="2110">
        <f t="shared" si="2"/>
        <v>230</v>
      </c>
      <c r="K28" s="348"/>
    </row>
    <row r="29" spans="1:15" hidden="1">
      <c r="A29" s="636">
        <v>10548</v>
      </c>
      <c r="B29" s="935"/>
      <c r="C29" s="636">
        <v>0.67</v>
      </c>
      <c r="D29" s="636"/>
      <c r="E29" s="636">
        <f t="shared" si="0"/>
        <v>0</v>
      </c>
      <c r="G29" s="2110" t="s">
        <v>2605</v>
      </c>
      <c r="H29" s="2110"/>
      <c r="I29" s="2110">
        <f t="shared" si="1"/>
        <v>0</v>
      </c>
      <c r="J29" s="2110">
        <f t="shared" si="2"/>
        <v>0</v>
      </c>
      <c r="K29" s="348"/>
    </row>
    <row r="30" spans="1:15" hidden="1">
      <c r="A30" s="636">
        <v>14477</v>
      </c>
      <c r="B30" s="935"/>
      <c r="C30" s="636">
        <v>0.67</v>
      </c>
      <c r="D30" s="636"/>
      <c r="E30" s="636">
        <f t="shared" si="0"/>
        <v>0</v>
      </c>
      <c r="G30" s="2110" t="s">
        <v>2604</v>
      </c>
      <c r="H30" s="2110"/>
      <c r="I30" s="2110">
        <f t="shared" si="1"/>
        <v>0</v>
      </c>
      <c r="J30" s="2110">
        <f t="shared" si="2"/>
        <v>0</v>
      </c>
      <c r="K30" s="348"/>
    </row>
    <row r="31" spans="1:15" hidden="1">
      <c r="A31" s="636">
        <v>14877</v>
      </c>
      <c r="B31" s="935"/>
      <c r="C31" s="636">
        <v>0.67</v>
      </c>
      <c r="D31" s="636"/>
      <c r="E31" s="636">
        <f t="shared" si="0"/>
        <v>0</v>
      </c>
      <c r="G31" s="2110" t="s">
        <v>2603</v>
      </c>
      <c r="H31" s="2110"/>
      <c r="I31" s="2110">
        <f t="shared" si="1"/>
        <v>0</v>
      </c>
      <c r="J31" s="2110">
        <f t="shared" si="2"/>
        <v>0</v>
      </c>
      <c r="K31" s="348"/>
    </row>
    <row r="32" spans="1:15" hidden="1">
      <c r="A32" s="636"/>
      <c r="B32" s="935"/>
      <c r="C32" s="636"/>
      <c r="D32" s="636"/>
      <c r="E32" s="636">
        <f t="shared" si="0"/>
        <v>0</v>
      </c>
      <c r="G32" s="1916"/>
      <c r="H32" s="1916"/>
      <c r="I32" s="1916">
        <f t="shared" si="1"/>
        <v>0</v>
      </c>
      <c r="J32" s="1916">
        <f t="shared" si="2"/>
        <v>0</v>
      </c>
      <c r="K32" s="123"/>
      <c r="M32" s="105"/>
      <c r="N32" s="105"/>
    </row>
    <row r="33" spans="1:14">
      <c r="A33" s="636"/>
      <c r="B33" s="935"/>
      <c r="C33" s="636"/>
      <c r="D33" s="636"/>
      <c r="E33" s="636"/>
      <c r="F33">
        <v>22874</v>
      </c>
      <c r="G33" s="1200" t="s">
        <v>5539</v>
      </c>
      <c r="H33" s="1252"/>
      <c r="I33" s="1252">
        <f t="shared" si="1"/>
        <v>0</v>
      </c>
      <c r="J33" s="1252">
        <f t="shared" si="2"/>
        <v>0</v>
      </c>
      <c r="K33" s="2111" t="s">
        <v>5775</v>
      </c>
      <c r="M33" s="105"/>
      <c r="N33" s="105"/>
    </row>
    <row r="34" spans="1:14">
      <c r="G34" s="1200" t="s">
        <v>5540</v>
      </c>
      <c r="H34" s="1252"/>
      <c r="I34" s="1252"/>
      <c r="J34" s="1252"/>
      <c r="K34" s="2111" t="s">
        <v>243</v>
      </c>
    </row>
    <row r="35" spans="1:14" ht="45" hidden="1">
      <c r="A35" s="935" t="s">
        <v>0</v>
      </c>
      <c r="B35" s="934" t="s">
        <v>3762</v>
      </c>
      <c r="C35" s="935" t="s">
        <v>547</v>
      </c>
      <c r="G35" s="418" t="s">
        <v>1</v>
      </c>
      <c r="H35" s="123"/>
      <c r="I35" s="123"/>
      <c r="J35" s="123"/>
      <c r="K35" s="123"/>
    </row>
    <row r="36" spans="1:14" hidden="1">
      <c r="A36" s="935">
        <v>15422</v>
      </c>
      <c r="B36" s="935">
        <v>20</v>
      </c>
      <c r="C36" s="935">
        <v>0.92</v>
      </c>
      <c r="G36" s="329" t="s">
        <v>2628</v>
      </c>
      <c r="H36" s="123"/>
      <c r="I36" s="123"/>
      <c r="J36" s="123"/>
      <c r="K36" s="123"/>
    </row>
    <row r="37" spans="1:14" hidden="1">
      <c r="A37" s="935">
        <v>15421</v>
      </c>
      <c r="B37" s="935">
        <v>16</v>
      </c>
      <c r="C37" s="935">
        <v>2.33</v>
      </c>
      <c r="G37" s="329" t="s">
        <v>2627</v>
      </c>
      <c r="H37" s="123"/>
      <c r="I37" s="123"/>
      <c r="J37" s="123"/>
      <c r="K37" s="123"/>
    </row>
    <row r="38" spans="1:14" hidden="1">
      <c r="A38" s="935">
        <v>10598</v>
      </c>
      <c r="B38" s="935">
        <v>20</v>
      </c>
      <c r="C38" s="935">
        <v>1.04</v>
      </c>
      <c r="G38" s="329" t="s">
        <v>2626</v>
      </c>
      <c r="H38" s="123"/>
      <c r="I38" s="123"/>
      <c r="J38" s="123"/>
      <c r="K38" s="123"/>
    </row>
    <row r="39" spans="1:14" hidden="1">
      <c r="A39" s="935">
        <v>10552</v>
      </c>
      <c r="B39" s="935">
        <v>16</v>
      </c>
      <c r="C39" s="935">
        <v>2.58</v>
      </c>
      <c r="G39" s="329" t="s">
        <v>2625</v>
      </c>
      <c r="H39" s="123"/>
      <c r="I39" s="123"/>
      <c r="J39" s="123"/>
      <c r="K39" s="123"/>
    </row>
    <row r="40" spans="1:14" hidden="1">
      <c r="A40" s="935">
        <v>14329</v>
      </c>
      <c r="B40" s="935">
        <v>60</v>
      </c>
      <c r="C40" s="935">
        <v>0.9</v>
      </c>
      <c r="G40" s="2129" t="s">
        <v>2624</v>
      </c>
      <c r="H40" s="123"/>
      <c r="I40" s="123"/>
      <c r="J40" s="123"/>
      <c r="K40" s="123"/>
    </row>
    <row r="41" spans="1:14">
      <c r="A41" s="935">
        <v>14331</v>
      </c>
      <c r="B41" s="935">
        <v>24</v>
      </c>
      <c r="C41" s="935">
        <v>1.9</v>
      </c>
      <c r="G41" s="347" t="s">
        <v>2623</v>
      </c>
      <c r="H41" s="348"/>
      <c r="I41" s="348"/>
      <c r="J41" s="348"/>
      <c r="K41" s="2111" t="s">
        <v>556</v>
      </c>
    </row>
    <row r="42" spans="1:14" hidden="1">
      <c r="A42" s="935">
        <v>14327</v>
      </c>
      <c r="B42" s="935">
        <v>18</v>
      </c>
      <c r="C42" s="935">
        <v>1.43</v>
      </c>
      <c r="G42" s="2130" t="s">
        <v>2622</v>
      </c>
      <c r="H42" s="123"/>
      <c r="I42" s="123"/>
      <c r="J42" s="123"/>
      <c r="K42" s="123"/>
    </row>
    <row r="43" spans="1:14" hidden="1">
      <c r="A43" s="935">
        <v>10550</v>
      </c>
      <c r="B43" s="935">
        <v>48</v>
      </c>
      <c r="C43" s="935">
        <v>0.51</v>
      </c>
      <c r="G43" s="329" t="s">
        <v>2621</v>
      </c>
      <c r="H43" s="123"/>
      <c r="I43" s="123"/>
      <c r="J43" s="123"/>
      <c r="K43" s="123"/>
    </row>
    <row r="44" spans="1:14" hidden="1">
      <c r="A44" s="935">
        <v>19823</v>
      </c>
      <c r="B44" s="935">
        <v>12</v>
      </c>
      <c r="C44" s="935">
        <v>0.5</v>
      </c>
      <c r="G44" s="329" t="s">
        <v>2620</v>
      </c>
      <c r="H44" s="123"/>
      <c r="I44" s="123"/>
      <c r="J44" s="123"/>
      <c r="K44" s="123"/>
    </row>
    <row r="45" spans="1:14" hidden="1">
      <c r="A45" s="935">
        <v>19825</v>
      </c>
      <c r="B45" s="935">
        <v>12</v>
      </c>
      <c r="C45" s="935">
        <v>0.5</v>
      </c>
      <c r="G45" s="329" t="s">
        <v>2619</v>
      </c>
      <c r="H45" s="123"/>
      <c r="I45" s="123"/>
      <c r="J45" s="123"/>
      <c r="K45" s="123"/>
    </row>
    <row r="46" spans="1:14" hidden="1">
      <c r="A46" s="935">
        <v>20726</v>
      </c>
      <c r="B46" s="935">
        <v>20</v>
      </c>
      <c r="C46" s="935">
        <v>0.69</v>
      </c>
      <c r="G46" s="329" t="s">
        <v>2618</v>
      </c>
      <c r="H46" s="123"/>
      <c r="I46" s="123"/>
      <c r="J46" s="123"/>
      <c r="K46" s="123"/>
    </row>
    <row r="47" spans="1:14" hidden="1">
      <c r="A47" s="935">
        <v>20728</v>
      </c>
      <c r="B47" s="935">
        <v>20</v>
      </c>
      <c r="C47" s="935">
        <v>0.69</v>
      </c>
      <c r="G47" s="329" t="s">
        <v>2617</v>
      </c>
      <c r="H47" s="123"/>
      <c r="I47" s="123"/>
      <c r="J47" s="123"/>
      <c r="K47" s="123"/>
    </row>
    <row r="48" spans="1:14" hidden="1">
      <c r="A48" s="935">
        <v>20727</v>
      </c>
      <c r="B48" s="935">
        <v>20</v>
      </c>
      <c r="C48" s="935">
        <v>0.69</v>
      </c>
      <c r="G48" s="329" t="s">
        <v>2616</v>
      </c>
      <c r="H48" s="123"/>
      <c r="I48" s="123"/>
      <c r="J48" s="123"/>
      <c r="K48" s="123"/>
    </row>
    <row r="49" spans="1:11" hidden="1">
      <c r="A49" s="935">
        <v>20730</v>
      </c>
      <c r="B49" s="935">
        <v>20</v>
      </c>
      <c r="C49" s="935">
        <v>0.64</v>
      </c>
      <c r="G49" s="329" t="s">
        <v>2615</v>
      </c>
      <c r="H49" s="123"/>
      <c r="I49" s="123"/>
      <c r="J49" s="123"/>
      <c r="K49" s="123"/>
    </row>
    <row r="50" spans="1:11" hidden="1">
      <c r="A50" s="935">
        <v>20729</v>
      </c>
      <c r="B50" s="935">
        <v>20</v>
      </c>
      <c r="C50" s="935">
        <v>0.64</v>
      </c>
      <c r="G50" s="329" t="s">
        <v>2614</v>
      </c>
      <c r="H50" s="123"/>
      <c r="I50" s="123"/>
      <c r="J50" s="123"/>
      <c r="K50" s="123"/>
    </row>
    <row r="51" spans="1:11" hidden="1">
      <c r="A51" s="935">
        <v>21172</v>
      </c>
      <c r="B51" s="935">
        <v>9</v>
      </c>
      <c r="C51" s="935">
        <v>1.17</v>
      </c>
      <c r="G51" s="329" t="s">
        <v>3754</v>
      </c>
      <c r="H51" s="123"/>
      <c r="I51" s="123"/>
      <c r="J51" s="123"/>
      <c r="K51" s="123"/>
    </row>
    <row r="52" spans="1:11" hidden="1">
      <c r="A52" s="935">
        <v>15026</v>
      </c>
      <c r="B52" s="935">
        <v>6</v>
      </c>
      <c r="C52" s="935">
        <v>1.1399999999999999</v>
      </c>
      <c r="G52" s="329" t="s">
        <v>2613</v>
      </c>
      <c r="H52" s="123"/>
      <c r="I52" s="123"/>
      <c r="J52" s="123"/>
      <c r="K52" s="123"/>
    </row>
    <row r="53" spans="1:11" hidden="1">
      <c r="A53" s="935">
        <v>10544</v>
      </c>
      <c r="B53" s="935">
        <v>18</v>
      </c>
      <c r="C53" s="935">
        <v>1.43</v>
      </c>
      <c r="G53" s="329" t="s">
        <v>2612</v>
      </c>
      <c r="H53" s="123"/>
      <c r="I53" s="123"/>
      <c r="J53" s="123"/>
      <c r="K53" s="123"/>
    </row>
    <row r="54" spans="1:11" hidden="1">
      <c r="A54" s="935">
        <v>10465</v>
      </c>
      <c r="B54" s="935">
        <v>120</v>
      </c>
      <c r="C54" s="935">
        <v>6</v>
      </c>
      <c r="G54" s="329" t="s">
        <v>2611</v>
      </c>
      <c r="H54" s="123"/>
      <c r="I54" s="123"/>
      <c r="J54" s="123"/>
      <c r="K54" s="123"/>
    </row>
    <row r="55" spans="1:11" hidden="1">
      <c r="A55" s="935">
        <v>14456</v>
      </c>
      <c r="B55" s="935">
        <v>384</v>
      </c>
      <c r="C55" s="935">
        <v>3.13</v>
      </c>
      <c r="G55" s="329" t="s">
        <v>2610</v>
      </c>
      <c r="H55" s="123"/>
      <c r="I55" s="123"/>
      <c r="J55" s="123"/>
      <c r="K55" s="123"/>
    </row>
    <row r="56" spans="1:11" hidden="1">
      <c r="A56" s="935">
        <v>10611</v>
      </c>
      <c r="B56" s="935">
        <v>16</v>
      </c>
      <c r="C56" s="935">
        <v>1.05</v>
      </c>
      <c r="G56" s="329" t="s">
        <v>2609</v>
      </c>
      <c r="H56" s="123"/>
      <c r="I56" s="123"/>
      <c r="J56" s="123"/>
      <c r="K56" s="123"/>
    </row>
    <row r="57" spans="1:11" hidden="1">
      <c r="A57" s="935">
        <v>10576</v>
      </c>
      <c r="B57" s="935">
        <v>27</v>
      </c>
      <c r="C57" s="935">
        <v>2.09</v>
      </c>
      <c r="G57" s="329" t="s">
        <v>2608</v>
      </c>
      <c r="H57" s="123"/>
      <c r="I57" s="123"/>
      <c r="J57" s="123"/>
      <c r="K57" s="123"/>
    </row>
    <row r="58" spans="1:11" hidden="1">
      <c r="A58" s="935">
        <v>14330</v>
      </c>
      <c r="B58" s="935">
        <v>50</v>
      </c>
      <c r="C58" s="935">
        <v>1.29</v>
      </c>
      <c r="G58" s="329" t="s">
        <v>2607</v>
      </c>
      <c r="H58" s="123"/>
      <c r="I58" s="123"/>
      <c r="J58" s="123"/>
      <c r="K58" s="123"/>
    </row>
    <row r="59" spans="1:11" hidden="1">
      <c r="A59" s="935">
        <v>21173</v>
      </c>
      <c r="B59" s="935">
        <v>20</v>
      </c>
      <c r="C59" s="935">
        <v>0.35</v>
      </c>
      <c r="G59" s="329" t="s">
        <v>3755</v>
      </c>
      <c r="H59" s="123"/>
      <c r="I59" s="123"/>
      <c r="J59" s="123"/>
      <c r="K59" s="123"/>
    </row>
    <row r="60" spans="1:11" hidden="1">
      <c r="A60" s="935">
        <v>14664</v>
      </c>
      <c r="B60" s="935">
        <v>3</v>
      </c>
      <c r="C60" s="935">
        <v>0.9</v>
      </c>
      <c r="G60" s="329" t="s">
        <v>3756</v>
      </c>
      <c r="H60" s="123"/>
      <c r="I60" s="123"/>
      <c r="J60" s="123"/>
      <c r="K60" s="123"/>
    </row>
    <row r="61" spans="1:11" hidden="1">
      <c r="A61" s="935">
        <v>14328</v>
      </c>
      <c r="B61" s="935">
        <v>18</v>
      </c>
      <c r="C61" s="935">
        <v>1.43</v>
      </c>
      <c r="G61" s="329" t="s">
        <v>3757</v>
      </c>
      <c r="H61" s="123"/>
      <c r="I61" s="123"/>
      <c r="J61" s="123"/>
      <c r="K61" s="123"/>
    </row>
    <row r="62" spans="1:11" hidden="1">
      <c r="A62" s="935">
        <v>3946</v>
      </c>
      <c r="B62" s="935">
        <v>29.9</v>
      </c>
      <c r="C62" s="935">
        <v>5.75</v>
      </c>
      <c r="G62" s="329" t="s">
        <v>3758</v>
      </c>
      <c r="H62" s="123"/>
      <c r="I62" s="123"/>
      <c r="J62" s="123"/>
      <c r="K62" s="123"/>
    </row>
    <row r="63" spans="1:11" hidden="1">
      <c r="A63" s="935">
        <v>1652</v>
      </c>
      <c r="B63" s="935">
        <v>188.3</v>
      </c>
      <c r="C63" s="935">
        <v>5.4</v>
      </c>
      <c r="G63" s="329" t="s">
        <v>3759</v>
      </c>
      <c r="H63" s="123"/>
      <c r="I63" s="123"/>
      <c r="J63" s="123"/>
      <c r="K63" s="123"/>
    </row>
    <row r="64" spans="1:11" hidden="1">
      <c r="A64" s="935">
        <v>4641</v>
      </c>
      <c r="B64" s="935">
        <v>35.4</v>
      </c>
      <c r="C64" s="935">
        <v>4</v>
      </c>
      <c r="G64" s="329" t="s">
        <v>2606</v>
      </c>
      <c r="H64" s="123"/>
      <c r="I64" s="123"/>
      <c r="J64" s="123"/>
      <c r="K64" s="123"/>
    </row>
    <row r="65" spans="1:15" hidden="1">
      <c r="A65" s="935">
        <v>14333</v>
      </c>
      <c r="B65" s="935">
        <v>12</v>
      </c>
      <c r="C65" s="935">
        <v>0.83</v>
      </c>
      <c r="G65" s="329" t="s">
        <v>3760</v>
      </c>
      <c r="H65" s="123"/>
      <c r="I65" s="123"/>
      <c r="J65" s="123"/>
      <c r="K65" s="123"/>
    </row>
    <row r="66" spans="1:15" hidden="1">
      <c r="A66" s="935">
        <v>14332</v>
      </c>
      <c r="B66" s="935">
        <v>12</v>
      </c>
      <c r="C66" s="935">
        <v>0.83</v>
      </c>
      <c r="G66" s="329" t="s">
        <v>3761</v>
      </c>
      <c r="H66" s="123"/>
      <c r="I66" s="123"/>
      <c r="J66" s="123"/>
      <c r="K66" s="123"/>
    </row>
    <row r="67" spans="1:15" hidden="1">
      <c r="A67" s="935">
        <v>10548</v>
      </c>
      <c r="B67" s="935">
        <v>16</v>
      </c>
      <c r="C67" s="935">
        <v>0.67</v>
      </c>
      <c r="G67" s="329" t="s">
        <v>2605</v>
      </c>
      <c r="H67" s="123"/>
      <c r="I67" s="123"/>
      <c r="J67" s="123"/>
      <c r="K67" s="123"/>
    </row>
    <row r="68" spans="1:15" hidden="1">
      <c r="A68" s="935">
        <v>14477</v>
      </c>
      <c r="B68" s="935">
        <v>8</v>
      </c>
      <c r="C68" s="935">
        <v>0.67</v>
      </c>
      <c r="G68" s="329" t="s">
        <v>2604</v>
      </c>
      <c r="H68" s="123"/>
      <c r="I68" s="123"/>
      <c r="J68" s="123"/>
      <c r="K68" s="123"/>
    </row>
    <row r="69" spans="1:15" hidden="1">
      <c r="A69" s="935">
        <v>14877</v>
      </c>
      <c r="B69" s="935">
        <v>48</v>
      </c>
      <c r="C69" s="935">
        <v>0.67</v>
      </c>
      <c r="G69" s="2129" t="s">
        <v>2603</v>
      </c>
      <c r="H69" s="123"/>
      <c r="I69" s="123"/>
      <c r="J69" s="123"/>
      <c r="K69" s="123"/>
    </row>
    <row r="70" spans="1:15" hidden="1">
      <c r="C70" s="14">
        <v>1.7</v>
      </c>
      <c r="G70" s="329" t="s">
        <v>3764</v>
      </c>
      <c r="H70" s="348"/>
      <c r="I70" s="348"/>
      <c r="J70" s="348"/>
      <c r="K70" s="348"/>
      <c r="L70" s="693"/>
      <c r="M70" s="693"/>
      <c r="N70" s="693"/>
      <c r="O70" s="693"/>
    </row>
    <row r="71" spans="1:15" hidden="1">
      <c r="C71" s="135">
        <v>0.96</v>
      </c>
      <c r="G71" s="329" t="s">
        <v>3763</v>
      </c>
      <c r="H71" s="348"/>
      <c r="I71" s="348"/>
      <c r="J71" s="348"/>
      <c r="K71" s="348"/>
      <c r="L71" s="693"/>
      <c r="M71" s="693"/>
      <c r="N71" s="693"/>
      <c r="O71" s="693"/>
    </row>
    <row r="72" spans="1:15">
      <c r="G72" s="123"/>
      <c r="H72" s="123"/>
      <c r="I72" s="123"/>
      <c r="J72" s="123"/>
      <c r="K72" s="123"/>
    </row>
    <row r="73" spans="1:15">
      <c r="G73" s="123"/>
      <c r="H73" s="123"/>
      <c r="I73" s="123"/>
      <c r="J73" s="123"/>
      <c r="K73" s="123"/>
    </row>
    <row r="74" spans="1:15">
      <c r="G74" s="123"/>
      <c r="H74" s="123"/>
      <c r="I74" s="123"/>
      <c r="J74" s="123"/>
      <c r="K74" s="123"/>
    </row>
    <row r="75" spans="1:15">
      <c r="G75" s="123"/>
      <c r="H75" s="123"/>
      <c r="I75" s="123"/>
      <c r="J75" s="123"/>
      <c r="K75" s="12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2:D27"/>
  <sheetViews>
    <sheetView workbookViewId="0">
      <selection activeCell="C32" sqref="C32"/>
    </sheetView>
  </sheetViews>
  <sheetFormatPr baseColWidth="10" defaultRowHeight="15"/>
  <cols>
    <col min="3" max="3" width="37.28515625" customWidth="1"/>
  </cols>
  <sheetData>
    <row r="12" spans="3:4" ht="15.75" thickBot="1"/>
    <row r="13" spans="3:4">
      <c r="C13" s="1567" t="s">
        <v>5627</v>
      </c>
      <c r="D13" s="1568" t="s">
        <v>5618</v>
      </c>
    </row>
    <row r="14" spans="3:4">
      <c r="C14" s="841" t="s">
        <v>5619</v>
      </c>
      <c r="D14" s="759">
        <v>33</v>
      </c>
    </row>
    <row r="15" spans="3:4">
      <c r="C15" s="841" t="s">
        <v>24</v>
      </c>
      <c r="D15" s="759">
        <v>14</v>
      </c>
    </row>
    <row r="16" spans="3:4">
      <c r="C16" s="841" t="s">
        <v>5620</v>
      </c>
      <c r="D16" s="759">
        <v>10</v>
      </c>
    </row>
    <row r="17" spans="3:4">
      <c r="C17" s="841" t="s">
        <v>5621</v>
      </c>
      <c r="D17" s="759">
        <v>10</v>
      </c>
    </row>
    <row r="18" spans="3:4">
      <c r="C18" s="841" t="s">
        <v>3497</v>
      </c>
      <c r="D18" s="759">
        <v>10</v>
      </c>
    </row>
    <row r="19" spans="3:4">
      <c r="C19" s="841" t="s">
        <v>5622</v>
      </c>
      <c r="D19" s="759">
        <v>10</v>
      </c>
    </row>
    <row r="20" spans="3:4">
      <c r="C20" s="841" t="s">
        <v>5623</v>
      </c>
      <c r="D20" s="759"/>
    </row>
    <row r="21" spans="3:4">
      <c r="C21" s="841" t="s">
        <v>5624</v>
      </c>
      <c r="D21" s="759"/>
    </row>
    <row r="22" spans="3:4">
      <c r="C22" s="841" t="s">
        <v>20</v>
      </c>
      <c r="D22" s="759"/>
    </row>
    <row r="23" spans="3:4">
      <c r="C23" s="841" t="s">
        <v>21</v>
      </c>
      <c r="D23" s="759"/>
    </row>
    <row r="24" spans="3:4">
      <c r="C24" s="841" t="s">
        <v>4042</v>
      </c>
      <c r="D24" s="759"/>
    </row>
    <row r="25" spans="3:4">
      <c r="C25" s="841" t="s">
        <v>5625</v>
      </c>
      <c r="D25" s="759"/>
    </row>
    <row r="26" spans="3:4" ht="15.75" thickBot="1">
      <c r="C26" s="842" t="s">
        <v>5626</v>
      </c>
      <c r="D26" s="527"/>
    </row>
    <row r="27" spans="3:4">
      <c r="C27" s="1593" t="s">
        <v>634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4:I27"/>
  <sheetViews>
    <sheetView workbookViewId="0">
      <selection activeCell="E4" sqref="E4:H14"/>
    </sheetView>
  </sheetViews>
  <sheetFormatPr baseColWidth="10" defaultRowHeight="15"/>
  <cols>
    <col min="5" max="5" width="44.140625" customWidth="1"/>
    <col min="6" max="6" width="15.28515625" customWidth="1"/>
    <col min="7" max="7" width="11.42578125" customWidth="1"/>
    <col min="8" max="8" width="15.85546875" customWidth="1"/>
  </cols>
  <sheetData>
    <row r="4" spans="2:9" ht="111.75" customHeight="1">
      <c r="E4" s="852" t="s">
        <v>6024</v>
      </c>
      <c r="F4" s="309" t="s">
        <v>19</v>
      </c>
      <c r="G4" s="1454" t="s">
        <v>21</v>
      </c>
      <c r="H4" s="309" t="s">
        <v>3722</v>
      </c>
    </row>
    <row r="5" spans="2:9">
      <c r="B5" s="857">
        <v>3226</v>
      </c>
      <c r="C5" s="857">
        <v>17.54</v>
      </c>
      <c r="D5" s="858">
        <v>8.5</v>
      </c>
      <c r="E5" s="297" t="s">
        <v>3247</v>
      </c>
      <c r="F5" s="852" t="s">
        <v>556</v>
      </c>
      <c r="G5" s="297" t="s">
        <v>557</v>
      </c>
      <c r="H5" s="852" t="s">
        <v>3818</v>
      </c>
      <c r="I5" s="857"/>
    </row>
    <row r="6" spans="2:9">
      <c r="B6" s="857">
        <v>3369</v>
      </c>
      <c r="C6" s="857">
        <v>48</v>
      </c>
      <c r="D6" s="858">
        <v>2.14</v>
      </c>
      <c r="E6" s="852" t="s">
        <v>3248</v>
      </c>
      <c r="F6" s="852" t="s">
        <v>3999</v>
      </c>
      <c r="G6" s="852" t="s">
        <v>591</v>
      </c>
      <c r="H6" s="852" t="s">
        <v>3818</v>
      </c>
      <c r="I6" s="857"/>
    </row>
    <row r="7" spans="2:9">
      <c r="B7" s="857">
        <v>4185</v>
      </c>
      <c r="C7" s="857">
        <v>24</v>
      </c>
      <c r="D7" s="858">
        <v>3.38</v>
      </c>
      <c r="E7" s="852" t="s">
        <v>3249</v>
      </c>
      <c r="F7" s="852" t="s">
        <v>3999</v>
      </c>
      <c r="G7" s="852" t="s">
        <v>591</v>
      </c>
      <c r="H7" s="852" t="s">
        <v>3818</v>
      </c>
      <c r="I7" s="857"/>
    </row>
    <row r="8" spans="2:9">
      <c r="B8" s="857">
        <v>3366</v>
      </c>
      <c r="C8" s="857">
        <v>12.55</v>
      </c>
      <c r="D8" s="858">
        <v>4.7699999999999996</v>
      </c>
      <c r="E8" s="297" t="s">
        <v>3250</v>
      </c>
      <c r="F8" s="297" t="s">
        <v>556</v>
      </c>
      <c r="G8" s="297" t="s">
        <v>557</v>
      </c>
      <c r="H8" s="852" t="s">
        <v>3818</v>
      </c>
      <c r="I8" s="857"/>
    </row>
    <row r="9" spans="2:9" hidden="1">
      <c r="B9" s="857">
        <v>13679</v>
      </c>
      <c r="C9" s="857">
        <v>40</v>
      </c>
      <c r="D9" s="858">
        <v>1.8</v>
      </c>
      <c r="E9" s="852" t="s">
        <v>3251</v>
      </c>
      <c r="F9" s="852" t="s">
        <v>5253</v>
      </c>
      <c r="G9" s="852" t="s">
        <v>3998</v>
      </c>
      <c r="H9" s="852"/>
      <c r="I9" s="857"/>
    </row>
    <row r="10" spans="2:9">
      <c r="B10" s="857">
        <v>1653</v>
      </c>
      <c r="C10" s="857">
        <v>26.3</v>
      </c>
      <c r="D10" s="858">
        <v>4.79</v>
      </c>
      <c r="E10" s="297" t="s">
        <v>3252</v>
      </c>
      <c r="F10" s="297" t="s">
        <v>268</v>
      </c>
      <c r="G10" s="297" t="s">
        <v>557</v>
      </c>
      <c r="H10" s="852" t="s">
        <v>556</v>
      </c>
      <c r="I10" s="857"/>
    </row>
    <row r="11" spans="2:9">
      <c r="B11" s="857">
        <v>2410</v>
      </c>
      <c r="C11" s="857">
        <v>24</v>
      </c>
      <c r="D11" s="858">
        <v>4.99</v>
      </c>
      <c r="E11" s="852" t="s">
        <v>3253</v>
      </c>
      <c r="F11" s="852" t="s">
        <v>3999</v>
      </c>
      <c r="G11" s="852" t="s">
        <v>591</v>
      </c>
      <c r="H11" s="852" t="s">
        <v>3818</v>
      </c>
      <c r="I11" s="857"/>
    </row>
    <row r="12" spans="2:9" hidden="1">
      <c r="B12" s="857">
        <v>1632</v>
      </c>
      <c r="C12" s="857">
        <v>13.61</v>
      </c>
      <c r="D12" s="858">
        <v>3.43</v>
      </c>
      <c r="E12" s="297" t="s">
        <v>3254</v>
      </c>
      <c r="F12" s="297" t="s">
        <v>556</v>
      </c>
      <c r="G12" s="297" t="s">
        <v>557</v>
      </c>
      <c r="H12" s="852"/>
      <c r="I12" s="857"/>
    </row>
    <row r="13" spans="2:9">
      <c r="E13" s="1453" t="s">
        <v>6023</v>
      </c>
      <c r="F13" s="1453" t="s">
        <v>268</v>
      </c>
      <c r="G13" s="1453" t="s">
        <v>557</v>
      </c>
      <c r="H13" s="1453" t="s">
        <v>3818</v>
      </c>
      <c r="I13" s="857"/>
    </row>
    <row r="14" spans="2:9">
      <c r="I14" s="857"/>
    </row>
    <row r="15" spans="2:9">
      <c r="I15" s="857"/>
    </row>
    <row r="16" spans="2:9">
      <c r="I16" s="857"/>
    </row>
    <row r="17" spans="5:9">
      <c r="I17" s="857"/>
    </row>
    <row r="18" spans="5:9">
      <c r="I18" s="857"/>
    </row>
    <row r="19" spans="5:9">
      <c r="I19" s="857"/>
    </row>
    <row r="20" spans="5:9">
      <c r="I20" s="857"/>
    </row>
    <row r="21" spans="5:9">
      <c r="I21" s="857"/>
    </row>
    <row r="22" spans="5:9">
      <c r="I22" s="857"/>
    </row>
    <row r="23" spans="5:9">
      <c r="I23" s="857"/>
    </row>
    <row r="24" spans="5:9">
      <c r="I24" s="857"/>
    </row>
    <row r="25" spans="5:9">
      <c r="I25" s="857"/>
    </row>
    <row r="26" spans="5:9">
      <c r="I26" s="857"/>
    </row>
    <row r="27" spans="5:9">
      <c r="E27" s="25"/>
      <c r="F27" s="25"/>
    </row>
  </sheetData>
  <sortState ref="B6:E26">
    <sortCondition ref="E6:E26"/>
  </sortState>
  <pageMargins left="0.7" right="0.7" top="0.75" bottom="0.75" header="0.3" footer="0.3"/>
  <pageSetup paperSize="11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P56"/>
  <sheetViews>
    <sheetView workbookViewId="0">
      <selection activeCell="G4" sqref="G4:H17"/>
    </sheetView>
  </sheetViews>
  <sheetFormatPr baseColWidth="10" defaultRowHeight="15"/>
  <cols>
    <col min="1" max="1" width="11.42578125" style="1594"/>
    <col min="3" max="3" width="11.42578125" style="427" customWidth="1"/>
    <col min="4" max="4" width="11.42578125" customWidth="1"/>
    <col min="5" max="5" width="11.42578125" style="827" customWidth="1"/>
    <col min="6" max="6" width="11.42578125" customWidth="1"/>
    <col min="7" max="7" width="43" customWidth="1"/>
    <col min="8" max="8" width="17.85546875" style="506" customWidth="1"/>
    <col min="9" max="12" width="11.42578125" style="766" customWidth="1"/>
    <col min="13" max="15" width="11.42578125" customWidth="1"/>
  </cols>
  <sheetData>
    <row r="2" spans="1:12" ht="15.75" thickBot="1"/>
    <row r="3" spans="1:12" ht="82.5" customHeight="1">
      <c r="G3" s="2299" t="s">
        <v>21</v>
      </c>
      <c r="H3" s="2300"/>
      <c r="I3" s="395"/>
      <c r="J3" s="395"/>
      <c r="K3" s="395"/>
      <c r="L3" s="395"/>
    </row>
    <row r="4" spans="1:12" ht="53.25" customHeight="1">
      <c r="C4" s="1634" t="s">
        <v>119</v>
      </c>
      <c r="D4" s="1632" t="s">
        <v>3136</v>
      </c>
      <c r="E4" s="1632" t="s">
        <v>3661</v>
      </c>
      <c r="F4" s="1634" t="s">
        <v>559</v>
      </c>
      <c r="G4" s="308" t="s">
        <v>5694</v>
      </c>
      <c r="H4" s="378" t="s">
        <v>68</v>
      </c>
      <c r="I4" s="309" t="s">
        <v>2573</v>
      </c>
      <c r="J4" s="309" t="s">
        <v>2567</v>
      </c>
      <c r="K4" s="309" t="s">
        <v>2572</v>
      </c>
      <c r="L4" s="309" t="s">
        <v>2568</v>
      </c>
    </row>
    <row r="5" spans="1:12" ht="53.25" hidden="1" customHeight="1">
      <c r="C5" s="693">
        <v>9</v>
      </c>
      <c r="D5" s="693"/>
      <c r="E5" s="693"/>
      <c r="F5" s="693"/>
      <c r="G5" s="693" t="s">
        <v>1600</v>
      </c>
      <c r="H5" s="1631"/>
      <c r="I5" s="1634"/>
      <c r="J5" s="1634"/>
      <c r="K5" s="1634"/>
      <c r="L5" s="1634"/>
    </row>
    <row r="6" spans="1:12" ht="18.75" customHeight="1">
      <c r="C6" s="1634">
        <v>8519</v>
      </c>
      <c r="D6" s="1634">
        <v>24</v>
      </c>
      <c r="E6" s="1634"/>
      <c r="F6" s="1634">
        <v>1.53</v>
      </c>
      <c r="G6" s="1635" t="s">
        <v>1599</v>
      </c>
      <c r="H6" s="326" t="s">
        <v>3257</v>
      </c>
      <c r="I6" s="1634">
        <v>8</v>
      </c>
      <c r="J6" s="399">
        <f t="shared" ref="J6:J17" si="0">I6/D6</f>
        <v>0.33333333333333331</v>
      </c>
      <c r="K6" s="1634">
        <v>42</v>
      </c>
      <c r="L6" s="399">
        <f>K6/D6</f>
        <v>1.75</v>
      </c>
    </row>
    <row r="7" spans="1:12" ht="18.75" customHeight="1">
      <c r="C7" s="1634">
        <v>8518</v>
      </c>
      <c r="D7" s="1634">
        <v>12</v>
      </c>
      <c r="E7" s="1634"/>
      <c r="F7" s="1634">
        <v>2.2799999999999998</v>
      </c>
      <c r="G7" s="1635" t="s">
        <v>1598</v>
      </c>
      <c r="H7" s="326" t="s">
        <v>3257</v>
      </c>
      <c r="I7" s="1634">
        <v>3</v>
      </c>
      <c r="J7" s="399">
        <f t="shared" si="0"/>
        <v>0.25</v>
      </c>
      <c r="K7" s="1634">
        <v>19</v>
      </c>
      <c r="L7" s="399">
        <f>K7/D7</f>
        <v>1.5833333333333333</v>
      </c>
    </row>
    <row r="8" spans="1:12" ht="18.75" customHeight="1">
      <c r="C8" s="1634"/>
      <c r="D8" s="305">
        <v>24</v>
      </c>
      <c r="E8" s="305"/>
      <c r="F8" s="1634">
        <f>+E8/D8</f>
        <v>0</v>
      </c>
      <c r="G8" s="347" t="s">
        <v>3286</v>
      </c>
      <c r="H8" s="326" t="s">
        <v>5502</v>
      </c>
      <c r="I8" s="1634"/>
      <c r="J8" s="399">
        <f t="shared" si="0"/>
        <v>0</v>
      </c>
      <c r="K8" s="1634"/>
      <c r="L8" s="399">
        <f>+K8/D8</f>
        <v>0</v>
      </c>
    </row>
    <row r="9" spans="1:12" ht="18.75" hidden="1" customHeight="1">
      <c r="C9" s="1634">
        <v>2227</v>
      </c>
      <c r="D9" s="1634">
        <v>24</v>
      </c>
      <c r="E9" s="1634"/>
      <c r="F9" s="1634">
        <v>731256.77</v>
      </c>
      <c r="G9" s="347" t="s">
        <v>1597</v>
      </c>
      <c r="H9" s="326" t="s">
        <v>65</v>
      </c>
      <c r="I9" s="1634"/>
      <c r="J9" s="399">
        <f t="shared" si="0"/>
        <v>0</v>
      </c>
      <c r="K9" s="1634"/>
      <c r="L9" s="399">
        <f>+K9/24</f>
        <v>0</v>
      </c>
    </row>
    <row r="10" spans="1:12" ht="18.75" hidden="1" customHeight="1">
      <c r="C10" s="1634">
        <v>1727</v>
      </c>
      <c r="D10" s="1634">
        <v>26</v>
      </c>
      <c r="E10" s="1634"/>
      <c r="F10" s="1634">
        <v>4.2699999999999996</v>
      </c>
      <c r="G10" s="347" t="s">
        <v>1607</v>
      </c>
      <c r="H10" s="326">
        <v>0</v>
      </c>
      <c r="I10" s="1634"/>
      <c r="J10" s="399">
        <f t="shared" si="0"/>
        <v>0</v>
      </c>
      <c r="K10" s="1634"/>
      <c r="L10" s="399"/>
    </row>
    <row r="11" spans="1:12" s="357" customFormat="1" ht="18.75" hidden="1" customHeight="1">
      <c r="A11" s="1594"/>
      <c r="C11" s="1634">
        <v>1712</v>
      </c>
      <c r="D11" s="1634">
        <v>18</v>
      </c>
      <c r="E11" s="1634"/>
      <c r="F11" s="1634">
        <v>4.67</v>
      </c>
      <c r="G11" s="347" t="s">
        <v>1610</v>
      </c>
      <c r="H11" s="326" t="s">
        <v>65</v>
      </c>
      <c r="I11" s="1634"/>
      <c r="J11" s="399">
        <f t="shared" si="0"/>
        <v>0</v>
      </c>
      <c r="K11" s="1634"/>
      <c r="L11" s="399"/>
    </row>
    <row r="12" spans="1:12" ht="51" hidden="1" customHeight="1">
      <c r="C12" s="1634">
        <v>5073</v>
      </c>
      <c r="D12" s="1634">
        <v>26</v>
      </c>
      <c r="E12" s="1634"/>
      <c r="F12" s="1634">
        <v>6.03</v>
      </c>
      <c r="G12" s="347" t="s">
        <v>1603</v>
      </c>
      <c r="H12" s="326" t="s">
        <v>65</v>
      </c>
      <c r="I12" s="1634"/>
      <c r="J12" s="399">
        <f t="shared" si="0"/>
        <v>0</v>
      </c>
      <c r="K12" s="1634"/>
      <c r="L12" s="399"/>
    </row>
    <row r="13" spans="1:12" ht="18.75" hidden="1" customHeight="1">
      <c r="C13" s="1634">
        <v>1659</v>
      </c>
      <c r="D13" s="1634">
        <v>26</v>
      </c>
      <c r="E13" s="1634"/>
      <c r="F13" s="1634">
        <v>3.43</v>
      </c>
      <c r="G13" s="347" t="s">
        <v>1602</v>
      </c>
      <c r="H13" s="326" t="s">
        <v>65</v>
      </c>
      <c r="I13" s="1634"/>
      <c r="J13" s="399">
        <f t="shared" si="0"/>
        <v>0</v>
      </c>
      <c r="K13" s="1634"/>
      <c r="L13" s="399"/>
    </row>
    <row r="14" spans="1:12" ht="18.75" customHeight="1">
      <c r="C14" s="1634">
        <v>3609</v>
      </c>
      <c r="D14" s="1634">
        <v>12</v>
      </c>
      <c r="E14" s="1634">
        <v>15.84</v>
      </c>
      <c r="F14" s="1634">
        <f>+E14/D14</f>
        <v>1.32</v>
      </c>
      <c r="G14" s="347" t="s">
        <v>85</v>
      </c>
      <c r="H14" s="326" t="s">
        <v>5693</v>
      </c>
      <c r="I14" s="1634">
        <v>480</v>
      </c>
      <c r="J14" s="399">
        <f t="shared" si="0"/>
        <v>40</v>
      </c>
      <c r="K14" s="1634">
        <v>249</v>
      </c>
      <c r="L14" s="399">
        <f>+K14/12</f>
        <v>20.75</v>
      </c>
    </row>
    <row r="15" spans="1:12" ht="18.75" customHeight="1">
      <c r="C15" s="1634">
        <v>3610</v>
      </c>
      <c r="D15" s="1634">
        <v>12</v>
      </c>
      <c r="E15" s="1634">
        <v>15.84</v>
      </c>
      <c r="F15" s="1634">
        <f>+E15/D15</f>
        <v>1.32</v>
      </c>
      <c r="G15" s="347" t="s">
        <v>87</v>
      </c>
      <c r="H15" s="326" t="s">
        <v>5692</v>
      </c>
      <c r="I15" s="1634">
        <v>357</v>
      </c>
      <c r="J15" s="399">
        <f t="shared" si="0"/>
        <v>29.75</v>
      </c>
      <c r="K15" s="1634">
        <v>217</v>
      </c>
      <c r="L15" s="399">
        <f>+K15/12</f>
        <v>18.083333333333332</v>
      </c>
    </row>
    <row r="16" spans="1:12" ht="18.75" customHeight="1">
      <c r="C16" s="1634">
        <v>4722</v>
      </c>
      <c r="D16" s="1634">
        <v>12</v>
      </c>
      <c r="E16" s="1634">
        <v>16.32</v>
      </c>
      <c r="F16" s="1634">
        <f>+E16/D16</f>
        <v>1.36</v>
      </c>
      <c r="G16" s="347" t="s">
        <v>89</v>
      </c>
      <c r="H16" s="326" t="s">
        <v>3833</v>
      </c>
      <c r="I16" s="1634">
        <v>119</v>
      </c>
      <c r="J16" s="399">
        <f t="shared" si="0"/>
        <v>9.9166666666666661</v>
      </c>
      <c r="K16" s="1715">
        <v>2</v>
      </c>
      <c r="L16" s="399">
        <f>+K16/12</f>
        <v>0.16666666666666666</v>
      </c>
    </row>
    <row r="17" spans="3:16" ht="18.75" customHeight="1">
      <c r="C17" s="1634">
        <v>8517</v>
      </c>
      <c r="D17" s="1634">
        <v>48</v>
      </c>
      <c r="E17" s="1634"/>
      <c r="F17" s="1634">
        <f>+E17/D17</f>
        <v>0</v>
      </c>
      <c r="G17" s="347" t="s">
        <v>1596</v>
      </c>
      <c r="H17" s="326" t="s">
        <v>3257</v>
      </c>
      <c r="I17" s="1634"/>
      <c r="J17" s="399">
        <f t="shared" si="0"/>
        <v>0</v>
      </c>
      <c r="K17" s="1634"/>
      <c r="L17" s="399">
        <f>+K17/12</f>
        <v>0</v>
      </c>
    </row>
    <row r="18" spans="3:16" ht="18.75" hidden="1" customHeight="1">
      <c r="C18" s="693">
        <v>3878</v>
      </c>
      <c r="D18" s="693"/>
      <c r="E18" s="693"/>
      <c r="F18" s="693"/>
      <c r="G18" s="348" t="s">
        <v>5260</v>
      </c>
      <c r="H18" s="1631"/>
      <c r="I18" s="1634"/>
      <c r="J18" s="1634"/>
      <c r="K18" s="963"/>
      <c r="L18" s="1634"/>
    </row>
    <row r="19" spans="3:16" ht="18.75" hidden="1" customHeight="1">
      <c r="C19" s="1634">
        <v>2072</v>
      </c>
      <c r="D19" s="1634">
        <v>16</v>
      </c>
      <c r="E19" s="1634"/>
      <c r="F19" s="1634">
        <f t="shared" ref="F19:F24" si="1">+E19/D19</f>
        <v>0</v>
      </c>
      <c r="G19" s="347" t="s">
        <v>1608</v>
      </c>
      <c r="H19" s="326"/>
      <c r="I19" s="1634"/>
      <c r="J19" s="399">
        <f t="shared" ref="J19:J24" si="2">I19/D19</f>
        <v>0</v>
      </c>
      <c r="K19" s="1634"/>
      <c r="L19" s="399">
        <f t="shared" ref="L19:L24" si="3">+K19/12</f>
        <v>0</v>
      </c>
    </row>
    <row r="20" spans="3:16" ht="18.75" hidden="1" customHeight="1">
      <c r="C20" s="1634">
        <v>7841</v>
      </c>
      <c r="D20" s="1634">
        <v>16</v>
      </c>
      <c r="E20" s="1634"/>
      <c r="F20" s="1634">
        <f t="shared" si="1"/>
        <v>0</v>
      </c>
      <c r="G20" s="347" t="s">
        <v>1604</v>
      </c>
      <c r="H20" s="326" t="s">
        <v>65</v>
      </c>
      <c r="I20" s="1634"/>
      <c r="J20" s="399">
        <f t="shared" si="2"/>
        <v>0</v>
      </c>
      <c r="K20" s="1634"/>
      <c r="L20" s="399">
        <f t="shared" si="3"/>
        <v>0</v>
      </c>
    </row>
    <row r="21" spans="3:16" ht="18.75" hidden="1" customHeight="1">
      <c r="C21" s="1634">
        <v>8948</v>
      </c>
      <c r="D21" s="1634">
        <v>16</v>
      </c>
      <c r="E21" s="1634"/>
      <c r="F21" s="1634">
        <f t="shared" si="1"/>
        <v>0</v>
      </c>
      <c r="G21" s="347" t="s">
        <v>1606</v>
      </c>
      <c r="H21" s="326"/>
      <c r="I21" s="1634"/>
      <c r="J21" s="399">
        <f t="shared" si="2"/>
        <v>0</v>
      </c>
      <c r="K21" s="1634"/>
      <c r="L21" s="399">
        <f t="shared" si="3"/>
        <v>0</v>
      </c>
    </row>
    <row r="22" spans="3:16" ht="18.75" hidden="1" customHeight="1">
      <c r="C22" s="1634">
        <v>7840</v>
      </c>
      <c r="D22" s="1634">
        <v>8</v>
      </c>
      <c r="E22" s="1634"/>
      <c r="F22" s="1634">
        <f t="shared" si="1"/>
        <v>0</v>
      </c>
      <c r="G22" s="347" t="s">
        <v>1605</v>
      </c>
      <c r="H22" s="326" t="s">
        <v>557</v>
      </c>
      <c r="I22" s="1634"/>
      <c r="J22" s="399">
        <f t="shared" si="2"/>
        <v>0</v>
      </c>
      <c r="K22" s="1634"/>
      <c r="L22" s="399">
        <f t="shared" si="3"/>
        <v>0</v>
      </c>
    </row>
    <row r="23" spans="3:16" ht="18.75" hidden="1" customHeight="1">
      <c r="C23" s="1634">
        <v>10165</v>
      </c>
      <c r="D23" s="1634">
        <v>16</v>
      </c>
      <c r="E23" s="1634"/>
      <c r="F23" s="1634">
        <f t="shared" si="1"/>
        <v>0</v>
      </c>
      <c r="G23" s="347" t="s">
        <v>1601</v>
      </c>
      <c r="H23" s="326">
        <v>0</v>
      </c>
      <c r="I23" s="1634"/>
      <c r="J23" s="399">
        <f t="shared" si="2"/>
        <v>0</v>
      </c>
      <c r="K23" s="1634"/>
      <c r="L23" s="399">
        <f t="shared" si="3"/>
        <v>0</v>
      </c>
    </row>
    <row r="24" spans="3:16" ht="18.75" hidden="1" customHeight="1">
      <c r="C24" s="1634">
        <v>9926</v>
      </c>
      <c r="D24" s="1634">
        <v>16</v>
      </c>
      <c r="E24" s="1634"/>
      <c r="F24" s="1634">
        <f t="shared" si="1"/>
        <v>0</v>
      </c>
      <c r="G24" s="347" t="s">
        <v>1609</v>
      </c>
      <c r="H24" s="326" t="s">
        <v>557</v>
      </c>
      <c r="I24" s="1634"/>
      <c r="J24" s="399">
        <f t="shared" si="2"/>
        <v>0</v>
      </c>
      <c r="K24" s="1634"/>
      <c r="L24" s="399">
        <f t="shared" si="3"/>
        <v>0</v>
      </c>
    </row>
    <row r="25" spans="3:16" ht="18.75" hidden="1" customHeight="1">
      <c r="C25"/>
      <c r="E25"/>
      <c r="H25"/>
      <c r="I25"/>
      <c r="J25"/>
      <c r="K25"/>
      <c r="L25"/>
    </row>
    <row r="26" spans="3:16" ht="18.75" customHeight="1">
      <c r="C26"/>
      <c r="E26"/>
      <c r="H26"/>
      <c r="I26"/>
      <c r="J26"/>
      <c r="K26"/>
      <c r="L26"/>
    </row>
    <row r="27" spans="3:16" ht="18.75" customHeight="1">
      <c r="C27"/>
      <c r="E27"/>
      <c r="H27"/>
      <c r="I27"/>
      <c r="J27"/>
      <c r="K27"/>
      <c r="L27"/>
    </row>
    <row r="28" spans="3:16" ht="18.75" customHeight="1">
      <c r="C28"/>
      <c r="E28"/>
      <c r="H28"/>
      <c r="I28"/>
      <c r="J28"/>
      <c r="K28"/>
      <c r="L28"/>
    </row>
    <row r="29" spans="3:16" ht="18.75" customHeight="1">
      <c r="C29"/>
      <c r="E29"/>
      <c r="H29"/>
      <c r="I29"/>
      <c r="J29"/>
      <c r="K29"/>
      <c r="L29"/>
    </row>
    <row r="30" spans="3:16" ht="18.75" customHeight="1">
      <c r="C30"/>
      <c r="E30"/>
      <c r="H30"/>
      <c r="I30"/>
      <c r="J30"/>
      <c r="K30"/>
      <c r="L30"/>
    </row>
    <row r="31" spans="3:16" ht="18.75" customHeight="1">
      <c r="C31"/>
      <c r="E31"/>
      <c r="H31"/>
      <c r="I31"/>
      <c r="J31"/>
      <c r="K31"/>
      <c r="L31"/>
      <c r="M31" s="1017"/>
      <c r="N31" s="827"/>
      <c r="O31" s="827"/>
      <c r="P31" s="827"/>
    </row>
    <row r="32" spans="3:16" ht="45" customHeight="1">
      <c r="C32"/>
      <c r="E32"/>
      <c r="H32"/>
      <c r="I32"/>
      <c r="J32"/>
      <c r="K32"/>
      <c r="L32"/>
      <c r="M32" s="1017"/>
      <c r="N32" s="827"/>
      <c r="O32" s="1017"/>
      <c r="P32" s="827"/>
    </row>
    <row r="33" spans="2:16" ht="18.75" customHeight="1">
      <c r="C33"/>
      <c r="E33"/>
      <c r="H33"/>
      <c r="I33"/>
      <c r="J33"/>
      <c r="K33"/>
      <c r="L33"/>
      <c r="M33" s="1017"/>
      <c r="N33" s="827"/>
      <c r="O33" s="827"/>
      <c r="P33" s="827"/>
    </row>
    <row r="34" spans="2:16" ht="18.75" customHeight="1">
      <c r="C34"/>
      <c r="E34"/>
      <c r="H34"/>
      <c r="I34"/>
      <c r="J34"/>
      <c r="K34"/>
      <c r="L34"/>
      <c r="M34" s="1017"/>
      <c r="N34" s="827"/>
      <c r="O34" s="827"/>
      <c r="P34" s="827"/>
    </row>
    <row r="35" spans="2:16" ht="18.75" customHeight="1">
      <c r="C35"/>
      <c r="E35"/>
      <c r="H35"/>
      <c r="I35"/>
      <c r="J35"/>
      <c r="K35"/>
      <c r="L35"/>
      <c r="M35" s="1017"/>
      <c r="N35" s="827"/>
      <c r="O35" s="827"/>
      <c r="P35" s="1176"/>
    </row>
    <row r="36" spans="2:16" ht="18.75" customHeight="1">
      <c r="C36"/>
      <c r="E36"/>
      <c r="H36"/>
      <c r="I36"/>
      <c r="J36"/>
      <c r="K36"/>
      <c r="L36"/>
      <c r="M36" s="1017"/>
      <c r="N36" s="827"/>
      <c r="O36" s="827"/>
      <c r="P36" s="827"/>
    </row>
    <row r="37" spans="2:16" ht="18.75" customHeight="1">
      <c r="C37"/>
      <c r="D37" s="21"/>
      <c r="E37" s="21" t="s">
        <v>5171</v>
      </c>
      <c r="F37" s="21"/>
      <c r="G37" s="293" t="s">
        <v>3913</v>
      </c>
      <c r="H37" s="21" t="s">
        <v>1560</v>
      </c>
      <c r="I37"/>
      <c r="J37"/>
      <c r="K37"/>
      <c r="L37"/>
      <c r="M37" s="1017"/>
      <c r="N37" s="827"/>
      <c r="O37" s="827"/>
      <c r="P37" s="827"/>
    </row>
    <row r="38" spans="2:16" ht="18.75" customHeight="1">
      <c r="C38"/>
      <c r="D38" s="21">
        <v>90.5</v>
      </c>
      <c r="E38" s="21">
        <v>4.2949999999999999</v>
      </c>
      <c r="F38" s="1633">
        <f>+D38/E38</f>
        <v>21.071012805587895</v>
      </c>
      <c r="G38" s="293">
        <v>24</v>
      </c>
      <c r="H38" s="1688">
        <f>+F38/G38</f>
        <v>0.87795886689949565</v>
      </c>
      <c r="I38"/>
      <c r="J38"/>
      <c r="K38"/>
      <c r="L38"/>
      <c r="M38" s="1017"/>
      <c r="N38" s="827"/>
      <c r="O38" s="827"/>
      <c r="P38" s="827"/>
    </row>
    <row r="39" spans="2:16" ht="18.75" customHeight="1"/>
    <row r="40" spans="2:16" ht="18.75" customHeight="1"/>
    <row r="41" spans="2:16" ht="15.75" thickBot="1"/>
    <row r="42" spans="2:16">
      <c r="B42" s="2301" t="s">
        <v>5479</v>
      </c>
      <c r="C42" s="2302"/>
      <c r="D42" s="2302"/>
      <c r="E42" s="2302"/>
      <c r="F42" s="2302"/>
      <c r="G42" s="2302"/>
      <c r="H42" s="1881"/>
      <c r="I42" s="314"/>
    </row>
    <row r="43" spans="2:16">
      <c r="B43" s="1213"/>
      <c r="C43" s="1698"/>
      <c r="D43" s="105"/>
      <c r="E43" s="105"/>
      <c r="F43" s="104" t="s">
        <v>5486</v>
      </c>
      <c r="G43" s="105"/>
      <c r="H43" s="846"/>
    </row>
    <row r="44" spans="2:16" ht="45">
      <c r="B44" s="617" t="s">
        <v>5483</v>
      </c>
      <c r="C44" s="1696" t="s">
        <v>5481</v>
      </c>
      <c r="D44" s="1696" t="s">
        <v>5480</v>
      </c>
      <c r="E44" s="1696" t="s">
        <v>5482</v>
      </c>
      <c r="F44" s="1090">
        <v>4.41</v>
      </c>
      <c r="G44" s="1437" t="s">
        <v>5487</v>
      </c>
      <c r="H44" s="846"/>
      <c r="K44" s="766">
        <v>2400</v>
      </c>
      <c r="L44" s="766">
        <v>12</v>
      </c>
      <c r="M44">
        <f>+K44/L44</f>
        <v>200</v>
      </c>
      <c r="N44">
        <v>10128</v>
      </c>
      <c r="O44">
        <f>+N44/M44</f>
        <v>50.64</v>
      </c>
      <c r="P44" t="s">
        <v>5630</v>
      </c>
    </row>
    <row r="45" spans="2:16">
      <c r="B45" s="617" t="s">
        <v>5484</v>
      </c>
      <c r="C45" s="1689">
        <v>2400</v>
      </c>
      <c r="D45" s="1689">
        <v>10128</v>
      </c>
      <c r="E45" s="1689">
        <f>+C45*D45</f>
        <v>24307200</v>
      </c>
      <c r="F45" s="1697">
        <f>+E45/F44</f>
        <v>5511836.7346938774</v>
      </c>
      <c r="G45" s="1689">
        <f>+C45/12</f>
        <v>200</v>
      </c>
      <c r="H45" s="846"/>
      <c r="O45">
        <f>+O44/24</f>
        <v>2.11</v>
      </c>
    </row>
    <row r="46" spans="2:16">
      <c r="B46" s="617" t="s">
        <v>5485</v>
      </c>
      <c r="C46" s="1689">
        <v>0</v>
      </c>
      <c r="D46" s="1689">
        <v>0</v>
      </c>
      <c r="E46" s="1689">
        <v>0</v>
      </c>
      <c r="F46" s="1697">
        <f>+E46/F45</f>
        <v>0</v>
      </c>
      <c r="G46" s="1689">
        <f>+C46/12</f>
        <v>0</v>
      </c>
      <c r="H46" s="846"/>
    </row>
    <row r="47" spans="2:16">
      <c r="B47" s="617"/>
      <c r="C47" s="1689">
        <v>0</v>
      </c>
      <c r="D47" s="1689">
        <v>0</v>
      </c>
      <c r="E47" s="1689">
        <v>0</v>
      </c>
      <c r="F47" s="1697" t="e">
        <f>+E47/F46</f>
        <v>#DIV/0!</v>
      </c>
      <c r="G47" s="1689">
        <f>+C47/12</f>
        <v>0</v>
      </c>
      <c r="H47" s="846"/>
    </row>
    <row r="48" spans="2:16">
      <c r="B48" s="617"/>
      <c r="C48" s="1689">
        <v>0</v>
      </c>
      <c r="D48" s="1689">
        <v>0</v>
      </c>
      <c r="E48" s="1689">
        <v>0</v>
      </c>
      <c r="F48" s="1697" t="e">
        <f>+E48/F47</f>
        <v>#DIV/0!</v>
      </c>
      <c r="G48" s="1689">
        <f>+C48/12</f>
        <v>0</v>
      </c>
      <c r="H48" s="846"/>
    </row>
    <row r="49" spans="2:8">
      <c r="B49" s="617"/>
      <c r="C49" s="1689">
        <v>0</v>
      </c>
      <c r="D49" s="1689">
        <v>0</v>
      </c>
      <c r="E49" s="1689">
        <v>0</v>
      </c>
      <c r="F49" s="1697" t="e">
        <f>+E49/F48</f>
        <v>#DIV/0!</v>
      </c>
      <c r="G49" s="1689">
        <f>+C49/12</f>
        <v>0</v>
      </c>
      <c r="H49" s="846"/>
    </row>
    <row r="50" spans="2:8">
      <c r="B50" s="1213"/>
      <c r="C50" s="1698"/>
      <c r="D50" s="105"/>
      <c r="E50" s="105"/>
      <c r="F50" s="105"/>
      <c r="G50" s="105"/>
      <c r="H50" s="846"/>
    </row>
    <row r="51" spans="2:8" ht="30">
      <c r="B51" s="1213"/>
      <c r="C51" s="1689" t="s">
        <v>5488</v>
      </c>
      <c r="D51" s="375" t="s">
        <v>554</v>
      </c>
      <c r="E51" s="1696" t="s">
        <v>5490</v>
      </c>
      <c r="F51" s="1696" t="s">
        <v>5489</v>
      </c>
      <c r="G51" s="105"/>
      <c r="H51" s="846"/>
    </row>
    <row r="52" spans="2:8">
      <c r="B52" s="1213"/>
      <c r="C52" s="1689">
        <v>9224.59</v>
      </c>
      <c r="D52" s="375">
        <v>180</v>
      </c>
      <c r="E52" s="23">
        <f>+C52/D52</f>
        <v>51.247722222222222</v>
      </c>
      <c r="F52" s="1697">
        <f>+E52/24</f>
        <v>2.1353217592592593</v>
      </c>
      <c r="G52" s="105"/>
      <c r="H52" s="846"/>
    </row>
    <row r="53" spans="2:8">
      <c r="B53" s="1213"/>
      <c r="C53" s="1698"/>
      <c r="D53" s="105"/>
      <c r="E53" s="105"/>
      <c r="F53" s="105"/>
      <c r="G53" s="105"/>
      <c r="H53" s="846"/>
    </row>
    <row r="54" spans="2:8">
      <c r="B54" s="1213"/>
      <c r="C54" s="1698"/>
      <c r="D54" s="105"/>
      <c r="E54" s="105"/>
      <c r="F54" s="105"/>
      <c r="G54" s="105"/>
      <c r="H54" s="846"/>
    </row>
    <row r="55" spans="2:8">
      <c r="B55" s="1213"/>
      <c r="C55" s="1698"/>
      <c r="D55" s="105"/>
      <c r="E55" s="105"/>
      <c r="F55" s="105"/>
      <c r="G55" s="105"/>
      <c r="H55" s="846"/>
    </row>
    <row r="56" spans="2:8" ht="15.75" thickBot="1">
      <c r="B56" s="1676"/>
      <c r="C56" s="848"/>
      <c r="D56" s="1882"/>
      <c r="E56" s="1882"/>
      <c r="F56" s="1882"/>
      <c r="G56" s="1882"/>
      <c r="H56" s="565"/>
    </row>
  </sheetData>
  <sortState ref="C5:L24">
    <sortCondition ref="G5:G24"/>
  </sortState>
  <mergeCells count="2">
    <mergeCell ref="G3:H3"/>
    <mergeCell ref="B42:G42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H28"/>
  <sheetViews>
    <sheetView workbookViewId="0">
      <selection activeCell="D2" sqref="D2:E15"/>
    </sheetView>
  </sheetViews>
  <sheetFormatPr baseColWidth="10" defaultRowHeight="15"/>
  <cols>
    <col min="2" max="2" width="11.42578125" customWidth="1"/>
    <col min="4" max="4" width="60.7109375" customWidth="1"/>
    <col min="6" max="7" width="0" hidden="1" customWidth="1"/>
  </cols>
  <sheetData>
    <row r="2" spans="1:8" s="123" customFormat="1" ht="139.5" customHeight="1">
      <c r="A2" s="668" t="s">
        <v>0</v>
      </c>
      <c r="B2" s="1582" t="s">
        <v>2821</v>
      </c>
      <c r="C2" s="668" t="s">
        <v>547</v>
      </c>
      <c r="D2" s="2111" t="s">
        <v>5770</v>
      </c>
      <c r="E2" s="2111" t="s">
        <v>68</v>
      </c>
      <c r="F2" s="607" t="s">
        <v>2830</v>
      </c>
      <c r="G2" s="607" t="s">
        <v>2821</v>
      </c>
      <c r="H2" s="578"/>
    </row>
    <row r="3" spans="1:8" s="123" customFormat="1">
      <c r="A3" s="1448">
        <v>1793</v>
      </c>
      <c r="B3" s="1448" t="e">
        <f t="shared" ref="B3:B11" si="0">G3</f>
        <v>#VALUE!</v>
      </c>
      <c r="C3" s="602">
        <v>1.9</v>
      </c>
      <c r="D3" s="311" t="s">
        <v>2822</v>
      </c>
      <c r="E3" s="2111" t="s">
        <v>5771</v>
      </c>
      <c r="F3" s="1244"/>
      <c r="G3" s="1448" t="e">
        <f t="shared" ref="G3:G11" si="1">E3*F3</f>
        <v>#VALUE!</v>
      </c>
      <c r="H3" s="578"/>
    </row>
    <row r="4" spans="1:8" s="123" customFormat="1">
      <c r="A4" s="1448">
        <v>1992</v>
      </c>
      <c r="B4" s="1448" t="e">
        <f t="shared" si="0"/>
        <v>#VALUE!</v>
      </c>
      <c r="C4" s="602">
        <v>4.9000000000000004</v>
      </c>
      <c r="D4" s="311" t="s">
        <v>2823</v>
      </c>
      <c r="E4" s="2111" t="s">
        <v>268</v>
      </c>
      <c r="F4" s="1244"/>
      <c r="G4" s="1448" t="e">
        <f t="shared" si="1"/>
        <v>#VALUE!</v>
      </c>
      <c r="H4" s="578"/>
    </row>
    <row r="5" spans="1:8" s="123" customFormat="1">
      <c r="A5" s="1448">
        <v>2021</v>
      </c>
      <c r="B5" s="1448" t="e">
        <f t="shared" si="0"/>
        <v>#VALUE!</v>
      </c>
      <c r="C5" s="602">
        <v>7.85</v>
      </c>
      <c r="D5" s="311" t="s">
        <v>4778</v>
      </c>
      <c r="E5" s="2111" t="s">
        <v>1318</v>
      </c>
      <c r="F5" s="1244"/>
      <c r="G5" s="1448" t="e">
        <f t="shared" si="1"/>
        <v>#VALUE!</v>
      </c>
      <c r="H5" s="578"/>
    </row>
    <row r="6" spans="1:8" s="123" customFormat="1">
      <c r="A6" s="1448">
        <v>4060</v>
      </c>
      <c r="B6" s="1448" t="e">
        <f t="shared" si="0"/>
        <v>#VALUE!</v>
      </c>
      <c r="C6" s="602">
        <v>13.5</v>
      </c>
      <c r="D6" s="311" t="s">
        <v>2824</v>
      </c>
      <c r="E6" s="2111" t="s">
        <v>557</v>
      </c>
      <c r="F6" s="1244"/>
      <c r="G6" s="1448" t="e">
        <f t="shared" si="1"/>
        <v>#VALUE!</v>
      </c>
      <c r="H6" s="578"/>
    </row>
    <row r="7" spans="1:8" s="123" customFormat="1">
      <c r="A7" s="1448">
        <v>4930</v>
      </c>
      <c r="B7" s="1448" t="e">
        <f t="shared" si="0"/>
        <v>#VALUE!</v>
      </c>
      <c r="C7" s="602">
        <v>1.75</v>
      </c>
      <c r="D7" s="311" t="s">
        <v>2825</v>
      </c>
      <c r="E7" s="2111" t="s">
        <v>5773</v>
      </c>
      <c r="F7" s="1244"/>
      <c r="G7" s="1448" t="e">
        <f t="shared" si="1"/>
        <v>#VALUE!</v>
      </c>
      <c r="H7" s="578"/>
    </row>
    <row r="8" spans="1:8" s="123" customFormat="1">
      <c r="A8" s="1448">
        <v>4931</v>
      </c>
      <c r="B8" s="1448" t="e">
        <f t="shared" si="0"/>
        <v>#VALUE!</v>
      </c>
      <c r="C8" s="602">
        <v>3.7</v>
      </c>
      <c r="D8" s="311" t="s">
        <v>2826</v>
      </c>
      <c r="E8" s="2111" t="s">
        <v>5771</v>
      </c>
      <c r="F8" s="1244"/>
      <c r="G8" s="1448" t="e">
        <f t="shared" si="1"/>
        <v>#VALUE!</v>
      </c>
      <c r="H8" s="578"/>
    </row>
    <row r="9" spans="1:8" s="123" customFormat="1">
      <c r="A9" s="1448">
        <v>5066</v>
      </c>
      <c r="B9" s="1448" t="e">
        <f t="shared" si="0"/>
        <v>#VALUE!</v>
      </c>
      <c r="C9" s="602">
        <v>8.1999999999999993</v>
      </c>
      <c r="D9" s="311" t="s">
        <v>2827</v>
      </c>
      <c r="E9" s="2111" t="s">
        <v>1318</v>
      </c>
      <c r="F9" s="1244"/>
      <c r="G9" s="1448" t="e">
        <f t="shared" si="1"/>
        <v>#VALUE!</v>
      </c>
      <c r="H9" s="578"/>
    </row>
    <row r="10" spans="1:8" s="123" customFormat="1">
      <c r="A10" s="1448">
        <v>10352</v>
      </c>
      <c r="B10" s="1448" t="e">
        <f t="shared" si="0"/>
        <v>#VALUE!</v>
      </c>
      <c r="C10" s="602">
        <v>5.25</v>
      </c>
      <c r="D10" s="311" t="s">
        <v>2828</v>
      </c>
      <c r="E10" s="2111" t="s">
        <v>1018</v>
      </c>
      <c r="F10" s="1244" t="s">
        <v>65</v>
      </c>
      <c r="G10" s="1448" t="e">
        <f t="shared" si="1"/>
        <v>#VALUE!</v>
      </c>
      <c r="H10" s="578"/>
    </row>
    <row r="11" spans="1:8" s="123" customFormat="1">
      <c r="A11" s="1448">
        <v>10823</v>
      </c>
      <c r="B11" s="1448" t="e">
        <f t="shared" si="0"/>
        <v>#VALUE!</v>
      </c>
      <c r="C11" s="602">
        <v>0.8</v>
      </c>
      <c r="D11" s="311" t="s">
        <v>2829</v>
      </c>
      <c r="E11" s="2111" t="s">
        <v>5772</v>
      </c>
      <c r="F11" s="1244" t="s">
        <v>65</v>
      </c>
      <c r="G11" s="1448" t="e">
        <f t="shared" si="1"/>
        <v>#VALUE!</v>
      </c>
      <c r="H11" s="578"/>
    </row>
    <row r="12" spans="1:8" s="123" customFormat="1" ht="19.5" hidden="1" customHeight="1">
      <c r="A12" s="578"/>
      <c r="B12" s="578"/>
      <c r="C12" s="578"/>
      <c r="D12" s="311" t="s">
        <v>3812</v>
      </c>
      <c r="E12" s="2111"/>
      <c r="F12" s="578"/>
      <c r="G12" s="578"/>
      <c r="H12" s="578"/>
    </row>
    <row r="13" spans="1:8" s="123" customFormat="1">
      <c r="A13" s="123">
        <v>21839</v>
      </c>
      <c r="B13" s="123">
        <v>2.2999999999999998</v>
      </c>
      <c r="D13" s="348" t="s">
        <v>4124</v>
      </c>
      <c r="E13" s="2111" t="s">
        <v>556</v>
      </c>
    </row>
    <row r="14" spans="1:8" s="123" customFormat="1" hidden="1">
      <c r="A14" s="123">
        <v>2066</v>
      </c>
      <c r="D14" s="123" t="s">
        <v>4779</v>
      </c>
      <c r="E14" s="348"/>
    </row>
    <row r="15" spans="1:8" s="123" customFormat="1"/>
    <row r="16" spans="1:8" s="123" customFormat="1"/>
    <row r="17" s="123" customFormat="1"/>
    <row r="18" s="123" customFormat="1"/>
    <row r="19" s="123" customFormat="1"/>
    <row r="20" s="123" customFormat="1"/>
    <row r="21" s="123" customFormat="1"/>
    <row r="22" s="123" customFormat="1"/>
    <row r="23" s="123" customFormat="1"/>
    <row r="24" s="123" customFormat="1"/>
    <row r="25" s="123" customFormat="1"/>
    <row r="26" s="123" customFormat="1"/>
    <row r="27" s="123" customFormat="1"/>
    <row r="28" s="123" customFormat="1"/>
  </sheetData>
  <pageMargins left="0.7" right="0.7" top="0.75" bottom="0.75" header="0.3" footer="0.3"/>
  <pageSetup paperSize="11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4:H10"/>
  <sheetViews>
    <sheetView workbookViewId="0">
      <selection activeCell="D6" sqref="D6:E12"/>
    </sheetView>
  </sheetViews>
  <sheetFormatPr baseColWidth="10" defaultRowHeight="15"/>
  <cols>
    <col min="2" max="2" width="10" customWidth="1"/>
    <col min="4" max="4" width="38.7109375" customWidth="1"/>
    <col min="5" max="5" width="17.7109375" customWidth="1"/>
    <col min="6" max="7" width="0" hidden="1" customWidth="1"/>
  </cols>
  <sheetData>
    <row r="4" spans="1:8" s="110" customFormat="1"/>
    <row r="5" spans="1:8" s="110" customFormat="1"/>
    <row r="6" spans="1:8" ht="78" customHeight="1">
      <c r="A6" s="405" t="s">
        <v>0</v>
      </c>
      <c r="B6" s="584" t="s">
        <v>2821</v>
      </c>
      <c r="C6" s="405" t="s">
        <v>547</v>
      </c>
      <c r="D6" s="1057" t="s">
        <v>5774</v>
      </c>
      <c r="E6" s="574" t="s">
        <v>2170</v>
      </c>
      <c r="F6" s="405" t="s">
        <v>2647</v>
      </c>
      <c r="G6" s="584" t="s">
        <v>2821</v>
      </c>
    </row>
    <row r="7" spans="1:8">
      <c r="A7" s="636">
        <v>1690</v>
      </c>
      <c r="B7" s="636" t="e">
        <f>G7</f>
        <v>#VALUE!</v>
      </c>
      <c r="C7" s="636">
        <v>5.5</v>
      </c>
      <c r="D7" s="589" t="s">
        <v>39</v>
      </c>
      <c r="E7" s="297" t="s">
        <v>5538</v>
      </c>
      <c r="F7" s="305">
        <v>19</v>
      </c>
      <c r="G7" s="636" t="e">
        <f>E7*F7</f>
        <v>#VALUE!</v>
      </c>
      <c r="H7" t="s">
        <v>3259</v>
      </c>
    </row>
    <row r="8" spans="1:8">
      <c r="A8" s="636">
        <v>1732</v>
      </c>
      <c r="B8" s="636" t="e">
        <f>G8</f>
        <v>#VALUE!</v>
      </c>
      <c r="C8" s="636">
        <v>6.32</v>
      </c>
      <c r="D8" s="589" t="s">
        <v>38</v>
      </c>
      <c r="E8" s="297" t="s">
        <v>244</v>
      </c>
      <c r="F8" s="305">
        <v>19</v>
      </c>
      <c r="G8" s="636" t="e">
        <f>E8*F8</f>
        <v>#VALUE!</v>
      </c>
      <c r="H8" s="691" t="s">
        <v>3259</v>
      </c>
    </row>
    <row r="9" spans="1:8">
      <c r="A9" s="636">
        <v>1734</v>
      </c>
      <c r="B9" s="636" t="e">
        <f>G9</f>
        <v>#VALUE!</v>
      </c>
      <c r="C9" s="636">
        <v>4.53</v>
      </c>
      <c r="D9" s="589" t="s">
        <v>37</v>
      </c>
      <c r="E9" s="297" t="s">
        <v>1318</v>
      </c>
      <c r="F9" s="305">
        <v>19</v>
      </c>
      <c r="G9" s="636" t="e">
        <f>E9*F9</f>
        <v>#VALUE!</v>
      </c>
      <c r="H9" s="691" t="s">
        <v>3259</v>
      </c>
    </row>
    <row r="10" spans="1:8" hidden="1">
      <c r="A10" s="636">
        <v>6175</v>
      </c>
      <c r="B10" s="636">
        <f>G10</f>
        <v>0</v>
      </c>
      <c r="C10" s="636">
        <v>12.08</v>
      </c>
      <c r="D10" s="589" t="s">
        <v>36</v>
      </c>
      <c r="E10" s="297" t="s">
        <v>65</v>
      </c>
      <c r="F10" s="405"/>
      <c r="G10" s="405"/>
      <c r="H10" s="691" t="s">
        <v>3259</v>
      </c>
    </row>
  </sheetData>
  <pageMargins left="0.7" right="0.7" top="0.75" bottom="0.75" header="0.3" footer="0.3"/>
  <pageSetup paperSize="11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X184"/>
  <sheetViews>
    <sheetView topLeftCell="A68" workbookViewId="0">
      <selection activeCell="C72" sqref="C72:U102"/>
    </sheetView>
  </sheetViews>
  <sheetFormatPr baseColWidth="10" defaultRowHeight="15"/>
  <cols>
    <col min="1" max="1" width="5.85546875" style="404" customWidth="1"/>
    <col min="2" max="2" width="8.28515625" bestFit="1" customWidth="1"/>
    <col min="3" max="3" width="54.140625" customWidth="1"/>
    <col min="4" max="4" width="7" style="4" hidden="1" customWidth="1"/>
    <col min="5" max="5" width="15.28515625" style="4" customWidth="1"/>
    <col min="6" max="6" width="7" style="4" hidden="1" customWidth="1"/>
    <col min="7" max="7" width="11.7109375" style="4" hidden="1" customWidth="1"/>
    <col min="8" max="8" width="12" style="4" hidden="1" customWidth="1"/>
    <col min="9" max="9" width="9.7109375" style="4" hidden="1" customWidth="1"/>
    <col min="10" max="10" width="13.85546875" customWidth="1"/>
    <col min="11" max="11" width="11.85546875" hidden="1" customWidth="1"/>
    <col min="12" max="12" width="13.42578125" hidden="1" customWidth="1"/>
    <col min="13" max="13" width="8.85546875" hidden="1" customWidth="1"/>
    <col min="14" max="14" width="10.7109375" hidden="1" customWidth="1"/>
    <col min="15" max="15" width="12" style="404" customWidth="1"/>
    <col min="16" max="16" width="11.5703125" hidden="1" customWidth="1"/>
    <col min="17" max="17" width="8.5703125" hidden="1" customWidth="1"/>
    <col min="18" max="18" width="10" style="1684" hidden="1" customWidth="1"/>
    <col min="19" max="19" width="12" hidden="1" customWidth="1"/>
    <col min="20" max="20" width="11.42578125" hidden="1" customWidth="1"/>
    <col min="21" max="21" width="11.42578125" customWidth="1"/>
  </cols>
  <sheetData>
    <row r="1" spans="2:18" s="1594" customFormat="1">
      <c r="D1" s="2029"/>
      <c r="E1" s="2029"/>
      <c r="F1" s="2029"/>
      <c r="G1" s="2029"/>
      <c r="H1" s="2029"/>
      <c r="I1" s="2029"/>
      <c r="R1" s="1684"/>
    </row>
    <row r="2" spans="2:18" s="1594" customFormat="1" ht="15.75" thickBot="1">
      <c r="D2" s="2029"/>
      <c r="E2" s="2029"/>
      <c r="F2" s="2029"/>
      <c r="G2" s="2029"/>
      <c r="H2" s="2029"/>
      <c r="I2" s="2029"/>
      <c r="R2" s="1684"/>
    </row>
    <row r="3" spans="2:18" s="404" customFormat="1" ht="45.75" thickBot="1">
      <c r="B3" s="754"/>
      <c r="C3" s="297" t="s">
        <v>5658</v>
      </c>
      <c r="D3" s="1392" t="s">
        <v>60</v>
      </c>
      <c r="E3" s="1392" t="s">
        <v>63</v>
      </c>
      <c r="F3" s="1392" t="s">
        <v>66</v>
      </c>
      <c r="G3" s="1392" t="s">
        <v>67</v>
      </c>
      <c r="H3" s="1392" t="s">
        <v>68</v>
      </c>
      <c r="I3" s="1392" t="s">
        <v>69</v>
      </c>
      <c r="R3" s="1684"/>
    </row>
    <row r="4" spans="2:18">
      <c r="B4" s="656">
        <v>15586</v>
      </c>
      <c r="C4" s="656" t="s">
        <v>40</v>
      </c>
      <c r="D4" s="524">
        <v>2.59</v>
      </c>
      <c r="E4" s="524" t="s">
        <v>65</v>
      </c>
      <c r="F4" s="524"/>
      <c r="G4" s="524"/>
      <c r="H4" s="524">
        <v>0</v>
      </c>
      <c r="I4" s="524">
        <f>D4*H4</f>
        <v>0</v>
      </c>
    </row>
    <row r="5" spans="2:18">
      <c r="B5" s="21">
        <v>3059</v>
      </c>
      <c r="C5" s="906" t="s">
        <v>55</v>
      </c>
      <c r="D5" s="297">
        <v>14.8</v>
      </c>
      <c r="E5" s="1388" t="s">
        <v>64</v>
      </c>
      <c r="F5" s="1388">
        <v>36</v>
      </c>
      <c r="G5" s="52">
        <f>D5/F5</f>
        <v>0.41111111111111115</v>
      </c>
      <c r="H5" s="1388">
        <v>0</v>
      </c>
      <c r="I5" s="1388">
        <f>H5*D5</f>
        <v>0</v>
      </c>
    </row>
    <row r="6" spans="2:18">
      <c r="B6" s="21">
        <v>3061</v>
      </c>
      <c r="C6" s="906" t="s">
        <v>48</v>
      </c>
      <c r="D6" s="297">
        <v>14.8</v>
      </c>
      <c r="E6" s="1388" t="s">
        <v>64</v>
      </c>
      <c r="F6" s="1388">
        <v>36</v>
      </c>
      <c r="G6" s="52">
        <f t="shared" ref="G6:G29" si="0">D6/F6</f>
        <v>0.41111111111111115</v>
      </c>
      <c r="H6" s="1388">
        <v>0</v>
      </c>
      <c r="I6" s="1388">
        <f t="shared" ref="I6:I29" si="1">H6*D6</f>
        <v>0</v>
      </c>
    </row>
    <row r="7" spans="2:18">
      <c r="B7" s="21">
        <v>3064</v>
      </c>
      <c r="C7" s="906" t="s">
        <v>59</v>
      </c>
      <c r="D7" s="297">
        <v>14.8</v>
      </c>
      <c r="E7" s="1388" t="s">
        <v>64</v>
      </c>
      <c r="F7" s="1388">
        <v>36</v>
      </c>
      <c r="G7" s="52">
        <f t="shared" si="0"/>
        <v>0.41111111111111115</v>
      </c>
      <c r="H7" s="1388">
        <v>0</v>
      </c>
      <c r="I7" s="1388">
        <f t="shared" si="1"/>
        <v>0</v>
      </c>
    </row>
    <row r="8" spans="2:18">
      <c r="B8" s="21">
        <v>3062</v>
      </c>
      <c r="C8" s="311" t="s">
        <v>47</v>
      </c>
      <c r="D8" s="297">
        <v>16.399999999999999</v>
      </c>
      <c r="E8" s="1388" t="s">
        <v>64</v>
      </c>
      <c r="F8" s="1388">
        <v>36</v>
      </c>
      <c r="G8" s="52">
        <f t="shared" si="0"/>
        <v>0.45555555555555549</v>
      </c>
      <c r="H8" s="1388">
        <v>0</v>
      </c>
      <c r="I8" s="1388">
        <f t="shared" si="1"/>
        <v>0</v>
      </c>
    </row>
    <row r="9" spans="2:18">
      <c r="B9" s="21">
        <v>12849</v>
      </c>
      <c r="C9" s="311" t="s">
        <v>70</v>
      </c>
      <c r="D9" s="297">
        <v>16.399999999999999</v>
      </c>
      <c r="E9" s="1388" t="s">
        <v>64</v>
      </c>
      <c r="F9" s="1388">
        <v>36</v>
      </c>
      <c r="G9" s="52">
        <f t="shared" si="0"/>
        <v>0.45555555555555549</v>
      </c>
      <c r="H9" s="1388">
        <v>0</v>
      </c>
      <c r="I9" s="1388">
        <f t="shared" si="1"/>
        <v>0</v>
      </c>
    </row>
    <row r="10" spans="2:18">
      <c r="B10" s="21">
        <v>9731</v>
      </c>
      <c r="C10" s="311" t="s">
        <v>41</v>
      </c>
      <c r="D10" s="297">
        <v>16.399999999999999</v>
      </c>
      <c r="E10" s="1388" t="s">
        <v>64</v>
      </c>
      <c r="F10" s="1388">
        <v>36</v>
      </c>
      <c r="G10" s="52">
        <f t="shared" si="0"/>
        <v>0.45555555555555549</v>
      </c>
      <c r="H10" s="1388">
        <v>0</v>
      </c>
      <c r="I10" s="1388">
        <f t="shared" si="1"/>
        <v>0</v>
      </c>
    </row>
    <row r="11" spans="2:18">
      <c r="B11" s="21">
        <v>9515</v>
      </c>
      <c r="C11" s="311" t="s">
        <v>42</v>
      </c>
      <c r="D11" s="297">
        <v>16.399999999999999</v>
      </c>
      <c r="E11" s="1388" t="s">
        <v>64</v>
      </c>
      <c r="F11" s="1388">
        <v>36</v>
      </c>
      <c r="G11" s="52">
        <f t="shared" si="0"/>
        <v>0.45555555555555549</v>
      </c>
      <c r="H11" s="1388">
        <v>0</v>
      </c>
      <c r="I11" s="1388">
        <f t="shared" si="1"/>
        <v>0</v>
      </c>
    </row>
    <row r="12" spans="2:18" s="404" customFormat="1">
      <c r="B12" s="1427">
        <v>20911</v>
      </c>
      <c r="C12" s="2105" t="s">
        <v>3133</v>
      </c>
      <c r="D12" s="2047">
        <v>7.68</v>
      </c>
      <c r="E12" s="1388" t="s">
        <v>64</v>
      </c>
      <c r="F12" s="1388">
        <v>12</v>
      </c>
      <c r="G12" s="52">
        <f t="shared" si="0"/>
        <v>0.64</v>
      </c>
      <c r="H12" s="1388">
        <v>0</v>
      </c>
      <c r="I12" s="1388">
        <f t="shared" si="1"/>
        <v>0</v>
      </c>
      <c r="R12" s="1684"/>
    </row>
    <row r="13" spans="2:18" s="404" customFormat="1">
      <c r="B13" s="21">
        <v>20910</v>
      </c>
      <c r="C13" s="2105" t="s">
        <v>3134</v>
      </c>
      <c r="D13" s="2047">
        <v>7.68</v>
      </c>
      <c r="E13" s="1388" t="s">
        <v>64</v>
      </c>
      <c r="F13" s="1388">
        <v>12</v>
      </c>
      <c r="G13" s="52">
        <f t="shared" si="0"/>
        <v>0.64</v>
      </c>
      <c r="H13" s="1388">
        <v>0</v>
      </c>
      <c r="I13" s="1388">
        <f t="shared" si="1"/>
        <v>0</v>
      </c>
      <c r="R13" s="1684"/>
    </row>
    <row r="14" spans="2:18">
      <c r="B14" s="21">
        <v>13273</v>
      </c>
      <c r="C14" s="311" t="s">
        <v>44</v>
      </c>
      <c r="D14" s="2047">
        <v>8.64</v>
      </c>
      <c r="E14" s="1388" t="s">
        <v>64</v>
      </c>
      <c r="F14" s="1388">
        <v>12</v>
      </c>
      <c r="G14" s="52">
        <f t="shared" si="0"/>
        <v>0.72000000000000008</v>
      </c>
      <c r="H14" s="1388">
        <v>0</v>
      </c>
      <c r="I14" s="1388">
        <f t="shared" si="1"/>
        <v>0</v>
      </c>
    </row>
    <row r="15" spans="2:18">
      <c r="B15" s="21">
        <v>587</v>
      </c>
      <c r="C15" s="311" t="s">
        <v>2306</v>
      </c>
      <c r="D15" s="2047">
        <v>8.64</v>
      </c>
      <c r="E15" s="1388" t="s">
        <v>64</v>
      </c>
      <c r="F15" s="1388">
        <v>12</v>
      </c>
      <c r="G15" s="52">
        <f t="shared" si="0"/>
        <v>0.72000000000000008</v>
      </c>
      <c r="H15" s="1388">
        <v>0</v>
      </c>
      <c r="I15" s="1388">
        <f t="shared" si="1"/>
        <v>0</v>
      </c>
    </row>
    <row r="16" spans="2:18">
      <c r="B16" s="21">
        <v>13055</v>
      </c>
      <c r="C16" s="906" t="s">
        <v>45</v>
      </c>
      <c r="D16" s="2047">
        <v>8.64</v>
      </c>
      <c r="E16" s="1388" t="s">
        <v>64</v>
      </c>
      <c r="F16" s="1388">
        <v>12</v>
      </c>
      <c r="G16" s="52">
        <f t="shared" si="0"/>
        <v>0.72000000000000008</v>
      </c>
      <c r="H16" s="1388">
        <v>0</v>
      </c>
      <c r="I16" s="1388">
        <f t="shared" si="1"/>
        <v>0</v>
      </c>
    </row>
    <row r="17" spans="2:18">
      <c r="B17" s="21">
        <v>2818</v>
      </c>
      <c r="C17" s="906" t="s">
        <v>2269</v>
      </c>
      <c r="D17" s="2047">
        <v>8.64</v>
      </c>
      <c r="E17" s="1388" t="s">
        <v>64</v>
      </c>
      <c r="F17" s="1388">
        <v>12</v>
      </c>
      <c r="G17" s="52">
        <f t="shared" si="0"/>
        <v>0.72000000000000008</v>
      </c>
      <c r="H17" s="1388">
        <v>0</v>
      </c>
      <c r="I17" s="1388">
        <f t="shared" si="1"/>
        <v>0</v>
      </c>
    </row>
    <row r="18" spans="2:18" s="1594" customFormat="1">
      <c r="B18" s="25">
        <v>20973</v>
      </c>
      <c r="C18" s="25" t="s">
        <v>4469</v>
      </c>
      <c r="D18" s="2047">
        <v>7.68</v>
      </c>
      <c r="E18" s="2047" t="s">
        <v>64</v>
      </c>
      <c r="F18" s="2047">
        <v>12</v>
      </c>
      <c r="G18" s="2032">
        <f t="shared" si="0"/>
        <v>0.64</v>
      </c>
      <c r="H18" s="2047">
        <v>0</v>
      </c>
      <c r="I18" s="2047">
        <f t="shared" si="1"/>
        <v>0</v>
      </c>
      <c r="R18" s="1684"/>
    </row>
    <row r="19" spans="2:18" s="1594" customFormat="1">
      <c r="B19" s="25">
        <v>20972</v>
      </c>
      <c r="C19" s="25" t="s">
        <v>4470</v>
      </c>
      <c r="D19" s="2047">
        <v>7.68</v>
      </c>
      <c r="E19" s="2047" t="s">
        <v>64</v>
      </c>
      <c r="F19" s="2047">
        <v>12</v>
      </c>
      <c r="G19" s="2032">
        <f t="shared" si="0"/>
        <v>0.64</v>
      </c>
      <c r="H19" s="2047">
        <v>0</v>
      </c>
      <c r="I19" s="2047">
        <f t="shared" si="1"/>
        <v>0</v>
      </c>
      <c r="R19" s="1684"/>
    </row>
    <row r="20" spans="2:18" s="1594" customFormat="1">
      <c r="B20" s="25">
        <v>21636</v>
      </c>
      <c r="C20" s="25" t="s">
        <v>4471</v>
      </c>
      <c r="D20" s="2047">
        <v>7.68</v>
      </c>
      <c r="E20" s="2047" t="s">
        <v>64</v>
      </c>
      <c r="F20" s="2047">
        <v>12</v>
      </c>
      <c r="G20" s="2032">
        <f t="shared" si="0"/>
        <v>0.64</v>
      </c>
      <c r="H20" s="2047">
        <v>0</v>
      </c>
      <c r="I20" s="2047">
        <f t="shared" si="1"/>
        <v>0</v>
      </c>
      <c r="R20" s="1684"/>
    </row>
    <row r="21" spans="2:18">
      <c r="B21" s="21">
        <v>6250</v>
      </c>
      <c r="C21" s="21" t="s">
        <v>54</v>
      </c>
      <c r="D21" s="2047">
        <v>36.01</v>
      </c>
      <c r="E21" s="1388" t="s">
        <v>64</v>
      </c>
      <c r="F21" s="1388">
        <v>6</v>
      </c>
      <c r="G21" s="2032">
        <f t="shared" si="0"/>
        <v>6.001666666666666</v>
      </c>
      <c r="H21" s="2047">
        <v>0</v>
      </c>
      <c r="I21" s="2047">
        <f t="shared" si="1"/>
        <v>0</v>
      </c>
    </row>
    <row r="22" spans="2:18">
      <c r="B22" s="21">
        <v>7590</v>
      </c>
      <c r="C22" s="21" t="s">
        <v>53</v>
      </c>
      <c r="D22" s="1388">
        <v>36.01</v>
      </c>
      <c r="E22" s="1388" t="s">
        <v>64</v>
      </c>
      <c r="F22" s="1388">
        <v>6</v>
      </c>
      <c r="G22" s="52">
        <f t="shared" si="0"/>
        <v>6.001666666666666</v>
      </c>
      <c r="H22" s="1388">
        <v>0</v>
      </c>
      <c r="I22" s="1388">
        <f t="shared" si="1"/>
        <v>0</v>
      </c>
    </row>
    <row r="23" spans="2:18" s="827" customFormat="1">
      <c r="B23" s="21">
        <v>21466</v>
      </c>
      <c r="C23" s="311" t="s">
        <v>3893</v>
      </c>
      <c r="D23" s="1388">
        <v>32.01</v>
      </c>
      <c r="E23" s="1388" t="s">
        <v>3894</v>
      </c>
      <c r="F23" s="1388">
        <v>36</v>
      </c>
      <c r="G23" s="52">
        <f t="shared" si="0"/>
        <v>0.88916666666666666</v>
      </c>
      <c r="H23" s="1388">
        <v>0</v>
      </c>
      <c r="I23" s="1388">
        <f t="shared" si="1"/>
        <v>0</v>
      </c>
      <c r="R23" s="1684"/>
    </row>
    <row r="24" spans="2:18">
      <c r="B24" s="21">
        <v>544</v>
      </c>
      <c r="C24" s="21" t="s">
        <v>56</v>
      </c>
      <c r="D24" s="1388">
        <v>36.01</v>
      </c>
      <c r="E24" s="1388" t="s">
        <v>64</v>
      </c>
      <c r="F24" s="1388">
        <v>6</v>
      </c>
      <c r="G24" s="52">
        <f t="shared" si="0"/>
        <v>6.001666666666666</v>
      </c>
      <c r="H24" s="1388">
        <v>0</v>
      </c>
      <c r="I24" s="1388">
        <f t="shared" si="1"/>
        <v>0</v>
      </c>
    </row>
    <row r="25" spans="2:18">
      <c r="B25" s="107">
        <v>3739</v>
      </c>
      <c r="C25" s="107" t="s">
        <v>58</v>
      </c>
      <c r="D25" s="682">
        <v>8.9137931034399998</v>
      </c>
      <c r="E25" s="1428">
        <v>0.16</v>
      </c>
      <c r="F25" s="430">
        <v>6</v>
      </c>
      <c r="G25" s="682">
        <f t="shared" si="0"/>
        <v>1.4856321839066666</v>
      </c>
      <c r="H25" s="1388">
        <v>5</v>
      </c>
      <c r="I25" s="682">
        <f t="shared" si="1"/>
        <v>44.568965517199999</v>
      </c>
      <c r="J25" s="336">
        <f>+D25*16%</f>
        <v>1.4262068965504</v>
      </c>
      <c r="K25" s="57">
        <f>+D25+J25</f>
        <v>10.3399999999904</v>
      </c>
    </row>
    <row r="26" spans="2:18" ht="16.5" customHeight="1">
      <c r="B26" s="107">
        <v>3740</v>
      </c>
      <c r="C26" s="107" t="s">
        <v>57</v>
      </c>
      <c r="D26" s="682">
        <v>8.9137930000000001</v>
      </c>
      <c r="E26" s="1428">
        <v>0.16</v>
      </c>
      <c r="F26" s="430">
        <v>6</v>
      </c>
      <c r="G26" s="682">
        <f t="shared" si="0"/>
        <v>1.4856321666666668</v>
      </c>
      <c r="H26" s="1388">
        <v>0</v>
      </c>
      <c r="I26" s="682">
        <f t="shared" si="1"/>
        <v>0</v>
      </c>
      <c r="J26" s="336">
        <f>+D26*16%</f>
        <v>1.4262068800000001</v>
      </c>
    </row>
    <row r="27" spans="2:18">
      <c r="B27" s="107">
        <v>1289</v>
      </c>
      <c r="C27" s="107" t="s">
        <v>52</v>
      </c>
      <c r="D27" s="682">
        <v>4.6120689600000002</v>
      </c>
      <c r="E27" s="1428">
        <v>0.16</v>
      </c>
      <c r="F27" s="430">
        <v>12</v>
      </c>
      <c r="G27" s="682">
        <f t="shared" si="0"/>
        <v>0.38433908</v>
      </c>
      <c r="H27" s="1388">
        <v>0</v>
      </c>
      <c r="I27" s="682">
        <f t="shared" si="1"/>
        <v>0</v>
      </c>
      <c r="J27" s="336">
        <f>+D27*16%</f>
        <v>0.73793103360000001</v>
      </c>
      <c r="K27" s="57">
        <f>+D27+J27</f>
        <v>5.3499999936</v>
      </c>
    </row>
    <row r="28" spans="2:18">
      <c r="B28" s="107">
        <v>1295</v>
      </c>
      <c r="C28" s="107" t="s">
        <v>46</v>
      </c>
      <c r="D28" s="682">
        <v>4.6120689600000002</v>
      </c>
      <c r="E28" s="1428">
        <v>0.16</v>
      </c>
      <c r="F28" s="430">
        <v>12</v>
      </c>
      <c r="G28" s="682">
        <f t="shared" si="0"/>
        <v>0.38433908</v>
      </c>
      <c r="H28" s="1388">
        <v>0</v>
      </c>
      <c r="I28" s="682">
        <f t="shared" si="1"/>
        <v>0</v>
      </c>
      <c r="J28" s="336">
        <f>+D28*16%</f>
        <v>0.73793103360000001</v>
      </c>
    </row>
    <row r="29" spans="2:18">
      <c r="B29" s="107">
        <v>5355</v>
      </c>
      <c r="C29" s="107" t="s">
        <v>51</v>
      </c>
      <c r="D29" s="682">
        <v>8.6896551724099993</v>
      </c>
      <c r="E29" s="1428">
        <v>0.16</v>
      </c>
      <c r="F29" s="430">
        <v>36</v>
      </c>
      <c r="G29" s="682">
        <f t="shared" si="0"/>
        <v>0.24137931034472221</v>
      </c>
      <c r="H29" s="1388">
        <v>7</v>
      </c>
      <c r="I29" s="682">
        <f t="shared" si="1"/>
        <v>60.827586206869995</v>
      </c>
      <c r="J29" s="336">
        <f>+D29*16%</f>
        <v>1.3903448275855999</v>
      </c>
    </row>
    <row r="30" spans="2:18">
      <c r="B30" s="25"/>
      <c r="C30" s="25"/>
      <c r="D30" s="101"/>
      <c r="E30" s="101"/>
      <c r="F30" s="104"/>
      <c r="G30" s="104"/>
      <c r="H30" s="1388" t="s">
        <v>2271</v>
      </c>
      <c r="I30" s="52">
        <f>SUM(I5:I29)</f>
        <v>105.39655172406999</v>
      </c>
    </row>
    <row r="31" spans="2:18">
      <c r="B31" s="25"/>
      <c r="C31" s="25"/>
      <c r="D31" s="101"/>
      <c r="E31" s="101"/>
      <c r="F31" s="104"/>
      <c r="G31" s="104"/>
      <c r="H31" s="1388" t="s">
        <v>72</v>
      </c>
      <c r="I31" s="1388">
        <f>I5+I6+I7+I8+I9+I10+I11+I14+I15+I16+I17+I21+I22+I24+I4</f>
        <v>0</v>
      </c>
    </row>
    <row r="32" spans="2:18" ht="45" customHeight="1" thickBot="1">
      <c r="B32" s="25"/>
      <c r="C32" s="25"/>
      <c r="D32" s="101"/>
      <c r="E32" s="101"/>
      <c r="F32" s="104"/>
      <c r="G32" s="104"/>
      <c r="H32" s="1390" t="s">
        <v>73</v>
      </c>
      <c r="I32" s="52">
        <f>+I25+I26+I27+I28+I29</f>
        <v>105.39655172406999</v>
      </c>
    </row>
    <row r="33" spans="2:19" ht="15.75" thickBot="1">
      <c r="B33" s="952"/>
      <c r="C33" s="952" t="s">
        <v>65</v>
      </c>
      <c r="D33" s="668"/>
      <c r="E33" s="668"/>
      <c r="F33" s="668"/>
      <c r="G33" s="668"/>
      <c r="H33" s="438" t="s">
        <v>61</v>
      </c>
      <c r="I33" s="1429">
        <f>I32*16%</f>
        <v>16.863448275851198</v>
      </c>
      <c r="J33" s="432" t="s">
        <v>1389</v>
      </c>
      <c r="K33" s="433">
        <v>4.1900000000000004</v>
      </c>
      <c r="L33" s="434">
        <f>I34*K33</f>
        <v>512.26939999966987</v>
      </c>
      <c r="O33" s="404">
        <v>5.0999999999999996</v>
      </c>
      <c r="P33">
        <f>+O33/8</f>
        <v>0.63749999999999996</v>
      </c>
      <c r="Q33">
        <f>+P33*10</f>
        <v>6.375</v>
      </c>
      <c r="R33" s="1684">
        <v>7.65</v>
      </c>
      <c r="S33">
        <v>3.9</v>
      </c>
    </row>
    <row r="34" spans="2:19" ht="30.75" thickBot="1">
      <c r="B34" s="952"/>
      <c r="C34" s="952"/>
      <c r="D34" s="668"/>
      <c r="E34" s="668"/>
      <c r="F34" s="668"/>
      <c r="G34" s="668"/>
      <c r="H34" s="439" t="s">
        <v>74</v>
      </c>
      <c r="I34" s="440">
        <f>I31+I32+I33</f>
        <v>122.25999999992119</v>
      </c>
      <c r="J34" s="435" t="s">
        <v>1925</v>
      </c>
      <c r="K34" s="436">
        <v>4.1399999999999997</v>
      </c>
      <c r="L34" s="437">
        <f>K34*I34</f>
        <v>506.15639999967368</v>
      </c>
    </row>
    <row r="35" spans="2:19">
      <c r="B35" s="7"/>
      <c r="C35" s="7"/>
      <c r="D35" s="8"/>
      <c r="E35" s="8"/>
      <c r="F35" s="8"/>
      <c r="G35" s="8"/>
      <c r="H35" s="9"/>
      <c r="I35" s="9"/>
    </row>
    <row r="36" spans="2:19">
      <c r="B36" s="7"/>
      <c r="C36" s="7"/>
      <c r="D36" s="8"/>
      <c r="E36" s="8"/>
      <c r="F36" s="8"/>
      <c r="G36" s="8"/>
      <c r="H36" s="9"/>
      <c r="I36" s="9"/>
      <c r="P36">
        <v>4.3804999999999996</v>
      </c>
      <c r="S36">
        <f>+P36</f>
        <v>4.3804999999999996</v>
      </c>
    </row>
    <row r="37" spans="2:19" ht="15.75" thickBot="1">
      <c r="P37">
        <v>19.71</v>
      </c>
      <c r="S37">
        <v>17.52</v>
      </c>
    </row>
    <row r="38" spans="2:19" ht="45.75" thickBot="1">
      <c r="B38" s="754"/>
      <c r="C38" s="1607" t="s">
        <v>5644</v>
      </c>
      <c r="D38" s="755" t="s">
        <v>2270</v>
      </c>
      <c r="E38" s="755" t="s">
        <v>66</v>
      </c>
      <c r="F38" s="755" t="s">
        <v>67</v>
      </c>
      <c r="G38" s="755" t="s">
        <v>68</v>
      </c>
      <c r="H38" s="756" t="s">
        <v>69</v>
      </c>
      <c r="I38" s="404"/>
      <c r="J38" s="1607" t="s">
        <v>5645</v>
      </c>
      <c r="P38">
        <f>+P37/P36</f>
        <v>4.4994863600045667</v>
      </c>
      <c r="S38">
        <f>+S37/S36</f>
        <v>3.9995434311151699</v>
      </c>
    </row>
    <row r="39" spans="2:19">
      <c r="B39" s="656">
        <v>15586</v>
      </c>
      <c r="C39" s="656" t="s">
        <v>40</v>
      </c>
      <c r="D39" s="524">
        <v>2.59</v>
      </c>
      <c r="E39" s="524"/>
      <c r="F39" s="524">
        <f>D39</f>
        <v>2.59</v>
      </c>
      <c r="G39" s="524"/>
      <c r="H39" s="524">
        <f>D39*G39</f>
        <v>0</v>
      </c>
      <c r="I39" s="25"/>
      <c r="J39" s="693"/>
      <c r="L39" s="405"/>
      <c r="M39" s="405"/>
      <c r="P39" s="57">
        <f>+P38</f>
        <v>4.4994863600045667</v>
      </c>
      <c r="Q39">
        <v>300</v>
      </c>
      <c r="R39" s="1685">
        <f>+Q39*P39</f>
        <v>1349.8459080013699</v>
      </c>
      <c r="S39">
        <f>+S38</f>
        <v>3.9995434311151699</v>
      </c>
    </row>
    <row r="40" spans="2:19" s="404" customFormat="1">
      <c r="B40" s="21">
        <v>3059</v>
      </c>
      <c r="C40" s="311" t="s">
        <v>55</v>
      </c>
      <c r="D40" s="297">
        <v>14.8</v>
      </c>
      <c r="E40" s="2047">
        <v>36</v>
      </c>
      <c r="F40" s="2032">
        <f t="shared" ref="F40:F63" si="2">D40/E40</f>
        <v>0.41111111111111115</v>
      </c>
      <c r="G40" s="2047"/>
      <c r="H40" s="2047">
        <f t="shared" ref="H40:H62" si="3">D40*G40</f>
        <v>0</v>
      </c>
      <c r="I40" s="25"/>
      <c r="J40" s="2047">
        <v>17.28</v>
      </c>
      <c r="K40" s="25" t="s">
        <v>5646</v>
      </c>
      <c r="L40" s="405">
        <f>+D40</f>
        <v>14.8</v>
      </c>
      <c r="M40" s="405">
        <v>16</v>
      </c>
      <c r="N40" s="885">
        <v>0.12</v>
      </c>
      <c r="R40" s="1684"/>
    </row>
    <row r="41" spans="2:19">
      <c r="B41" s="21">
        <v>3061</v>
      </c>
      <c r="C41" s="311" t="s">
        <v>48</v>
      </c>
      <c r="D41" s="297">
        <v>14.8</v>
      </c>
      <c r="E41" s="2047">
        <v>36</v>
      </c>
      <c r="F41" s="2032">
        <f t="shared" si="2"/>
        <v>0.41111111111111115</v>
      </c>
      <c r="G41" s="2047"/>
      <c r="H41" s="2047">
        <f t="shared" si="3"/>
        <v>0</v>
      </c>
      <c r="I41" s="25"/>
      <c r="J41" s="2047">
        <v>17.28</v>
      </c>
      <c r="K41" s="25" t="s">
        <v>5646</v>
      </c>
      <c r="L41" s="693">
        <f>+D41</f>
        <v>14.8</v>
      </c>
      <c r="M41" s="405"/>
      <c r="N41" s="885">
        <v>0.12</v>
      </c>
    </row>
    <row r="42" spans="2:19">
      <c r="B42" s="21">
        <v>3064</v>
      </c>
      <c r="C42" s="311" t="s">
        <v>59</v>
      </c>
      <c r="D42" s="297">
        <v>14.8</v>
      </c>
      <c r="E42" s="2047">
        <v>36</v>
      </c>
      <c r="F42" s="2032">
        <f t="shared" si="2"/>
        <v>0.41111111111111115</v>
      </c>
      <c r="G42" s="2047"/>
      <c r="H42" s="2047">
        <f t="shared" si="3"/>
        <v>0</v>
      </c>
      <c r="I42" s="25"/>
      <c r="J42" s="2047">
        <v>17.28</v>
      </c>
      <c r="K42" s="25" t="s">
        <v>5646</v>
      </c>
      <c r="L42" s="693">
        <f>+D42</f>
        <v>14.8</v>
      </c>
      <c r="M42" s="405"/>
      <c r="N42" s="885">
        <v>0.12</v>
      </c>
      <c r="R42" s="1684">
        <f>+P39/25</f>
        <v>0.17997945440018268</v>
      </c>
    </row>
    <row r="43" spans="2:19">
      <c r="B43" s="21">
        <v>3062</v>
      </c>
      <c r="C43" s="311" t="s">
        <v>47</v>
      </c>
      <c r="D43" s="297">
        <v>16.399999999999999</v>
      </c>
      <c r="E43" s="2047">
        <v>36</v>
      </c>
      <c r="F43" s="2032">
        <f t="shared" si="2"/>
        <v>0.45555555555555549</v>
      </c>
      <c r="G43" s="2047"/>
      <c r="H43" s="2047">
        <f t="shared" si="3"/>
        <v>0</v>
      </c>
      <c r="I43" s="25"/>
      <c r="J43" s="404"/>
      <c r="L43" s="405"/>
      <c r="M43" s="405"/>
    </row>
    <row r="44" spans="2:19">
      <c r="B44" s="21">
        <v>12849</v>
      </c>
      <c r="C44" s="311" t="s">
        <v>70</v>
      </c>
      <c r="D44" s="297">
        <v>16.399999999999999</v>
      </c>
      <c r="E44" s="2047">
        <v>36</v>
      </c>
      <c r="F44" s="2032">
        <f t="shared" si="2"/>
        <v>0.45555555555555549</v>
      </c>
      <c r="G44" s="2047"/>
      <c r="H44" s="2047">
        <f t="shared" si="3"/>
        <v>0</v>
      </c>
      <c r="I44" s="25"/>
      <c r="J44" s="404"/>
      <c r="L44" s="405"/>
      <c r="M44" s="405"/>
    </row>
    <row r="45" spans="2:19">
      <c r="B45" s="21">
        <v>9731</v>
      </c>
      <c r="C45" s="311" t="s">
        <v>41</v>
      </c>
      <c r="D45" s="297">
        <v>16.399999999999999</v>
      </c>
      <c r="E45" s="2047">
        <v>36</v>
      </c>
      <c r="F45" s="2032">
        <f t="shared" si="2"/>
        <v>0.45555555555555549</v>
      </c>
      <c r="G45" s="2047"/>
      <c r="H45" s="2047">
        <f t="shared" si="3"/>
        <v>0</v>
      </c>
      <c r="I45" s="25"/>
      <c r="J45" s="404"/>
      <c r="L45" s="405"/>
      <c r="M45" s="405"/>
    </row>
    <row r="46" spans="2:19">
      <c r="B46" s="21">
        <v>9515</v>
      </c>
      <c r="C46" s="311" t="s">
        <v>42</v>
      </c>
      <c r="D46" s="297">
        <v>16.399999999999999</v>
      </c>
      <c r="E46" s="2047">
        <v>36</v>
      </c>
      <c r="F46" s="2032">
        <f t="shared" si="2"/>
        <v>0.45555555555555549</v>
      </c>
      <c r="G46" s="2047"/>
      <c r="H46" s="2047">
        <f t="shared" si="3"/>
        <v>0</v>
      </c>
      <c r="I46" s="25"/>
      <c r="J46" s="404"/>
      <c r="L46" s="405"/>
      <c r="M46" s="405"/>
    </row>
    <row r="47" spans="2:19">
      <c r="B47" s="1427">
        <v>20911</v>
      </c>
      <c r="C47" s="2105" t="s">
        <v>3133</v>
      </c>
      <c r="D47" s="2047">
        <v>7.68</v>
      </c>
      <c r="E47" s="2047">
        <v>12</v>
      </c>
      <c r="F47" s="2032">
        <f t="shared" si="2"/>
        <v>0.64</v>
      </c>
      <c r="G47" s="2047"/>
      <c r="H47" s="2047">
        <f t="shared" si="3"/>
        <v>0</v>
      </c>
      <c r="I47" s="25"/>
      <c r="J47" s="404"/>
      <c r="L47" s="405"/>
      <c r="M47" s="405"/>
    </row>
    <row r="48" spans="2:19">
      <c r="B48" s="21">
        <v>20910</v>
      </c>
      <c r="C48" s="2105" t="s">
        <v>3134</v>
      </c>
      <c r="D48" s="2047">
        <v>7.68</v>
      </c>
      <c r="E48" s="2047">
        <v>12</v>
      </c>
      <c r="F48" s="2032">
        <f t="shared" si="2"/>
        <v>0.64</v>
      </c>
      <c r="G48" s="2047"/>
      <c r="H48" s="2047">
        <f t="shared" si="3"/>
        <v>0</v>
      </c>
      <c r="I48" s="25"/>
      <c r="J48" s="404"/>
      <c r="L48" s="405"/>
      <c r="M48" s="405"/>
    </row>
    <row r="49" spans="2:22">
      <c r="B49" s="21">
        <v>13273</v>
      </c>
      <c r="C49" s="311" t="s">
        <v>44</v>
      </c>
      <c r="D49" s="2047">
        <v>8.64</v>
      </c>
      <c r="E49" s="2047">
        <v>12</v>
      </c>
      <c r="F49" s="2032">
        <f t="shared" si="2"/>
        <v>0.72000000000000008</v>
      </c>
      <c r="G49" s="2047"/>
      <c r="H49" s="2047">
        <f t="shared" si="3"/>
        <v>0</v>
      </c>
      <c r="I49" s="25"/>
      <c r="J49" s="404"/>
      <c r="L49" s="405"/>
      <c r="M49" s="405"/>
      <c r="S49">
        <v>17.28</v>
      </c>
      <c r="T49">
        <v>14.8</v>
      </c>
      <c r="U49">
        <f>+S49/36</f>
        <v>0.48000000000000004</v>
      </c>
      <c r="V49">
        <v>0.48</v>
      </c>
    </row>
    <row r="50" spans="2:22">
      <c r="B50" s="21">
        <v>587</v>
      </c>
      <c r="C50" s="311" t="s">
        <v>2306</v>
      </c>
      <c r="D50" s="2047">
        <v>8.64</v>
      </c>
      <c r="E50" s="2047">
        <v>12</v>
      </c>
      <c r="F50" s="2032">
        <f t="shared" si="2"/>
        <v>0.72000000000000008</v>
      </c>
      <c r="G50" s="2047"/>
      <c r="H50" s="2047">
        <f t="shared" si="3"/>
        <v>0</v>
      </c>
      <c r="I50" s="25"/>
      <c r="J50" s="404"/>
      <c r="L50" s="405"/>
      <c r="M50" s="405"/>
      <c r="S50">
        <v>17</v>
      </c>
      <c r="T50" s="336">
        <f>+S49/T49</f>
        <v>1.1675675675675676</v>
      </c>
    </row>
    <row r="51" spans="2:22">
      <c r="B51" s="21">
        <v>13055</v>
      </c>
      <c r="C51" s="906" t="s">
        <v>45</v>
      </c>
      <c r="D51" s="2047">
        <v>8.64</v>
      </c>
      <c r="E51" s="2047">
        <v>12</v>
      </c>
      <c r="F51" s="2032">
        <f t="shared" si="2"/>
        <v>0.72000000000000008</v>
      </c>
      <c r="G51" s="2047"/>
      <c r="H51" s="2047">
        <f t="shared" si="3"/>
        <v>0</v>
      </c>
      <c r="I51" s="25"/>
      <c r="J51" s="404"/>
      <c r="L51" s="405"/>
      <c r="M51" s="405"/>
      <c r="S51">
        <v>16.559999999999999</v>
      </c>
      <c r="T51">
        <v>14.4</v>
      </c>
    </row>
    <row r="52" spans="2:22">
      <c r="B52" s="21">
        <v>2818</v>
      </c>
      <c r="C52" s="906" t="s">
        <v>2269</v>
      </c>
      <c r="D52" s="2047">
        <v>8.64</v>
      </c>
      <c r="E52" s="2047">
        <v>12</v>
      </c>
      <c r="F52" s="2032">
        <f t="shared" si="2"/>
        <v>0.72000000000000008</v>
      </c>
      <c r="G52" s="2047">
        <v>0</v>
      </c>
      <c r="H52" s="2047">
        <f t="shared" si="3"/>
        <v>0</v>
      </c>
      <c r="I52" s="25"/>
      <c r="J52" s="404"/>
      <c r="L52" s="405"/>
      <c r="M52" s="405"/>
      <c r="T52">
        <f>+S51/T51</f>
        <v>1.1499999999999999</v>
      </c>
    </row>
    <row r="53" spans="2:22" s="827" customFormat="1">
      <c r="B53" s="25">
        <v>20973</v>
      </c>
      <c r="C53" s="25" t="s">
        <v>4469</v>
      </c>
      <c r="D53" s="2047">
        <v>7.68</v>
      </c>
      <c r="E53" s="2047">
        <v>12</v>
      </c>
      <c r="F53" s="2032">
        <f t="shared" si="2"/>
        <v>0.64</v>
      </c>
      <c r="G53" s="2047"/>
      <c r="H53" s="2047">
        <f t="shared" si="3"/>
        <v>0</v>
      </c>
      <c r="I53" s="25"/>
      <c r="L53" s="693"/>
      <c r="M53" s="693"/>
      <c r="R53" s="1684"/>
    </row>
    <row r="54" spans="2:22" s="827" customFormat="1">
      <c r="B54" s="25">
        <v>20972</v>
      </c>
      <c r="C54" s="25" t="s">
        <v>4470</v>
      </c>
      <c r="D54" s="2047">
        <v>7.68</v>
      </c>
      <c r="E54" s="2047">
        <v>12</v>
      </c>
      <c r="F54" s="2032">
        <f t="shared" si="2"/>
        <v>0.64</v>
      </c>
      <c r="G54" s="2047"/>
      <c r="H54" s="2047">
        <f t="shared" si="3"/>
        <v>0</v>
      </c>
      <c r="I54" s="25"/>
      <c r="L54" s="693"/>
      <c r="M54" s="693"/>
      <c r="R54" s="1684"/>
    </row>
    <row r="55" spans="2:22" s="827" customFormat="1">
      <c r="B55" s="25">
        <v>21636</v>
      </c>
      <c r="C55" s="25" t="s">
        <v>4471</v>
      </c>
      <c r="D55" s="2047">
        <v>7.68</v>
      </c>
      <c r="E55" s="2047">
        <v>12</v>
      </c>
      <c r="F55" s="2032">
        <f t="shared" si="2"/>
        <v>0.64</v>
      </c>
      <c r="G55" s="2047"/>
      <c r="H55" s="2047">
        <f t="shared" si="3"/>
        <v>0</v>
      </c>
      <c r="I55" s="25"/>
      <c r="L55" s="693"/>
      <c r="M55" s="693"/>
      <c r="R55" s="1684"/>
    </row>
    <row r="56" spans="2:22">
      <c r="B56" s="21">
        <v>6250</v>
      </c>
      <c r="C56" s="311" t="s">
        <v>54</v>
      </c>
      <c r="D56" s="2047">
        <v>36.01</v>
      </c>
      <c r="E56" s="2047">
        <v>6</v>
      </c>
      <c r="F56" s="2032">
        <f t="shared" si="2"/>
        <v>6.001666666666666</v>
      </c>
      <c r="G56" s="2047"/>
      <c r="H56" s="2047">
        <f t="shared" si="3"/>
        <v>0</v>
      </c>
      <c r="I56" s="25"/>
      <c r="J56" s="404"/>
      <c r="L56" s="405"/>
      <c r="M56" s="405"/>
    </row>
    <row r="57" spans="2:22">
      <c r="B57" s="21">
        <v>7590</v>
      </c>
      <c r="C57" s="311" t="s">
        <v>53</v>
      </c>
      <c r="D57" s="2047">
        <v>36.01</v>
      </c>
      <c r="E57" s="2047">
        <v>6</v>
      </c>
      <c r="F57" s="2032">
        <f t="shared" si="2"/>
        <v>6.001666666666666</v>
      </c>
      <c r="G57" s="2047"/>
      <c r="H57" s="2047">
        <f t="shared" si="3"/>
        <v>0</v>
      </c>
      <c r="I57" s="25"/>
      <c r="J57" s="404"/>
      <c r="L57" s="405"/>
      <c r="M57" s="405"/>
    </row>
    <row r="58" spans="2:22" s="827" customFormat="1">
      <c r="B58" s="21">
        <v>21466</v>
      </c>
      <c r="C58" s="311" t="s">
        <v>3893</v>
      </c>
      <c r="D58" s="2047">
        <v>32.01</v>
      </c>
      <c r="E58" s="2047">
        <v>36</v>
      </c>
      <c r="F58" s="2032">
        <f t="shared" si="2"/>
        <v>0.88916666666666666</v>
      </c>
      <c r="G58" s="2047"/>
      <c r="H58" s="2047">
        <f t="shared" si="3"/>
        <v>0</v>
      </c>
      <c r="I58" s="25"/>
      <c r="L58" s="693"/>
      <c r="M58" s="693"/>
      <c r="R58" s="1684"/>
    </row>
    <row r="59" spans="2:22">
      <c r="B59" s="21">
        <v>544</v>
      </c>
      <c r="C59" s="906" t="s">
        <v>56</v>
      </c>
      <c r="D59" s="2047">
        <v>36.01</v>
      </c>
      <c r="E59" s="430">
        <v>6</v>
      </c>
      <c r="F59" s="682">
        <f t="shared" si="2"/>
        <v>6.001666666666666</v>
      </c>
      <c r="G59" s="2047"/>
      <c r="H59" s="2047">
        <f t="shared" si="3"/>
        <v>0</v>
      </c>
      <c r="I59" s="2048"/>
      <c r="J59" s="404"/>
      <c r="L59" s="405"/>
      <c r="M59" s="405"/>
    </row>
    <row r="60" spans="2:22">
      <c r="B60" s="107">
        <v>3740</v>
      </c>
      <c r="C60" s="107" t="s">
        <v>57</v>
      </c>
      <c r="D60" s="682">
        <v>10.34</v>
      </c>
      <c r="E60" s="430">
        <v>6</v>
      </c>
      <c r="F60" s="682">
        <f t="shared" si="2"/>
        <v>1.7233333333333334</v>
      </c>
      <c r="G60" s="2047">
        <v>5</v>
      </c>
      <c r="H60" s="2047">
        <f t="shared" si="3"/>
        <v>51.7</v>
      </c>
      <c r="I60" s="2048">
        <v>9.84</v>
      </c>
      <c r="J60" s="404"/>
      <c r="L60" s="405"/>
      <c r="M60" s="405"/>
    </row>
    <row r="61" spans="2:22">
      <c r="B61" s="107">
        <v>1289</v>
      </c>
      <c r="C61" s="107" t="s">
        <v>52</v>
      </c>
      <c r="D61" s="682">
        <v>5.35</v>
      </c>
      <c r="E61" s="430">
        <v>12</v>
      </c>
      <c r="F61" s="682">
        <f t="shared" si="2"/>
        <v>0.4458333333333333</v>
      </c>
      <c r="G61" s="2047">
        <v>0</v>
      </c>
      <c r="H61" s="2047">
        <f t="shared" si="3"/>
        <v>0</v>
      </c>
      <c r="I61" s="2048">
        <v>4.72</v>
      </c>
      <c r="J61" s="404"/>
      <c r="L61" s="405"/>
      <c r="M61" s="405"/>
    </row>
    <row r="62" spans="2:22">
      <c r="B62" s="107">
        <v>1295</v>
      </c>
      <c r="C62" s="107" t="s">
        <v>46</v>
      </c>
      <c r="D62" s="682">
        <v>5.35</v>
      </c>
      <c r="E62" s="430">
        <v>12</v>
      </c>
      <c r="F62" s="682">
        <f t="shared" si="2"/>
        <v>0.4458333333333333</v>
      </c>
      <c r="G62" s="2047"/>
      <c r="H62" s="2047">
        <f t="shared" si="3"/>
        <v>0</v>
      </c>
      <c r="I62" s="2048">
        <v>4.72</v>
      </c>
      <c r="J62" s="404"/>
      <c r="L62" s="405"/>
      <c r="M62" s="405"/>
    </row>
    <row r="63" spans="2:22">
      <c r="B63" s="107">
        <v>5355</v>
      </c>
      <c r="C63" s="107" t="s">
        <v>51</v>
      </c>
      <c r="D63" s="682">
        <v>10.08</v>
      </c>
      <c r="E63" s="430">
        <v>36</v>
      </c>
      <c r="F63" s="682">
        <f t="shared" si="2"/>
        <v>0.28000000000000003</v>
      </c>
      <c r="G63" s="2047">
        <v>10</v>
      </c>
      <c r="H63" s="2047">
        <f>D63*G63</f>
        <v>100.8</v>
      </c>
      <c r="I63" s="2048">
        <v>9.59</v>
      </c>
      <c r="J63" s="404"/>
    </row>
    <row r="64" spans="2:22">
      <c r="B64" s="25"/>
      <c r="C64" s="25"/>
      <c r="D64" s="2048"/>
      <c r="E64" s="2048"/>
      <c r="F64" s="104"/>
      <c r="G64" s="104"/>
      <c r="H64" s="2032">
        <f>SUM(H39:H63)</f>
        <v>152.5</v>
      </c>
      <c r="I64" s="2047" t="s">
        <v>65</v>
      </c>
      <c r="J64" s="404"/>
      <c r="K64" s="404"/>
      <c r="L64" s="404"/>
      <c r="M64" s="404"/>
    </row>
    <row r="66" spans="2:19" ht="26.25" customHeight="1"/>
    <row r="69" spans="2:19" ht="12.75" customHeight="1"/>
    <row r="70" spans="2:19">
      <c r="C70" t="s">
        <v>65</v>
      </c>
    </row>
    <row r="71" spans="2:19" ht="15.75" thickBot="1">
      <c r="B71" s="25"/>
      <c r="C71" s="101" t="s">
        <v>65</v>
      </c>
      <c r="D71" s="101"/>
      <c r="E71" s="101"/>
      <c r="F71" s="101"/>
      <c r="G71" s="101"/>
      <c r="H71" s="101"/>
      <c r="I71" s="101"/>
      <c r="J71" s="25"/>
      <c r="K71" s="25"/>
      <c r="L71" s="25"/>
      <c r="M71" s="25"/>
      <c r="N71" s="25"/>
      <c r="O71" s="25"/>
      <c r="P71" s="25"/>
      <c r="Q71" s="25"/>
    </row>
    <row r="72" spans="2:19" ht="60.75" thickBot="1">
      <c r="B72" s="725" t="s">
        <v>3318</v>
      </c>
      <c r="C72" s="602" t="s">
        <v>65</v>
      </c>
      <c r="D72" s="1551" t="s">
        <v>2647</v>
      </c>
      <c r="E72" s="2216" t="s">
        <v>19</v>
      </c>
      <c r="F72" s="1886" t="s">
        <v>1984</v>
      </c>
      <c r="G72" s="310" t="s">
        <v>2567</v>
      </c>
      <c r="H72" s="310" t="s">
        <v>2791</v>
      </c>
      <c r="I72" s="1887" t="s">
        <v>2568</v>
      </c>
      <c r="J72" s="2213" t="s">
        <v>20</v>
      </c>
      <c r="K72" s="1244" t="s">
        <v>1984</v>
      </c>
      <c r="L72" s="310" t="s">
        <v>2567</v>
      </c>
      <c r="M72" s="310" t="s">
        <v>2791</v>
      </c>
      <c r="N72" s="1887" t="s">
        <v>2568</v>
      </c>
      <c r="O72" s="1517" t="s">
        <v>21</v>
      </c>
      <c r="P72" s="1037" t="s">
        <v>1984</v>
      </c>
      <c r="Q72" s="1883" t="s">
        <v>2567</v>
      </c>
      <c r="R72" s="1884" t="s">
        <v>1664</v>
      </c>
      <c r="S72" s="1883" t="s">
        <v>2568</v>
      </c>
    </row>
    <row r="73" spans="2:19" ht="15" hidden="1" customHeight="1">
      <c r="B73" s="21">
        <v>15586</v>
      </c>
      <c r="C73" s="1072" t="s">
        <v>40</v>
      </c>
      <c r="D73" s="1885"/>
      <c r="E73" s="2217"/>
      <c r="F73" s="528"/>
      <c r="G73" s="564">
        <f>F73*36</f>
        <v>0</v>
      </c>
      <c r="H73" s="528"/>
      <c r="I73" s="564"/>
      <c r="J73" s="2214"/>
      <c r="K73" s="528"/>
      <c r="L73" s="528"/>
      <c r="M73" s="528"/>
      <c r="N73" s="528"/>
      <c r="O73" s="1516"/>
      <c r="P73" s="2209"/>
      <c r="Q73" s="1693"/>
      <c r="R73" s="2210"/>
      <c r="S73" s="418"/>
    </row>
    <row r="74" spans="2:19">
      <c r="B74" s="589">
        <v>3059</v>
      </c>
      <c r="C74" s="2104" t="s">
        <v>55</v>
      </c>
      <c r="D74" s="602">
        <v>36</v>
      </c>
      <c r="E74" s="2136" t="s">
        <v>591</v>
      </c>
      <c r="F74" s="528">
        <v>180</v>
      </c>
      <c r="G74" s="564">
        <f>+F74/36</f>
        <v>5</v>
      </c>
      <c r="H74" s="528">
        <v>0</v>
      </c>
      <c r="I74" s="564">
        <f t="shared" ref="I74:I86" si="4">H74/D74</f>
        <v>0</v>
      </c>
      <c r="J74" s="92" t="s">
        <v>244</v>
      </c>
      <c r="K74" s="564">
        <v>6</v>
      </c>
      <c r="L74" s="564">
        <f t="shared" ref="L74:L86" si="5">K74/D74</f>
        <v>0.16666666666666666</v>
      </c>
      <c r="M74" s="564">
        <v>6</v>
      </c>
      <c r="N74" s="564">
        <f t="shared" ref="N74:N86" si="6">M74/D74</f>
        <v>0.16666666666666666</v>
      </c>
      <c r="O74" s="1888" t="s">
        <v>591</v>
      </c>
      <c r="P74" s="1562">
        <v>0</v>
      </c>
      <c r="Q74" s="564">
        <f t="shared" ref="Q74:Q86" si="7">P74/D74</f>
        <v>0</v>
      </c>
      <c r="R74" s="2211">
        <v>0</v>
      </c>
      <c r="S74" s="564">
        <f t="shared" ref="S74:S86" si="8">R74/D74</f>
        <v>0</v>
      </c>
    </row>
    <row r="75" spans="2:19" hidden="1">
      <c r="B75" s="589">
        <v>3061</v>
      </c>
      <c r="C75" s="2104" t="s">
        <v>48</v>
      </c>
      <c r="D75" s="602">
        <v>36</v>
      </c>
      <c r="E75" s="2136" t="s">
        <v>591</v>
      </c>
      <c r="F75" s="528">
        <v>144</v>
      </c>
      <c r="G75" s="564">
        <f t="shared" ref="G75:G86" si="9">F75/D75</f>
        <v>4</v>
      </c>
      <c r="H75" s="528">
        <v>144</v>
      </c>
      <c r="I75" s="564">
        <f t="shared" si="4"/>
        <v>4</v>
      </c>
      <c r="J75" s="92" t="s">
        <v>591</v>
      </c>
      <c r="K75" s="564">
        <v>0</v>
      </c>
      <c r="L75" s="564">
        <f t="shared" si="5"/>
        <v>0</v>
      </c>
      <c r="M75" s="564">
        <v>0</v>
      </c>
      <c r="N75" s="564">
        <f t="shared" si="6"/>
        <v>0</v>
      </c>
      <c r="O75" s="1888" t="s">
        <v>591</v>
      </c>
      <c r="P75" s="1562">
        <v>0</v>
      </c>
      <c r="Q75" s="564">
        <f t="shared" si="7"/>
        <v>0</v>
      </c>
      <c r="R75" s="2211">
        <v>72</v>
      </c>
      <c r="S75" s="564">
        <f t="shared" si="8"/>
        <v>2</v>
      </c>
    </row>
    <row r="76" spans="2:19">
      <c r="B76" s="589">
        <v>3064</v>
      </c>
      <c r="C76" s="2104" t="s">
        <v>59</v>
      </c>
      <c r="D76" s="602">
        <v>36</v>
      </c>
      <c r="E76" s="2136" t="s">
        <v>6025</v>
      </c>
      <c r="F76" s="528">
        <v>12924</v>
      </c>
      <c r="G76" s="564">
        <f t="shared" si="9"/>
        <v>359</v>
      </c>
      <c r="H76" s="1394">
        <v>468</v>
      </c>
      <c r="I76" s="564">
        <f t="shared" si="4"/>
        <v>13</v>
      </c>
      <c r="J76" s="92" t="s">
        <v>6026</v>
      </c>
      <c r="K76" s="564">
        <v>6788</v>
      </c>
      <c r="L76" s="564">
        <f t="shared" si="5"/>
        <v>188.55555555555554</v>
      </c>
      <c r="M76" s="1221">
        <v>510</v>
      </c>
      <c r="N76" s="564">
        <f t="shared" si="6"/>
        <v>14.166666666666666</v>
      </c>
      <c r="O76" s="1888" t="s">
        <v>591</v>
      </c>
      <c r="P76" s="1562">
        <v>1117</v>
      </c>
      <c r="Q76" s="564">
        <f t="shared" si="7"/>
        <v>31.027777777777779</v>
      </c>
      <c r="R76" s="2211">
        <v>2702</v>
      </c>
      <c r="S76" s="564">
        <f t="shared" si="8"/>
        <v>75.055555555555557</v>
      </c>
    </row>
    <row r="77" spans="2:19" ht="15" customHeight="1">
      <c r="B77" s="589">
        <v>3062</v>
      </c>
      <c r="C77" s="2104" t="s">
        <v>1322</v>
      </c>
      <c r="D77" s="602">
        <v>36</v>
      </c>
      <c r="E77" s="2136" t="s">
        <v>268</v>
      </c>
      <c r="F77" s="528">
        <v>0</v>
      </c>
      <c r="G77" s="564">
        <f t="shared" si="9"/>
        <v>0</v>
      </c>
      <c r="H77" s="528">
        <v>0</v>
      </c>
      <c r="I77" s="564">
        <f t="shared" si="4"/>
        <v>0</v>
      </c>
      <c r="J77" s="92" t="s">
        <v>268</v>
      </c>
      <c r="K77" s="564">
        <v>180</v>
      </c>
      <c r="L77" s="564">
        <f t="shared" si="5"/>
        <v>5</v>
      </c>
      <c r="M77" s="564">
        <v>35</v>
      </c>
      <c r="N77" s="564">
        <f t="shared" si="6"/>
        <v>0.97222222222222221</v>
      </c>
      <c r="O77" s="1888" t="s">
        <v>591</v>
      </c>
      <c r="P77" s="1562">
        <v>0</v>
      </c>
      <c r="Q77" s="564">
        <f t="shared" si="7"/>
        <v>0</v>
      </c>
      <c r="R77" s="2211">
        <v>0</v>
      </c>
      <c r="S77" s="564">
        <f t="shared" si="8"/>
        <v>0</v>
      </c>
    </row>
    <row r="78" spans="2:19" ht="15" customHeight="1">
      <c r="B78" s="589">
        <v>12849</v>
      </c>
      <c r="C78" s="2104" t="s">
        <v>70</v>
      </c>
      <c r="D78" s="602">
        <v>36</v>
      </c>
      <c r="E78" s="2136" t="s">
        <v>268</v>
      </c>
      <c r="F78" s="528">
        <v>72</v>
      </c>
      <c r="G78" s="564">
        <f t="shared" si="9"/>
        <v>2</v>
      </c>
      <c r="H78" s="528">
        <v>36</v>
      </c>
      <c r="I78" s="564">
        <f t="shared" si="4"/>
        <v>1</v>
      </c>
      <c r="J78" s="92" t="s">
        <v>268</v>
      </c>
      <c r="K78" s="564">
        <v>36</v>
      </c>
      <c r="L78" s="564">
        <f t="shared" si="5"/>
        <v>1</v>
      </c>
      <c r="M78" s="564">
        <v>1</v>
      </c>
      <c r="N78" s="564">
        <f t="shared" si="6"/>
        <v>2.7777777777777776E-2</v>
      </c>
      <c r="O78" s="1888" t="s">
        <v>591</v>
      </c>
      <c r="P78" s="1562">
        <v>0</v>
      </c>
      <c r="Q78" s="564">
        <f t="shared" si="7"/>
        <v>0</v>
      </c>
      <c r="R78" s="2211">
        <v>0</v>
      </c>
      <c r="S78" s="564">
        <f t="shared" si="8"/>
        <v>0</v>
      </c>
    </row>
    <row r="79" spans="2:19" ht="15" hidden="1" customHeight="1">
      <c r="B79" s="21">
        <v>13273</v>
      </c>
      <c r="C79" s="1072" t="s">
        <v>44</v>
      </c>
      <c r="D79" s="602">
        <v>12</v>
      </c>
      <c r="E79" s="2136" t="s">
        <v>591</v>
      </c>
      <c r="F79" s="528">
        <v>83</v>
      </c>
      <c r="G79" s="564">
        <f t="shared" si="9"/>
        <v>6.916666666666667</v>
      </c>
      <c r="H79" s="528">
        <v>227</v>
      </c>
      <c r="I79" s="564">
        <f t="shared" si="4"/>
        <v>18.916666666666668</v>
      </c>
      <c r="J79" s="92" t="s">
        <v>591</v>
      </c>
      <c r="K79" s="564">
        <v>7</v>
      </c>
      <c r="L79" s="564">
        <f t="shared" si="5"/>
        <v>0.58333333333333337</v>
      </c>
      <c r="M79" s="564">
        <v>96</v>
      </c>
      <c r="N79" s="564">
        <f t="shared" si="6"/>
        <v>8</v>
      </c>
      <c r="O79" s="1888" t="s">
        <v>591</v>
      </c>
      <c r="P79" s="1562">
        <v>15</v>
      </c>
      <c r="Q79" s="564">
        <f t="shared" si="7"/>
        <v>1.25</v>
      </c>
      <c r="R79" s="2211">
        <v>138</v>
      </c>
      <c r="S79" s="564">
        <f t="shared" si="8"/>
        <v>11.5</v>
      </c>
    </row>
    <row r="80" spans="2:19" ht="15" hidden="1" customHeight="1">
      <c r="B80" s="21">
        <v>587</v>
      </c>
      <c r="C80" s="1072" t="s">
        <v>50</v>
      </c>
      <c r="D80" s="602">
        <v>12</v>
      </c>
      <c r="E80" s="2136" t="s">
        <v>591</v>
      </c>
      <c r="F80" s="528">
        <v>0</v>
      </c>
      <c r="G80" s="564">
        <f t="shared" si="9"/>
        <v>0</v>
      </c>
      <c r="H80" s="528">
        <v>0</v>
      </c>
      <c r="I80" s="564">
        <f t="shared" si="4"/>
        <v>0</v>
      </c>
      <c r="J80" s="2215" t="s">
        <v>591</v>
      </c>
      <c r="K80" s="564">
        <v>0</v>
      </c>
      <c r="L80" s="564">
        <f t="shared" si="5"/>
        <v>0</v>
      </c>
      <c r="M80" s="564">
        <v>0</v>
      </c>
      <c r="N80" s="564">
        <f t="shared" si="6"/>
        <v>0</v>
      </c>
      <c r="O80" s="1888" t="s">
        <v>591</v>
      </c>
      <c r="P80" s="1562">
        <v>0</v>
      </c>
      <c r="Q80" s="564">
        <f t="shared" si="7"/>
        <v>0</v>
      </c>
      <c r="R80" s="2211">
        <v>0</v>
      </c>
      <c r="S80" s="564">
        <f t="shared" si="8"/>
        <v>0</v>
      </c>
    </row>
    <row r="81" spans="2:19">
      <c r="B81" s="21">
        <v>13055</v>
      </c>
      <c r="C81" s="1072" t="s">
        <v>45</v>
      </c>
      <c r="D81" s="602">
        <v>12</v>
      </c>
      <c r="E81" s="2136" t="s">
        <v>1321</v>
      </c>
      <c r="F81" s="528">
        <v>18</v>
      </c>
      <c r="G81" s="564">
        <f t="shared" si="9"/>
        <v>1.5</v>
      </c>
      <c r="H81" s="528">
        <v>34</v>
      </c>
      <c r="I81" s="564">
        <f t="shared" si="4"/>
        <v>2.8333333333333335</v>
      </c>
      <c r="J81" s="92" t="s">
        <v>244</v>
      </c>
      <c r="K81" s="564">
        <v>46</v>
      </c>
      <c r="L81" s="564">
        <f t="shared" si="5"/>
        <v>3.8333333333333335</v>
      </c>
      <c r="M81" s="564">
        <v>30</v>
      </c>
      <c r="N81" s="564">
        <f t="shared" si="6"/>
        <v>2.5</v>
      </c>
      <c r="O81" s="1888" t="s">
        <v>1611</v>
      </c>
      <c r="P81" s="1562">
        <v>0</v>
      </c>
      <c r="Q81" s="564">
        <f t="shared" si="7"/>
        <v>0</v>
      </c>
      <c r="R81" s="2211">
        <v>11</v>
      </c>
      <c r="S81" s="564">
        <f t="shared" si="8"/>
        <v>0.91666666666666663</v>
      </c>
    </row>
    <row r="82" spans="2:19">
      <c r="B82" s="21">
        <v>2818</v>
      </c>
      <c r="C82" s="1072" t="s">
        <v>49</v>
      </c>
      <c r="D82" s="602">
        <v>12</v>
      </c>
      <c r="E82" s="2136" t="s">
        <v>1321</v>
      </c>
      <c r="F82" s="528">
        <v>65</v>
      </c>
      <c r="G82" s="564">
        <f t="shared" si="9"/>
        <v>5.416666666666667</v>
      </c>
      <c r="H82" s="528">
        <v>46</v>
      </c>
      <c r="I82" s="564">
        <f t="shared" si="4"/>
        <v>3.8333333333333335</v>
      </c>
      <c r="J82" s="92" t="s">
        <v>244</v>
      </c>
      <c r="K82" s="564">
        <v>23</v>
      </c>
      <c r="L82" s="564">
        <f t="shared" si="5"/>
        <v>1.9166666666666667</v>
      </c>
      <c r="M82" s="564">
        <v>3</v>
      </c>
      <c r="N82" s="564">
        <f t="shared" si="6"/>
        <v>0.25</v>
      </c>
      <c r="O82" s="1888" t="s">
        <v>1611</v>
      </c>
      <c r="P82" s="1562">
        <v>98</v>
      </c>
      <c r="Q82" s="564">
        <f t="shared" si="7"/>
        <v>8.1666666666666661</v>
      </c>
      <c r="R82" s="2211">
        <v>78</v>
      </c>
      <c r="S82" s="564">
        <f t="shared" si="8"/>
        <v>6.5</v>
      </c>
    </row>
    <row r="83" spans="2:19" hidden="1">
      <c r="B83" s="589">
        <v>9731</v>
      </c>
      <c r="C83" s="2104" t="s">
        <v>115</v>
      </c>
      <c r="D83" s="602">
        <v>36</v>
      </c>
      <c r="E83" s="2136" t="s">
        <v>591</v>
      </c>
      <c r="F83" s="528"/>
      <c r="G83" s="564">
        <f t="shared" si="9"/>
        <v>0</v>
      </c>
      <c r="H83" s="528"/>
      <c r="I83" s="564">
        <f t="shared" si="4"/>
        <v>0</v>
      </c>
      <c r="J83" s="92" t="s">
        <v>591</v>
      </c>
      <c r="K83" s="564">
        <v>0</v>
      </c>
      <c r="L83" s="564">
        <f t="shared" si="5"/>
        <v>0</v>
      </c>
      <c r="M83" s="564">
        <v>0</v>
      </c>
      <c r="N83" s="564">
        <f t="shared" si="6"/>
        <v>0</v>
      </c>
      <c r="O83" s="1888" t="s">
        <v>591</v>
      </c>
      <c r="P83" s="1562">
        <v>0</v>
      </c>
      <c r="Q83" s="564">
        <f t="shared" si="7"/>
        <v>0</v>
      </c>
      <c r="R83" s="2211">
        <v>0</v>
      </c>
      <c r="S83" s="564">
        <f t="shared" si="8"/>
        <v>0</v>
      </c>
    </row>
    <row r="84" spans="2:19" hidden="1">
      <c r="B84" s="589">
        <v>9515</v>
      </c>
      <c r="C84" s="2104" t="s">
        <v>114</v>
      </c>
      <c r="D84" s="602">
        <v>36</v>
      </c>
      <c r="E84" s="2136" t="s">
        <v>591</v>
      </c>
      <c r="F84" s="528">
        <v>39</v>
      </c>
      <c r="G84" s="564">
        <f t="shared" si="9"/>
        <v>1.0833333333333333</v>
      </c>
      <c r="H84" s="528">
        <v>36</v>
      </c>
      <c r="I84" s="564">
        <f t="shared" si="4"/>
        <v>1</v>
      </c>
      <c r="J84" s="92" t="s">
        <v>591</v>
      </c>
      <c r="K84" s="564">
        <v>0</v>
      </c>
      <c r="L84" s="564">
        <f t="shared" si="5"/>
        <v>0</v>
      </c>
      <c r="M84" s="564">
        <v>0</v>
      </c>
      <c r="N84" s="564">
        <f t="shared" si="6"/>
        <v>0</v>
      </c>
      <c r="O84" s="1888" t="s">
        <v>591</v>
      </c>
      <c r="P84" s="1562">
        <v>0</v>
      </c>
      <c r="Q84" s="564">
        <f t="shared" si="7"/>
        <v>0</v>
      </c>
      <c r="R84" s="2211">
        <v>0</v>
      </c>
      <c r="S84" s="564">
        <f t="shared" si="8"/>
        <v>0</v>
      </c>
    </row>
    <row r="85" spans="2:19" s="404" customFormat="1" hidden="1">
      <c r="B85" s="34">
        <v>20911</v>
      </c>
      <c r="C85" s="298" t="s">
        <v>3316</v>
      </c>
      <c r="D85" s="602">
        <v>12</v>
      </c>
      <c r="E85" s="2136" t="s">
        <v>591</v>
      </c>
      <c r="F85" s="528">
        <v>97</v>
      </c>
      <c r="G85" s="564">
        <f t="shared" si="9"/>
        <v>8.0833333333333339</v>
      </c>
      <c r="H85" s="528">
        <v>105</v>
      </c>
      <c r="I85" s="564">
        <f t="shared" si="4"/>
        <v>8.75</v>
      </c>
      <c r="J85" s="92" t="s">
        <v>591</v>
      </c>
      <c r="K85" s="564">
        <v>43</v>
      </c>
      <c r="L85" s="564">
        <f t="shared" si="5"/>
        <v>3.5833333333333335</v>
      </c>
      <c r="M85" s="564">
        <v>97</v>
      </c>
      <c r="N85" s="564">
        <f t="shared" si="6"/>
        <v>8.0833333333333339</v>
      </c>
      <c r="O85" s="1888" t="s">
        <v>591</v>
      </c>
      <c r="P85" s="1562">
        <v>14</v>
      </c>
      <c r="Q85" s="564">
        <f t="shared" si="7"/>
        <v>1.1666666666666667</v>
      </c>
      <c r="R85" s="2211">
        <v>69</v>
      </c>
      <c r="S85" s="564">
        <f t="shared" si="8"/>
        <v>5.75</v>
      </c>
    </row>
    <row r="86" spans="2:19" s="404" customFormat="1">
      <c r="B86" s="693">
        <v>20910</v>
      </c>
      <c r="C86" s="298" t="s">
        <v>3317</v>
      </c>
      <c r="D86" s="602">
        <v>12</v>
      </c>
      <c r="E86" s="2136" t="s">
        <v>244</v>
      </c>
      <c r="F86" s="528">
        <v>52</v>
      </c>
      <c r="G86" s="564">
        <f t="shared" si="9"/>
        <v>4.333333333333333</v>
      </c>
      <c r="H86" s="528">
        <v>31</v>
      </c>
      <c r="I86" s="564">
        <f t="shared" si="4"/>
        <v>2.5833333333333335</v>
      </c>
      <c r="J86" s="92" t="s">
        <v>591</v>
      </c>
      <c r="K86" s="564">
        <v>6</v>
      </c>
      <c r="L86" s="564">
        <f t="shared" si="5"/>
        <v>0.5</v>
      </c>
      <c r="M86" s="564">
        <v>230</v>
      </c>
      <c r="N86" s="564">
        <f t="shared" si="6"/>
        <v>19.166666666666668</v>
      </c>
      <c r="O86" s="1888" t="s">
        <v>591</v>
      </c>
      <c r="P86" s="1562">
        <v>2</v>
      </c>
      <c r="Q86" s="564">
        <f t="shared" si="7"/>
        <v>0.16666666666666666</v>
      </c>
      <c r="R86" s="2211">
        <v>106</v>
      </c>
      <c r="S86" s="564">
        <f t="shared" si="8"/>
        <v>8.8333333333333339</v>
      </c>
    </row>
    <row r="87" spans="2:19" s="827" customFormat="1">
      <c r="B87" s="21">
        <v>20973</v>
      </c>
      <c r="C87" s="21" t="s">
        <v>4469</v>
      </c>
      <c r="D87" s="602">
        <v>12</v>
      </c>
      <c r="E87" s="2136" t="s">
        <v>244</v>
      </c>
      <c r="F87" s="528">
        <v>62</v>
      </c>
      <c r="G87" s="564">
        <f>F87/D87</f>
        <v>5.166666666666667</v>
      </c>
      <c r="H87" s="528">
        <v>66</v>
      </c>
      <c r="I87" s="564">
        <f>H87/D87</f>
        <v>5.5</v>
      </c>
      <c r="J87" s="92" t="s">
        <v>591</v>
      </c>
      <c r="K87" s="564">
        <v>0</v>
      </c>
      <c r="L87" s="564">
        <f>K87/D87</f>
        <v>0</v>
      </c>
      <c r="M87" s="564">
        <v>41</v>
      </c>
      <c r="N87" s="564">
        <f>M87/D87</f>
        <v>3.4166666666666665</v>
      </c>
      <c r="O87" s="1888" t="s">
        <v>591</v>
      </c>
      <c r="P87" s="1562">
        <v>1</v>
      </c>
      <c r="Q87" s="564">
        <f>P87/D87</f>
        <v>8.3333333333333329E-2</v>
      </c>
      <c r="R87" s="2211">
        <v>77</v>
      </c>
      <c r="S87" s="564">
        <f>R87/D87</f>
        <v>6.416666666666667</v>
      </c>
    </row>
    <row r="88" spans="2:19" s="827" customFormat="1" hidden="1">
      <c r="B88" s="21">
        <v>20972</v>
      </c>
      <c r="C88" s="21" t="s">
        <v>4470</v>
      </c>
      <c r="D88" s="602">
        <v>12</v>
      </c>
      <c r="E88" s="2136" t="s">
        <v>591</v>
      </c>
      <c r="F88" s="528"/>
      <c r="G88" s="564">
        <f>F88/D88</f>
        <v>0</v>
      </c>
      <c r="H88" s="528"/>
      <c r="I88" s="564">
        <f>H88/D88</f>
        <v>0</v>
      </c>
      <c r="J88" s="92" t="s">
        <v>591</v>
      </c>
      <c r="K88" s="564">
        <v>2</v>
      </c>
      <c r="L88" s="564">
        <f>K88/D88</f>
        <v>0.16666666666666666</v>
      </c>
      <c r="M88" s="564">
        <v>0</v>
      </c>
      <c r="N88" s="564">
        <f>M88/D88</f>
        <v>0</v>
      </c>
      <c r="O88" s="1888" t="s">
        <v>591</v>
      </c>
      <c r="P88" s="1562">
        <v>23</v>
      </c>
      <c r="Q88" s="564">
        <f>P88/D88</f>
        <v>1.9166666666666667</v>
      </c>
      <c r="R88" s="2211">
        <v>8</v>
      </c>
      <c r="S88" s="564">
        <f>R88/D88</f>
        <v>0.66666666666666663</v>
      </c>
    </row>
    <row r="89" spans="2:19" s="827" customFormat="1">
      <c r="B89" s="21">
        <v>21636</v>
      </c>
      <c r="C89" s="21" t="s">
        <v>4471</v>
      </c>
      <c r="D89" s="602">
        <v>12</v>
      </c>
      <c r="E89" s="2136" t="s">
        <v>244</v>
      </c>
      <c r="F89" s="528">
        <v>20</v>
      </c>
      <c r="G89" s="564">
        <f>F89/D89</f>
        <v>1.6666666666666667</v>
      </c>
      <c r="H89" s="528">
        <v>12</v>
      </c>
      <c r="I89" s="564">
        <f>H89/D89</f>
        <v>1</v>
      </c>
      <c r="J89" s="92" t="s">
        <v>591</v>
      </c>
      <c r="K89" s="564">
        <v>2</v>
      </c>
      <c r="L89" s="564">
        <f>K89/D89</f>
        <v>0.16666666666666666</v>
      </c>
      <c r="M89" s="564">
        <v>24</v>
      </c>
      <c r="N89" s="564">
        <f>M89/D89</f>
        <v>2</v>
      </c>
      <c r="O89" s="1888" t="s">
        <v>591</v>
      </c>
      <c r="P89" s="1562">
        <v>8</v>
      </c>
      <c r="Q89" s="564">
        <f>P89/D89</f>
        <v>0.66666666666666663</v>
      </c>
      <c r="R89" s="2211">
        <v>73</v>
      </c>
      <c r="S89" s="564">
        <f>R89/D89</f>
        <v>6.083333333333333</v>
      </c>
    </row>
    <row r="90" spans="2:19">
      <c r="B90" s="21">
        <v>3739</v>
      </c>
      <c r="C90" s="1072" t="s">
        <v>58</v>
      </c>
      <c r="D90" s="602">
        <v>6</v>
      </c>
      <c r="E90" s="2136" t="s">
        <v>243</v>
      </c>
      <c r="F90" s="528">
        <v>9</v>
      </c>
      <c r="G90" s="564">
        <f t="shared" ref="G90:G98" si="10">F90/D90</f>
        <v>1.5</v>
      </c>
      <c r="H90" s="528">
        <v>79</v>
      </c>
      <c r="I90" s="564">
        <f t="shared" ref="I90:I98" si="11">H90/D90</f>
        <v>13.166666666666666</v>
      </c>
      <c r="J90" s="92" t="s">
        <v>591</v>
      </c>
      <c r="K90" s="564">
        <v>5</v>
      </c>
      <c r="L90" s="564">
        <f t="shared" ref="L90:L98" si="12">K90/D90</f>
        <v>0.83333333333333337</v>
      </c>
      <c r="M90" s="564">
        <v>25</v>
      </c>
      <c r="N90" s="564">
        <f t="shared" ref="N90:N98" si="13">M90/D90</f>
        <v>4.166666666666667</v>
      </c>
      <c r="O90" s="1888" t="s">
        <v>244</v>
      </c>
      <c r="P90" s="1562">
        <v>30</v>
      </c>
      <c r="Q90" s="564">
        <f t="shared" ref="Q90:Q98" si="14">P90/D90</f>
        <v>5</v>
      </c>
      <c r="R90" s="2211">
        <v>28</v>
      </c>
      <c r="S90" s="564">
        <f t="shared" ref="S90:S98" si="15">R90/D90</f>
        <v>4.666666666666667</v>
      </c>
    </row>
    <row r="91" spans="2:19">
      <c r="B91" s="21">
        <v>1289</v>
      </c>
      <c r="C91" s="1072" t="s">
        <v>52</v>
      </c>
      <c r="D91" s="602">
        <v>12</v>
      </c>
      <c r="E91" s="2136" t="s">
        <v>243</v>
      </c>
      <c r="F91" s="528">
        <v>0</v>
      </c>
      <c r="G91" s="564">
        <f t="shared" si="10"/>
        <v>0</v>
      </c>
      <c r="H91" s="528">
        <v>0</v>
      </c>
      <c r="I91" s="564">
        <f t="shared" si="11"/>
        <v>0</v>
      </c>
      <c r="J91" s="92" t="s">
        <v>557</v>
      </c>
      <c r="K91" s="564">
        <v>7</v>
      </c>
      <c r="L91" s="564">
        <f t="shared" si="12"/>
        <v>0.58333333333333337</v>
      </c>
      <c r="M91" s="564">
        <v>14</v>
      </c>
      <c r="N91" s="564">
        <f t="shared" si="13"/>
        <v>1.1666666666666667</v>
      </c>
      <c r="O91" s="1888" t="s">
        <v>243</v>
      </c>
      <c r="P91" s="1562">
        <v>0</v>
      </c>
      <c r="Q91" s="564">
        <f t="shared" si="14"/>
        <v>0</v>
      </c>
      <c r="R91" s="2211">
        <v>4</v>
      </c>
      <c r="S91" s="564">
        <f t="shared" si="15"/>
        <v>0.33333333333333331</v>
      </c>
    </row>
    <row r="92" spans="2:19" ht="15" hidden="1" customHeight="1">
      <c r="B92" s="21">
        <v>1295</v>
      </c>
      <c r="C92" s="1072" t="s">
        <v>46</v>
      </c>
      <c r="D92" s="602">
        <v>12</v>
      </c>
      <c r="E92" s="2136" t="s">
        <v>591</v>
      </c>
      <c r="F92" s="528">
        <v>0</v>
      </c>
      <c r="G92" s="564">
        <f t="shared" si="10"/>
        <v>0</v>
      </c>
      <c r="H92" s="528">
        <v>0</v>
      </c>
      <c r="I92" s="564">
        <f t="shared" si="11"/>
        <v>0</v>
      </c>
      <c r="J92" s="92" t="s">
        <v>591</v>
      </c>
      <c r="K92" s="564">
        <v>0</v>
      </c>
      <c r="L92" s="564">
        <f t="shared" si="12"/>
        <v>0</v>
      </c>
      <c r="M92" s="564">
        <v>0</v>
      </c>
      <c r="N92" s="564">
        <f t="shared" si="13"/>
        <v>0</v>
      </c>
      <c r="O92" s="1888" t="s">
        <v>591</v>
      </c>
      <c r="P92" s="1562">
        <v>0</v>
      </c>
      <c r="Q92" s="564">
        <f t="shared" si="14"/>
        <v>0</v>
      </c>
      <c r="R92" s="2211">
        <v>15</v>
      </c>
      <c r="S92" s="564">
        <f t="shared" si="15"/>
        <v>1.25</v>
      </c>
    </row>
    <row r="93" spans="2:19">
      <c r="B93" s="21">
        <v>5355</v>
      </c>
      <c r="C93" s="1072" t="s">
        <v>51</v>
      </c>
      <c r="D93" s="602">
        <v>36</v>
      </c>
      <c r="E93" s="2136" t="s">
        <v>591</v>
      </c>
      <c r="F93" s="528">
        <v>0</v>
      </c>
      <c r="G93" s="564">
        <f t="shared" si="10"/>
        <v>0</v>
      </c>
      <c r="H93" s="528">
        <v>108</v>
      </c>
      <c r="I93" s="564">
        <f t="shared" si="11"/>
        <v>3</v>
      </c>
      <c r="J93" s="92" t="s">
        <v>591</v>
      </c>
      <c r="K93" s="564">
        <v>56</v>
      </c>
      <c r="L93" s="564">
        <f t="shared" si="12"/>
        <v>1.5555555555555556</v>
      </c>
      <c r="M93" s="564">
        <v>206</v>
      </c>
      <c r="N93" s="564">
        <f t="shared" si="13"/>
        <v>5.7222222222222223</v>
      </c>
      <c r="O93" s="1888" t="s">
        <v>5643</v>
      </c>
      <c r="P93" s="1562">
        <v>292</v>
      </c>
      <c r="Q93" s="564">
        <f t="shared" si="14"/>
        <v>8.1111111111111107</v>
      </c>
      <c r="R93" s="2211">
        <v>358</v>
      </c>
      <c r="S93" s="564">
        <f t="shared" si="15"/>
        <v>9.9444444444444446</v>
      </c>
    </row>
    <row r="94" spans="2:19" ht="15" hidden="1" customHeight="1">
      <c r="B94" s="21">
        <v>3740</v>
      </c>
      <c r="C94" s="1072" t="s">
        <v>57</v>
      </c>
      <c r="D94" s="602">
        <v>6</v>
      </c>
      <c r="E94" s="2136" t="s">
        <v>591</v>
      </c>
      <c r="F94" s="528">
        <v>0</v>
      </c>
      <c r="G94" s="564">
        <f t="shared" si="10"/>
        <v>0</v>
      </c>
      <c r="H94" s="528"/>
      <c r="I94" s="564">
        <f t="shared" si="11"/>
        <v>0</v>
      </c>
      <c r="J94" s="92" t="s">
        <v>591</v>
      </c>
      <c r="K94" s="564">
        <v>0</v>
      </c>
      <c r="L94" s="564">
        <f t="shared" si="12"/>
        <v>0</v>
      </c>
      <c r="M94" s="564">
        <v>0</v>
      </c>
      <c r="N94" s="564">
        <f t="shared" si="13"/>
        <v>0</v>
      </c>
      <c r="O94" s="1888" t="s">
        <v>591</v>
      </c>
      <c r="P94" s="1562">
        <v>1</v>
      </c>
      <c r="Q94" s="564">
        <f t="shared" si="14"/>
        <v>0.16666666666666666</v>
      </c>
      <c r="R94" s="2211">
        <v>5</v>
      </c>
      <c r="S94" s="564">
        <f t="shared" si="15"/>
        <v>0.83333333333333337</v>
      </c>
    </row>
    <row r="95" spans="2:19">
      <c r="B95" s="21">
        <v>6250</v>
      </c>
      <c r="C95" s="1072" t="s">
        <v>54</v>
      </c>
      <c r="D95" s="602">
        <v>6</v>
      </c>
      <c r="E95" s="2136" t="s">
        <v>243</v>
      </c>
      <c r="F95" s="528">
        <v>24</v>
      </c>
      <c r="G95" s="564">
        <f t="shared" si="10"/>
        <v>4</v>
      </c>
      <c r="H95" s="528">
        <v>17</v>
      </c>
      <c r="I95" s="564">
        <f t="shared" si="11"/>
        <v>2.8333333333333335</v>
      </c>
      <c r="J95" s="92" t="s">
        <v>268</v>
      </c>
      <c r="K95" s="564">
        <v>7</v>
      </c>
      <c r="L95" s="564">
        <f t="shared" si="12"/>
        <v>1.1666666666666667</v>
      </c>
      <c r="M95" s="564">
        <v>6</v>
      </c>
      <c r="N95" s="564">
        <f t="shared" si="13"/>
        <v>1</v>
      </c>
      <c r="O95" s="1888" t="s">
        <v>556</v>
      </c>
      <c r="P95" s="1562">
        <v>6</v>
      </c>
      <c r="Q95" s="564">
        <f t="shared" si="14"/>
        <v>1</v>
      </c>
      <c r="R95" s="2211">
        <v>12</v>
      </c>
      <c r="S95" s="564">
        <f t="shared" si="15"/>
        <v>2</v>
      </c>
    </row>
    <row r="96" spans="2:19">
      <c r="B96" s="21">
        <v>7590</v>
      </c>
      <c r="C96" s="1072" t="s">
        <v>53</v>
      </c>
      <c r="D96" s="602">
        <v>6</v>
      </c>
      <c r="E96" s="2136" t="s">
        <v>243</v>
      </c>
      <c r="F96" s="528">
        <v>32</v>
      </c>
      <c r="G96" s="564">
        <f t="shared" si="10"/>
        <v>5.333333333333333</v>
      </c>
      <c r="H96" s="528">
        <v>8</v>
      </c>
      <c r="I96" s="564">
        <f t="shared" si="11"/>
        <v>1.3333333333333333</v>
      </c>
      <c r="J96" s="92" t="s">
        <v>268</v>
      </c>
      <c r="K96" s="564">
        <v>15</v>
      </c>
      <c r="L96" s="564">
        <f t="shared" si="12"/>
        <v>2.5</v>
      </c>
      <c r="M96" s="564">
        <v>7</v>
      </c>
      <c r="N96" s="564">
        <f t="shared" si="13"/>
        <v>1.1666666666666667</v>
      </c>
      <c r="O96" s="1888" t="s">
        <v>556</v>
      </c>
      <c r="P96" s="1562">
        <v>6</v>
      </c>
      <c r="Q96" s="564">
        <f t="shared" si="14"/>
        <v>1</v>
      </c>
      <c r="R96" s="2211">
        <v>10</v>
      </c>
      <c r="S96" s="564">
        <f t="shared" si="15"/>
        <v>1.6666666666666667</v>
      </c>
    </row>
    <row r="97" spans="2:19">
      <c r="B97" s="21">
        <v>544</v>
      </c>
      <c r="C97" s="311" t="s">
        <v>56</v>
      </c>
      <c r="D97" s="528">
        <v>6</v>
      </c>
      <c r="E97" s="2136" t="s">
        <v>243</v>
      </c>
      <c r="F97" s="528">
        <v>77</v>
      </c>
      <c r="G97" s="564">
        <f t="shared" si="10"/>
        <v>12.833333333333334</v>
      </c>
      <c r="H97" s="528">
        <v>8</v>
      </c>
      <c r="I97" s="564">
        <f t="shared" si="11"/>
        <v>1.3333333333333333</v>
      </c>
      <c r="J97" s="92" t="s">
        <v>268</v>
      </c>
      <c r="K97" s="564">
        <v>19</v>
      </c>
      <c r="L97" s="564">
        <f t="shared" si="12"/>
        <v>3.1666666666666665</v>
      </c>
      <c r="M97" s="564">
        <v>8</v>
      </c>
      <c r="N97" s="564">
        <f t="shared" si="13"/>
        <v>1.3333333333333333</v>
      </c>
      <c r="O97" s="1888" t="s">
        <v>244</v>
      </c>
      <c r="P97" s="1562">
        <v>26</v>
      </c>
      <c r="Q97" s="564">
        <f t="shared" si="14"/>
        <v>4.333333333333333</v>
      </c>
      <c r="R97" s="2211">
        <v>8</v>
      </c>
      <c r="S97" s="564">
        <f t="shared" si="15"/>
        <v>1.3333333333333333</v>
      </c>
    </row>
    <row r="98" spans="2:19">
      <c r="B98" s="693">
        <v>21466</v>
      </c>
      <c r="C98" s="311" t="s">
        <v>3893</v>
      </c>
      <c r="D98" s="528">
        <v>36</v>
      </c>
      <c r="E98" s="2136" t="s">
        <v>243</v>
      </c>
      <c r="F98" s="528">
        <v>224</v>
      </c>
      <c r="G98" s="564">
        <f t="shared" si="10"/>
        <v>6.2222222222222223</v>
      </c>
      <c r="H98" s="528">
        <v>123</v>
      </c>
      <c r="I98" s="564">
        <f t="shared" si="11"/>
        <v>3.4166666666666665</v>
      </c>
      <c r="J98" s="92" t="s">
        <v>591</v>
      </c>
      <c r="K98" s="528">
        <v>13</v>
      </c>
      <c r="L98" s="564">
        <f t="shared" si="12"/>
        <v>0.3611111111111111</v>
      </c>
      <c r="M98" s="528">
        <v>58</v>
      </c>
      <c r="N98" s="564">
        <f t="shared" si="13"/>
        <v>1.6111111111111112</v>
      </c>
      <c r="O98" s="430" t="s">
        <v>591</v>
      </c>
      <c r="P98" s="1015">
        <v>55</v>
      </c>
      <c r="Q98" s="564">
        <f t="shared" si="14"/>
        <v>1.5277777777777777</v>
      </c>
      <c r="R98" s="2212">
        <v>103</v>
      </c>
      <c r="S98" s="564">
        <f t="shared" si="15"/>
        <v>2.8611111111111112</v>
      </c>
    </row>
    <row r="99" spans="2:19" hidden="1">
      <c r="B99" s="21">
        <v>13453</v>
      </c>
      <c r="C99" s="311" t="s">
        <v>43</v>
      </c>
      <c r="D99" s="528">
        <v>1</v>
      </c>
      <c r="E99" s="2136" t="s">
        <v>591</v>
      </c>
      <c r="F99" s="528"/>
      <c r="G99" s="564">
        <f>F99/D99</f>
        <v>0</v>
      </c>
      <c r="H99" s="528"/>
      <c r="I99" s="564">
        <f>H99/D99</f>
        <v>0</v>
      </c>
      <c r="J99" s="92" t="s">
        <v>591</v>
      </c>
      <c r="K99" s="564"/>
      <c r="L99" s="564">
        <f>K99/D99</f>
        <v>0</v>
      </c>
      <c r="M99" s="564"/>
      <c r="N99" s="564">
        <f>M99/D99</f>
        <v>0</v>
      </c>
      <c r="O99" s="1888" t="s">
        <v>591</v>
      </c>
      <c r="P99" s="1562"/>
      <c r="Q99" s="564">
        <f>P99/D99</f>
        <v>0</v>
      </c>
      <c r="R99" s="2211"/>
      <c r="S99" s="564">
        <f>R99/D99</f>
        <v>0</v>
      </c>
    </row>
    <row r="100" spans="2:19" s="827" customFormat="1">
      <c r="D100" s="101"/>
      <c r="E100" s="101"/>
      <c r="F100" s="101"/>
      <c r="G100" s="101"/>
      <c r="H100" s="101"/>
      <c r="I100" s="101"/>
      <c r="J100" s="25"/>
      <c r="K100" s="25"/>
      <c r="L100" s="25"/>
      <c r="M100" s="25"/>
      <c r="N100" s="25"/>
      <c r="O100" s="25"/>
      <c r="P100" s="25"/>
      <c r="Q100" s="578"/>
      <c r="R100" s="1686"/>
      <c r="S100" s="123"/>
    </row>
    <row r="101" spans="2:19" s="827" customFormat="1">
      <c r="D101" s="101"/>
      <c r="E101" s="101"/>
      <c r="F101" s="101"/>
      <c r="G101" s="101"/>
      <c r="H101" s="101"/>
      <c r="I101" s="101"/>
      <c r="J101" s="25"/>
      <c r="K101" s="25"/>
      <c r="L101" s="25"/>
      <c r="M101" s="25"/>
      <c r="N101" s="25"/>
      <c r="O101" s="25"/>
      <c r="P101" s="25"/>
      <c r="Q101" s="25"/>
      <c r="R101" s="1684"/>
    </row>
    <row r="102" spans="2:19" s="827" customFormat="1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 s="1684"/>
      <c r="S102"/>
    </row>
    <row r="103" spans="2:19" s="827" customFormat="1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 s="1684"/>
      <c r="S103"/>
    </row>
    <row r="104" spans="2:19" s="827" customFormat="1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 s="1684"/>
      <c r="S104"/>
    </row>
    <row r="105" spans="2:19" s="827" customFormat="1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 s="1684"/>
      <c r="S105"/>
    </row>
    <row r="106" spans="2:19" s="827" customFormat="1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 s="1684"/>
      <c r="S106"/>
    </row>
    <row r="107" spans="2:19" s="827" customFormat="1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 s="1684"/>
      <c r="S107"/>
    </row>
    <row r="108" spans="2:19" s="827" customFormat="1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 s="1684"/>
      <c r="S108"/>
    </row>
    <row r="109" spans="2:19" s="827" customFormat="1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 s="1684"/>
      <c r="S109"/>
    </row>
    <row r="110" spans="2:19" s="827" customFormat="1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 s="1684"/>
      <c r="S110"/>
    </row>
    <row r="111" spans="2:19">
      <c r="D111"/>
      <c r="E111"/>
      <c r="F111"/>
      <c r="G111"/>
      <c r="H111"/>
      <c r="I111"/>
      <c r="O111"/>
    </row>
    <row r="112" spans="2:19" s="827" customFormat="1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 s="1684"/>
      <c r="S112"/>
    </row>
    <row r="113" spans="2:24" s="827" customFormat="1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 s="1684"/>
      <c r="S113"/>
    </row>
    <row r="114" spans="2:24" s="827" customFormat="1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 s="1684"/>
      <c r="S114"/>
    </row>
    <row r="115" spans="2:24" s="827" customFormat="1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 s="1684"/>
      <c r="S115"/>
    </row>
    <row r="116" spans="2:24" s="827" customFormat="1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 s="1684"/>
      <c r="S116"/>
    </row>
    <row r="117" spans="2:24" s="827" customFormat="1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 s="1684"/>
      <c r="S117"/>
    </row>
    <row r="118" spans="2:24" s="827" customFormat="1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 s="1684"/>
      <c r="S118"/>
      <c r="X118" s="827">
        <v>10.61</v>
      </c>
    </row>
    <row r="119" spans="2:24" s="827" customFormat="1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 s="1684"/>
      <c r="S119"/>
      <c r="X119" s="827">
        <v>4.3301999999999996</v>
      </c>
    </row>
    <row r="120" spans="2:24" s="827" customFormat="1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 s="1684"/>
      <c r="S120"/>
      <c r="X120" s="57">
        <f>+X118/X119</f>
        <v>2.4502332455775715</v>
      </c>
    </row>
    <row r="121" spans="2:24" s="827" customFormat="1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 s="1684"/>
      <c r="S121"/>
    </row>
    <row r="122" spans="2:24" s="827" customFormat="1">
      <c r="B122" s="25"/>
      <c r="C122" s="25"/>
      <c r="D122" s="101"/>
      <c r="E122" s="101"/>
      <c r="F122" s="101"/>
      <c r="G122" s="101"/>
      <c r="H122" s="101"/>
      <c r="I122" s="101"/>
      <c r="J122" s="25"/>
      <c r="K122" s="25"/>
      <c r="L122" s="25"/>
      <c r="M122" s="25"/>
      <c r="N122" s="25"/>
      <c r="O122" s="25"/>
      <c r="P122" s="25"/>
      <c r="Q122" s="25"/>
      <c r="R122" s="1684"/>
    </row>
    <row r="123" spans="2:24" s="827" customFormat="1">
      <c r="B123" s="25"/>
      <c r="C123" s="25"/>
      <c r="D123" s="101"/>
      <c r="E123" s="101"/>
      <c r="F123" s="101"/>
      <c r="G123" s="101"/>
      <c r="H123" s="101"/>
      <c r="I123" s="101"/>
      <c r="J123" s="25"/>
      <c r="K123" s="25"/>
      <c r="L123" s="25"/>
      <c r="M123" s="25"/>
      <c r="N123" s="25"/>
      <c r="O123" s="25"/>
      <c r="P123" s="25"/>
      <c r="Q123" s="25"/>
      <c r="R123" s="1684"/>
    </row>
    <row r="124" spans="2:24" s="827" customFormat="1">
      <c r="B124" s="25"/>
      <c r="C124" s="25"/>
      <c r="D124" s="101"/>
      <c r="E124" s="101"/>
      <c r="F124" s="101"/>
      <c r="G124" s="101"/>
      <c r="H124" s="101"/>
      <c r="I124" s="101"/>
      <c r="J124" s="25"/>
      <c r="K124" s="25"/>
      <c r="L124" s="25"/>
      <c r="M124" s="25"/>
      <c r="N124" s="25"/>
      <c r="O124" s="25"/>
      <c r="P124" s="25"/>
      <c r="Q124" s="25"/>
      <c r="R124" s="1684"/>
    </row>
    <row r="125" spans="2:24">
      <c r="B125" s="25"/>
      <c r="C125" s="25"/>
      <c r="D125" s="101"/>
      <c r="E125" s="101"/>
      <c r="F125" s="101"/>
      <c r="G125" s="101"/>
      <c r="H125" s="101" t="s">
        <v>244</v>
      </c>
      <c r="I125" s="101"/>
      <c r="J125" s="25"/>
      <c r="K125" s="25"/>
      <c r="L125" s="25"/>
      <c r="M125" s="25"/>
      <c r="N125" s="25"/>
      <c r="O125" s="25"/>
      <c r="P125" s="25"/>
      <c r="Q125" s="25"/>
    </row>
    <row r="126" spans="2:24" ht="15.75" thickBot="1">
      <c r="B126" s="25"/>
      <c r="C126" s="25"/>
      <c r="D126" s="101"/>
      <c r="E126" s="101"/>
      <c r="F126" s="101"/>
      <c r="G126" s="101"/>
      <c r="H126" s="101"/>
      <c r="I126" s="101"/>
      <c r="J126" s="25"/>
      <c r="K126" s="25"/>
      <c r="L126" s="25"/>
      <c r="M126" s="25"/>
      <c r="N126" s="25"/>
      <c r="O126" s="25"/>
      <c r="P126" s="25"/>
      <c r="Q126" s="25"/>
    </row>
    <row r="127" spans="2:24" ht="30">
      <c r="B127" s="25"/>
      <c r="C127" s="1134" t="s">
        <v>4071</v>
      </c>
      <c r="D127" s="613"/>
      <c r="E127" s="613"/>
      <c r="F127" s="613"/>
      <c r="G127" s="613"/>
      <c r="H127" s="613"/>
      <c r="I127" s="613"/>
      <c r="J127" s="613"/>
      <c r="K127" s="613"/>
      <c r="L127" s="613"/>
      <c r="M127" s="613"/>
      <c r="N127" s="613"/>
      <c r="O127" s="616" t="s">
        <v>552</v>
      </c>
      <c r="P127" s="25"/>
      <c r="Q127" s="25"/>
    </row>
    <row r="128" spans="2:24">
      <c r="B128" s="693"/>
      <c r="C128" s="896" t="s">
        <v>4068</v>
      </c>
      <c r="D128" s="1074"/>
      <c r="E128" s="1074"/>
      <c r="F128" s="1074"/>
      <c r="G128" s="1074"/>
      <c r="H128" s="1074"/>
      <c r="I128" s="1074"/>
      <c r="J128" s="1074"/>
      <c r="K128" s="1074"/>
      <c r="L128" s="1074"/>
      <c r="M128" s="1074"/>
      <c r="N128" s="1074"/>
      <c r="O128" s="759" t="s">
        <v>4070</v>
      </c>
      <c r="P128" s="25"/>
      <c r="Q128" s="25"/>
    </row>
    <row r="129" spans="2:19">
      <c r="B129" s="693"/>
      <c r="C129" s="896" t="s">
        <v>4067</v>
      </c>
      <c r="D129" s="1074"/>
      <c r="E129" s="1074"/>
      <c r="F129" s="1074"/>
      <c r="G129" s="1074"/>
      <c r="H129" s="1074"/>
      <c r="I129" s="1074"/>
      <c r="J129" s="1074"/>
      <c r="K129" s="1074"/>
      <c r="L129" s="1074"/>
      <c r="M129" s="1074"/>
      <c r="N129" s="1074"/>
      <c r="O129" s="759" t="s">
        <v>4070</v>
      </c>
      <c r="P129" s="25"/>
      <c r="Q129" s="25"/>
    </row>
    <row r="130" spans="2:19" ht="15.75" thickBot="1">
      <c r="B130" s="693"/>
      <c r="C130" s="1135" t="s">
        <v>4069</v>
      </c>
      <c r="D130" s="620"/>
      <c r="E130" s="620"/>
      <c r="F130" s="620"/>
      <c r="G130" s="620"/>
      <c r="H130" s="620"/>
      <c r="I130" s="620"/>
      <c r="J130" s="620"/>
      <c r="K130" s="620"/>
      <c r="L130" s="620"/>
      <c r="M130" s="620"/>
      <c r="N130" s="620"/>
      <c r="O130" s="527" t="s">
        <v>4070</v>
      </c>
      <c r="P130" s="25"/>
      <c r="Q130" s="25"/>
    </row>
    <row r="131" spans="2:19">
      <c r="B131" s="21" t="s">
        <v>65</v>
      </c>
      <c r="C131" s="578"/>
      <c r="D131" s="101"/>
      <c r="E131" s="101"/>
      <c r="F131" s="101"/>
      <c r="G131" s="101"/>
      <c r="H131" s="101"/>
      <c r="I131" s="101"/>
      <c r="J131" s="25"/>
      <c r="K131" s="25"/>
      <c r="L131" s="25"/>
      <c r="M131" s="25"/>
      <c r="N131" s="25"/>
      <c r="O131" s="25"/>
      <c r="P131" s="25"/>
      <c r="Q131" s="25"/>
    </row>
    <row r="132" spans="2:19">
      <c r="B132" s="25"/>
      <c r="C132" s="25"/>
      <c r="D132" s="101"/>
      <c r="E132" s="101"/>
      <c r="F132" s="101"/>
      <c r="G132" s="101"/>
      <c r="H132" s="101"/>
      <c r="I132" s="101"/>
      <c r="J132" s="25"/>
      <c r="K132" s="25"/>
      <c r="L132" s="25"/>
      <c r="M132" s="25"/>
      <c r="N132" s="25"/>
      <c r="O132" s="25"/>
      <c r="P132" s="25"/>
      <c r="Q132" s="25"/>
    </row>
    <row r="133" spans="2:19">
      <c r="B133" s="25"/>
      <c r="C133" s="25"/>
      <c r="D133" s="101"/>
      <c r="E133" s="101"/>
      <c r="F133" s="101"/>
      <c r="G133" s="101"/>
      <c r="H133" s="101"/>
      <c r="I133" s="101"/>
      <c r="J133" s="25"/>
      <c r="K133" s="25"/>
      <c r="L133" s="25"/>
      <c r="M133" s="25"/>
      <c r="N133" s="25"/>
      <c r="O133" s="2305" t="s">
        <v>3333</v>
      </c>
      <c r="P133" s="2306"/>
      <c r="Q133" s="25"/>
    </row>
    <row r="134" spans="2:19">
      <c r="B134" s="25"/>
      <c r="C134" s="25"/>
      <c r="D134" s="101"/>
      <c r="E134" s="101"/>
      <c r="F134" s="101"/>
      <c r="G134" s="101"/>
      <c r="H134" s="101"/>
      <c r="I134" s="101"/>
      <c r="J134" s="25"/>
      <c r="K134" s="25"/>
      <c r="L134" s="25"/>
      <c r="M134" s="25"/>
      <c r="N134" s="25"/>
      <c r="O134" s="1074" t="s">
        <v>4072</v>
      </c>
      <c r="P134" s="1074">
        <v>4</v>
      </c>
      <c r="Q134" s="25"/>
    </row>
    <row r="135" spans="2:19" ht="30">
      <c r="B135" s="25"/>
      <c r="C135" s="25"/>
      <c r="D135" s="101"/>
      <c r="E135" s="101"/>
      <c r="F135" s="101"/>
      <c r="G135" s="101"/>
      <c r="H135" s="101"/>
      <c r="I135" s="101"/>
      <c r="J135" s="25"/>
      <c r="K135" s="25"/>
      <c r="L135" s="25"/>
      <c r="M135" s="25"/>
      <c r="N135" s="25"/>
      <c r="O135" s="1076" t="s">
        <v>4073</v>
      </c>
      <c r="P135" s="1074">
        <v>15.52</v>
      </c>
      <c r="Q135" s="25"/>
    </row>
    <row r="136" spans="2:19" ht="30">
      <c r="B136" s="25"/>
      <c r="C136" s="25"/>
      <c r="D136" s="101"/>
      <c r="E136" s="101"/>
      <c r="F136" s="101"/>
      <c r="G136" s="101"/>
      <c r="H136" s="101"/>
      <c r="I136" s="101"/>
      <c r="J136" s="25"/>
      <c r="K136" s="25"/>
      <c r="L136" s="25"/>
      <c r="M136" s="25"/>
      <c r="N136" s="25"/>
      <c r="O136" s="1076" t="s">
        <v>4075</v>
      </c>
      <c r="P136" s="1074">
        <f>+P135-P134</f>
        <v>11.52</v>
      </c>
      <c r="Q136" s="25"/>
    </row>
    <row r="137" spans="2:19" ht="45">
      <c r="B137" s="25"/>
      <c r="C137" s="25"/>
      <c r="D137" s="101"/>
      <c r="E137" s="101"/>
      <c r="F137" s="101"/>
      <c r="G137" s="101"/>
      <c r="H137" s="101"/>
      <c r="I137" s="101"/>
      <c r="J137" s="25"/>
      <c r="K137" s="25"/>
      <c r="L137" s="25"/>
      <c r="M137" s="25"/>
      <c r="N137" s="25"/>
      <c r="O137" s="1076" t="s">
        <v>4076</v>
      </c>
      <c r="P137" s="1074">
        <f>+P136/36</f>
        <v>0.32</v>
      </c>
      <c r="Q137" s="25"/>
    </row>
    <row r="138" spans="2:19" ht="45" customHeight="1">
      <c r="B138" s="25"/>
      <c r="C138" s="25"/>
      <c r="D138" s="101"/>
      <c r="E138" s="101"/>
      <c r="F138" s="101"/>
      <c r="G138" s="101"/>
      <c r="H138" s="101"/>
      <c r="I138" s="101"/>
      <c r="J138" s="25"/>
      <c r="K138" s="25"/>
      <c r="L138" s="25"/>
      <c r="M138" s="25"/>
      <c r="N138" s="25"/>
      <c r="O138" s="2303" t="s">
        <v>4077</v>
      </c>
      <c r="P138" s="2303"/>
      <c r="Q138" s="25"/>
    </row>
    <row r="139" spans="2:19">
      <c r="B139" s="25"/>
      <c r="C139" s="25"/>
      <c r="D139" s="101"/>
      <c r="E139" s="101"/>
      <c r="F139" s="101"/>
      <c r="G139" s="101"/>
      <c r="H139" s="101"/>
      <c r="I139" s="101"/>
      <c r="J139" s="25"/>
      <c r="K139" s="25"/>
      <c r="L139" s="25"/>
      <c r="M139" s="25"/>
      <c r="N139" s="25"/>
      <c r="O139" s="2304">
        <v>4.62</v>
      </c>
      <c r="P139" s="2304"/>
      <c r="Q139" s="25"/>
    </row>
    <row r="140" spans="2:19" s="827" customFormat="1">
      <c r="B140" s="25"/>
      <c r="C140" s="25"/>
      <c r="D140" s="101"/>
      <c r="E140" s="101"/>
      <c r="F140" s="101"/>
      <c r="G140" s="101"/>
      <c r="H140" s="101"/>
      <c r="I140" s="101"/>
      <c r="J140" s="25"/>
      <c r="K140" s="25"/>
      <c r="L140" s="25"/>
      <c r="M140" s="25"/>
      <c r="N140" s="25"/>
      <c r="O140" s="1074" t="s">
        <v>4081</v>
      </c>
      <c r="P140" s="1136">
        <f>+P134/O139</f>
        <v>0.86580086580086579</v>
      </c>
      <c r="Q140" s="25"/>
      <c r="R140" s="1684"/>
    </row>
    <row r="141" spans="2:19" ht="30">
      <c r="B141" s="25"/>
      <c r="C141" s="25"/>
      <c r="D141" s="101"/>
      <c r="E141" s="101"/>
      <c r="F141" s="101"/>
      <c r="G141" s="101"/>
      <c r="H141" s="101"/>
      <c r="I141" s="101"/>
      <c r="J141" s="25"/>
      <c r="K141" s="25"/>
      <c r="L141" s="25"/>
      <c r="M141" s="25"/>
      <c r="N141" s="25"/>
      <c r="O141" s="1076" t="s">
        <v>4080</v>
      </c>
      <c r="P141" s="52">
        <f>+P135/O139</f>
        <v>3.3593073593073592</v>
      </c>
      <c r="Q141" s="25"/>
    </row>
    <row r="142" spans="2:19" ht="30">
      <c r="B142" s="25"/>
      <c r="C142" s="25"/>
      <c r="D142" s="101"/>
      <c r="E142" s="101"/>
      <c r="F142" s="101"/>
      <c r="G142" s="101"/>
      <c r="H142" s="101"/>
      <c r="I142" s="101"/>
      <c r="J142" s="25"/>
      <c r="K142" s="25"/>
      <c r="L142" s="25"/>
      <c r="M142" s="25"/>
      <c r="N142" s="25"/>
      <c r="O142" s="1076" t="s">
        <v>4079</v>
      </c>
      <c r="P142" s="52">
        <f>+P136/O139</f>
        <v>2.4935064935064934</v>
      </c>
      <c r="Q142" s="25"/>
    </row>
    <row r="143" spans="2:19" ht="30">
      <c r="B143" s="25"/>
      <c r="C143" s="25"/>
      <c r="D143" s="101"/>
      <c r="E143" s="101"/>
      <c r="F143" s="101"/>
      <c r="G143" s="101"/>
      <c r="H143" s="101"/>
      <c r="I143" s="101"/>
      <c r="J143" s="25"/>
      <c r="K143" s="25"/>
      <c r="L143" s="25"/>
      <c r="M143" s="25"/>
      <c r="N143" s="25"/>
      <c r="O143" s="655" t="s">
        <v>4078</v>
      </c>
      <c r="P143" s="1127">
        <f>+P137/O139</f>
        <v>6.9264069264069264E-2</v>
      </c>
      <c r="Q143" s="25"/>
    </row>
    <row r="144" spans="2:19" ht="30">
      <c r="B144" s="25"/>
      <c r="C144" s="1070" t="s">
        <v>4084</v>
      </c>
      <c r="D144" s="1070"/>
      <c r="E144" s="1070"/>
      <c r="F144" s="1070"/>
      <c r="G144" s="1070"/>
      <c r="H144" s="1070"/>
      <c r="I144" s="1070"/>
      <c r="J144" s="1070"/>
      <c r="K144" s="1070"/>
      <c r="L144" s="1070"/>
      <c r="M144" s="1070"/>
      <c r="N144" s="1070"/>
      <c r="O144" s="1070" t="s">
        <v>554</v>
      </c>
      <c r="P144" s="1070" t="s">
        <v>4082</v>
      </c>
      <c r="Q144" s="1070" t="s">
        <v>4074</v>
      </c>
      <c r="R144" s="1687" t="s">
        <v>4083</v>
      </c>
      <c r="S144" s="1070" t="s">
        <v>3415</v>
      </c>
    </row>
    <row r="145" spans="2:19">
      <c r="B145" s="25"/>
      <c r="C145" s="528" t="s">
        <v>3893</v>
      </c>
      <c r="D145" s="1074"/>
      <c r="E145" s="1074"/>
      <c r="F145" s="1074"/>
      <c r="G145" s="1074"/>
      <c r="H145" s="1074"/>
      <c r="I145" s="1074"/>
      <c r="J145" s="1074"/>
      <c r="K145" s="1074"/>
      <c r="L145" s="1074"/>
      <c r="M145" s="1074"/>
      <c r="N145" s="1074"/>
      <c r="O145" s="1074">
        <v>32.01</v>
      </c>
      <c r="P145" s="52">
        <f>+O145/36</f>
        <v>0.88916666666666666</v>
      </c>
      <c r="Q145" s="52">
        <f>+P143</f>
        <v>6.9264069264069264E-2</v>
      </c>
      <c r="R145" s="269">
        <f>+P145+Q145</f>
        <v>0.95843073593073591</v>
      </c>
      <c r="S145" s="1137">
        <v>0.3</v>
      </c>
    </row>
    <row r="146" spans="2:19">
      <c r="B146" s="25"/>
      <c r="C146" s="25"/>
      <c r="D146" s="101"/>
      <c r="E146" s="101"/>
      <c r="F146" s="101"/>
      <c r="G146" s="101"/>
      <c r="H146" s="101"/>
      <c r="I146" s="101"/>
      <c r="J146" s="25"/>
      <c r="K146" s="25"/>
      <c r="L146" s="25"/>
      <c r="M146" s="25"/>
      <c r="N146" s="25"/>
      <c r="O146" s="25"/>
      <c r="P146" s="25"/>
      <c r="Q146" s="25"/>
    </row>
    <row r="147" spans="2:19">
      <c r="B147" s="25"/>
      <c r="C147" s="25"/>
      <c r="D147" s="101"/>
      <c r="E147" s="101"/>
      <c r="F147" s="101"/>
      <c r="G147" s="101"/>
      <c r="H147" s="101"/>
      <c r="I147" s="101"/>
      <c r="J147" s="25"/>
      <c r="K147" s="25"/>
      <c r="L147" s="25"/>
      <c r="M147" s="25"/>
      <c r="N147" s="25"/>
      <c r="O147" s="25"/>
      <c r="P147" s="25"/>
      <c r="Q147" s="25"/>
      <c r="R147" s="1684">
        <f>+P145+Q145</f>
        <v>0.95843073593073591</v>
      </c>
      <c r="S147">
        <f>+R147*30%</f>
        <v>0.28752922077922077</v>
      </c>
    </row>
    <row r="148" spans="2:19">
      <c r="B148" s="25"/>
      <c r="C148" s="25"/>
      <c r="D148" s="101"/>
      <c r="E148" s="101"/>
      <c r="F148" s="101"/>
      <c r="G148" s="101"/>
      <c r="H148" s="101"/>
      <c r="I148" s="101"/>
      <c r="J148" s="25"/>
      <c r="K148" s="25"/>
      <c r="L148" s="25"/>
      <c r="M148" s="25"/>
      <c r="N148" s="25"/>
      <c r="O148" s="25"/>
      <c r="P148" s="25"/>
      <c r="Q148" s="25"/>
    </row>
    <row r="149" spans="2:19" ht="30">
      <c r="B149" s="25"/>
      <c r="C149" s="25"/>
      <c r="D149" s="101"/>
      <c r="E149" s="101"/>
      <c r="F149" s="101"/>
      <c r="G149" s="101"/>
      <c r="H149" s="101"/>
      <c r="I149" s="101"/>
      <c r="J149" s="25"/>
      <c r="K149" s="25"/>
      <c r="L149" s="25"/>
      <c r="M149" s="25"/>
      <c r="N149" s="25"/>
      <c r="O149" s="25"/>
      <c r="P149" s="25"/>
      <c r="Q149" s="1149" t="s">
        <v>4094</v>
      </c>
      <c r="R149" s="1684">
        <f>+R147*6</f>
        <v>5.7505844155844157</v>
      </c>
    </row>
    <row r="150" spans="2:19">
      <c r="B150" s="25"/>
      <c r="C150" s="25"/>
      <c r="D150" s="101"/>
      <c r="E150" s="101"/>
      <c r="F150" s="101"/>
      <c r="G150" s="101"/>
      <c r="H150" s="101"/>
      <c r="I150" s="101"/>
      <c r="J150" s="25"/>
      <c r="K150" s="25"/>
      <c r="L150" s="25"/>
      <c r="M150" s="25"/>
      <c r="N150" s="25"/>
      <c r="O150" s="25"/>
      <c r="P150" s="25"/>
      <c r="Q150" s="25"/>
    </row>
    <row r="151" spans="2:19">
      <c r="B151" s="25"/>
      <c r="C151" s="25"/>
      <c r="D151" s="101"/>
      <c r="E151" s="101"/>
      <c r="F151" s="101"/>
      <c r="G151" s="101"/>
      <c r="H151" s="101"/>
      <c r="I151" s="101"/>
      <c r="J151" s="25"/>
      <c r="K151" s="25"/>
      <c r="L151" s="25"/>
      <c r="M151" s="25"/>
      <c r="N151" s="25"/>
      <c r="O151" s="25"/>
      <c r="P151" s="25"/>
      <c r="Q151" s="25"/>
    </row>
    <row r="152" spans="2:19">
      <c r="B152" s="25"/>
      <c r="C152" s="25"/>
      <c r="D152" s="101"/>
      <c r="E152" s="101"/>
      <c r="F152" s="101"/>
      <c r="G152" s="101"/>
      <c r="H152" s="101"/>
      <c r="I152" s="101"/>
      <c r="J152" s="25"/>
      <c r="K152" s="25"/>
      <c r="L152" s="25"/>
      <c r="M152" s="25"/>
      <c r="N152" s="25"/>
      <c r="O152" s="25"/>
      <c r="P152" s="25"/>
      <c r="Q152" s="25"/>
    </row>
    <row r="153" spans="2:19">
      <c r="B153" s="25"/>
      <c r="C153" s="25"/>
      <c r="D153" s="101"/>
      <c r="E153" s="101"/>
      <c r="F153" s="101"/>
      <c r="G153" s="101"/>
      <c r="H153" s="101"/>
      <c r="I153" s="101"/>
      <c r="J153" s="25"/>
      <c r="K153" s="25"/>
      <c r="L153" s="25"/>
      <c r="M153" s="25"/>
      <c r="N153" s="25"/>
      <c r="O153" s="25"/>
      <c r="P153" s="25"/>
      <c r="Q153" s="25"/>
    </row>
    <row r="154" spans="2:19">
      <c r="B154" s="25"/>
      <c r="C154" s="25"/>
      <c r="D154" s="101"/>
      <c r="E154" s="101"/>
      <c r="F154" s="101"/>
      <c r="G154" s="101"/>
      <c r="H154" s="101"/>
      <c r="I154" s="101"/>
      <c r="J154" s="25"/>
      <c r="K154" s="25"/>
      <c r="L154" s="25"/>
      <c r="M154" s="25"/>
      <c r="N154" s="25"/>
      <c r="O154" s="25"/>
      <c r="P154" s="25"/>
      <c r="Q154" s="25"/>
    </row>
    <row r="155" spans="2:19">
      <c r="B155" s="25"/>
      <c r="C155" s="25"/>
      <c r="D155" s="101"/>
      <c r="E155" s="101"/>
      <c r="F155" s="101"/>
      <c r="G155" s="101"/>
      <c r="H155" s="101"/>
      <c r="I155" s="101"/>
      <c r="J155" s="25"/>
      <c r="K155" s="25"/>
      <c r="L155" s="25"/>
      <c r="M155" s="25"/>
      <c r="N155" s="25"/>
      <c r="O155" s="25"/>
      <c r="P155" s="25"/>
      <c r="Q155" s="25"/>
    </row>
    <row r="156" spans="2:19">
      <c r="B156" s="25"/>
      <c r="C156" s="25"/>
      <c r="D156" s="101"/>
      <c r="E156" s="101"/>
      <c r="F156" s="101"/>
      <c r="G156" s="101"/>
      <c r="H156" s="101"/>
      <c r="I156" s="101"/>
      <c r="J156" s="25"/>
      <c r="K156" s="25"/>
      <c r="L156" s="25"/>
      <c r="M156" s="25"/>
      <c r="N156" s="25"/>
      <c r="O156" s="25"/>
      <c r="P156" s="25"/>
      <c r="Q156" s="25"/>
    </row>
    <row r="157" spans="2:19">
      <c r="B157" s="25"/>
      <c r="C157" s="25"/>
      <c r="D157" s="101"/>
      <c r="E157" s="101"/>
      <c r="F157" s="101"/>
      <c r="G157" s="101"/>
      <c r="H157" s="101"/>
      <c r="I157" s="101"/>
      <c r="J157" s="25"/>
      <c r="K157" s="25"/>
      <c r="L157" s="25"/>
      <c r="M157" s="25"/>
      <c r="N157" s="25"/>
      <c r="O157" s="25"/>
      <c r="P157" s="25"/>
      <c r="Q157" s="25"/>
    </row>
    <row r="158" spans="2:19">
      <c r="B158" s="25"/>
      <c r="C158" s="25"/>
      <c r="D158" s="101"/>
      <c r="E158" s="101"/>
      <c r="F158" s="101"/>
      <c r="G158" s="101"/>
      <c r="H158" s="101"/>
      <c r="I158" s="101"/>
      <c r="J158" s="25"/>
      <c r="K158" s="25"/>
      <c r="L158" s="25"/>
      <c r="M158" s="25"/>
      <c r="N158" s="25"/>
      <c r="O158" s="25"/>
      <c r="P158" s="25"/>
      <c r="Q158" s="25"/>
    </row>
    <row r="159" spans="2:19">
      <c r="B159" s="25"/>
      <c r="C159" s="25"/>
      <c r="D159" s="101"/>
      <c r="E159" s="101"/>
      <c r="F159" s="101"/>
      <c r="G159" s="101"/>
      <c r="H159" s="101"/>
      <c r="I159" s="101"/>
      <c r="J159" s="25"/>
      <c r="K159" s="25"/>
      <c r="L159" s="25"/>
      <c r="M159" s="25"/>
      <c r="N159" s="25"/>
      <c r="O159" s="25"/>
      <c r="P159" s="25"/>
      <c r="Q159" s="25"/>
    </row>
    <row r="160" spans="2:19">
      <c r="B160" s="25"/>
      <c r="C160" s="25"/>
      <c r="D160" s="101"/>
      <c r="E160" s="101"/>
      <c r="F160" s="101"/>
      <c r="G160" s="101"/>
      <c r="H160" s="101"/>
      <c r="I160" s="101"/>
      <c r="J160" s="25"/>
      <c r="K160" s="25"/>
      <c r="L160" s="25"/>
      <c r="M160" s="25"/>
      <c r="N160" s="25"/>
      <c r="O160" s="25"/>
      <c r="P160" s="25"/>
      <c r="Q160" s="25"/>
    </row>
    <row r="161" spans="2:17">
      <c r="B161" s="25"/>
      <c r="C161" s="25"/>
      <c r="D161" s="101"/>
      <c r="E161" s="101"/>
      <c r="F161" s="101"/>
      <c r="G161" s="101"/>
      <c r="H161" s="101"/>
      <c r="I161" s="101"/>
      <c r="J161" s="25"/>
      <c r="K161" s="25"/>
      <c r="L161" s="25"/>
      <c r="M161" s="25"/>
      <c r="N161" s="25"/>
      <c r="O161" s="25"/>
      <c r="P161" s="25"/>
      <c r="Q161" s="25"/>
    </row>
    <row r="162" spans="2:17">
      <c r="B162" s="25"/>
      <c r="C162" s="25"/>
      <c r="D162" s="101"/>
      <c r="E162" s="101"/>
      <c r="F162" s="101"/>
      <c r="G162" s="101"/>
      <c r="H162" s="101"/>
      <c r="I162" s="101"/>
      <c r="J162" s="25"/>
      <c r="K162" s="25"/>
      <c r="L162" s="25"/>
      <c r="M162" s="25"/>
      <c r="N162" s="25"/>
      <c r="O162" s="25"/>
      <c r="P162" s="25"/>
      <c r="Q162" s="25"/>
    </row>
    <row r="163" spans="2:17">
      <c r="B163" s="25"/>
      <c r="C163" s="25"/>
      <c r="D163" s="101"/>
      <c r="E163" s="101"/>
      <c r="F163" s="101"/>
      <c r="G163" s="101"/>
      <c r="H163" s="101"/>
      <c r="I163" s="101"/>
      <c r="J163" s="25"/>
      <c r="K163" s="25"/>
      <c r="L163" s="25"/>
      <c r="M163" s="25"/>
      <c r="N163" s="25"/>
      <c r="O163" s="25"/>
      <c r="P163" s="25"/>
      <c r="Q163" s="25"/>
    </row>
    <row r="164" spans="2:17">
      <c r="B164" s="25"/>
      <c r="C164" s="25"/>
      <c r="D164" s="101"/>
      <c r="E164" s="101"/>
      <c r="F164" s="101"/>
      <c r="G164" s="101"/>
      <c r="H164" s="101"/>
      <c r="I164" s="101"/>
      <c r="J164" s="25"/>
      <c r="K164" s="25"/>
      <c r="L164" s="25"/>
      <c r="M164" s="25"/>
      <c r="N164" s="25"/>
      <c r="O164" s="25"/>
      <c r="P164" s="25"/>
      <c r="Q164" s="25"/>
    </row>
    <row r="165" spans="2:17">
      <c r="B165" s="25"/>
      <c r="C165" s="25"/>
      <c r="D165" s="101"/>
      <c r="E165" s="101"/>
      <c r="F165" s="101"/>
      <c r="G165" s="101"/>
      <c r="H165" s="101"/>
      <c r="I165" s="101"/>
      <c r="J165" s="25"/>
      <c r="K165" s="25"/>
      <c r="L165" s="25"/>
      <c r="M165" s="25"/>
      <c r="N165" s="25"/>
      <c r="O165" s="25"/>
      <c r="P165" s="25"/>
      <c r="Q165" s="25"/>
    </row>
    <row r="166" spans="2:17">
      <c r="B166" s="25"/>
      <c r="C166" s="25"/>
      <c r="D166" s="101"/>
      <c r="E166" s="101"/>
      <c r="F166" s="101"/>
      <c r="G166" s="101"/>
      <c r="H166" s="101"/>
      <c r="I166" s="101"/>
      <c r="J166" s="25"/>
      <c r="K166" s="25"/>
      <c r="L166" s="25"/>
      <c r="M166" s="25"/>
      <c r="N166" s="25"/>
      <c r="O166" s="25"/>
      <c r="P166" s="25"/>
      <c r="Q166" s="25"/>
    </row>
    <row r="167" spans="2:17">
      <c r="B167" s="25"/>
      <c r="C167" s="25"/>
      <c r="D167" s="101"/>
      <c r="E167" s="101"/>
      <c r="F167" s="101"/>
      <c r="G167" s="101"/>
      <c r="H167" s="101"/>
      <c r="I167" s="101"/>
      <c r="J167" s="25"/>
      <c r="K167" s="25"/>
      <c r="L167" s="25"/>
      <c r="M167" s="25"/>
      <c r="N167" s="25"/>
      <c r="O167" s="25"/>
      <c r="P167" s="25"/>
      <c r="Q167" s="25"/>
    </row>
    <row r="168" spans="2:17">
      <c r="B168" s="25"/>
      <c r="C168" s="25"/>
      <c r="D168" s="101"/>
      <c r="E168" s="101"/>
      <c r="F168" s="101"/>
      <c r="G168" s="101"/>
      <c r="H168" s="101"/>
      <c r="I168" s="101"/>
      <c r="J168" s="25"/>
      <c r="K168" s="25"/>
      <c r="L168" s="25"/>
      <c r="M168" s="25"/>
      <c r="N168" s="25"/>
      <c r="O168" s="25"/>
      <c r="P168" s="25"/>
      <c r="Q168" s="25"/>
    </row>
    <row r="169" spans="2:17">
      <c r="B169" s="25"/>
      <c r="C169" s="25"/>
      <c r="D169" s="101"/>
      <c r="E169" s="101"/>
      <c r="F169" s="101"/>
      <c r="G169" s="101"/>
      <c r="H169" s="101"/>
      <c r="I169" s="101"/>
      <c r="J169" s="25"/>
      <c r="K169" s="25"/>
      <c r="L169" s="25"/>
      <c r="M169" s="25"/>
      <c r="N169" s="25"/>
      <c r="O169" s="25"/>
      <c r="P169" s="25"/>
      <c r="Q169" s="25"/>
    </row>
    <row r="170" spans="2:17">
      <c r="B170" s="25"/>
      <c r="C170" s="25"/>
      <c r="D170" s="101"/>
      <c r="E170" s="101"/>
      <c r="F170" s="101"/>
      <c r="G170" s="101"/>
      <c r="H170" s="101"/>
      <c r="I170" s="101"/>
      <c r="J170" s="25"/>
      <c r="K170" s="25"/>
      <c r="L170" s="25"/>
      <c r="M170" s="25"/>
      <c r="N170" s="25"/>
      <c r="O170" s="25"/>
      <c r="P170" s="25"/>
      <c r="Q170" s="25"/>
    </row>
    <row r="171" spans="2:17">
      <c r="B171" s="25"/>
      <c r="C171" s="25"/>
      <c r="D171" s="101"/>
      <c r="E171" s="101"/>
      <c r="F171" s="101"/>
      <c r="G171" s="101"/>
      <c r="H171" s="101"/>
      <c r="I171" s="101"/>
      <c r="J171" s="25"/>
      <c r="K171" s="25"/>
      <c r="L171" s="25"/>
      <c r="M171" s="25"/>
      <c r="N171" s="25"/>
      <c r="O171" s="25"/>
      <c r="P171" s="25"/>
      <c r="Q171" s="25"/>
    </row>
    <row r="172" spans="2:17">
      <c r="B172" s="25"/>
      <c r="C172" s="25"/>
      <c r="D172" s="101"/>
      <c r="E172" s="101"/>
      <c r="F172" s="101"/>
      <c r="G172" s="101"/>
      <c r="H172" s="101"/>
      <c r="I172" s="101"/>
      <c r="J172" s="25"/>
      <c r="K172" s="25"/>
      <c r="L172" s="25"/>
      <c r="M172" s="25"/>
      <c r="N172" s="25"/>
      <c r="O172" s="25"/>
      <c r="P172" s="25"/>
      <c r="Q172" s="25"/>
    </row>
    <row r="173" spans="2:17">
      <c r="B173" s="25"/>
      <c r="C173" s="25"/>
      <c r="D173" s="101"/>
      <c r="E173" s="101"/>
      <c r="F173" s="101"/>
      <c r="G173" s="101"/>
      <c r="H173" s="101"/>
      <c r="I173" s="101"/>
      <c r="J173" s="25"/>
      <c r="K173" s="25"/>
      <c r="L173" s="25"/>
      <c r="M173" s="25"/>
      <c r="N173" s="25"/>
      <c r="O173" s="25"/>
      <c r="P173" s="25"/>
      <c r="Q173" s="25"/>
    </row>
    <row r="174" spans="2:17">
      <c r="B174" s="25"/>
      <c r="C174" s="25"/>
      <c r="D174" s="101"/>
      <c r="E174" s="101"/>
      <c r="F174" s="101"/>
      <c r="G174" s="101"/>
      <c r="H174" s="101"/>
      <c r="I174" s="101"/>
      <c r="J174" s="25"/>
      <c r="K174" s="25"/>
      <c r="L174" s="25"/>
      <c r="M174" s="25"/>
      <c r="N174" s="25"/>
      <c r="O174" s="25"/>
      <c r="P174" s="25"/>
      <c r="Q174" s="25"/>
    </row>
    <row r="175" spans="2:17">
      <c r="B175" s="25"/>
      <c r="C175" s="25"/>
      <c r="D175" s="101"/>
      <c r="E175" s="101"/>
      <c r="F175" s="101"/>
      <c r="G175" s="101"/>
      <c r="H175" s="101"/>
      <c r="I175" s="101"/>
      <c r="J175" s="25"/>
      <c r="K175" s="25"/>
      <c r="L175" s="25"/>
      <c r="M175" s="25"/>
      <c r="N175" s="25"/>
      <c r="O175" s="25"/>
      <c r="P175" s="25"/>
      <c r="Q175" s="25"/>
    </row>
    <row r="176" spans="2:17">
      <c r="B176" s="25"/>
      <c r="C176" s="25"/>
      <c r="D176" s="101"/>
      <c r="E176" s="101"/>
      <c r="F176" s="101"/>
      <c r="G176" s="101"/>
      <c r="H176" s="101"/>
      <c r="I176" s="101"/>
      <c r="J176" s="25"/>
      <c r="K176" s="25"/>
      <c r="L176" s="25"/>
      <c r="M176" s="25"/>
      <c r="N176" s="25"/>
      <c r="O176" s="25"/>
      <c r="P176" s="25"/>
      <c r="Q176" s="25"/>
    </row>
    <row r="177" spans="2:17">
      <c r="B177" s="25"/>
      <c r="C177" s="25"/>
      <c r="D177" s="101"/>
      <c r="E177" s="101"/>
      <c r="F177" s="101"/>
      <c r="G177" s="101"/>
      <c r="H177" s="101"/>
      <c r="I177" s="101"/>
      <c r="J177" s="25"/>
      <c r="K177" s="25"/>
      <c r="L177" s="25"/>
      <c r="M177" s="25"/>
      <c r="N177" s="25"/>
      <c r="O177" s="25"/>
      <c r="P177" s="25"/>
      <c r="Q177" s="25"/>
    </row>
    <row r="178" spans="2:17">
      <c r="B178" s="25"/>
      <c r="C178" s="25"/>
      <c r="D178" s="101"/>
      <c r="E178" s="101"/>
      <c r="F178" s="101"/>
      <c r="G178" s="101"/>
      <c r="H178" s="101"/>
      <c r="I178" s="101"/>
      <c r="J178" s="25"/>
      <c r="K178" s="25"/>
      <c r="L178" s="25"/>
      <c r="M178" s="25"/>
      <c r="N178" s="25"/>
      <c r="O178" s="25"/>
      <c r="P178" s="25"/>
      <c r="Q178" s="25"/>
    </row>
    <row r="179" spans="2:17">
      <c r="B179" s="25"/>
      <c r="C179" s="25"/>
      <c r="D179" s="101"/>
      <c r="E179" s="101"/>
      <c r="F179" s="101"/>
      <c r="G179" s="101"/>
      <c r="H179" s="101"/>
      <c r="I179" s="101"/>
      <c r="J179" s="25"/>
      <c r="K179" s="25"/>
      <c r="L179" s="25"/>
      <c r="M179" s="25"/>
      <c r="N179" s="25"/>
      <c r="O179" s="25"/>
      <c r="P179" s="25"/>
      <c r="Q179" s="25"/>
    </row>
    <row r="180" spans="2:17">
      <c r="B180" s="25"/>
      <c r="C180" s="25"/>
      <c r="D180" s="101"/>
      <c r="E180" s="101"/>
      <c r="F180" s="101"/>
      <c r="G180" s="101"/>
      <c r="H180" s="101"/>
      <c r="I180" s="101"/>
      <c r="J180" s="25"/>
      <c r="K180" s="25"/>
      <c r="L180" s="25"/>
      <c r="M180" s="25"/>
      <c r="N180" s="25"/>
      <c r="O180" s="25"/>
      <c r="P180" s="25"/>
      <c r="Q180" s="25"/>
    </row>
    <row r="181" spans="2:17">
      <c r="B181" s="25"/>
      <c r="C181" s="25"/>
      <c r="D181" s="101"/>
      <c r="E181" s="101"/>
      <c r="F181" s="101"/>
      <c r="G181" s="101"/>
      <c r="H181" s="101"/>
      <c r="I181" s="101"/>
      <c r="J181" s="25"/>
      <c r="K181" s="25"/>
      <c r="L181" s="25"/>
      <c r="M181" s="25"/>
      <c r="N181" s="25"/>
      <c r="O181" s="25"/>
      <c r="P181" s="25"/>
      <c r="Q181" s="25"/>
    </row>
    <row r="182" spans="2:17">
      <c r="B182" s="25"/>
      <c r="C182" s="25"/>
      <c r="D182" s="101"/>
      <c r="E182" s="101"/>
      <c r="F182" s="101"/>
      <c r="G182" s="101"/>
      <c r="H182" s="101"/>
      <c r="I182" s="101"/>
      <c r="J182" s="25"/>
      <c r="K182" s="25"/>
      <c r="L182" s="25"/>
      <c r="M182" s="25"/>
      <c r="N182" s="25"/>
      <c r="O182" s="25"/>
      <c r="P182" s="25"/>
      <c r="Q182" s="25"/>
    </row>
    <row r="183" spans="2:17">
      <c r="B183" s="25"/>
      <c r="C183" s="25"/>
      <c r="D183" s="101"/>
      <c r="E183" s="101"/>
      <c r="F183" s="101"/>
      <c r="G183" s="101"/>
      <c r="H183" s="101"/>
      <c r="I183" s="101"/>
      <c r="J183" s="25"/>
      <c r="K183" s="25"/>
      <c r="L183" s="25"/>
      <c r="M183" s="25"/>
      <c r="N183" s="25"/>
      <c r="O183" s="25"/>
      <c r="P183" s="25"/>
      <c r="Q183" s="25"/>
    </row>
    <row r="184" spans="2:17">
      <c r="B184" s="25"/>
      <c r="C184" s="25"/>
      <c r="D184" s="101"/>
      <c r="E184" s="101"/>
      <c r="F184" s="101"/>
      <c r="G184" s="101"/>
      <c r="H184" s="101"/>
      <c r="I184" s="101"/>
      <c r="J184" s="25"/>
      <c r="K184" s="25"/>
      <c r="L184" s="25"/>
      <c r="M184" s="25"/>
      <c r="N184" s="25"/>
      <c r="O184" s="25"/>
      <c r="P184" s="25"/>
      <c r="Q184" s="25"/>
    </row>
  </sheetData>
  <sortState ref="B87:C107">
    <sortCondition ref="C6:C26"/>
  </sortState>
  <mergeCells count="3">
    <mergeCell ref="O138:P138"/>
    <mergeCell ref="O139:P139"/>
    <mergeCell ref="O133:P133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4:O29"/>
  <sheetViews>
    <sheetView workbookViewId="0">
      <selection activeCell="G18" sqref="G18"/>
    </sheetView>
  </sheetViews>
  <sheetFormatPr baseColWidth="10" defaultRowHeight="15"/>
  <cols>
    <col min="2" max="2" width="34" customWidth="1"/>
    <col min="3" max="3" width="16.42578125" customWidth="1"/>
    <col min="4" max="4" width="14.5703125" customWidth="1"/>
  </cols>
  <sheetData>
    <row r="4" spans="1:9" ht="45">
      <c r="A4" s="21" t="s">
        <v>0</v>
      </c>
      <c r="B4" s="1890" t="s">
        <v>1</v>
      </c>
      <c r="C4" s="1892" t="s">
        <v>19</v>
      </c>
      <c r="D4" s="1892" t="s">
        <v>20</v>
      </c>
      <c r="E4" s="1892" t="s">
        <v>21</v>
      </c>
      <c r="F4" s="1892" t="s">
        <v>22</v>
      </c>
      <c r="G4" s="1892" t="s">
        <v>23</v>
      </c>
      <c r="H4" s="1892" t="s">
        <v>24</v>
      </c>
      <c r="I4" s="25"/>
    </row>
    <row r="5" spans="1:9">
      <c r="A5" s="307">
        <v>3057</v>
      </c>
      <c r="B5" s="21" t="s">
        <v>79</v>
      </c>
      <c r="C5" s="1890" t="s">
        <v>5573</v>
      </c>
      <c r="D5" s="1890" t="s">
        <v>244</v>
      </c>
      <c r="E5" s="1890" t="s">
        <v>244</v>
      </c>
      <c r="F5" s="21"/>
      <c r="G5" s="21"/>
      <c r="H5" s="21"/>
      <c r="I5" s="25"/>
    </row>
    <row r="6" spans="1:9" hidden="1">
      <c r="A6" s="21">
        <v>1619</v>
      </c>
      <c r="B6" s="21" t="s">
        <v>77</v>
      </c>
      <c r="C6" s="1890"/>
      <c r="D6" s="1890"/>
      <c r="E6" s="1890"/>
      <c r="F6" s="21"/>
      <c r="G6" s="21"/>
      <c r="H6" s="21"/>
      <c r="I6" s="25"/>
    </row>
    <row r="7" spans="1:9" hidden="1">
      <c r="A7" s="21">
        <v>2648</v>
      </c>
      <c r="B7" s="21" t="s">
        <v>80</v>
      </c>
      <c r="C7" s="1890"/>
      <c r="D7" s="1890"/>
      <c r="E7" s="1890"/>
      <c r="F7" s="21"/>
      <c r="G7" s="21"/>
      <c r="H7" s="21"/>
      <c r="I7" s="25"/>
    </row>
    <row r="8" spans="1:9">
      <c r="A8" s="307">
        <v>14237</v>
      </c>
      <c r="B8" s="21" t="s">
        <v>75</v>
      </c>
      <c r="C8" s="1890" t="s">
        <v>1321</v>
      </c>
      <c r="D8" s="1890" t="s">
        <v>268</v>
      </c>
      <c r="E8" s="1890" t="s">
        <v>244</v>
      </c>
      <c r="F8" s="21"/>
      <c r="G8" s="21"/>
      <c r="H8" s="21"/>
      <c r="I8" s="25"/>
    </row>
    <row r="9" spans="1:9">
      <c r="A9" s="307">
        <v>3782</v>
      </c>
      <c r="B9" s="21" t="s">
        <v>78</v>
      </c>
      <c r="C9" s="1890" t="s">
        <v>1321</v>
      </c>
      <c r="D9" s="1890" t="s">
        <v>268</v>
      </c>
      <c r="E9" s="1890" t="s">
        <v>244</v>
      </c>
      <c r="F9" s="21"/>
      <c r="G9" s="21"/>
      <c r="H9" s="21"/>
      <c r="I9" s="25"/>
    </row>
    <row r="10" spans="1:9" hidden="1">
      <c r="A10" s="21">
        <v>12435</v>
      </c>
      <c r="B10" s="21" t="s">
        <v>76</v>
      </c>
      <c r="C10" s="1890"/>
      <c r="D10" s="1890"/>
      <c r="E10" s="1890"/>
      <c r="F10" s="21"/>
      <c r="G10" s="21"/>
      <c r="H10" s="21"/>
      <c r="I10" s="25"/>
    </row>
    <row r="11" spans="1:9">
      <c r="A11" s="21"/>
      <c r="B11" s="53" t="s">
        <v>5569</v>
      </c>
      <c r="C11" s="1890" t="s">
        <v>65</v>
      </c>
      <c r="D11" s="21" t="s">
        <v>268</v>
      </c>
      <c r="E11" s="21" t="s">
        <v>268</v>
      </c>
      <c r="F11" s="25"/>
      <c r="G11" s="25"/>
      <c r="H11" s="25"/>
      <c r="I11" s="25"/>
    </row>
    <row r="12" spans="1:9">
      <c r="A12" s="25"/>
      <c r="B12" s="25"/>
      <c r="C12" s="25"/>
      <c r="D12" s="25"/>
      <c r="E12" s="25"/>
      <c r="F12" s="25"/>
      <c r="G12" s="25"/>
      <c r="H12" s="25"/>
      <c r="I12" s="25"/>
    </row>
    <row r="13" spans="1:9" ht="30">
      <c r="A13" s="25"/>
      <c r="B13" s="1895" t="s">
        <v>62</v>
      </c>
      <c r="C13" s="1933" t="s">
        <v>60</v>
      </c>
      <c r="D13" s="1933" t="s">
        <v>63</v>
      </c>
      <c r="E13" s="1933" t="s">
        <v>66</v>
      </c>
      <c r="F13" s="1933" t="s">
        <v>67</v>
      </c>
      <c r="G13" s="1933" t="s">
        <v>68</v>
      </c>
      <c r="H13" s="1933" t="s">
        <v>69</v>
      </c>
      <c r="I13" s="25"/>
    </row>
    <row r="14" spans="1:9">
      <c r="A14" s="523">
        <v>3057</v>
      </c>
      <c r="B14" s="523" t="s">
        <v>79</v>
      </c>
      <c r="C14" s="453">
        <v>14.8</v>
      </c>
      <c r="D14" s="1890" t="s">
        <v>64</v>
      </c>
      <c r="E14" s="1890">
        <v>36</v>
      </c>
      <c r="F14" s="1893">
        <f>C14/E14</f>
        <v>0.41111111111111115</v>
      </c>
      <c r="G14" s="1890">
        <v>5</v>
      </c>
      <c r="H14" s="1890">
        <f t="shared" ref="H14:H19" si="0">C14*G14</f>
        <v>74</v>
      </c>
      <c r="I14" s="25"/>
    </row>
    <row r="15" spans="1:9">
      <c r="A15" s="21">
        <v>1619</v>
      </c>
      <c r="B15" s="21" t="s">
        <v>77</v>
      </c>
      <c r="C15" s="1890">
        <v>0</v>
      </c>
      <c r="D15" s="1890" t="s">
        <v>64</v>
      </c>
      <c r="E15" s="1890">
        <v>24</v>
      </c>
      <c r="F15" s="1893">
        <f>C15/E15</f>
        <v>0</v>
      </c>
      <c r="G15" s="1890"/>
      <c r="H15" s="1890">
        <f t="shared" si="0"/>
        <v>0</v>
      </c>
      <c r="I15" s="25"/>
    </row>
    <row r="16" spans="1:9">
      <c r="A16" s="21">
        <v>2648</v>
      </c>
      <c r="B16" s="21" t="s">
        <v>80</v>
      </c>
      <c r="C16" s="1890">
        <v>0</v>
      </c>
      <c r="D16" s="1890" t="s">
        <v>64</v>
      </c>
      <c r="E16" s="1890">
        <v>24</v>
      </c>
      <c r="F16" s="1893">
        <f>C16/E16</f>
        <v>0</v>
      </c>
      <c r="G16" s="1890"/>
      <c r="H16" s="1890">
        <f t="shared" si="0"/>
        <v>0</v>
      </c>
      <c r="I16" s="25"/>
    </row>
    <row r="17" spans="1:15">
      <c r="A17" s="523">
        <v>14237</v>
      </c>
      <c r="B17" s="523" t="s">
        <v>75</v>
      </c>
      <c r="C17" s="453">
        <v>16</v>
      </c>
      <c r="D17" s="1890" t="s">
        <v>64</v>
      </c>
      <c r="E17" s="1890">
        <v>24</v>
      </c>
      <c r="F17" s="1893">
        <f>C17/E17</f>
        <v>0.66666666666666663</v>
      </c>
      <c r="G17" s="1890">
        <v>5</v>
      </c>
      <c r="H17" s="1890">
        <f t="shared" si="0"/>
        <v>80</v>
      </c>
      <c r="I17" s="25"/>
      <c r="K17" t="s">
        <v>2443</v>
      </c>
      <c r="L17">
        <v>4.4736000000000002</v>
      </c>
    </row>
    <row r="18" spans="1:15">
      <c r="A18" s="523">
        <v>3782</v>
      </c>
      <c r="B18" s="523" t="s">
        <v>78</v>
      </c>
      <c r="C18" s="453">
        <v>18.5</v>
      </c>
      <c r="D18" s="1890" t="s">
        <v>64</v>
      </c>
      <c r="E18" s="1890">
        <v>24</v>
      </c>
      <c r="F18" s="1893">
        <f>C18/E18</f>
        <v>0.77083333333333337</v>
      </c>
      <c r="G18" s="1890">
        <v>0</v>
      </c>
      <c r="H18" s="1890">
        <f t="shared" si="0"/>
        <v>0</v>
      </c>
      <c r="I18" s="25"/>
      <c r="K18" t="s">
        <v>2444</v>
      </c>
      <c r="L18">
        <v>42.69</v>
      </c>
      <c r="N18">
        <v>47.69</v>
      </c>
      <c r="O18">
        <f>N18*4</f>
        <v>190.76</v>
      </c>
    </row>
    <row r="19" spans="1:15">
      <c r="A19" s="21">
        <v>12435</v>
      </c>
      <c r="B19" s="21" t="s">
        <v>76</v>
      </c>
      <c r="C19" s="1890"/>
      <c r="D19" s="1890" t="s">
        <v>61</v>
      </c>
      <c r="E19" s="1890"/>
      <c r="F19" s="1890"/>
      <c r="G19" s="1890"/>
      <c r="H19" s="1890">
        <f t="shared" si="0"/>
        <v>0</v>
      </c>
      <c r="I19" s="25"/>
      <c r="L19" t="s">
        <v>65</v>
      </c>
    </row>
    <row r="20" spans="1:15" ht="30">
      <c r="A20" s="25"/>
      <c r="B20" s="25"/>
      <c r="C20" s="25"/>
      <c r="D20" s="25"/>
      <c r="E20" s="25"/>
      <c r="F20" s="25"/>
      <c r="G20" s="1898" t="s">
        <v>74</v>
      </c>
      <c r="H20" s="1453">
        <f>SUM(H14:H19)</f>
        <v>154</v>
      </c>
      <c r="I20" s="25"/>
    </row>
    <row r="21" spans="1:15">
      <c r="A21" s="25"/>
      <c r="B21" s="25"/>
      <c r="C21" s="25"/>
      <c r="D21" s="25"/>
      <c r="E21" s="25"/>
      <c r="F21" s="25"/>
      <c r="G21" s="25"/>
      <c r="H21" s="25"/>
      <c r="I21" s="25"/>
    </row>
    <row r="22" spans="1:15">
      <c r="A22" s="25"/>
      <c r="B22" s="25"/>
      <c r="C22" s="25"/>
      <c r="D22" s="25"/>
      <c r="E22" s="25"/>
      <c r="F22" s="25"/>
      <c r="G22" s="25"/>
      <c r="H22" s="25"/>
      <c r="I22" s="25"/>
    </row>
    <row r="23" spans="1:15">
      <c r="A23" s="25"/>
      <c r="B23" s="25"/>
      <c r="C23" s="25"/>
      <c r="D23" s="25"/>
      <c r="E23" s="25"/>
      <c r="F23" s="25"/>
      <c r="G23" s="25"/>
      <c r="H23" s="25"/>
      <c r="I23" s="25"/>
    </row>
    <row r="24" spans="1:15">
      <c r="A24" s="25"/>
      <c r="B24" s="25"/>
      <c r="C24" s="25"/>
      <c r="D24" s="25"/>
      <c r="E24" s="25"/>
      <c r="F24" s="25"/>
      <c r="G24" s="25"/>
      <c r="H24" s="25"/>
      <c r="I24" s="25"/>
    </row>
    <row r="25" spans="1:15">
      <c r="A25" s="25"/>
      <c r="B25" s="25"/>
      <c r="C25" s="25"/>
      <c r="D25" s="25"/>
      <c r="E25" s="25"/>
      <c r="F25" s="25"/>
      <c r="G25" s="25"/>
      <c r="H25" s="25"/>
      <c r="I25" s="25"/>
    </row>
    <row r="26" spans="1:15">
      <c r="A26" s="25"/>
      <c r="B26" s="25"/>
      <c r="C26" s="25"/>
      <c r="D26" s="25"/>
      <c r="E26" s="25"/>
      <c r="F26" s="25"/>
      <c r="G26" s="25"/>
      <c r="H26" s="25"/>
      <c r="I26" s="25"/>
    </row>
    <row r="27" spans="1:15">
      <c r="A27" s="25"/>
      <c r="B27" s="25"/>
      <c r="C27" s="25"/>
      <c r="D27" s="25"/>
      <c r="E27" s="25"/>
      <c r="F27" s="25"/>
      <c r="G27" s="25">
        <v>4.4123999999999999</v>
      </c>
      <c r="H27" s="25"/>
      <c r="I27" s="25"/>
    </row>
    <row r="28" spans="1:15">
      <c r="A28" s="25"/>
      <c r="B28" s="25"/>
      <c r="C28" s="25"/>
      <c r="D28" s="25"/>
      <c r="E28" s="25"/>
      <c r="F28" s="25"/>
      <c r="G28" s="25">
        <v>44.39</v>
      </c>
      <c r="H28" s="25"/>
      <c r="I28" s="25"/>
    </row>
    <row r="29" spans="1:15">
      <c r="G29">
        <f>+G28/G27</f>
        <v>10.060284652343396</v>
      </c>
    </row>
  </sheetData>
  <sortState ref="A5:B10">
    <sortCondition ref="B5:B10"/>
  </sortState>
  <pageMargins left="0.7" right="0.7" top="0.75" bottom="0.75" header="0.3" footer="0.3"/>
  <pageSetup paperSize="11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43"/>
  <sheetViews>
    <sheetView workbookViewId="0">
      <selection activeCell="B4" sqref="B4:V87"/>
    </sheetView>
  </sheetViews>
  <sheetFormatPr baseColWidth="10" defaultRowHeight="15"/>
  <cols>
    <col min="3" max="3" width="16.5703125" style="827" customWidth="1"/>
    <col min="4" max="4" width="39" customWidth="1"/>
    <col min="5" max="10" width="11.42578125" hidden="1" customWidth="1"/>
    <col min="11" max="11" width="16" style="25" customWidth="1"/>
    <col min="12" max="13" width="11.42578125" style="25" hidden="1" customWidth="1"/>
    <col min="14" max="14" width="11.42578125" style="962" hidden="1" customWidth="1"/>
    <col min="15" max="21" width="11.42578125" style="25" hidden="1" customWidth="1"/>
  </cols>
  <sheetData>
    <row r="2" spans="2:22">
      <c r="C2" s="1483">
        <v>44593</v>
      </c>
    </row>
    <row r="3" spans="2:22" ht="18">
      <c r="B3" s="2307" t="s">
        <v>65</v>
      </c>
      <c r="C3" s="2307"/>
      <c r="D3" s="2307"/>
      <c r="E3" s="2308"/>
      <c r="F3" s="2308"/>
      <c r="G3" s="2308"/>
      <c r="H3" s="2308"/>
      <c r="I3" s="2308"/>
      <c r="J3" s="2308"/>
      <c r="L3" s="2310" t="s">
        <v>4794</v>
      </c>
      <c r="M3" s="2310"/>
      <c r="P3" s="2310" t="s">
        <v>4794</v>
      </c>
      <c r="Q3" s="2310"/>
      <c r="R3" s="962"/>
    </row>
    <row r="4" spans="2:22" ht="105" customHeight="1">
      <c r="B4" s="2311" t="s">
        <v>1990</v>
      </c>
      <c r="C4" s="2312"/>
      <c r="E4" s="2309"/>
      <c r="F4" s="2309"/>
      <c r="G4" s="1482"/>
      <c r="H4" s="1500" t="s">
        <v>1991</v>
      </c>
      <c r="I4" s="1501"/>
      <c r="J4" s="1502"/>
      <c r="K4" s="1014" t="s">
        <v>19</v>
      </c>
      <c r="L4" s="1445" t="s">
        <v>110</v>
      </c>
      <c r="M4" s="1445" t="s">
        <v>111</v>
      </c>
      <c r="N4" s="1447" t="s">
        <v>4795</v>
      </c>
      <c r="O4" s="378" t="s">
        <v>20</v>
      </c>
      <c r="P4" s="1445" t="s">
        <v>110</v>
      </c>
      <c r="Q4" s="1445" t="s">
        <v>111</v>
      </c>
      <c r="R4" s="1447" t="s">
        <v>4795</v>
      </c>
      <c r="S4" s="378" t="s">
        <v>21</v>
      </c>
      <c r="T4" s="574" t="s">
        <v>23</v>
      </c>
      <c r="U4" s="1447" t="s">
        <v>24</v>
      </c>
    </row>
    <row r="5" spans="2:22">
      <c r="B5" s="1484" t="s">
        <v>116</v>
      </c>
      <c r="C5" s="1485" t="s">
        <v>116</v>
      </c>
      <c r="D5" s="1485" t="s">
        <v>4780</v>
      </c>
      <c r="E5" s="1485"/>
      <c r="F5" s="1485"/>
      <c r="G5" s="1482" t="s">
        <v>1992</v>
      </c>
      <c r="H5" s="1482" t="s">
        <v>1993</v>
      </c>
      <c r="I5" s="1482" t="s">
        <v>1994</v>
      </c>
      <c r="J5" s="1482" t="s">
        <v>1995</v>
      </c>
      <c r="K5" s="1445"/>
      <c r="L5" s="1445"/>
      <c r="M5" s="1445"/>
      <c r="N5" s="978"/>
      <c r="O5" s="1445"/>
      <c r="P5" s="1445"/>
      <c r="Q5" s="1445"/>
      <c r="R5" s="978"/>
      <c r="S5" s="1445"/>
      <c r="T5" s="1445"/>
      <c r="U5" s="1445"/>
    </row>
    <row r="6" spans="2:22">
      <c r="B6" s="1484" t="s">
        <v>1996</v>
      </c>
      <c r="C6" s="1485" t="s">
        <v>1997</v>
      </c>
      <c r="D6" s="1485" t="s">
        <v>107</v>
      </c>
      <c r="E6" s="1485" t="s">
        <v>4793</v>
      </c>
      <c r="F6" s="1485" t="s">
        <v>1998</v>
      </c>
      <c r="G6" s="1480" t="s">
        <v>1999</v>
      </c>
      <c r="H6" s="1481" t="s">
        <v>1999</v>
      </c>
      <c r="I6" s="1480" t="s">
        <v>1999</v>
      </c>
      <c r="J6" s="1481" t="s">
        <v>1999</v>
      </c>
      <c r="K6" s="1445"/>
      <c r="L6" s="1445"/>
      <c r="M6" s="1445"/>
      <c r="N6" s="978"/>
      <c r="O6" s="1445"/>
      <c r="P6" s="1445"/>
      <c r="Q6" s="1445"/>
      <c r="R6" s="978"/>
      <c r="S6" s="1445"/>
      <c r="T6" s="1445"/>
      <c r="U6" s="1445"/>
    </row>
    <row r="7" spans="2:22" hidden="1">
      <c r="B7" s="1486"/>
      <c r="C7" s="1487"/>
      <c r="D7" s="1503" t="s">
        <v>2003</v>
      </c>
      <c r="E7" s="1488"/>
      <c r="F7" s="1488"/>
      <c r="G7" s="1489"/>
      <c r="H7" s="1490"/>
      <c r="I7" s="1490"/>
      <c r="J7" s="1490"/>
      <c r="K7" s="1445"/>
      <c r="L7" s="1445"/>
      <c r="M7" s="1445"/>
      <c r="N7" s="978"/>
      <c r="O7" s="1445"/>
      <c r="P7" s="1445"/>
      <c r="Q7" s="1445"/>
      <c r="R7" s="978"/>
      <c r="S7" s="1445"/>
      <c r="T7" s="1445"/>
      <c r="U7" s="1445"/>
    </row>
    <row r="8" spans="2:22">
      <c r="B8" s="1491" t="s">
        <v>2004</v>
      </c>
      <c r="C8" s="1506">
        <v>7591542001011</v>
      </c>
      <c r="D8" s="1505" t="s">
        <v>2005</v>
      </c>
      <c r="E8" s="1505" t="s">
        <v>2006</v>
      </c>
      <c r="F8" s="1505">
        <v>24</v>
      </c>
      <c r="G8" s="1507">
        <v>3.2258064516129026</v>
      </c>
      <c r="H8" s="1508">
        <v>0.1344086021505376</v>
      </c>
      <c r="I8" s="1495">
        <v>3.7419354838709666</v>
      </c>
      <c r="J8" s="1494">
        <v>0.1559139784946236</v>
      </c>
      <c r="K8" s="1445">
        <v>1</v>
      </c>
      <c r="L8" s="1445"/>
      <c r="M8" s="1445"/>
      <c r="N8" s="978">
        <f>+K8*G8</f>
        <v>3.2258064516129026</v>
      </c>
      <c r="O8" s="1445"/>
      <c r="P8" s="1445"/>
      <c r="Q8" s="1445"/>
      <c r="R8" s="978"/>
      <c r="S8" s="1445"/>
      <c r="T8" s="1445"/>
      <c r="U8" s="1445"/>
      <c r="V8" s="101" t="s">
        <v>554</v>
      </c>
    </row>
    <row r="9" spans="2:22">
      <c r="B9" s="1491" t="s">
        <v>2007</v>
      </c>
      <c r="C9" s="1506">
        <v>7591542001028</v>
      </c>
      <c r="D9" s="1505" t="s">
        <v>2008</v>
      </c>
      <c r="E9" s="1505" t="s">
        <v>2006</v>
      </c>
      <c r="F9" s="1505">
        <v>24</v>
      </c>
      <c r="G9" s="1507">
        <v>3.6640292148508822</v>
      </c>
      <c r="H9" s="1508">
        <v>0.15266788395212008</v>
      </c>
      <c r="I9" s="1495">
        <v>4.2502738892270227</v>
      </c>
      <c r="J9" s="1494">
        <v>0.17709474538445927</v>
      </c>
      <c r="K9" s="1445">
        <v>1</v>
      </c>
      <c r="L9" s="1445"/>
      <c r="M9" s="1445"/>
      <c r="N9" s="978">
        <f t="shared" ref="N9:N72" si="0">+K9*G9</f>
        <v>3.6640292148508822</v>
      </c>
      <c r="O9" s="1445"/>
      <c r="P9" s="1445"/>
      <c r="Q9" s="1445"/>
      <c r="R9" s="978"/>
      <c r="S9" s="1445"/>
      <c r="T9" s="1445"/>
      <c r="U9" s="1445"/>
      <c r="V9" s="101" t="s">
        <v>554</v>
      </c>
    </row>
    <row r="10" spans="2:22">
      <c r="B10" s="1491" t="s">
        <v>2009</v>
      </c>
      <c r="C10" s="1506">
        <v>7591542001035</v>
      </c>
      <c r="D10" s="1505" t="s">
        <v>2010</v>
      </c>
      <c r="E10" s="1505" t="s">
        <v>2006</v>
      </c>
      <c r="F10" s="1505">
        <v>24</v>
      </c>
      <c r="G10" s="1507">
        <v>6.1472915398660977</v>
      </c>
      <c r="H10" s="1508">
        <v>0.25613714749442074</v>
      </c>
      <c r="I10" s="1495">
        <v>7.1308581862446729</v>
      </c>
      <c r="J10" s="1494">
        <v>0.29711909109352802</v>
      </c>
      <c r="K10" s="1445">
        <v>1</v>
      </c>
      <c r="L10" s="1445"/>
      <c r="M10" s="1445"/>
      <c r="N10" s="978">
        <f t="shared" si="0"/>
        <v>6.1472915398660977</v>
      </c>
      <c r="O10" s="1445"/>
      <c r="P10" s="1445"/>
      <c r="Q10" s="1445"/>
      <c r="R10" s="978"/>
      <c r="S10" s="1445"/>
      <c r="T10" s="1445"/>
      <c r="U10" s="1445"/>
      <c r="V10" s="101" t="s">
        <v>554</v>
      </c>
    </row>
    <row r="11" spans="2:22">
      <c r="B11" s="1491" t="s">
        <v>2011</v>
      </c>
      <c r="C11" s="1506">
        <v>7591542001042</v>
      </c>
      <c r="D11" s="1505" t="s">
        <v>2012</v>
      </c>
      <c r="E11" s="1505" t="s">
        <v>2013</v>
      </c>
      <c r="F11" s="1505">
        <v>24</v>
      </c>
      <c r="G11" s="1507">
        <v>10.042604990870361</v>
      </c>
      <c r="H11" s="1508">
        <v>0.41844187461959836</v>
      </c>
      <c r="I11" s="1495">
        <v>11.649421789409617</v>
      </c>
      <c r="J11" s="1494">
        <v>0.48539257455873402</v>
      </c>
      <c r="K11" s="1445">
        <v>1</v>
      </c>
      <c r="L11" s="1445"/>
      <c r="M11" s="1445"/>
      <c r="N11" s="978">
        <f t="shared" si="0"/>
        <v>10.042604990870361</v>
      </c>
      <c r="O11" s="1445"/>
      <c r="P11" s="1445"/>
      <c r="Q11" s="1445"/>
      <c r="R11" s="978"/>
      <c r="S11" s="1445"/>
      <c r="T11" s="1445"/>
      <c r="U11" s="1445"/>
      <c r="V11" s="101" t="s">
        <v>554</v>
      </c>
    </row>
    <row r="12" spans="2:22">
      <c r="B12" s="1491" t="s">
        <v>2014</v>
      </c>
      <c r="C12" s="1506">
        <v>7591542001059</v>
      </c>
      <c r="D12" s="1505" t="s">
        <v>2015</v>
      </c>
      <c r="E12" s="1505" t="s">
        <v>2016</v>
      </c>
      <c r="F12" s="1505" t="s">
        <v>2001</v>
      </c>
      <c r="G12" s="1507">
        <v>23.676202069385269</v>
      </c>
      <c r="H12" s="1508">
        <v>0.98650841955771951</v>
      </c>
      <c r="I12" s="1495">
        <v>27.46439440048691</v>
      </c>
      <c r="J12" s="1494">
        <v>1.1443497666869547</v>
      </c>
      <c r="K12" s="1445">
        <v>1</v>
      </c>
      <c r="L12" s="1445"/>
      <c r="M12" s="1445"/>
      <c r="N12" s="978">
        <f t="shared" si="0"/>
        <v>23.676202069385269</v>
      </c>
      <c r="O12" s="1445"/>
      <c r="P12" s="1445"/>
      <c r="Q12" s="1445"/>
      <c r="R12" s="978"/>
      <c r="S12" s="1445"/>
      <c r="T12" s="1445"/>
      <c r="U12" s="1445"/>
      <c r="V12" s="101" t="s">
        <v>554</v>
      </c>
    </row>
    <row r="13" spans="2:22" hidden="1">
      <c r="B13" s="1488"/>
      <c r="C13" s="1487"/>
      <c r="D13" s="1503" t="s">
        <v>2017</v>
      </c>
      <c r="E13" s="1488"/>
      <c r="F13" s="1488"/>
      <c r="G13" s="1489"/>
      <c r="H13" s="1490"/>
      <c r="I13" s="1490"/>
      <c r="J13" s="1490"/>
      <c r="K13" s="1445"/>
      <c r="L13" s="1445"/>
      <c r="M13" s="1445"/>
      <c r="N13" s="978">
        <f t="shared" si="0"/>
        <v>0</v>
      </c>
      <c r="O13" s="1445"/>
      <c r="P13" s="1445"/>
      <c r="Q13" s="1445"/>
      <c r="R13" s="978"/>
      <c r="S13" s="1445"/>
      <c r="T13" s="1445"/>
      <c r="U13" s="1445"/>
      <c r="V13" s="101" t="s">
        <v>554</v>
      </c>
    </row>
    <row r="14" spans="2:22">
      <c r="B14" s="1491" t="s">
        <v>2018</v>
      </c>
      <c r="C14" s="1506">
        <v>7591540001103</v>
      </c>
      <c r="D14" s="1505" t="s">
        <v>2019</v>
      </c>
      <c r="E14" s="1505" t="s">
        <v>2016</v>
      </c>
      <c r="F14" s="1505">
        <v>24</v>
      </c>
      <c r="G14" s="1507">
        <v>12.720632988435788</v>
      </c>
      <c r="H14" s="1508">
        <v>0.53002637451815782</v>
      </c>
      <c r="I14" s="1495">
        <v>14.755934266585514</v>
      </c>
      <c r="J14" s="1494">
        <v>0.61483059444106314</v>
      </c>
      <c r="K14" s="1445">
        <v>1</v>
      </c>
      <c r="L14" s="1445"/>
      <c r="M14" s="1445"/>
      <c r="N14" s="978">
        <f t="shared" si="0"/>
        <v>12.720632988435788</v>
      </c>
      <c r="O14" s="1445"/>
      <c r="P14" s="1445"/>
      <c r="Q14" s="1445"/>
      <c r="R14" s="978"/>
      <c r="S14" s="1445"/>
      <c r="T14" s="1445"/>
      <c r="U14" s="1445"/>
      <c r="V14" s="101" t="s">
        <v>554</v>
      </c>
    </row>
    <row r="15" spans="2:22" hidden="1">
      <c r="B15" s="1491"/>
      <c r="C15" s="1487"/>
      <c r="D15" s="1503" t="s">
        <v>2023</v>
      </c>
      <c r="E15" s="1488"/>
      <c r="F15" s="1488"/>
      <c r="G15" s="1489"/>
      <c r="H15" s="1490"/>
      <c r="I15" s="1490"/>
      <c r="J15" s="1490"/>
      <c r="K15" s="1445"/>
      <c r="L15" s="1445"/>
      <c r="M15" s="1445"/>
      <c r="N15" s="978">
        <f t="shared" si="0"/>
        <v>0</v>
      </c>
      <c r="O15" s="1445"/>
      <c r="P15" s="1445"/>
      <c r="Q15" s="1445"/>
      <c r="R15" s="978"/>
      <c r="S15" s="1445"/>
      <c r="T15" s="1445"/>
      <c r="U15" s="1445"/>
      <c r="V15" s="101" t="s">
        <v>554</v>
      </c>
    </row>
    <row r="16" spans="2:22" hidden="1">
      <c r="B16" s="1491" t="s">
        <v>2024</v>
      </c>
      <c r="C16" s="1492">
        <v>7591542002018</v>
      </c>
      <c r="D16" s="1488" t="s">
        <v>2025</v>
      </c>
      <c r="E16" s="1488" t="s">
        <v>2026</v>
      </c>
      <c r="F16" s="1488" t="s">
        <v>2002</v>
      </c>
      <c r="G16" s="1493">
        <v>30.977982590885812</v>
      </c>
      <c r="H16" s="1494">
        <v>2.5814985492404845</v>
      </c>
      <c r="I16" s="1495">
        <v>35.934459805427537</v>
      </c>
      <c r="J16" s="1494">
        <v>2.9945383171189612</v>
      </c>
      <c r="K16" s="1445"/>
      <c r="L16" s="1445"/>
      <c r="M16" s="1445"/>
      <c r="N16" s="978">
        <f t="shared" si="0"/>
        <v>0</v>
      </c>
      <c r="O16" s="1445"/>
      <c r="P16" s="1445"/>
      <c r="Q16" s="1445"/>
      <c r="R16" s="978"/>
      <c r="S16" s="1445"/>
      <c r="T16" s="1445"/>
      <c r="U16" s="1445"/>
      <c r="V16" s="101" t="s">
        <v>554</v>
      </c>
    </row>
    <row r="17" spans="2:22">
      <c r="B17" s="1491" t="s">
        <v>2027</v>
      </c>
      <c r="C17" s="1506">
        <v>7591542002025</v>
      </c>
      <c r="D17" s="1505" t="s">
        <v>2028</v>
      </c>
      <c r="E17" s="1505" t="s">
        <v>2026</v>
      </c>
      <c r="F17" s="1505" t="s">
        <v>2002</v>
      </c>
      <c r="G17" s="1507">
        <v>30.977982590885812</v>
      </c>
      <c r="H17" s="1508">
        <v>2.5814985492404845</v>
      </c>
      <c r="I17" s="1495">
        <v>35.934459805427537</v>
      </c>
      <c r="J17" s="1494">
        <v>2.9945383171189612</v>
      </c>
      <c r="K17" s="1445">
        <v>2</v>
      </c>
      <c r="L17" s="1445"/>
      <c r="M17" s="1445"/>
      <c r="N17" s="978">
        <f t="shared" si="0"/>
        <v>61.955965181771624</v>
      </c>
      <c r="O17" s="1445"/>
      <c r="P17" s="1445"/>
      <c r="Q17" s="1445"/>
      <c r="R17" s="978"/>
      <c r="S17" s="1445"/>
      <c r="T17" s="1445"/>
      <c r="U17" s="1445"/>
      <c r="V17" s="101" t="s">
        <v>554</v>
      </c>
    </row>
    <row r="18" spans="2:22">
      <c r="B18" s="1491" t="s">
        <v>2029</v>
      </c>
      <c r="C18" s="1506">
        <v>7591542002032</v>
      </c>
      <c r="D18" s="1505" t="s">
        <v>2030</v>
      </c>
      <c r="E18" s="1505" t="s">
        <v>2026</v>
      </c>
      <c r="F18" s="1505" t="s">
        <v>2002</v>
      </c>
      <c r="G18" s="1507">
        <v>30.977982590885812</v>
      </c>
      <c r="H18" s="1508">
        <v>2.5814985492404845</v>
      </c>
      <c r="I18" s="1495">
        <v>35.934459805427537</v>
      </c>
      <c r="J18" s="1494">
        <v>2.9945383171189612</v>
      </c>
      <c r="K18" s="1445">
        <v>2</v>
      </c>
      <c r="L18" s="1445"/>
      <c r="M18" s="1445"/>
      <c r="N18" s="978">
        <f t="shared" si="0"/>
        <v>61.955965181771624</v>
      </c>
      <c r="O18" s="1445"/>
      <c r="P18" s="1445"/>
      <c r="Q18" s="1445"/>
      <c r="R18" s="978"/>
      <c r="S18" s="1445"/>
      <c r="T18" s="1445"/>
      <c r="U18" s="1445"/>
      <c r="V18" s="101" t="s">
        <v>554</v>
      </c>
    </row>
    <row r="19" spans="2:22" hidden="1">
      <c r="B19" s="1491"/>
      <c r="C19" s="1492"/>
      <c r="D19" s="1503" t="s">
        <v>1353</v>
      </c>
      <c r="E19" s="1488"/>
      <c r="F19" s="1488"/>
      <c r="G19" s="1489"/>
      <c r="H19" s="1490"/>
      <c r="I19" s="1490"/>
      <c r="J19" s="1490"/>
      <c r="K19" s="1445"/>
      <c r="L19" s="1445"/>
      <c r="M19" s="1445"/>
      <c r="N19" s="978">
        <f t="shared" si="0"/>
        <v>0</v>
      </c>
      <c r="O19" s="1445"/>
      <c r="P19" s="1445"/>
      <c r="Q19" s="1445"/>
      <c r="R19" s="978"/>
      <c r="S19" s="1445"/>
      <c r="T19" s="1445"/>
      <c r="U19" s="1445"/>
      <c r="V19" s="101" t="s">
        <v>554</v>
      </c>
    </row>
    <row r="20" spans="2:22" hidden="1">
      <c r="B20" s="1491" t="s">
        <v>2020</v>
      </c>
      <c r="C20" s="1492"/>
      <c r="D20" s="1488" t="s">
        <v>2021</v>
      </c>
      <c r="E20" s="1488" t="s">
        <v>2022</v>
      </c>
      <c r="F20" s="1488">
        <v>100</v>
      </c>
      <c r="G20" s="1493">
        <v>61.168594035301268</v>
      </c>
      <c r="H20" s="1494">
        <v>0.61168594035301271</v>
      </c>
      <c r="I20" s="1495">
        <v>70.955569080949459</v>
      </c>
      <c r="J20" s="1494">
        <v>0.70955569080949454</v>
      </c>
      <c r="K20" s="1445"/>
      <c r="L20" s="1445"/>
      <c r="M20" s="1445"/>
      <c r="N20" s="978">
        <f t="shared" si="0"/>
        <v>0</v>
      </c>
      <c r="O20" s="1445"/>
      <c r="P20" s="1445"/>
      <c r="Q20" s="1445"/>
      <c r="R20" s="978"/>
      <c r="S20" s="1445"/>
      <c r="T20" s="1445"/>
      <c r="U20" s="1445"/>
      <c r="V20" s="101" t="s">
        <v>554</v>
      </c>
    </row>
    <row r="21" spans="2:22" hidden="1">
      <c r="B21" s="1486"/>
      <c r="C21" s="1487"/>
      <c r="D21" s="1503" t="s">
        <v>2031</v>
      </c>
      <c r="E21" s="1488"/>
      <c r="F21" s="1488"/>
      <c r="G21" s="1489"/>
      <c r="H21" s="1490"/>
      <c r="I21" s="1490"/>
      <c r="J21" s="1490"/>
      <c r="K21" s="1445"/>
      <c r="L21" s="1445"/>
      <c r="M21" s="1445"/>
      <c r="N21" s="978">
        <f t="shared" si="0"/>
        <v>0</v>
      </c>
      <c r="O21" s="1445"/>
      <c r="P21" s="1445"/>
      <c r="Q21" s="1445"/>
      <c r="R21" s="978"/>
      <c r="S21" s="1445"/>
      <c r="T21" s="1445"/>
      <c r="U21" s="1445"/>
      <c r="V21" s="101" t="s">
        <v>554</v>
      </c>
    </row>
    <row r="22" spans="2:22" hidden="1">
      <c r="B22" s="1491" t="s">
        <v>2032</v>
      </c>
      <c r="C22" s="1492">
        <v>7591542003039</v>
      </c>
      <c r="D22" s="1488" t="s">
        <v>2033</v>
      </c>
      <c r="E22" s="1488" t="s">
        <v>2034</v>
      </c>
      <c r="F22" s="1488" t="s">
        <v>2035</v>
      </c>
      <c r="G22" s="1493">
        <v>59.849868127409202</v>
      </c>
      <c r="H22" s="1494">
        <v>0.99749780212348671</v>
      </c>
      <c r="I22" s="1495">
        <v>69.425847027794674</v>
      </c>
      <c r="J22" s="1494">
        <v>1.1570974504632445</v>
      </c>
      <c r="K22" s="1445"/>
      <c r="L22" s="1445"/>
      <c r="M22" s="1445"/>
      <c r="N22" s="978">
        <f t="shared" si="0"/>
        <v>0</v>
      </c>
      <c r="O22" s="1445"/>
      <c r="P22" s="1445"/>
      <c r="Q22" s="1445"/>
      <c r="R22" s="978"/>
      <c r="S22" s="1445"/>
      <c r="T22" s="1445"/>
      <c r="U22" s="1445"/>
      <c r="V22" s="101" t="s">
        <v>554</v>
      </c>
    </row>
    <row r="23" spans="2:22" hidden="1">
      <c r="B23" s="1491" t="s">
        <v>2036</v>
      </c>
      <c r="C23" s="1492">
        <v>7591542003022</v>
      </c>
      <c r="D23" s="1488" t="s">
        <v>2037</v>
      </c>
      <c r="E23" s="1488" t="s">
        <v>2034</v>
      </c>
      <c r="F23" s="1488" t="s">
        <v>2035</v>
      </c>
      <c r="G23" s="1493">
        <v>77.094745384459316</v>
      </c>
      <c r="H23" s="1494">
        <v>1.2849124230743219</v>
      </c>
      <c r="I23" s="1495">
        <v>89.429904645972798</v>
      </c>
      <c r="J23" s="1494">
        <v>1.4904984107662134</v>
      </c>
      <c r="K23" s="1445"/>
      <c r="L23" s="1445"/>
      <c r="M23" s="1445"/>
      <c r="N23" s="978">
        <f t="shared" si="0"/>
        <v>0</v>
      </c>
      <c r="O23" s="1445"/>
      <c r="P23" s="1445"/>
      <c r="Q23" s="1445"/>
      <c r="R23" s="978"/>
      <c r="S23" s="1445"/>
      <c r="T23" s="1445"/>
      <c r="U23" s="1445"/>
      <c r="V23" s="101" t="s">
        <v>554</v>
      </c>
    </row>
    <row r="24" spans="2:22" hidden="1">
      <c r="B24" s="1491" t="s">
        <v>2038</v>
      </c>
      <c r="C24" s="1492">
        <v>7591542003046</v>
      </c>
      <c r="D24" s="1488" t="s">
        <v>2039</v>
      </c>
      <c r="E24" s="1488" t="s">
        <v>2034</v>
      </c>
      <c r="F24" s="1488" t="s">
        <v>2035</v>
      </c>
      <c r="G24" s="1493">
        <v>79.123554473524038</v>
      </c>
      <c r="H24" s="1494">
        <v>1.3187259078920672</v>
      </c>
      <c r="I24" s="1495">
        <v>91.783323189287884</v>
      </c>
      <c r="J24" s="1494">
        <v>1.5297220531547981</v>
      </c>
      <c r="K24" s="1445"/>
      <c r="L24" s="1445"/>
      <c r="M24" s="1445"/>
      <c r="N24" s="978">
        <f t="shared" si="0"/>
        <v>0</v>
      </c>
      <c r="O24" s="1445"/>
      <c r="P24" s="1445"/>
      <c r="Q24" s="1445"/>
      <c r="R24" s="978"/>
      <c r="S24" s="1445"/>
      <c r="T24" s="1445"/>
      <c r="U24" s="1445"/>
      <c r="V24" s="101" t="s">
        <v>554</v>
      </c>
    </row>
    <row r="25" spans="2:22" hidden="1">
      <c r="B25" s="1486"/>
      <c r="C25" s="1487"/>
      <c r="D25" s="1503" t="s">
        <v>2040</v>
      </c>
      <c r="E25" s="1488"/>
      <c r="F25" s="1488"/>
      <c r="G25" s="1489"/>
      <c r="H25" s="1490"/>
      <c r="I25" s="1490"/>
      <c r="J25" s="1490"/>
      <c r="K25" s="1445"/>
      <c r="L25" s="1445"/>
      <c r="M25" s="1445"/>
      <c r="N25" s="978">
        <f t="shared" si="0"/>
        <v>0</v>
      </c>
      <c r="O25" s="1445"/>
      <c r="P25" s="1445"/>
      <c r="Q25" s="1445"/>
      <c r="R25" s="978"/>
      <c r="S25" s="1445"/>
      <c r="T25" s="1445"/>
      <c r="U25" s="1445"/>
      <c r="V25" s="101" t="s">
        <v>554</v>
      </c>
    </row>
    <row r="26" spans="2:22" hidden="1">
      <c r="B26" s="1491" t="s">
        <v>2041</v>
      </c>
      <c r="C26" s="1492">
        <v>7591542003008</v>
      </c>
      <c r="D26" s="1488" t="s">
        <v>2042</v>
      </c>
      <c r="E26" s="1488" t="s">
        <v>2034</v>
      </c>
      <c r="F26" s="1488" t="s">
        <v>2035</v>
      </c>
      <c r="G26" s="1493">
        <v>32.460945425035497</v>
      </c>
      <c r="H26" s="1494">
        <v>0.54101575708392491</v>
      </c>
      <c r="I26" s="1495">
        <v>37.654696693041174</v>
      </c>
      <c r="J26" s="1494">
        <v>0.6275782782173529</v>
      </c>
      <c r="K26" s="1445"/>
      <c r="L26" s="1445"/>
      <c r="M26" s="1445"/>
      <c r="N26" s="978">
        <f t="shared" si="0"/>
        <v>0</v>
      </c>
      <c r="O26" s="1445"/>
      <c r="P26" s="1445"/>
      <c r="Q26" s="1445"/>
      <c r="R26" s="978"/>
      <c r="S26" s="1445"/>
      <c r="T26" s="1445"/>
      <c r="U26" s="1445"/>
      <c r="V26" s="101" t="s">
        <v>554</v>
      </c>
    </row>
    <row r="27" spans="2:22" hidden="1">
      <c r="B27" s="1491" t="s">
        <v>2043</v>
      </c>
      <c r="C27" s="1492">
        <v>7591542003084</v>
      </c>
      <c r="D27" s="1488" t="s">
        <v>2044</v>
      </c>
      <c r="E27" s="1488" t="s">
        <v>2034</v>
      </c>
      <c r="F27" s="1488" t="s">
        <v>2035</v>
      </c>
      <c r="G27" s="1493">
        <v>40.576181781294373</v>
      </c>
      <c r="H27" s="1494">
        <v>0.67626969635490619</v>
      </c>
      <c r="I27" s="1495">
        <v>47.068370866301471</v>
      </c>
      <c r="J27" s="1494">
        <v>0.78447284777169124</v>
      </c>
      <c r="K27" s="1445"/>
      <c r="L27" s="1445"/>
      <c r="M27" s="1445"/>
      <c r="N27" s="978">
        <f t="shared" si="0"/>
        <v>0</v>
      </c>
      <c r="O27" s="1445"/>
      <c r="P27" s="1445"/>
      <c r="Q27" s="1445"/>
      <c r="R27" s="978"/>
      <c r="S27" s="1445"/>
      <c r="T27" s="1445"/>
      <c r="U27" s="1445"/>
      <c r="V27" s="101" t="s">
        <v>554</v>
      </c>
    </row>
    <row r="28" spans="2:22" hidden="1">
      <c r="B28" s="1491" t="s">
        <v>2045</v>
      </c>
      <c r="C28" s="1492">
        <v>7591542003077</v>
      </c>
      <c r="D28" s="1488" t="s">
        <v>2046</v>
      </c>
      <c r="E28" s="1488" t="s">
        <v>2034</v>
      </c>
      <c r="F28" s="1488" t="s">
        <v>2035</v>
      </c>
      <c r="G28" s="1493">
        <v>46.662609048488534</v>
      </c>
      <c r="H28" s="1494">
        <v>0.77771015080814221</v>
      </c>
      <c r="I28" s="1495">
        <v>54.128626496246696</v>
      </c>
      <c r="J28" s="1494">
        <v>0.90214377493744491</v>
      </c>
      <c r="K28" s="1445"/>
      <c r="L28" s="1445"/>
      <c r="M28" s="1445"/>
      <c r="N28" s="978">
        <f t="shared" si="0"/>
        <v>0</v>
      </c>
      <c r="O28" s="1445"/>
      <c r="P28" s="1445"/>
      <c r="Q28" s="1445"/>
      <c r="R28" s="978"/>
      <c r="S28" s="1445"/>
      <c r="T28" s="1445"/>
      <c r="U28" s="1445"/>
      <c r="V28" s="101" t="s">
        <v>554</v>
      </c>
    </row>
    <row r="29" spans="2:22" hidden="1">
      <c r="B29" s="1486"/>
      <c r="C29" s="1487"/>
      <c r="D29" s="1503" t="s">
        <v>2047</v>
      </c>
      <c r="E29" s="1488"/>
      <c r="F29" s="1488"/>
      <c r="G29" s="1489"/>
      <c r="H29" s="1490"/>
      <c r="I29" s="1490"/>
      <c r="J29" s="1490"/>
      <c r="K29" s="1445"/>
      <c r="L29" s="1445"/>
      <c r="M29" s="1445"/>
      <c r="N29" s="978">
        <f t="shared" si="0"/>
        <v>0</v>
      </c>
      <c r="O29" s="1445"/>
      <c r="P29" s="1445"/>
      <c r="Q29" s="1445"/>
      <c r="R29" s="978"/>
      <c r="S29" s="1445"/>
      <c r="T29" s="1445"/>
      <c r="U29" s="1445"/>
      <c r="V29" s="101" t="s">
        <v>554</v>
      </c>
    </row>
    <row r="30" spans="2:22" hidden="1">
      <c r="B30" s="1491" t="s">
        <v>2048</v>
      </c>
      <c r="C30" s="1492">
        <v>7591542000564</v>
      </c>
      <c r="D30" s="1488" t="s">
        <v>2049</v>
      </c>
      <c r="E30" s="1488" t="s">
        <v>2026</v>
      </c>
      <c r="F30" s="1488" t="s">
        <v>2002</v>
      </c>
      <c r="G30" s="1493">
        <v>48.995739500912954</v>
      </c>
      <c r="H30" s="1494">
        <v>4.0829782917427462</v>
      </c>
      <c r="I30" s="1495">
        <v>56.835057821059024</v>
      </c>
      <c r="J30" s="1494">
        <v>4.7362548184215854</v>
      </c>
      <c r="K30" s="1445"/>
      <c r="L30" s="1445"/>
      <c r="M30" s="1445"/>
      <c r="N30" s="978">
        <f t="shared" si="0"/>
        <v>0</v>
      </c>
      <c r="O30" s="1445"/>
      <c r="P30" s="1445"/>
      <c r="Q30" s="1445"/>
      <c r="R30" s="978"/>
      <c r="S30" s="1445"/>
      <c r="T30" s="1445"/>
      <c r="U30" s="1445"/>
      <c r="V30" s="101" t="s">
        <v>554</v>
      </c>
    </row>
    <row r="31" spans="2:22" hidden="1">
      <c r="B31" s="1491" t="s">
        <v>2050</v>
      </c>
      <c r="C31" s="1492">
        <v>7591542000571</v>
      </c>
      <c r="D31" s="1488" t="s">
        <v>2051</v>
      </c>
      <c r="E31" s="1488" t="s">
        <v>2026</v>
      </c>
      <c r="F31" s="1488" t="s">
        <v>2002</v>
      </c>
      <c r="G31" s="1493">
        <v>53.053357679042392</v>
      </c>
      <c r="H31" s="1494">
        <v>4.4211131399201991</v>
      </c>
      <c r="I31" s="1495">
        <v>61.541894907689169</v>
      </c>
      <c r="J31" s="1494">
        <v>5.1284912423074305</v>
      </c>
      <c r="K31" s="1445"/>
      <c r="L31" s="1445"/>
      <c r="M31" s="1445"/>
      <c r="N31" s="978">
        <f t="shared" si="0"/>
        <v>0</v>
      </c>
      <c r="O31" s="1445"/>
      <c r="P31" s="1445"/>
      <c r="Q31" s="1445"/>
      <c r="R31" s="978"/>
      <c r="S31" s="1445"/>
      <c r="T31" s="1445"/>
      <c r="U31" s="1445"/>
      <c r="V31" s="101" t="s">
        <v>554</v>
      </c>
    </row>
    <row r="32" spans="2:22" hidden="1">
      <c r="B32" s="1486"/>
      <c r="C32" s="1487"/>
      <c r="D32" s="1503" t="s">
        <v>2052</v>
      </c>
      <c r="E32" s="1488"/>
      <c r="F32" s="1488"/>
      <c r="G32" s="1489"/>
      <c r="H32" s="1490"/>
      <c r="I32" s="1490"/>
      <c r="J32" s="1490"/>
      <c r="K32" s="1445"/>
      <c r="L32" s="1445"/>
      <c r="M32" s="1445"/>
      <c r="N32" s="978">
        <f t="shared" si="0"/>
        <v>0</v>
      </c>
      <c r="O32" s="1445"/>
      <c r="P32" s="1445"/>
      <c r="Q32" s="1445"/>
      <c r="R32" s="978"/>
      <c r="S32" s="1445"/>
      <c r="T32" s="1445"/>
      <c r="U32" s="1445"/>
      <c r="V32" s="101" t="s">
        <v>554</v>
      </c>
    </row>
    <row r="33" spans="2:22" hidden="1">
      <c r="B33" s="1491" t="s">
        <v>2053</v>
      </c>
      <c r="C33" s="1492">
        <v>7591542000588</v>
      </c>
      <c r="D33" s="1488" t="s">
        <v>2054</v>
      </c>
      <c r="E33" s="1488" t="s">
        <v>2026</v>
      </c>
      <c r="F33" s="1488" t="s">
        <v>2002</v>
      </c>
      <c r="G33" s="1493">
        <v>40.880503144654078</v>
      </c>
      <c r="H33" s="1494">
        <v>3.40670859538784</v>
      </c>
      <c r="I33" s="1495">
        <v>47.421383647798727</v>
      </c>
      <c r="J33" s="1494">
        <v>3.9517819706498938</v>
      </c>
      <c r="K33" s="1445"/>
      <c r="L33" s="1445"/>
      <c r="M33" s="1445"/>
      <c r="N33" s="978">
        <f t="shared" si="0"/>
        <v>0</v>
      </c>
      <c r="O33" s="1445"/>
      <c r="P33" s="1445"/>
      <c r="Q33" s="1445"/>
      <c r="R33" s="978"/>
      <c r="S33" s="1445"/>
      <c r="T33" s="1445"/>
      <c r="U33" s="1445"/>
      <c r="V33" s="101" t="s">
        <v>554</v>
      </c>
    </row>
    <row r="34" spans="2:22" hidden="1">
      <c r="B34" s="1491" t="s">
        <v>2055</v>
      </c>
      <c r="C34" s="1492">
        <v>7591542000595</v>
      </c>
      <c r="D34" s="1488" t="s">
        <v>2056</v>
      </c>
      <c r="E34" s="1488" t="s">
        <v>2026</v>
      </c>
      <c r="F34" s="1488" t="s">
        <v>2002</v>
      </c>
      <c r="G34" s="1493">
        <v>44.938121322783516</v>
      </c>
      <c r="H34" s="1494">
        <v>3.7448434435652929</v>
      </c>
      <c r="I34" s="1495">
        <v>52.128220734428872</v>
      </c>
      <c r="J34" s="1494">
        <v>4.3440183945357393</v>
      </c>
      <c r="K34" s="1445"/>
      <c r="L34" s="1445"/>
      <c r="M34" s="1445"/>
      <c r="N34" s="978">
        <f t="shared" si="0"/>
        <v>0</v>
      </c>
      <c r="O34" s="1445"/>
      <c r="P34" s="1445"/>
      <c r="Q34" s="1445"/>
      <c r="R34" s="978"/>
      <c r="S34" s="1445"/>
      <c r="T34" s="1445"/>
      <c r="U34" s="1445"/>
      <c r="V34" s="101" t="s">
        <v>554</v>
      </c>
    </row>
    <row r="35" spans="2:22" hidden="1">
      <c r="B35" s="1486"/>
      <c r="C35" s="1487"/>
      <c r="D35" s="1503" t="s">
        <v>2057</v>
      </c>
      <c r="E35" s="1488"/>
      <c r="F35" s="1488"/>
      <c r="G35" s="1489"/>
      <c r="H35" s="1490"/>
      <c r="I35" s="1490"/>
      <c r="J35" s="1490"/>
      <c r="K35" s="1445"/>
      <c r="L35" s="1445"/>
      <c r="M35" s="1445"/>
      <c r="N35" s="978">
        <f t="shared" si="0"/>
        <v>0</v>
      </c>
      <c r="O35" s="1445"/>
      <c r="P35" s="1445"/>
      <c r="Q35" s="1445"/>
      <c r="R35" s="978"/>
      <c r="S35" s="1445"/>
      <c r="T35" s="1445"/>
      <c r="U35" s="1445"/>
      <c r="V35" s="101" t="s">
        <v>554</v>
      </c>
    </row>
    <row r="36" spans="2:22" hidden="1">
      <c r="B36" s="1491" t="s">
        <v>2058</v>
      </c>
      <c r="C36" s="1492">
        <v>7591542001165</v>
      </c>
      <c r="D36" s="1505" t="s">
        <v>2059</v>
      </c>
      <c r="E36" s="1488" t="s">
        <v>2026</v>
      </c>
      <c r="F36" s="1488" t="s">
        <v>2002</v>
      </c>
      <c r="G36" s="1493">
        <v>17</v>
      </c>
      <c r="H36" s="1494">
        <v>1.4166666666666667</v>
      </c>
      <c r="I36" s="1495">
        <v>19.72</v>
      </c>
      <c r="J36" s="1494">
        <v>1.6433333333333333</v>
      </c>
      <c r="K36" s="1445">
        <v>0</v>
      </c>
      <c r="L36" s="1445"/>
      <c r="M36" s="1445"/>
      <c r="N36" s="978">
        <f t="shared" si="0"/>
        <v>0</v>
      </c>
      <c r="O36" s="1445"/>
      <c r="P36" s="1445"/>
      <c r="Q36" s="1445"/>
      <c r="R36" s="978"/>
      <c r="S36" s="1445"/>
      <c r="T36" s="1445"/>
      <c r="U36" s="1445"/>
      <c r="V36" s="101" t="s">
        <v>554</v>
      </c>
    </row>
    <row r="37" spans="2:22" hidden="1">
      <c r="B37" s="1491" t="s">
        <v>2060</v>
      </c>
      <c r="C37" s="1492">
        <v>7591668100018</v>
      </c>
      <c r="D37" s="1510" t="s">
        <v>2061</v>
      </c>
      <c r="E37" s="1496" t="s">
        <v>2026</v>
      </c>
      <c r="F37" s="1496">
        <v>12</v>
      </c>
      <c r="G37" s="1493">
        <v>23.655913978494624</v>
      </c>
      <c r="H37" s="1494">
        <v>1.9713261648745519</v>
      </c>
      <c r="I37" s="1495">
        <v>27.44086021505376</v>
      </c>
      <c r="J37" s="1494">
        <v>2.2867383512544799</v>
      </c>
      <c r="K37" s="1445">
        <v>0</v>
      </c>
      <c r="L37" s="1445"/>
      <c r="M37" s="1445"/>
      <c r="N37" s="978">
        <f t="shared" si="0"/>
        <v>0</v>
      </c>
      <c r="O37" s="1445"/>
      <c r="P37" s="1445"/>
      <c r="Q37" s="1445"/>
      <c r="R37" s="978"/>
      <c r="S37" s="1445"/>
      <c r="T37" s="1445"/>
      <c r="U37" s="1445"/>
      <c r="V37" s="101" t="s">
        <v>554</v>
      </c>
    </row>
    <row r="38" spans="2:22" hidden="1">
      <c r="B38" s="1491" t="s">
        <v>2062</v>
      </c>
      <c r="C38" s="1492">
        <v>7591668100049</v>
      </c>
      <c r="D38" s="1488" t="s">
        <v>2063</v>
      </c>
      <c r="E38" s="1488" t="s">
        <v>2026</v>
      </c>
      <c r="F38" s="1488" t="s">
        <v>2002</v>
      </c>
      <c r="G38" s="1493">
        <v>21.50537634408602</v>
      </c>
      <c r="H38" s="1494">
        <v>1.7921146953405016</v>
      </c>
      <c r="I38" s="1495">
        <v>24.946236559139781</v>
      </c>
      <c r="J38" s="1494">
        <v>2.0788530465949817</v>
      </c>
      <c r="K38" s="1445"/>
      <c r="L38" s="1445"/>
      <c r="M38" s="1445"/>
      <c r="N38" s="978">
        <f t="shared" si="0"/>
        <v>0</v>
      </c>
      <c r="O38" s="1445"/>
      <c r="P38" s="1445"/>
      <c r="Q38" s="1445"/>
      <c r="R38" s="978"/>
      <c r="S38" s="1445"/>
      <c r="T38" s="1445"/>
      <c r="U38" s="1445"/>
      <c r="V38" s="101" t="s">
        <v>554</v>
      </c>
    </row>
    <row r="39" spans="2:22" hidden="1">
      <c r="B39" s="1491" t="s">
        <v>2064</v>
      </c>
      <c r="C39" s="1492">
        <v>7591668100056</v>
      </c>
      <c r="D39" s="1488" t="s">
        <v>2065</v>
      </c>
      <c r="E39" s="1488" t="s">
        <v>2026</v>
      </c>
      <c r="F39" s="1488" t="s">
        <v>2002</v>
      </c>
      <c r="G39" s="1493">
        <v>20.43010752688172</v>
      </c>
      <c r="H39" s="1494">
        <v>1.7025089605734767</v>
      </c>
      <c r="I39" s="1495">
        <v>23.698924731182792</v>
      </c>
      <c r="J39" s="1494">
        <v>1.9749103942652326</v>
      </c>
      <c r="K39" s="1445"/>
      <c r="L39" s="1445"/>
      <c r="M39" s="1445"/>
      <c r="N39" s="978">
        <f t="shared" si="0"/>
        <v>0</v>
      </c>
      <c r="O39" s="1445"/>
      <c r="P39" s="1445"/>
      <c r="Q39" s="1445"/>
      <c r="R39" s="978"/>
      <c r="S39" s="1445"/>
      <c r="T39" s="1445"/>
      <c r="U39" s="1445"/>
      <c r="V39" s="101" t="s">
        <v>554</v>
      </c>
    </row>
    <row r="40" spans="2:22" hidden="1">
      <c r="B40" s="1491" t="s">
        <v>2066</v>
      </c>
      <c r="C40" s="1492">
        <v>7591668100063</v>
      </c>
      <c r="D40" s="1488" t="s">
        <v>2067</v>
      </c>
      <c r="E40" s="1488" t="s">
        <v>2026</v>
      </c>
      <c r="F40" s="1488" t="s">
        <v>2002</v>
      </c>
      <c r="G40" s="1493">
        <v>19.35483870967742</v>
      </c>
      <c r="H40" s="1494">
        <v>1.6129032258064517</v>
      </c>
      <c r="I40" s="1495">
        <v>22.451612903225804</v>
      </c>
      <c r="J40" s="1494">
        <v>1.8709677419354838</v>
      </c>
      <c r="K40" s="1445"/>
      <c r="L40" s="1445"/>
      <c r="M40" s="1445"/>
      <c r="N40" s="978">
        <f t="shared" si="0"/>
        <v>0</v>
      </c>
      <c r="O40" s="1445"/>
      <c r="P40" s="1445"/>
      <c r="Q40" s="1445"/>
      <c r="R40" s="978"/>
      <c r="S40" s="1445"/>
      <c r="T40" s="1445"/>
      <c r="U40" s="1445"/>
      <c r="V40" s="101" t="s">
        <v>554</v>
      </c>
    </row>
    <row r="41" spans="2:22" hidden="1">
      <c r="B41" s="1491" t="s">
        <v>2068</v>
      </c>
      <c r="C41" s="1492">
        <v>7591668100087</v>
      </c>
      <c r="D41" s="1488" t="s">
        <v>2069</v>
      </c>
      <c r="E41" s="1488" t="s">
        <v>2026</v>
      </c>
      <c r="F41" s="1488" t="s">
        <v>2002</v>
      </c>
      <c r="G41" s="1493">
        <v>25.806451612903224</v>
      </c>
      <c r="H41" s="1494">
        <v>2.150537634408602</v>
      </c>
      <c r="I41" s="1495">
        <v>29.935483870967737</v>
      </c>
      <c r="J41" s="1494">
        <v>2.4946236559139781</v>
      </c>
      <c r="K41" s="1445"/>
      <c r="L41" s="1445"/>
      <c r="M41" s="1445"/>
      <c r="N41" s="978">
        <f t="shared" si="0"/>
        <v>0</v>
      </c>
      <c r="O41" s="1445"/>
      <c r="P41" s="1445"/>
      <c r="Q41" s="1445"/>
      <c r="R41" s="978"/>
      <c r="S41" s="1445"/>
      <c r="T41" s="1445"/>
      <c r="U41" s="1445"/>
      <c r="V41" s="101" t="s">
        <v>554</v>
      </c>
    </row>
    <row r="42" spans="2:22" hidden="1">
      <c r="B42" s="1491" t="s">
        <v>2070</v>
      </c>
      <c r="C42" s="1492">
        <v>7591668100100</v>
      </c>
      <c r="D42" s="1488" t="s">
        <v>2071</v>
      </c>
      <c r="E42" s="1488" t="s">
        <v>2072</v>
      </c>
      <c r="F42" s="1488" t="s">
        <v>2073</v>
      </c>
      <c r="G42" s="1493">
        <v>13.978494623655914</v>
      </c>
      <c r="H42" s="1494">
        <v>2.3297491039426523</v>
      </c>
      <c r="I42" s="1495">
        <v>16.21505376344086</v>
      </c>
      <c r="J42" s="1494">
        <v>2.7025089605734767</v>
      </c>
      <c r="K42" s="1445"/>
      <c r="L42" s="1445"/>
      <c r="M42" s="1445"/>
      <c r="N42" s="978">
        <f t="shared" si="0"/>
        <v>0</v>
      </c>
      <c r="O42" s="1445"/>
      <c r="P42" s="1445"/>
      <c r="Q42" s="1445"/>
      <c r="R42" s="978"/>
      <c r="S42" s="1445"/>
      <c r="T42" s="1445"/>
      <c r="U42" s="1445"/>
      <c r="V42" s="101" t="s">
        <v>554</v>
      </c>
    </row>
    <row r="43" spans="2:22" hidden="1">
      <c r="B43" s="1491" t="s">
        <v>2074</v>
      </c>
      <c r="C43" s="1492">
        <v>7591668100025</v>
      </c>
      <c r="D43" s="1488" t="s">
        <v>2075</v>
      </c>
      <c r="E43" s="1488" t="s">
        <v>2026</v>
      </c>
      <c r="F43" s="1488" t="s">
        <v>2002</v>
      </c>
      <c r="G43" s="1493">
        <v>22.58064516129032</v>
      </c>
      <c r="H43" s="1494">
        <v>1.8817204301075268</v>
      </c>
      <c r="I43" s="1495">
        <v>26.193548387096769</v>
      </c>
      <c r="J43" s="1494">
        <v>2.1827956989247306</v>
      </c>
      <c r="K43" s="1445"/>
      <c r="L43" s="1445"/>
      <c r="M43" s="1445"/>
      <c r="N43" s="978">
        <f t="shared" si="0"/>
        <v>0</v>
      </c>
      <c r="O43" s="1445"/>
      <c r="P43" s="1445"/>
      <c r="Q43" s="1445"/>
      <c r="R43" s="978"/>
      <c r="S43" s="1445"/>
      <c r="T43" s="1445"/>
      <c r="U43" s="1445"/>
      <c r="V43" s="101" t="s">
        <v>554</v>
      </c>
    </row>
    <row r="44" spans="2:22" hidden="1">
      <c r="B44" s="1491" t="s">
        <v>2076</v>
      </c>
      <c r="C44" s="1492">
        <v>7591668130114</v>
      </c>
      <c r="D44" s="1488" t="s">
        <v>2077</v>
      </c>
      <c r="E44" s="1488" t="s">
        <v>2026</v>
      </c>
      <c r="F44" s="1488" t="s">
        <v>2002</v>
      </c>
      <c r="G44" s="1493">
        <v>25.806451612903224</v>
      </c>
      <c r="H44" s="1494">
        <v>2.150537634408602</v>
      </c>
      <c r="I44" s="1495">
        <v>29.935483870967737</v>
      </c>
      <c r="J44" s="1494">
        <v>2.4946236559139781</v>
      </c>
      <c r="K44" s="1445"/>
      <c r="L44" s="1445"/>
      <c r="M44" s="1445"/>
      <c r="N44" s="978">
        <f t="shared" si="0"/>
        <v>0</v>
      </c>
      <c r="O44" s="1445"/>
      <c r="P44" s="1445"/>
      <c r="Q44" s="1445"/>
      <c r="R44" s="978"/>
      <c r="S44" s="1445"/>
      <c r="T44" s="1445"/>
      <c r="U44" s="1445"/>
      <c r="V44" s="101" t="s">
        <v>554</v>
      </c>
    </row>
    <row r="45" spans="2:22" hidden="1">
      <c r="B45" s="1491" t="s">
        <v>2078</v>
      </c>
      <c r="C45" s="1492">
        <v>7591668130121</v>
      </c>
      <c r="D45" s="1488" t="s">
        <v>2079</v>
      </c>
      <c r="E45" s="1488" t="s">
        <v>2026</v>
      </c>
      <c r="F45" s="1488" t="s">
        <v>2002</v>
      </c>
      <c r="G45" s="1493">
        <v>25.806451612903224</v>
      </c>
      <c r="H45" s="1494">
        <v>2.150537634408602</v>
      </c>
      <c r="I45" s="1495">
        <v>29.935483870967737</v>
      </c>
      <c r="J45" s="1494">
        <v>2.4946236559139781</v>
      </c>
      <c r="K45" s="1445"/>
      <c r="L45" s="1445"/>
      <c r="M45" s="1445"/>
      <c r="N45" s="978">
        <f t="shared" si="0"/>
        <v>0</v>
      </c>
      <c r="O45" s="1445"/>
      <c r="P45" s="1445"/>
      <c r="Q45" s="1445"/>
      <c r="R45" s="978"/>
      <c r="S45" s="1445"/>
      <c r="T45" s="1445"/>
      <c r="U45" s="1445"/>
      <c r="V45" s="101" t="s">
        <v>554</v>
      </c>
    </row>
    <row r="46" spans="2:22" hidden="1">
      <c r="B46" s="1491" t="s">
        <v>2080</v>
      </c>
      <c r="C46" s="1492">
        <v>7591668100131</v>
      </c>
      <c r="D46" s="1488" t="s">
        <v>2081</v>
      </c>
      <c r="E46" s="1488" t="s">
        <v>2000</v>
      </c>
      <c r="F46" s="1488" t="s">
        <v>2001</v>
      </c>
      <c r="G46" s="1493">
        <v>43.01075268817204</v>
      </c>
      <c r="H46" s="1494">
        <v>1.7921146953405016</v>
      </c>
      <c r="I46" s="1495">
        <v>49.892473118279561</v>
      </c>
      <c r="J46" s="1494">
        <v>2.0788530465949817</v>
      </c>
      <c r="K46" s="1445"/>
      <c r="L46" s="1445"/>
      <c r="M46" s="1445"/>
      <c r="N46" s="978">
        <f t="shared" si="0"/>
        <v>0</v>
      </c>
      <c r="O46" s="1445"/>
      <c r="P46" s="1445"/>
      <c r="Q46" s="1445"/>
      <c r="R46" s="978"/>
      <c r="S46" s="1445"/>
      <c r="T46" s="1445"/>
      <c r="U46" s="1445"/>
      <c r="V46" s="101" t="s">
        <v>554</v>
      </c>
    </row>
    <row r="47" spans="2:22" hidden="1">
      <c r="B47" s="1491" t="s">
        <v>2082</v>
      </c>
      <c r="C47" s="1492">
        <v>7591668100148</v>
      </c>
      <c r="D47" s="1488" t="s">
        <v>2083</v>
      </c>
      <c r="E47" s="1488" t="s">
        <v>2000</v>
      </c>
      <c r="F47" s="1488" t="s">
        <v>2001</v>
      </c>
      <c r="G47" s="1493">
        <v>43.01075268817204</v>
      </c>
      <c r="H47" s="1494">
        <v>1.7921146953405016</v>
      </c>
      <c r="I47" s="1495">
        <v>49.892473118279561</v>
      </c>
      <c r="J47" s="1494">
        <v>2.0788530465949817</v>
      </c>
      <c r="K47" s="1445"/>
      <c r="L47" s="1445"/>
      <c r="M47" s="1445"/>
      <c r="N47" s="978">
        <f t="shared" si="0"/>
        <v>0</v>
      </c>
      <c r="O47" s="1445"/>
      <c r="P47" s="1445"/>
      <c r="Q47" s="1445"/>
      <c r="R47" s="978"/>
      <c r="S47" s="1445"/>
      <c r="T47" s="1445"/>
      <c r="U47" s="1445"/>
      <c r="V47" s="101" t="s">
        <v>554</v>
      </c>
    </row>
    <row r="48" spans="2:22" hidden="1">
      <c r="B48" s="1491" t="s">
        <v>2084</v>
      </c>
      <c r="C48" s="1492">
        <v>7591668100155</v>
      </c>
      <c r="D48" s="1488" t="s">
        <v>2085</v>
      </c>
      <c r="E48" s="1488" t="s">
        <v>2000</v>
      </c>
      <c r="F48" s="1488" t="s">
        <v>2001</v>
      </c>
      <c r="G48" s="1493">
        <v>38.70967741935484</v>
      </c>
      <c r="H48" s="1494">
        <v>1.6129032258064517</v>
      </c>
      <c r="I48" s="1495">
        <v>44.903225806451609</v>
      </c>
      <c r="J48" s="1494">
        <v>1.8709677419354838</v>
      </c>
      <c r="K48" s="1445"/>
      <c r="L48" s="1445"/>
      <c r="M48" s="1445"/>
      <c r="N48" s="978">
        <f t="shared" si="0"/>
        <v>0</v>
      </c>
      <c r="O48" s="1445"/>
      <c r="P48" s="1445"/>
      <c r="Q48" s="1445"/>
      <c r="R48" s="978"/>
      <c r="S48" s="1445"/>
      <c r="T48" s="1445"/>
      <c r="U48" s="1445"/>
      <c r="V48" s="101" t="s">
        <v>554</v>
      </c>
    </row>
    <row r="49" spans="2:22" hidden="1">
      <c r="B49" s="1491" t="s">
        <v>2086</v>
      </c>
      <c r="C49" s="1492">
        <v>7591668130039</v>
      </c>
      <c r="D49" s="1488" t="s">
        <v>2087</v>
      </c>
      <c r="E49" s="1488" t="s">
        <v>2000</v>
      </c>
      <c r="F49" s="1488" t="s">
        <v>2001</v>
      </c>
      <c r="G49" s="1493">
        <v>94.623655913978496</v>
      </c>
      <c r="H49" s="1494">
        <v>3.9426523297491038</v>
      </c>
      <c r="I49" s="1495">
        <v>109.76344086021504</v>
      </c>
      <c r="J49" s="1494">
        <v>4.5734767025089598</v>
      </c>
      <c r="K49" s="1445"/>
      <c r="L49" s="1445"/>
      <c r="M49" s="1445"/>
      <c r="N49" s="978">
        <f t="shared" si="0"/>
        <v>0</v>
      </c>
      <c r="O49" s="1445"/>
      <c r="P49" s="1445"/>
      <c r="Q49" s="1445"/>
      <c r="R49" s="978"/>
      <c r="S49" s="1445"/>
      <c r="T49" s="1445"/>
      <c r="U49" s="1445"/>
      <c r="V49" s="101" t="s">
        <v>554</v>
      </c>
    </row>
    <row r="50" spans="2:22" hidden="1">
      <c r="B50" s="1491" t="s">
        <v>2088</v>
      </c>
      <c r="C50" s="1492">
        <v>7591668100179</v>
      </c>
      <c r="D50" s="1488" t="s">
        <v>2089</v>
      </c>
      <c r="E50" s="1488" t="s">
        <v>2090</v>
      </c>
      <c r="F50" s="1488" t="s">
        <v>2091</v>
      </c>
      <c r="G50" s="1493">
        <v>51.612903225806448</v>
      </c>
      <c r="H50" s="1494">
        <v>1.4336917562724014</v>
      </c>
      <c r="I50" s="1495">
        <v>59.870967741935473</v>
      </c>
      <c r="J50" s="1494">
        <v>1.6630824372759854</v>
      </c>
      <c r="K50" s="1445"/>
      <c r="L50" s="1445"/>
      <c r="M50" s="1445"/>
      <c r="N50" s="978">
        <f t="shared" si="0"/>
        <v>0</v>
      </c>
      <c r="O50" s="1445"/>
      <c r="P50" s="1445"/>
      <c r="Q50" s="1445"/>
      <c r="R50" s="978"/>
      <c r="S50" s="1445"/>
      <c r="T50" s="1445"/>
      <c r="U50" s="1445"/>
      <c r="V50" s="101" t="s">
        <v>554</v>
      </c>
    </row>
    <row r="51" spans="2:22" hidden="1">
      <c r="B51" s="1491" t="s">
        <v>2092</v>
      </c>
      <c r="C51" s="1506">
        <v>7591668110048</v>
      </c>
      <c r="D51" s="1505" t="s">
        <v>2093</v>
      </c>
      <c r="E51" s="1505" t="s">
        <v>2000</v>
      </c>
      <c r="F51" s="1505" t="s">
        <v>2001</v>
      </c>
      <c r="G51" s="1507">
        <v>55.913978494623656</v>
      </c>
      <c r="H51" s="1508">
        <v>2.3297491039426523</v>
      </c>
      <c r="I51" s="1495">
        <v>64.86021505376344</v>
      </c>
      <c r="J51" s="1494">
        <v>2.7025089605734767</v>
      </c>
      <c r="K51" s="1445">
        <v>0</v>
      </c>
      <c r="L51" s="1445"/>
      <c r="M51" s="1445"/>
      <c r="N51" s="978">
        <f t="shared" si="0"/>
        <v>0</v>
      </c>
      <c r="O51" s="1445"/>
      <c r="P51" s="1445"/>
      <c r="Q51" s="1445"/>
      <c r="R51" s="978"/>
      <c r="S51" s="1445"/>
      <c r="T51" s="1445"/>
      <c r="U51" s="1445"/>
      <c r="V51" s="101" t="s">
        <v>554</v>
      </c>
    </row>
    <row r="52" spans="2:22" hidden="1">
      <c r="B52" s="1491" t="s">
        <v>2094</v>
      </c>
      <c r="C52" s="1492">
        <v>7591668120016</v>
      </c>
      <c r="D52" s="1488" t="s">
        <v>2095</v>
      </c>
      <c r="E52" s="1488" t="s">
        <v>2000</v>
      </c>
      <c r="F52" s="1488" t="s">
        <v>2001</v>
      </c>
      <c r="G52" s="1493">
        <v>34.408602150537632</v>
      </c>
      <c r="H52" s="1494">
        <v>1.4336917562724014</v>
      </c>
      <c r="I52" s="1495">
        <v>39.913978494623649</v>
      </c>
      <c r="J52" s="1494">
        <v>1.6630824372759854</v>
      </c>
      <c r="K52" s="1445"/>
      <c r="L52" s="1445"/>
      <c r="M52" s="1445"/>
      <c r="N52" s="978">
        <f t="shared" si="0"/>
        <v>0</v>
      </c>
      <c r="O52" s="1445"/>
      <c r="P52" s="1445"/>
      <c r="Q52" s="1445"/>
      <c r="R52" s="978"/>
      <c r="S52" s="1445"/>
      <c r="T52" s="1445"/>
      <c r="U52" s="1445"/>
      <c r="V52" s="101" t="s">
        <v>554</v>
      </c>
    </row>
    <row r="53" spans="2:22" hidden="1">
      <c r="B53" s="1491" t="s">
        <v>2096</v>
      </c>
      <c r="C53" s="1492">
        <v>7591668120016</v>
      </c>
      <c r="D53" s="1488" t="s">
        <v>2097</v>
      </c>
      <c r="E53" s="1488" t="s">
        <v>2098</v>
      </c>
      <c r="F53" s="1488" t="s">
        <v>2099</v>
      </c>
      <c r="G53" s="1493">
        <v>129.03225806451613</v>
      </c>
      <c r="H53" s="1494">
        <v>2.6881720430107525</v>
      </c>
      <c r="I53" s="1495">
        <v>149.67741935483869</v>
      </c>
      <c r="J53" s="1494">
        <v>3.1182795698924726</v>
      </c>
      <c r="K53" s="1445"/>
      <c r="L53" s="1445"/>
      <c r="M53" s="1445"/>
      <c r="N53" s="978">
        <f t="shared" si="0"/>
        <v>0</v>
      </c>
      <c r="O53" s="1445"/>
      <c r="P53" s="1445"/>
      <c r="Q53" s="1445"/>
      <c r="R53" s="978"/>
      <c r="S53" s="1445"/>
      <c r="T53" s="1445"/>
      <c r="U53" s="1445"/>
      <c r="V53" s="101" t="s">
        <v>554</v>
      </c>
    </row>
    <row r="54" spans="2:22" hidden="1">
      <c r="B54" s="1491" t="s">
        <v>2100</v>
      </c>
      <c r="C54" s="1492">
        <v>7591668130046</v>
      </c>
      <c r="D54" s="1488" t="s">
        <v>2101</v>
      </c>
      <c r="E54" s="1488" t="s">
        <v>2000</v>
      </c>
      <c r="F54" s="1488" t="s">
        <v>2001</v>
      </c>
      <c r="G54" s="1493">
        <v>30.107526881720432</v>
      </c>
      <c r="H54" s="1494">
        <v>1.2544802867383513</v>
      </c>
      <c r="I54" s="1495">
        <v>34.924731182795696</v>
      </c>
      <c r="J54" s="1494">
        <v>1.4551971326164874</v>
      </c>
      <c r="K54" s="1445"/>
      <c r="L54" s="1445"/>
      <c r="M54" s="1445"/>
      <c r="N54" s="978">
        <f t="shared" si="0"/>
        <v>0</v>
      </c>
      <c r="O54" s="1445"/>
      <c r="P54" s="1445"/>
      <c r="Q54" s="1445"/>
      <c r="R54" s="978"/>
      <c r="S54" s="1445"/>
      <c r="T54" s="1445"/>
      <c r="U54" s="1445"/>
      <c r="V54" s="101" t="s">
        <v>554</v>
      </c>
    </row>
    <row r="55" spans="2:22" hidden="1">
      <c r="B55" s="1491" t="s">
        <v>2102</v>
      </c>
      <c r="C55" s="1506">
        <v>7591668130053</v>
      </c>
      <c r="D55" s="1505" t="s">
        <v>2103</v>
      </c>
      <c r="E55" s="1505" t="s">
        <v>2026</v>
      </c>
      <c r="F55" s="1505" t="s">
        <v>2002</v>
      </c>
      <c r="G55" s="1507">
        <v>19.35483870967742</v>
      </c>
      <c r="H55" s="1508">
        <v>1.6129032258064517</v>
      </c>
      <c r="I55" s="1495">
        <v>22.451612903225804</v>
      </c>
      <c r="J55" s="1494">
        <v>1.8709677419354838</v>
      </c>
      <c r="K55" s="1445">
        <v>0</v>
      </c>
      <c r="L55" s="1445"/>
      <c r="M55" s="1445"/>
      <c r="N55" s="978">
        <f t="shared" si="0"/>
        <v>0</v>
      </c>
      <c r="O55" s="1445"/>
      <c r="P55" s="1445"/>
      <c r="Q55" s="1445"/>
      <c r="R55" s="978"/>
      <c r="S55" s="1445"/>
      <c r="T55" s="1445"/>
      <c r="U55" s="1445"/>
      <c r="V55" s="101" t="s">
        <v>554</v>
      </c>
    </row>
    <row r="56" spans="2:22" hidden="1">
      <c r="B56" s="1491" t="s">
        <v>2104</v>
      </c>
      <c r="C56" s="1492">
        <v>7591668140014</v>
      </c>
      <c r="D56" s="1488" t="s">
        <v>2105</v>
      </c>
      <c r="E56" s="1488" t="s">
        <v>2026</v>
      </c>
      <c r="F56" s="1488" t="s">
        <v>2002</v>
      </c>
      <c r="G56" s="1493">
        <v>7.4372759856630832</v>
      </c>
      <c r="H56" s="1494">
        <v>0.61977299880525694</v>
      </c>
      <c r="I56" s="1495">
        <v>8.6272401433691766</v>
      </c>
      <c r="J56" s="1494">
        <v>0.71893667861409805</v>
      </c>
      <c r="K56" s="1445"/>
      <c r="L56" s="1445"/>
      <c r="M56" s="1445"/>
      <c r="N56" s="978">
        <f t="shared" si="0"/>
        <v>0</v>
      </c>
      <c r="O56" s="1445"/>
      <c r="P56" s="1445"/>
      <c r="Q56" s="1445"/>
      <c r="R56" s="978"/>
      <c r="S56" s="1445"/>
      <c r="T56" s="1445"/>
      <c r="U56" s="1445"/>
      <c r="V56" s="101" t="s">
        <v>554</v>
      </c>
    </row>
    <row r="57" spans="2:22" hidden="1">
      <c r="B57" s="1486"/>
      <c r="C57" s="1487"/>
      <c r="D57" s="1503" t="s">
        <v>2106</v>
      </c>
      <c r="E57" s="1488"/>
      <c r="F57" s="1488"/>
      <c r="G57" s="1489"/>
      <c r="H57" s="1490"/>
      <c r="I57" s="1490"/>
      <c r="J57" s="1490"/>
      <c r="K57" s="1445"/>
      <c r="L57" s="1445"/>
      <c r="M57" s="1445"/>
      <c r="N57" s="978">
        <f t="shared" si="0"/>
        <v>0</v>
      </c>
      <c r="O57" s="1445"/>
      <c r="P57" s="1445"/>
      <c r="Q57" s="1445"/>
      <c r="R57" s="978"/>
      <c r="S57" s="1445"/>
      <c r="T57" s="1445"/>
      <c r="U57" s="1445"/>
      <c r="V57" s="101" t="s">
        <v>554</v>
      </c>
    </row>
    <row r="58" spans="2:22" hidden="1">
      <c r="B58" s="1491" t="s">
        <v>2107</v>
      </c>
      <c r="C58" s="1492">
        <v>7591542004012</v>
      </c>
      <c r="D58" s="1488" t="s">
        <v>2108</v>
      </c>
      <c r="E58" s="1488" t="s">
        <v>2109</v>
      </c>
      <c r="F58" s="1488" t="s">
        <v>2110</v>
      </c>
      <c r="G58" s="1493">
        <v>36.822884966524647</v>
      </c>
      <c r="H58" s="1494">
        <v>0.73645769933049299</v>
      </c>
      <c r="I58" s="1495">
        <v>42.714546561168589</v>
      </c>
      <c r="J58" s="1494">
        <v>0.85429093122337174</v>
      </c>
      <c r="K58" s="1445"/>
      <c r="L58" s="1445"/>
      <c r="M58" s="1445"/>
      <c r="N58" s="978">
        <f t="shared" si="0"/>
        <v>0</v>
      </c>
      <c r="O58" s="1445"/>
      <c r="P58" s="1445"/>
      <c r="Q58" s="1445"/>
      <c r="R58" s="978"/>
      <c r="S58" s="1445"/>
      <c r="T58" s="1445"/>
      <c r="U58" s="1445"/>
      <c r="V58" s="101" t="s">
        <v>554</v>
      </c>
    </row>
    <row r="59" spans="2:22" hidden="1">
      <c r="B59" s="1491" t="s">
        <v>2111</v>
      </c>
      <c r="C59" s="1506">
        <v>20688</v>
      </c>
      <c r="D59" s="1505" t="s">
        <v>2112</v>
      </c>
      <c r="E59" s="1505" t="s">
        <v>2109</v>
      </c>
      <c r="F59" s="1505" t="s">
        <v>2110</v>
      </c>
      <c r="G59" s="1507">
        <v>49.604382227632371</v>
      </c>
      <c r="H59" s="1508">
        <v>0.99208764455264742</v>
      </c>
      <c r="I59" s="1495">
        <v>57.541083384053543</v>
      </c>
      <c r="J59" s="1494">
        <v>1.150821667681071</v>
      </c>
      <c r="K59" s="1445">
        <v>0</v>
      </c>
      <c r="L59" s="1445">
        <v>17</v>
      </c>
      <c r="M59" s="1445">
        <v>64</v>
      </c>
      <c r="N59" s="978">
        <f t="shared" si="0"/>
        <v>0</v>
      </c>
      <c r="O59" s="1445"/>
      <c r="P59" s="1445"/>
      <c r="Q59" s="1445"/>
      <c r="R59" s="978"/>
      <c r="S59" s="1445"/>
      <c r="T59" s="1445"/>
      <c r="U59" s="1445"/>
      <c r="V59" s="101" t="s">
        <v>554</v>
      </c>
    </row>
    <row r="60" spans="2:22" hidden="1">
      <c r="B60" s="1491" t="s">
        <v>2113</v>
      </c>
      <c r="C60" s="1506">
        <v>20689</v>
      </c>
      <c r="D60" s="1505" t="s">
        <v>2114</v>
      </c>
      <c r="E60" s="1505" t="s">
        <v>2109</v>
      </c>
      <c r="F60" s="1505" t="s">
        <v>2110</v>
      </c>
      <c r="G60" s="1507">
        <v>62.385879488740116</v>
      </c>
      <c r="H60" s="1508">
        <v>1.2477175897748023</v>
      </c>
      <c r="I60" s="1495">
        <v>72.367620206938525</v>
      </c>
      <c r="J60" s="1494">
        <v>1.4473524041387704</v>
      </c>
      <c r="K60" s="1445">
        <v>0</v>
      </c>
      <c r="L60" s="1445">
        <v>16</v>
      </c>
      <c r="M60" s="1445">
        <v>95</v>
      </c>
      <c r="N60" s="978">
        <f t="shared" si="0"/>
        <v>0</v>
      </c>
      <c r="O60" s="1445"/>
      <c r="P60" s="1445"/>
      <c r="Q60" s="1445"/>
      <c r="R60" s="978"/>
      <c r="S60" s="1445"/>
      <c r="T60" s="1445"/>
      <c r="U60" s="1445"/>
      <c r="V60" s="101" t="s">
        <v>554</v>
      </c>
    </row>
    <row r="61" spans="2:22" hidden="1">
      <c r="B61" s="1491" t="s">
        <v>2115</v>
      </c>
      <c r="C61" s="1506" t="s">
        <v>4796</v>
      </c>
      <c r="D61" s="1505" t="s">
        <v>2116</v>
      </c>
      <c r="E61" s="1505" t="s">
        <v>2109</v>
      </c>
      <c r="F61" s="1505" t="s">
        <v>2110</v>
      </c>
      <c r="G61" s="1507">
        <v>80.645161290322562</v>
      </c>
      <c r="H61" s="1508">
        <v>1.6129032258064513</v>
      </c>
      <c r="I61" s="1495">
        <v>93.548387096774164</v>
      </c>
      <c r="J61" s="1494">
        <v>1.8709677419354833</v>
      </c>
      <c r="K61" s="1445">
        <v>0</v>
      </c>
      <c r="L61" s="1445"/>
      <c r="M61" s="1445"/>
      <c r="N61" s="978">
        <f t="shared" si="0"/>
        <v>0</v>
      </c>
      <c r="O61" s="1445"/>
      <c r="P61" s="1445"/>
      <c r="Q61" s="1445"/>
      <c r="R61" s="978"/>
      <c r="S61" s="1445"/>
      <c r="T61" s="1445"/>
      <c r="U61" s="1445"/>
      <c r="V61" s="101" t="s">
        <v>554</v>
      </c>
    </row>
    <row r="62" spans="2:22" hidden="1">
      <c r="B62" s="1491" t="s">
        <v>2117</v>
      </c>
      <c r="C62" s="1506" t="s">
        <v>4796</v>
      </c>
      <c r="D62" s="1505" t="s">
        <v>2118</v>
      </c>
      <c r="E62" s="1505" t="s">
        <v>2109</v>
      </c>
      <c r="F62" s="1505" t="s">
        <v>2110</v>
      </c>
      <c r="G62" s="1507">
        <v>102.55629945222152</v>
      </c>
      <c r="H62" s="1508">
        <v>2.0511259890444307</v>
      </c>
      <c r="I62" s="1495">
        <v>118.96530736457696</v>
      </c>
      <c r="J62" s="1494">
        <v>2.3793061472915391</v>
      </c>
      <c r="K62" s="1445">
        <v>0</v>
      </c>
      <c r="L62" s="1445"/>
      <c r="M62" s="1445"/>
      <c r="N62" s="978">
        <f t="shared" si="0"/>
        <v>0</v>
      </c>
      <c r="O62" s="1445"/>
      <c r="P62" s="1445"/>
      <c r="Q62" s="1445"/>
      <c r="R62" s="978"/>
      <c r="S62" s="1445"/>
      <c r="T62" s="1445"/>
      <c r="U62" s="1445"/>
      <c r="V62" s="101" t="s">
        <v>554</v>
      </c>
    </row>
    <row r="63" spans="2:22" hidden="1">
      <c r="B63" s="1488"/>
      <c r="C63" s="1487"/>
      <c r="D63" s="1503" t="s">
        <v>2119</v>
      </c>
      <c r="E63" s="1488"/>
      <c r="F63" s="1488"/>
      <c r="G63" s="1489"/>
      <c r="H63" s="1490"/>
      <c r="I63" s="1490"/>
      <c r="J63" s="1490"/>
      <c r="K63" s="1445"/>
      <c r="L63" s="1445"/>
      <c r="M63" s="1445"/>
      <c r="N63" s="978">
        <f t="shared" si="0"/>
        <v>0</v>
      </c>
      <c r="O63" s="1445"/>
      <c r="P63" s="1445"/>
      <c r="Q63" s="1445"/>
      <c r="R63" s="978"/>
      <c r="S63" s="1445"/>
      <c r="T63" s="1445"/>
      <c r="U63" s="1445"/>
      <c r="V63" s="101" t="s">
        <v>554</v>
      </c>
    </row>
    <row r="64" spans="2:22" hidden="1">
      <c r="B64" s="1491" t="s">
        <v>2120</v>
      </c>
      <c r="C64" s="1506">
        <v>7591542000267</v>
      </c>
      <c r="D64" s="1505" t="s">
        <v>2121</v>
      </c>
      <c r="E64" s="1505" t="s">
        <v>2122</v>
      </c>
      <c r="F64" s="1505">
        <v>50</v>
      </c>
      <c r="G64" s="1507">
        <v>23.50832806240776</v>
      </c>
      <c r="H64" s="1508">
        <v>0.4701665612481552</v>
      </c>
      <c r="I64" s="1495">
        <v>27.269660552392999</v>
      </c>
      <c r="J64" s="1494">
        <v>0.54539321104785998</v>
      </c>
      <c r="K64" s="1445">
        <v>0</v>
      </c>
      <c r="L64" s="1445"/>
      <c r="M64" s="1445"/>
      <c r="N64" s="978">
        <f t="shared" si="0"/>
        <v>0</v>
      </c>
      <c r="O64" s="1445"/>
      <c r="P64" s="1445"/>
      <c r="Q64" s="1445"/>
      <c r="R64" s="978"/>
      <c r="S64" s="1445"/>
      <c r="T64" s="1445"/>
      <c r="U64" s="1445"/>
      <c r="V64" s="101" t="s">
        <v>554</v>
      </c>
    </row>
    <row r="65" spans="2:22">
      <c r="B65" s="1491" t="s">
        <v>2123</v>
      </c>
      <c r="C65" s="1506">
        <v>7591542004517</v>
      </c>
      <c r="D65" s="1505" t="s">
        <v>2124</v>
      </c>
      <c r="E65" s="1505" t="s">
        <v>2122</v>
      </c>
      <c r="F65" s="1505">
        <v>50</v>
      </c>
      <c r="G65" s="1507">
        <v>34.050179211469526</v>
      </c>
      <c r="H65" s="1508">
        <v>0.68100358422939056</v>
      </c>
      <c r="I65" s="1495">
        <v>39.498207885304645</v>
      </c>
      <c r="J65" s="1494">
        <v>0.78996415770609285</v>
      </c>
      <c r="K65" s="1445">
        <v>1</v>
      </c>
      <c r="L65" s="1445"/>
      <c r="M65" s="1445"/>
      <c r="N65" s="978">
        <f t="shared" si="0"/>
        <v>34.050179211469526</v>
      </c>
      <c r="O65" s="1445"/>
      <c r="P65" s="1445"/>
      <c r="Q65" s="1445"/>
      <c r="R65" s="978"/>
      <c r="S65" s="1445"/>
      <c r="T65" s="1445"/>
      <c r="U65" s="1445"/>
      <c r="V65" s="101" t="s">
        <v>554</v>
      </c>
    </row>
    <row r="66" spans="2:22" hidden="1">
      <c r="B66" s="1491" t="s">
        <v>2125</v>
      </c>
      <c r="C66" s="1506">
        <v>7591542004524</v>
      </c>
      <c r="D66" s="1505" t="s">
        <v>2126</v>
      </c>
      <c r="E66" s="1505" t="s">
        <v>2122</v>
      </c>
      <c r="F66" s="1505">
        <v>50</v>
      </c>
      <c r="G66" s="1507">
        <v>48.808770820156013</v>
      </c>
      <c r="H66" s="1508">
        <v>0.97617541640312022</v>
      </c>
      <c r="I66" s="1495">
        <v>56.61817415138097</v>
      </c>
      <c r="J66" s="1494">
        <v>1.1323634830276195</v>
      </c>
      <c r="K66" s="1445">
        <v>0</v>
      </c>
      <c r="L66" s="1445">
        <v>44</v>
      </c>
      <c r="M66" s="1445">
        <v>57</v>
      </c>
      <c r="N66" s="978">
        <f t="shared" si="0"/>
        <v>0</v>
      </c>
      <c r="O66" s="1445"/>
      <c r="P66" s="1445"/>
      <c r="Q66" s="1445"/>
      <c r="R66" s="978"/>
      <c r="S66" s="1445"/>
      <c r="T66" s="1445"/>
      <c r="U66" s="1445"/>
      <c r="V66" s="101" t="s">
        <v>554</v>
      </c>
    </row>
    <row r="67" spans="2:22">
      <c r="B67" s="1491" t="s">
        <v>2127</v>
      </c>
      <c r="C67" s="1506">
        <v>7591542004531</v>
      </c>
      <c r="D67" s="1505" t="s">
        <v>2128</v>
      </c>
      <c r="E67" s="1505" t="s">
        <v>2122</v>
      </c>
      <c r="F67" s="1505">
        <v>50</v>
      </c>
      <c r="G67" s="1507">
        <v>55.133881509593081</v>
      </c>
      <c r="H67" s="1508">
        <v>1.1026776301918617</v>
      </c>
      <c r="I67" s="1495">
        <v>63.955302551127971</v>
      </c>
      <c r="J67" s="1494">
        <v>1.2791060510225594</v>
      </c>
      <c r="K67" s="1445">
        <v>1</v>
      </c>
      <c r="L67" s="1445">
        <v>31</v>
      </c>
      <c r="M67" s="1445">
        <v>12</v>
      </c>
      <c r="N67" s="978">
        <f t="shared" si="0"/>
        <v>55.133881509593081</v>
      </c>
      <c r="O67" s="1445"/>
      <c r="P67" s="1445"/>
      <c r="Q67" s="1445"/>
      <c r="R67" s="978"/>
      <c r="S67" s="1445"/>
      <c r="T67" s="1445"/>
      <c r="U67" s="1445"/>
      <c r="V67" s="101" t="s">
        <v>554</v>
      </c>
    </row>
    <row r="68" spans="2:22">
      <c r="B68" s="1491" t="s">
        <v>2129</v>
      </c>
      <c r="C68" s="1506">
        <v>7591542004548</v>
      </c>
      <c r="D68" s="1505" t="s">
        <v>2130</v>
      </c>
      <c r="E68" s="1505" t="s">
        <v>2122</v>
      </c>
      <c r="F68" s="1505">
        <v>50</v>
      </c>
      <c r="G68" s="1507">
        <v>88.235294117647058</v>
      </c>
      <c r="H68" s="1508">
        <v>1.7647058823529411</v>
      </c>
      <c r="I68" s="1495">
        <v>102.35294117647058</v>
      </c>
      <c r="J68" s="1494">
        <v>2.0470588235294116</v>
      </c>
      <c r="K68" s="1445">
        <v>1</v>
      </c>
      <c r="L68" s="1445"/>
      <c r="M68" s="1445"/>
      <c r="N68" s="978">
        <f t="shared" si="0"/>
        <v>88.235294117647058</v>
      </c>
      <c r="O68" s="1445"/>
      <c r="P68" s="1445"/>
      <c r="Q68" s="1445"/>
      <c r="R68" s="978"/>
      <c r="S68" s="1445"/>
      <c r="T68" s="1445"/>
      <c r="U68" s="1445"/>
      <c r="V68" s="101" t="s">
        <v>554</v>
      </c>
    </row>
    <row r="69" spans="2:22" hidden="1">
      <c r="B69" s="1486"/>
      <c r="C69" s="1487"/>
      <c r="D69" s="1503" t="s">
        <v>2131</v>
      </c>
      <c r="E69" s="1488"/>
      <c r="F69" s="1488"/>
      <c r="G69" s="1489"/>
      <c r="H69" s="1490"/>
      <c r="I69" s="1490"/>
      <c r="J69" s="1490"/>
      <c r="K69" s="1445"/>
      <c r="L69" s="1445"/>
      <c r="M69" s="1445"/>
      <c r="N69" s="978">
        <f t="shared" si="0"/>
        <v>0</v>
      </c>
      <c r="O69" s="1445"/>
      <c r="P69" s="1445"/>
      <c r="Q69" s="1445"/>
      <c r="R69" s="978"/>
      <c r="S69" s="1445"/>
      <c r="T69" s="1445"/>
      <c r="U69" s="1445"/>
      <c r="V69" s="101" t="s">
        <v>554</v>
      </c>
    </row>
    <row r="70" spans="2:22">
      <c r="B70" s="1491" t="s">
        <v>2132</v>
      </c>
      <c r="C70" s="1506">
        <v>7591542044513</v>
      </c>
      <c r="D70" s="1505" t="s">
        <v>2133</v>
      </c>
      <c r="E70" s="1505" t="s">
        <v>2134</v>
      </c>
      <c r="F70" s="1505" t="s">
        <v>2110</v>
      </c>
      <c r="G70" s="1507">
        <v>14.956011730205278</v>
      </c>
      <c r="H70" s="1508">
        <v>0.29912023460410553</v>
      </c>
      <c r="I70" s="1495">
        <v>17.348973607038122</v>
      </c>
      <c r="J70" s="1494">
        <v>0.34697947214076241</v>
      </c>
      <c r="K70" s="1445">
        <v>2</v>
      </c>
      <c r="L70" s="1445">
        <v>32</v>
      </c>
      <c r="M70" s="1445">
        <v>16</v>
      </c>
      <c r="N70" s="978">
        <f t="shared" si="0"/>
        <v>29.912023460410555</v>
      </c>
      <c r="O70" s="1445"/>
      <c r="P70" s="1445"/>
      <c r="Q70" s="1445"/>
      <c r="R70" s="978"/>
      <c r="S70" s="1445"/>
      <c r="T70" s="1445"/>
      <c r="U70" s="1445"/>
      <c r="V70" s="101" t="s">
        <v>554</v>
      </c>
    </row>
    <row r="71" spans="2:22">
      <c r="B71" s="1491" t="s">
        <v>2135</v>
      </c>
      <c r="C71" s="1506">
        <v>7591542044520</v>
      </c>
      <c r="D71" s="1505" t="s">
        <v>2140</v>
      </c>
      <c r="E71" s="1505" t="s">
        <v>2137</v>
      </c>
      <c r="F71" s="1505" t="s">
        <v>2138</v>
      </c>
      <c r="G71" s="1507">
        <v>20.938416422287386</v>
      </c>
      <c r="H71" s="1508">
        <v>0.52346041055718462</v>
      </c>
      <c r="I71" s="1495">
        <v>24.288563049853366</v>
      </c>
      <c r="J71" s="1494">
        <v>0.60721407624633417</v>
      </c>
      <c r="K71" s="1445">
        <v>2</v>
      </c>
      <c r="L71" s="1445">
        <v>35</v>
      </c>
      <c r="M71" s="1445">
        <v>0</v>
      </c>
      <c r="N71" s="978">
        <f t="shared" si="0"/>
        <v>41.876832844574771</v>
      </c>
      <c r="O71" s="1445"/>
      <c r="P71" s="1445"/>
      <c r="Q71" s="1445"/>
      <c r="R71" s="978"/>
      <c r="S71" s="1445"/>
      <c r="T71" s="1445"/>
      <c r="U71" s="1445"/>
      <c r="V71" s="101" t="s">
        <v>554</v>
      </c>
    </row>
    <row r="72" spans="2:22" hidden="1">
      <c r="B72" s="1491" t="s">
        <v>2139</v>
      </c>
      <c r="C72" s="1506">
        <v>7591542044537</v>
      </c>
      <c r="D72" s="1505" t="s">
        <v>2136</v>
      </c>
      <c r="E72" s="1505" t="s">
        <v>2137</v>
      </c>
      <c r="F72" s="1505" t="s">
        <v>2138</v>
      </c>
      <c r="G72" s="1507">
        <v>20.938416422287386</v>
      </c>
      <c r="H72" s="1508">
        <v>0.52346041055718462</v>
      </c>
      <c r="I72" s="1495">
        <v>24.288563049853366</v>
      </c>
      <c r="J72" s="1494">
        <v>0.60721407624633417</v>
      </c>
      <c r="K72" s="1445">
        <v>0</v>
      </c>
      <c r="L72" s="1445">
        <v>3</v>
      </c>
      <c r="M72" s="1445">
        <v>37</v>
      </c>
      <c r="N72" s="978">
        <f t="shared" si="0"/>
        <v>0</v>
      </c>
      <c r="O72" s="1445"/>
      <c r="P72" s="1445"/>
      <c r="Q72" s="1445"/>
      <c r="R72" s="978"/>
      <c r="S72" s="1445"/>
      <c r="T72" s="1445"/>
      <c r="U72" s="1445"/>
      <c r="V72" s="101" t="s">
        <v>554</v>
      </c>
    </row>
    <row r="73" spans="2:22" hidden="1">
      <c r="B73" s="1491" t="s">
        <v>2141</v>
      </c>
      <c r="C73" s="1492">
        <v>7591542044544</v>
      </c>
      <c r="D73" s="1488" t="s">
        <v>2142</v>
      </c>
      <c r="E73" s="1488" t="s">
        <v>2137</v>
      </c>
      <c r="F73" s="1488" t="s">
        <v>2138</v>
      </c>
      <c r="G73" s="1497">
        <v>23.753665689149557</v>
      </c>
      <c r="H73" s="1494">
        <v>0.59384164222873892</v>
      </c>
      <c r="I73" s="1498">
        <v>27.554252199413483</v>
      </c>
      <c r="J73" s="1494">
        <v>0.68885630498533712</v>
      </c>
      <c r="K73" s="1445"/>
      <c r="L73" s="1445"/>
      <c r="M73" s="1445"/>
      <c r="N73" s="978">
        <f t="shared" ref="N73:N86" si="1">+K73*G73</f>
        <v>0</v>
      </c>
      <c r="O73" s="1445"/>
      <c r="P73" s="1445"/>
      <c r="Q73" s="1445"/>
      <c r="R73" s="978"/>
      <c r="S73" s="1445"/>
      <c r="T73" s="1445"/>
      <c r="U73" s="1445"/>
      <c r="V73" s="101" t="s">
        <v>554</v>
      </c>
    </row>
    <row r="74" spans="2:22" hidden="1">
      <c r="B74" s="1486"/>
      <c r="C74" s="1487"/>
      <c r="D74" s="1504" t="s">
        <v>2143</v>
      </c>
      <c r="E74" s="1499"/>
      <c r="F74" s="1499"/>
      <c r="G74" s="1489"/>
      <c r="H74" s="1490"/>
      <c r="I74" s="1490"/>
      <c r="J74" s="1490"/>
      <c r="K74" s="1445"/>
      <c r="L74" s="1445"/>
      <c r="M74" s="1445"/>
      <c r="N74" s="978">
        <f t="shared" si="1"/>
        <v>0</v>
      </c>
      <c r="O74" s="1445"/>
      <c r="P74" s="1445"/>
      <c r="Q74" s="1445"/>
      <c r="R74" s="978"/>
      <c r="S74" s="1445"/>
      <c r="T74" s="1445"/>
      <c r="U74" s="1445"/>
      <c r="V74" s="101" t="s">
        <v>554</v>
      </c>
    </row>
    <row r="75" spans="2:22">
      <c r="B75" s="1491" t="s">
        <v>2144</v>
      </c>
      <c r="C75" s="1506">
        <v>7591542004203</v>
      </c>
      <c r="D75" s="1509" t="s">
        <v>2145</v>
      </c>
      <c r="E75" s="1509" t="s">
        <v>2146</v>
      </c>
      <c r="F75" s="1509">
        <v>40</v>
      </c>
      <c r="G75" s="1507">
        <v>29.544532359504966</v>
      </c>
      <c r="H75" s="1508">
        <v>0.73861330898762412</v>
      </c>
      <c r="I75" s="1498">
        <v>34.27165753702576</v>
      </c>
      <c r="J75" s="1494">
        <v>0.85679143842564398</v>
      </c>
      <c r="K75" s="1445">
        <v>1</v>
      </c>
      <c r="L75" s="1445">
        <v>0</v>
      </c>
      <c r="M75" s="1445">
        <v>0</v>
      </c>
      <c r="N75" s="978">
        <f t="shared" si="1"/>
        <v>29.544532359504966</v>
      </c>
      <c r="O75" s="1445"/>
      <c r="P75" s="1445"/>
      <c r="Q75" s="1445"/>
      <c r="R75" s="978"/>
      <c r="S75" s="1445"/>
      <c r="T75" s="1445"/>
      <c r="U75" s="1445"/>
      <c r="V75" s="101" t="s">
        <v>554</v>
      </c>
    </row>
    <row r="76" spans="2:22" hidden="1">
      <c r="B76" s="1486"/>
      <c r="C76" s="1487"/>
      <c r="D76" s="1504" t="s">
        <v>2147</v>
      </c>
      <c r="E76" s="1499"/>
      <c r="F76" s="1499"/>
      <c r="G76" s="1489"/>
      <c r="H76" s="1490"/>
      <c r="I76" s="1490"/>
      <c r="J76" s="1490"/>
      <c r="K76" s="1445"/>
      <c r="L76" s="1445"/>
      <c r="M76" s="1445"/>
      <c r="N76" s="978">
        <f t="shared" si="1"/>
        <v>0</v>
      </c>
      <c r="O76" s="1445"/>
      <c r="P76" s="1445"/>
      <c r="Q76" s="1445"/>
      <c r="R76" s="978"/>
      <c r="S76" s="1445"/>
      <c r="T76" s="1445"/>
      <c r="U76" s="1445"/>
      <c r="V76" s="101" t="s">
        <v>554</v>
      </c>
    </row>
    <row r="77" spans="2:22" hidden="1">
      <c r="B77" s="1491" t="s">
        <v>2148</v>
      </c>
      <c r="C77" s="1492">
        <v>7591542000311</v>
      </c>
      <c r="D77" s="1499" t="s">
        <v>2149</v>
      </c>
      <c r="E77" s="1499" t="s">
        <v>2150</v>
      </c>
      <c r="F77" s="1499">
        <v>18</v>
      </c>
      <c r="G77" s="1497">
        <v>21.996348143639686</v>
      </c>
      <c r="H77" s="1494">
        <v>1.2220193413133158</v>
      </c>
      <c r="I77" s="1498">
        <v>25.515763846622033</v>
      </c>
      <c r="J77" s="1494">
        <v>1.4175424359234463</v>
      </c>
      <c r="K77" s="1445"/>
      <c r="L77" s="1445"/>
      <c r="M77" s="1445"/>
      <c r="N77" s="978">
        <f t="shared" si="1"/>
        <v>0</v>
      </c>
      <c r="O77" s="1445"/>
      <c r="P77" s="1445"/>
      <c r="Q77" s="1445"/>
      <c r="R77" s="978"/>
      <c r="S77" s="1445"/>
      <c r="T77" s="1445"/>
      <c r="U77" s="1445"/>
      <c r="V77" s="101" t="s">
        <v>554</v>
      </c>
    </row>
    <row r="78" spans="2:22" hidden="1">
      <c r="B78" s="1491" t="s">
        <v>2151</v>
      </c>
      <c r="C78" s="1492">
        <v>7591542000328</v>
      </c>
      <c r="D78" s="1499" t="s">
        <v>2152</v>
      </c>
      <c r="E78" s="1499" t="s">
        <v>2150</v>
      </c>
      <c r="F78" s="1499">
        <v>18</v>
      </c>
      <c r="G78" s="1497">
        <v>23.446946642320956</v>
      </c>
      <c r="H78" s="1494">
        <v>1.3026081467956088</v>
      </c>
      <c r="I78" s="1498">
        <v>27.198458105092307</v>
      </c>
      <c r="J78" s="1494">
        <v>1.5110254502829059</v>
      </c>
      <c r="K78" s="1445"/>
      <c r="L78" s="1445"/>
      <c r="M78" s="1445"/>
      <c r="N78" s="978">
        <f t="shared" si="1"/>
        <v>0</v>
      </c>
      <c r="O78" s="1445"/>
      <c r="P78" s="1445"/>
      <c r="Q78" s="1445"/>
      <c r="R78" s="978"/>
      <c r="S78" s="1445"/>
      <c r="T78" s="1445"/>
      <c r="U78" s="1445"/>
      <c r="V78" s="101" t="s">
        <v>554</v>
      </c>
    </row>
    <row r="79" spans="2:22" hidden="1">
      <c r="B79" s="1491" t="s">
        <v>2153</v>
      </c>
      <c r="C79" s="1492">
        <v>7591542000298</v>
      </c>
      <c r="D79" s="1499" t="s">
        <v>2154</v>
      </c>
      <c r="E79" s="1499" t="s">
        <v>2155</v>
      </c>
      <c r="F79" s="1499">
        <v>15</v>
      </c>
      <c r="G79" s="1497">
        <v>26.214242239805234</v>
      </c>
      <c r="H79" s="1494">
        <v>1.747616149320349</v>
      </c>
      <c r="I79" s="1498">
        <v>30.408520998174069</v>
      </c>
      <c r="J79" s="1494">
        <v>2.0272347332116047</v>
      </c>
      <c r="K79" s="1445"/>
      <c r="L79" s="1445"/>
      <c r="M79" s="1445"/>
      <c r="N79" s="978">
        <f t="shared" si="1"/>
        <v>0</v>
      </c>
      <c r="O79" s="1445"/>
      <c r="P79" s="1445"/>
      <c r="Q79" s="1445"/>
      <c r="R79" s="978"/>
      <c r="S79" s="1445"/>
      <c r="T79" s="1445"/>
      <c r="U79" s="1445"/>
      <c r="V79" s="101" t="s">
        <v>554</v>
      </c>
    </row>
    <row r="80" spans="2:22" hidden="1">
      <c r="B80" s="1491" t="s">
        <v>2156</v>
      </c>
      <c r="C80" s="1492">
        <v>7591542000304</v>
      </c>
      <c r="D80" s="1499" t="s">
        <v>2157</v>
      </c>
      <c r="E80" s="1499" t="s">
        <v>2155</v>
      </c>
      <c r="F80" s="1499">
        <v>15</v>
      </c>
      <c r="G80" s="1497">
        <v>30.432136335970789</v>
      </c>
      <c r="H80" s="1494">
        <v>2.0288090890647195</v>
      </c>
      <c r="I80" s="1498">
        <v>35.301278149726116</v>
      </c>
      <c r="J80" s="1494">
        <v>2.3534185433150743</v>
      </c>
      <c r="K80" s="1445"/>
      <c r="L80" s="1445"/>
      <c r="M80" s="1445"/>
      <c r="N80" s="978">
        <f t="shared" si="1"/>
        <v>0</v>
      </c>
      <c r="O80" s="1445"/>
      <c r="P80" s="1445"/>
      <c r="Q80" s="1445"/>
      <c r="R80" s="978"/>
      <c r="S80" s="1445"/>
      <c r="T80" s="1445"/>
      <c r="U80" s="1445"/>
      <c r="V80" s="101" t="s">
        <v>554</v>
      </c>
    </row>
    <row r="81" spans="2:22" hidden="1">
      <c r="B81" s="1486"/>
      <c r="C81" s="1487"/>
      <c r="D81" s="1504" t="s">
        <v>2158</v>
      </c>
      <c r="E81" s="1499"/>
      <c r="F81" s="1499"/>
      <c r="G81" s="1489"/>
      <c r="H81" s="1490"/>
      <c r="I81" s="1490"/>
      <c r="J81" s="1490"/>
      <c r="K81" s="1445"/>
      <c r="L81" s="1445"/>
      <c r="M81" s="1445"/>
      <c r="N81" s="978">
        <f t="shared" si="1"/>
        <v>0</v>
      </c>
      <c r="O81" s="1445"/>
      <c r="P81" s="1445"/>
      <c r="Q81" s="1445"/>
      <c r="R81" s="978"/>
      <c r="S81" s="1445"/>
      <c r="T81" s="1445"/>
      <c r="U81" s="1445"/>
      <c r="V81" s="101" t="s">
        <v>554</v>
      </c>
    </row>
    <row r="82" spans="2:22" hidden="1">
      <c r="B82" s="1491" t="s">
        <v>2159</v>
      </c>
      <c r="C82" s="1506">
        <v>7591542350010</v>
      </c>
      <c r="D82" s="1509" t="s">
        <v>2160</v>
      </c>
      <c r="E82" s="1509" t="s">
        <v>2161</v>
      </c>
      <c r="F82" s="1509">
        <v>24</v>
      </c>
      <c r="G82" s="1507">
        <v>48.021911138161883</v>
      </c>
      <c r="H82" s="1508">
        <v>2.0009129640900785</v>
      </c>
      <c r="I82" s="1498">
        <v>55.70541692026778</v>
      </c>
      <c r="J82" s="1494">
        <v>2.3210590383444907</v>
      </c>
      <c r="K82" s="1445">
        <v>0</v>
      </c>
      <c r="L82" s="1445" t="s">
        <v>3999</v>
      </c>
      <c r="M82" s="1445" t="s">
        <v>591</v>
      </c>
      <c r="N82" s="978">
        <f t="shared" si="1"/>
        <v>0</v>
      </c>
      <c r="O82" s="1445"/>
      <c r="P82" s="1445"/>
      <c r="Q82" s="1445"/>
      <c r="R82" s="978"/>
      <c r="S82" s="1445"/>
      <c r="T82" s="1445"/>
      <c r="U82" s="1445"/>
      <c r="V82" s="101" t="s">
        <v>554</v>
      </c>
    </row>
    <row r="83" spans="2:22">
      <c r="B83" s="1491" t="s">
        <v>2162</v>
      </c>
      <c r="C83" s="1506">
        <v>7591542350027</v>
      </c>
      <c r="D83" s="1509" t="s">
        <v>2163</v>
      </c>
      <c r="E83" s="1509" t="s">
        <v>2164</v>
      </c>
      <c r="F83" s="1509">
        <v>20</v>
      </c>
      <c r="G83" s="1507">
        <v>53.864881314668281</v>
      </c>
      <c r="H83" s="1508">
        <v>2.6932440657334142</v>
      </c>
      <c r="I83" s="1498">
        <v>62.483262325015204</v>
      </c>
      <c r="J83" s="1494">
        <v>3.1241631162507604</v>
      </c>
      <c r="K83" s="1445">
        <v>1</v>
      </c>
      <c r="L83" s="1445">
        <v>11</v>
      </c>
      <c r="M83" s="1445">
        <v>23</v>
      </c>
      <c r="N83" s="978">
        <f t="shared" si="1"/>
        <v>53.864881314668281</v>
      </c>
      <c r="O83" s="1445"/>
      <c r="P83" s="1445"/>
      <c r="Q83" s="1445"/>
      <c r="R83" s="978"/>
      <c r="S83" s="1445"/>
      <c r="T83" s="1445"/>
      <c r="U83" s="1445"/>
      <c r="V83" s="101" t="s">
        <v>554</v>
      </c>
    </row>
    <row r="84" spans="2:22" ht="15.75" thickBot="1">
      <c r="B84" s="1491" t="s">
        <v>2165</v>
      </c>
      <c r="C84" s="1506">
        <v>7591542350034</v>
      </c>
      <c r="D84" s="1509" t="s">
        <v>2166</v>
      </c>
      <c r="E84" s="1509" t="s">
        <v>2164</v>
      </c>
      <c r="F84" s="1509">
        <v>20</v>
      </c>
      <c r="G84" s="1507">
        <v>59.54554676404949</v>
      </c>
      <c r="H84" s="1508">
        <v>2.9772773382024744</v>
      </c>
      <c r="I84" s="1498">
        <v>69.072834246297404</v>
      </c>
      <c r="J84" s="1494">
        <v>3.4536417123148704</v>
      </c>
      <c r="K84" s="1445">
        <v>1</v>
      </c>
      <c r="L84" s="1445">
        <v>25</v>
      </c>
      <c r="M84" s="1445">
        <v>25</v>
      </c>
      <c r="N84" s="978">
        <f t="shared" si="1"/>
        <v>59.54554676404949</v>
      </c>
      <c r="O84" s="1445"/>
      <c r="P84" s="1445"/>
      <c r="Q84" s="1445"/>
      <c r="R84" s="978"/>
      <c r="S84" s="1445"/>
      <c r="T84" s="1445"/>
      <c r="U84" s="1445"/>
      <c r="V84" s="101" t="s">
        <v>554</v>
      </c>
    </row>
    <row r="85" spans="2:22" ht="15.75" hidden="1" thickBot="1">
      <c r="B85" s="1486"/>
      <c r="C85" s="1487"/>
      <c r="D85" s="1504" t="s">
        <v>2167</v>
      </c>
      <c r="E85" s="1499"/>
      <c r="F85" s="1499"/>
      <c r="G85" s="1489"/>
      <c r="H85" s="1490"/>
      <c r="I85" s="1490"/>
      <c r="J85" s="1490"/>
      <c r="K85" s="1445"/>
      <c r="L85" s="1445"/>
      <c r="M85" s="1445"/>
      <c r="N85" s="962">
        <f t="shared" si="1"/>
        <v>0</v>
      </c>
      <c r="O85" s="1445"/>
      <c r="P85" s="1445"/>
      <c r="Q85" s="1445"/>
      <c r="R85" s="962">
        <f>+O85*K85</f>
        <v>0</v>
      </c>
      <c r="S85" s="1445"/>
      <c r="T85" s="1445"/>
      <c r="U85" s="1445"/>
    </row>
    <row r="86" spans="2:22" ht="15.75" hidden="1" thickBot="1">
      <c r="B86" s="1491" t="s">
        <v>2168</v>
      </c>
      <c r="C86" s="1492">
        <v>7591542000380</v>
      </c>
      <c r="D86" s="1499" t="s">
        <v>2169</v>
      </c>
      <c r="E86" s="1499" t="s">
        <v>2026</v>
      </c>
      <c r="F86" s="1499">
        <v>12</v>
      </c>
      <c r="G86" s="1497">
        <v>20.737327188940089</v>
      </c>
      <c r="H86" s="1494">
        <v>1.7281105990783407</v>
      </c>
      <c r="I86" s="1498">
        <v>24.055299539170502</v>
      </c>
      <c r="J86" s="1494">
        <v>2.004608294930875</v>
      </c>
      <c r="K86" s="1445"/>
      <c r="L86" s="1445"/>
      <c r="M86" s="438"/>
      <c r="N86" s="962">
        <f t="shared" si="1"/>
        <v>0</v>
      </c>
      <c r="O86" s="1445"/>
      <c r="P86" s="1445"/>
      <c r="Q86" s="438"/>
      <c r="R86" s="962">
        <f>+O86*K86</f>
        <v>0</v>
      </c>
      <c r="S86" s="1445"/>
      <c r="T86" s="1445"/>
      <c r="U86" s="1445"/>
    </row>
    <row r="87" spans="2:22" ht="15.75" thickBot="1">
      <c r="C87"/>
      <c r="M87" s="1450" t="s">
        <v>560</v>
      </c>
      <c r="N87" s="1511">
        <f>SUM(N8:N86)</f>
        <v>575.55166920048237</v>
      </c>
      <c r="Q87" s="1450" t="s">
        <v>560</v>
      </c>
      <c r="R87" s="1511">
        <f>SUM(R8:R86)</f>
        <v>0</v>
      </c>
    </row>
    <row r="88" spans="2:22">
      <c r="C88"/>
    </row>
    <row r="89" spans="2:22">
      <c r="C89"/>
    </row>
    <row r="90" spans="2:22">
      <c r="C90"/>
    </row>
    <row r="91" spans="2:22">
      <c r="C91"/>
    </row>
    <row r="92" spans="2:22">
      <c r="C92"/>
    </row>
    <row r="93" spans="2:22">
      <c r="C93"/>
    </row>
    <row r="94" spans="2:22">
      <c r="C94"/>
    </row>
    <row r="95" spans="2:22">
      <c r="C95"/>
    </row>
    <row r="96" spans="2:22">
      <c r="C96"/>
    </row>
    <row r="97" spans="3:3">
      <c r="C97"/>
    </row>
    <row r="98" spans="3:3">
      <c r="C98"/>
    </row>
    <row r="99" spans="3:3">
      <c r="C99"/>
    </row>
    <row r="100" spans="3:3">
      <c r="C100"/>
    </row>
    <row r="101" spans="3:3">
      <c r="C101"/>
    </row>
    <row r="102" spans="3:3">
      <c r="C102"/>
    </row>
    <row r="103" spans="3:3">
      <c r="C103"/>
    </row>
    <row r="104" spans="3:3">
      <c r="C104"/>
    </row>
    <row r="105" spans="3:3">
      <c r="C105"/>
    </row>
    <row r="106" spans="3:3">
      <c r="C106"/>
    </row>
    <row r="107" spans="3:3">
      <c r="C107"/>
    </row>
    <row r="108" spans="3:3">
      <c r="C108"/>
    </row>
    <row r="109" spans="3:3">
      <c r="C109"/>
    </row>
    <row r="110" spans="3:3">
      <c r="C110"/>
    </row>
    <row r="111" spans="3:3">
      <c r="C111"/>
    </row>
    <row r="112" spans="3:3">
      <c r="C112"/>
    </row>
    <row r="113" spans="3:3">
      <c r="C113"/>
    </row>
    <row r="114" spans="3:3">
      <c r="C114"/>
    </row>
    <row r="115" spans="3:3">
      <c r="C115"/>
    </row>
    <row r="116" spans="3:3">
      <c r="C116"/>
    </row>
    <row r="117" spans="3:3">
      <c r="C117"/>
    </row>
    <row r="118" spans="3:3">
      <c r="C118"/>
    </row>
    <row r="119" spans="3:3">
      <c r="C119"/>
    </row>
    <row r="120" spans="3:3">
      <c r="C120"/>
    </row>
    <row r="121" spans="3:3">
      <c r="C121"/>
    </row>
    <row r="122" spans="3:3">
      <c r="C122"/>
    </row>
    <row r="123" spans="3:3">
      <c r="C123"/>
    </row>
    <row r="124" spans="3:3">
      <c r="C124"/>
    </row>
    <row r="125" spans="3:3">
      <c r="C125"/>
    </row>
    <row r="126" spans="3:3">
      <c r="C126"/>
    </row>
    <row r="127" spans="3:3">
      <c r="C127"/>
    </row>
    <row r="128" spans="3:3">
      <c r="C128"/>
    </row>
    <row r="129" spans="3:3">
      <c r="C129"/>
    </row>
    <row r="130" spans="3:3">
      <c r="C130"/>
    </row>
    <row r="131" spans="3:3">
      <c r="C131"/>
    </row>
    <row r="132" spans="3:3">
      <c r="C132"/>
    </row>
    <row r="133" spans="3:3">
      <c r="C133"/>
    </row>
    <row r="134" spans="3:3">
      <c r="C134"/>
    </row>
    <row r="135" spans="3:3">
      <c r="C135"/>
    </row>
    <row r="136" spans="3:3">
      <c r="C136"/>
    </row>
    <row r="137" spans="3:3">
      <c r="C137"/>
    </row>
    <row r="138" spans="3:3">
      <c r="C138"/>
    </row>
    <row r="139" spans="3:3">
      <c r="C139"/>
    </row>
    <row r="140" spans="3:3">
      <c r="C140"/>
    </row>
    <row r="141" spans="3:3">
      <c r="C141"/>
    </row>
    <row r="142" spans="3:3">
      <c r="C142"/>
    </row>
    <row r="143" spans="3:3">
      <c r="C143"/>
    </row>
    <row r="144" spans="3:3">
      <c r="C144"/>
    </row>
    <row r="145" spans="3:3">
      <c r="C145"/>
    </row>
    <row r="146" spans="3:3">
      <c r="C146"/>
    </row>
    <row r="147" spans="3:3">
      <c r="C147"/>
    </row>
    <row r="148" spans="3:3">
      <c r="C148"/>
    </row>
    <row r="149" spans="3:3">
      <c r="C149"/>
    </row>
    <row r="150" spans="3:3">
      <c r="C150"/>
    </row>
    <row r="151" spans="3:3">
      <c r="C151"/>
    </row>
    <row r="152" spans="3:3">
      <c r="C152"/>
    </row>
    <row r="153" spans="3:3">
      <c r="C153"/>
    </row>
    <row r="154" spans="3:3">
      <c r="C154"/>
    </row>
    <row r="155" spans="3:3">
      <c r="C155"/>
    </row>
    <row r="156" spans="3:3">
      <c r="C156"/>
    </row>
    <row r="157" spans="3:3">
      <c r="C157"/>
    </row>
    <row r="158" spans="3:3">
      <c r="C158"/>
    </row>
    <row r="159" spans="3:3">
      <c r="C159"/>
    </row>
    <row r="160" spans="3:3">
      <c r="C160"/>
    </row>
    <row r="161" spans="3:3">
      <c r="C161"/>
    </row>
    <row r="162" spans="3:3">
      <c r="C162"/>
    </row>
    <row r="163" spans="3:3">
      <c r="C163"/>
    </row>
    <row r="164" spans="3:3">
      <c r="C164"/>
    </row>
    <row r="165" spans="3:3">
      <c r="C165"/>
    </row>
    <row r="166" spans="3:3">
      <c r="C166"/>
    </row>
    <row r="167" spans="3:3">
      <c r="C167"/>
    </row>
    <row r="168" spans="3:3">
      <c r="C168"/>
    </row>
    <row r="169" spans="3:3">
      <c r="C169"/>
    </row>
    <row r="170" spans="3:3">
      <c r="C170"/>
    </row>
    <row r="171" spans="3:3">
      <c r="C171"/>
    </row>
    <row r="172" spans="3:3">
      <c r="C172"/>
    </row>
    <row r="173" spans="3:3">
      <c r="C173"/>
    </row>
    <row r="174" spans="3:3">
      <c r="C174"/>
    </row>
    <row r="175" spans="3:3">
      <c r="C175"/>
    </row>
    <row r="176" spans="3:3">
      <c r="C176"/>
    </row>
    <row r="177" spans="3:3">
      <c r="C177"/>
    </row>
    <row r="178" spans="3:3">
      <c r="C178"/>
    </row>
    <row r="179" spans="3:3">
      <c r="C179"/>
    </row>
    <row r="180" spans="3:3">
      <c r="C180"/>
    </row>
    <row r="181" spans="3:3">
      <c r="C181"/>
    </row>
    <row r="182" spans="3:3">
      <c r="C182"/>
    </row>
    <row r="183" spans="3:3">
      <c r="C183"/>
    </row>
    <row r="184" spans="3:3">
      <c r="C184"/>
    </row>
    <row r="185" spans="3:3">
      <c r="C185"/>
    </row>
    <row r="186" spans="3:3">
      <c r="C186"/>
    </row>
    <row r="187" spans="3:3">
      <c r="C187"/>
    </row>
    <row r="188" spans="3:3">
      <c r="C188"/>
    </row>
    <row r="189" spans="3:3">
      <c r="C189"/>
    </row>
    <row r="190" spans="3:3">
      <c r="C190"/>
    </row>
    <row r="191" spans="3:3">
      <c r="C191"/>
    </row>
    <row r="192" spans="3:3">
      <c r="C192"/>
    </row>
    <row r="193" spans="3:3">
      <c r="C193"/>
    </row>
    <row r="194" spans="3:3">
      <c r="C194"/>
    </row>
    <row r="195" spans="3:3">
      <c r="C195"/>
    </row>
    <row r="196" spans="3:3">
      <c r="C196"/>
    </row>
    <row r="197" spans="3:3">
      <c r="C197"/>
    </row>
    <row r="198" spans="3:3">
      <c r="C198"/>
    </row>
    <row r="199" spans="3:3">
      <c r="C199"/>
    </row>
    <row r="200" spans="3:3">
      <c r="C200"/>
    </row>
    <row r="201" spans="3:3">
      <c r="C201"/>
    </row>
    <row r="202" spans="3:3">
      <c r="C202"/>
    </row>
    <row r="203" spans="3:3">
      <c r="C203"/>
    </row>
    <row r="204" spans="3:3">
      <c r="C204"/>
    </row>
    <row r="205" spans="3:3">
      <c r="C205"/>
    </row>
    <row r="206" spans="3:3">
      <c r="C206"/>
    </row>
    <row r="207" spans="3:3">
      <c r="C207"/>
    </row>
    <row r="208" spans="3:3">
      <c r="C208"/>
    </row>
    <row r="209" spans="3:3">
      <c r="C209"/>
    </row>
    <row r="210" spans="3:3">
      <c r="C210"/>
    </row>
    <row r="211" spans="3:3">
      <c r="C211"/>
    </row>
    <row r="212" spans="3:3">
      <c r="C212"/>
    </row>
    <row r="213" spans="3:3">
      <c r="C213"/>
    </row>
    <row r="214" spans="3:3">
      <c r="C214"/>
    </row>
    <row r="215" spans="3:3">
      <c r="C215"/>
    </row>
    <row r="216" spans="3:3">
      <c r="C216"/>
    </row>
    <row r="217" spans="3:3">
      <c r="C217"/>
    </row>
    <row r="218" spans="3:3">
      <c r="C218"/>
    </row>
    <row r="219" spans="3:3">
      <c r="C219"/>
    </row>
    <row r="220" spans="3:3">
      <c r="C220"/>
    </row>
    <row r="221" spans="3:3">
      <c r="C221"/>
    </row>
    <row r="222" spans="3:3">
      <c r="C222"/>
    </row>
    <row r="223" spans="3:3">
      <c r="C223"/>
    </row>
    <row r="224" spans="3:3">
      <c r="C224"/>
    </row>
    <row r="225" spans="3:3">
      <c r="C225"/>
    </row>
    <row r="226" spans="3:3">
      <c r="C226"/>
    </row>
    <row r="227" spans="3:3">
      <c r="C227"/>
    </row>
    <row r="228" spans="3:3">
      <c r="C228"/>
    </row>
    <row r="229" spans="3:3">
      <c r="C229"/>
    </row>
    <row r="230" spans="3:3">
      <c r="C230"/>
    </row>
    <row r="231" spans="3:3">
      <c r="C231"/>
    </row>
    <row r="232" spans="3:3">
      <c r="C232"/>
    </row>
    <row r="233" spans="3:3">
      <c r="C233"/>
    </row>
    <row r="234" spans="3:3">
      <c r="C234"/>
    </row>
    <row r="235" spans="3:3">
      <c r="C235"/>
    </row>
    <row r="236" spans="3:3">
      <c r="C236"/>
    </row>
    <row r="237" spans="3:3">
      <c r="C237"/>
    </row>
    <row r="238" spans="3:3">
      <c r="C238"/>
    </row>
    <row r="239" spans="3:3">
      <c r="C239"/>
    </row>
    <row r="240" spans="3:3">
      <c r="C240"/>
    </row>
    <row r="241" spans="3:3">
      <c r="C241"/>
    </row>
    <row r="242" spans="3:3">
      <c r="C242"/>
    </row>
    <row r="243" spans="3:3">
      <c r="C243"/>
    </row>
  </sheetData>
  <mergeCells count="6">
    <mergeCell ref="B3:D3"/>
    <mergeCell ref="E3:J3"/>
    <mergeCell ref="E4:F4"/>
    <mergeCell ref="L3:M3"/>
    <mergeCell ref="P3:Q3"/>
    <mergeCell ref="B4:C4"/>
  </mergeCells>
  <pageMargins left="0.7" right="0.7" top="0.75" bottom="0.75" header="0.3" footer="0.3"/>
  <pageSetup paperSize="11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4:BI1806"/>
  <sheetViews>
    <sheetView topLeftCell="C1788" workbookViewId="0">
      <selection activeCell="C1797" sqref="C1797:K1805"/>
    </sheetView>
  </sheetViews>
  <sheetFormatPr baseColWidth="10" defaultRowHeight="15"/>
  <cols>
    <col min="1" max="1" width="11.42578125" hidden="1" customWidth="1"/>
    <col min="2" max="2" width="9.28515625" style="404" hidden="1" customWidth="1"/>
    <col min="3" max="3" width="8" style="1181" customWidth="1"/>
    <col min="4" max="4" width="42.85546875" style="314" customWidth="1"/>
    <col min="5" max="5" width="8" style="491" hidden="1" customWidth="1"/>
    <col min="6" max="6" width="8" style="491" customWidth="1"/>
    <col min="7" max="7" width="8.42578125" style="491" customWidth="1"/>
    <col min="8" max="8" width="10.85546875" style="962" hidden="1" customWidth="1"/>
    <col min="9" max="9" width="7.85546875" style="101" customWidth="1"/>
    <col min="10" max="10" width="7.7109375" style="123" customWidth="1"/>
    <col min="11" max="12" width="12.42578125" style="123" customWidth="1"/>
    <col min="13" max="61" width="11.42578125" style="123"/>
  </cols>
  <sheetData>
    <row r="4" spans="3:9">
      <c r="D4" s="1181" t="s">
        <v>902</v>
      </c>
    </row>
    <row r="5" spans="3:9">
      <c r="D5" s="214">
        <v>44445</v>
      </c>
      <c r="E5" s="213"/>
    </row>
    <row r="6" spans="3:9">
      <c r="D6" s="314" t="s">
        <v>901</v>
      </c>
    </row>
    <row r="7" spans="3:9" ht="60">
      <c r="C7" s="1190" t="s">
        <v>0</v>
      </c>
      <c r="D7" s="332" t="s">
        <v>1</v>
      </c>
      <c r="E7" s="494" t="s">
        <v>916</v>
      </c>
      <c r="F7" s="495" t="s">
        <v>246</v>
      </c>
      <c r="G7" s="492" t="s">
        <v>68</v>
      </c>
      <c r="H7" s="963" t="s">
        <v>559</v>
      </c>
      <c r="I7" s="378" t="s">
        <v>903</v>
      </c>
    </row>
    <row r="8" spans="3:9">
      <c r="C8" s="1190">
        <v>17887</v>
      </c>
      <c r="D8" s="332" t="s">
        <v>904</v>
      </c>
      <c r="E8" s="495">
        <v>24</v>
      </c>
      <c r="F8" s="495">
        <v>480</v>
      </c>
      <c r="G8" s="492">
        <f>F8/24</f>
        <v>20</v>
      </c>
      <c r="H8" s="963">
        <v>0.76</v>
      </c>
      <c r="I8" s="453">
        <v>18.3</v>
      </c>
    </row>
    <row r="9" spans="3:9">
      <c r="C9" s="1190">
        <v>9755</v>
      </c>
      <c r="D9" s="332" t="s">
        <v>905</v>
      </c>
      <c r="E9" s="495">
        <v>24</v>
      </c>
      <c r="F9" s="495">
        <v>480</v>
      </c>
      <c r="G9" s="492">
        <f>F9/24</f>
        <v>20</v>
      </c>
      <c r="H9" s="963">
        <v>0.56000000000000005</v>
      </c>
      <c r="I9" s="453">
        <v>13.4</v>
      </c>
    </row>
    <row r="10" spans="3:9">
      <c r="C10" s="1190">
        <v>10396</v>
      </c>
      <c r="D10" s="332" t="s">
        <v>906</v>
      </c>
      <c r="E10" s="495">
        <v>12</v>
      </c>
      <c r="F10" s="495">
        <v>240</v>
      </c>
      <c r="G10" s="492">
        <f>F10/12</f>
        <v>20</v>
      </c>
      <c r="H10" s="963">
        <v>1.0900000000000001</v>
      </c>
      <c r="I10" s="453">
        <v>13.1</v>
      </c>
    </row>
    <row r="11" spans="3:9">
      <c r="C11" s="1190">
        <v>950</v>
      </c>
      <c r="D11" s="332" t="s">
        <v>907</v>
      </c>
      <c r="E11" s="495">
        <v>100</v>
      </c>
      <c r="F11" s="495">
        <v>100</v>
      </c>
      <c r="G11" s="492">
        <f>F11/100</f>
        <v>1</v>
      </c>
      <c r="H11" s="963">
        <v>0.21</v>
      </c>
      <c r="I11" s="453">
        <v>21.1</v>
      </c>
    </row>
    <row r="12" spans="3:9">
      <c r="C12" s="1190">
        <v>8162</v>
      </c>
      <c r="D12" s="332" t="s">
        <v>897</v>
      </c>
      <c r="E12" s="495">
        <v>1000</v>
      </c>
      <c r="F12" s="322">
        <v>20</v>
      </c>
      <c r="G12" s="492">
        <f>F12</f>
        <v>20</v>
      </c>
      <c r="H12" s="964">
        <v>6.1</v>
      </c>
      <c r="I12" s="453">
        <v>6.1</v>
      </c>
    </row>
    <row r="13" spans="3:9">
      <c r="C13" s="1190">
        <v>17888</v>
      </c>
      <c r="D13" s="332" t="s">
        <v>898</v>
      </c>
      <c r="E13" s="495">
        <v>1000</v>
      </c>
      <c r="F13" s="322">
        <v>10</v>
      </c>
      <c r="G13" s="492">
        <f>F13</f>
        <v>10</v>
      </c>
      <c r="H13" s="964">
        <v>8.6</v>
      </c>
      <c r="I13" s="453">
        <v>8.6</v>
      </c>
    </row>
    <row r="14" spans="3:9">
      <c r="C14" s="1190">
        <v>9579</v>
      </c>
      <c r="D14" s="332" t="s">
        <v>899</v>
      </c>
      <c r="E14" s="495">
        <v>1000</v>
      </c>
      <c r="F14" s="495">
        <v>40</v>
      </c>
      <c r="G14" s="492">
        <f>F14</f>
        <v>40</v>
      </c>
      <c r="H14" s="964">
        <v>3.4</v>
      </c>
      <c r="I14" s="453">
        <v>3.4</v>
      </c>
    </row>
    <row r="15" spans="3:9">
      <c r="C15" s="1190">
        <v>7960</v>
      </c>
      <c r="D15" s="332" t="s">
        <v>900</v>
      </c>
      <c r="E15" s="495">
        <v>1000</v>
      </c>
      <c r="F15" s="495">
        <v>40</v>
      </c>
      <c r="G15" s="492">
        <f>F15</f>
        <v>40</v>
      </c>
      <c r="H15" s="963">
        <v>0.01</v>
      </c>
      <c r="I15" s="453">
        <v>8</v>
      </c>
    </row>
    <row r="16" spans="3:9">
      <c r="C16" s="1190">
        <v>9500</v>
      </c>
      <c r="D16" s="332" t="s">
        <v>908</v>
      </c>
      <c r="E16" s="495">
        <v>24</v>
      </c>
      <c r="F16" s="495">
        <v>360</v>
      </c>
      <c r="G16" s="492">
        <f>F16/24</f>
        <v>15</v>
      </c>
      <c r="H16" s="963">
        <v>0.65</v>
      </c>
      <c r="I16" s="453">
        <v>15.5</v>
      </c>
    </row>
    <row r="17" spans="3:15" ht="30">
      <c r="C17" s="1190">
        <v>15426</v>
      </c>
      <c r="D17" s="1246" t="s">
        <v>909</v>
      </c>
      <c r="E17" s="215">
        <v>12</v>
      </c>
      <c r="F17" s="215">
        <v>180</v>
      </c>
      <c r="G17" s="215">
        <f>F17/12</f>
        <v>15</v>
      </c>
      <c r="H17" s="965">
        <v>0.98</v>
      </c>
      <c r="I17" s="453">
        <v>11.7</v>
      </c>
      <c r="K17" s="342" t="s">
        <v>916</v>
      </c>
      <c r="L17" s="1438" t="s">
        <v>68</v>
      </c>
      <c r="M17" s="342" t="s">
        <v>903</v>
      </c>
      <c r="N17" s="1438" t="s">
        <v>559</v>
      </c>
      <c r="O17" s="342" t="s">
        <v>917</v>
      </c>
    </row>
    <row r="18" spans="3:15">
      <c r="C18" s="1190">
        <v>15428</v>
      </c>
      <c r="D18" s="1246" t="s">
        <v>910</v>
      </c>
      <c r="E18" s="215">
        <v>12</v>
      </c>
      <c r="F18" s="215">
        <v>180</v>
      </c>
      <c r="G18" s="215">
        <f>F18/12</f>
        <v>15</v>
      </c>
      <c r="H18" s="965">
        <v>0.98</v>
      </c>
      <c r="I18" s="453">
        <v>11.7</v>
      </c>
      <c r="K18" s="1438">
        <v>12</v>
      </c>
      <c r="L18" s="1438">
        <v>250</v>
      </c>
      <c r="M18" s="1438">
        <v>13.1</v>
      </c>
      <c r="N18" s="1438"/>
      <c r="O18" s="1438">
        <f>L18*M18</f>
        <v>3275</v>
      </c>
    </row>
    <row r="19" spans="3:15">
      <c r="C19" s="1190">
        <v>15767</v>
      </c>
      <c r="D19" s="1246" t="s">
        <v>911</v>
      </c>
      <c r="E19" s="215">
        <v>24</v>
      </c>
      <c r="F19" s="215">
        <v>360</v>
      </c>
      <c r="G19" s="215">
        <f>F19/24</f>
        <v>15</v>
      </c>
      <c r="H19" s="965">
        <v>0.49</v>
      </c>
      <c r="I19" s="453">
        <v>11.7</v>
      </c>
      <c r="K19" s="1438">
        <v>24</v>
      </c>
      <c r="L19" s="1438">
        <v>50</v>
      </c>
      <c r="M19" s="1438">
        <v>11.8</v>
      </c>
      <c r="N19" s="1438"/>
      <c r="O19" s="1438">
        <f>L19*M19</f>
        <v>590</v>
      </c>
    </row>
    <row r="20" spans="3:15">
      <c r="C20" s="1190">
        <v>13577</v>
      </c>
      <c r="D20" s="332" t="s">
        <v>912</v>
      </c>
      <c r="E20" s="495">
        <v>72</v>
      </c>
      <c r="F20" s="495">
        <v>72</v>
      </c>
      <c r="G20" s="492">
        <f>F20/72</f>
        <v>1</v>
      </c>
      <c r="H20" s="963">
        <v>0.2</v>
      </c>
      <c r="I20" s="453">
        <v>14.4</v>
      </c>
      <c r="O20" s="123">
        <f>SUM(O18:O19)</f>
        <v>3865</v>
      </c>
    </row>
    <row r="21" spans="3:15">
      <c r="C21" s="1190">
        <v>2647</v>
      </c>
      <c r="D21" s="332" t="s">
        <v>913</v>
      </c>
      <c r="E21" s="495">
        <v>252</v>
      </c>
      <c r="F21" s="495">
        <v>252</v>
      </c>
      <c r="G21" s="492">
        <f>F21/252</f>
        <v>1</v>
      </c>
      <c r="H21" s="963">
        <v>0.15</v>
      </c>
      <c r="I21" s="453">
        <v>37.200000000000003</v>
      </c>
    </row>
    <row r="22" spans="3:15">
      <c r="C22" s="1190">
        <v>14999</v>
      </c>
      <c r="D22" s="332" t="s">
        <v>914</v>
      </c>
      <c r="E22" s="495">
        <v>100</v>
      </c>
      <c r="F22" s="495">
        <v>200</v>
      </c>
      <c r="G22" s="492">
        <f>F22/100</f>
        <v>2</v>
      </c>
      <c r="H22" s="963">
        <v>0.38</v>
      </c>
      <c r="I22" s="453">
        <v>37.5</v>
      </c>
    </row>
    <row r="23" spans="3:15">
      <c r="C23" s="1190">
        <v>17889</v>
      </c>
      <c r="D23" s="332" t="s">
        <v>915</v>
      </c>
      <c r="E23" s="495">
        <v>48</v>
      </c>
      <c r="F23" s="495">
        <v>1920</v>
      </c>
      <c r="G23" s="492">
        <f>F23/48</f>
        <v>40</v>
      </c>
      <c r="H23" s="963">
        <v>0.36</v>
      </c>
      <c r="I23" s="453">
        <v>17.5</v>
      </c>
    </row>
    <row r="24" spans="3:15">
      <c r="C24" s="1190"/>
      <c r="D24" s="332"/>
      <c r="E24" s="495"/>
      <c r="F24" s="495"/>
      <c r="G24" s="495"/>
      <c r="H24" s="963"/>
      <c r="I24" s="1180"/>
    </row>
    <row r="25" spans="3:15">
      <c r="E25" s="2313" t="s">
        <v>904</v>
      </c>
      <c r="F25" s="2314"/>
      <c r="G25" s="2314"/>
      <c r="H25" s="2314"/>
      <c r="I25" s="101">
        <f>H8</f>
        <v>0.76</v>
      </c>
    </row>
    <row r="28" spans="3:15" ht="74.25" customHeight="1">
      <c r="D28" s="1190" t="s">
        <v>1393</v>
      </c>
      <c r="E28" s="494" t="s">
        <v>916</v>
      </c>
      <c r="F28" s="492" t="s">
        <v>68</v>
      </c>
      <c r="G28" s="216" t="s">
        <v>903</v>
      </c>
      <c r="H28" s="963" t="s">
        <v>559</v>
      </c>
      <c r="I28" s="378" t="s">
        <v>917</v>
      </c>
    </row>
    <row r="29" spans="3:15" hidden="1">
      <c r="D29" s="332" t="s">
        <v>918</v>
      </c>
      <c r="E29" s="495">
        <v>20</v>
      </c>
      <c r="F29" s="495">
        <v>0</v>
      </c>
      <c r="G29" s="495">
        <v>34.799999999999997</v>
      </c>
      <c r="H29" s="963">
        <f>G29/E29</f>
        <v>1.7399999999999998</v>
      </c>
      <c r="I29" s="1180">
        <f>F29*G29</f>
        <v>0</v>
      </c>
    </row>
    <row r="30" spans="3:15" hidden="1">
      <c r="D30" s="332" t="s">
        <v>919</v>
      </c>
      <c r="E30" s="495">
        <v>20</v>
      </c>
      <c r="F30" s="495">
        <v>0</v>
      </c>
      <c r="G30" s="495">
        <v>34.799999999999997</v>
      </c>
      <c r="H30" s="963">
        <f t="shared" ref="H30:H56" si="0">G30/E30</f>
        <v>1.7399999999999998</v>
      </c>
      <c r="I30" s="1180">
        <f t="shared" ref="I30:I56" si="1">F30*G30</f>
        <v>0</v>
      </c>
    </row>
    <row r="31" spans="3:15">
      <c r="D31" s="332" t="s">
        <v>921</v>
      </c>
      <c r="E31" s="495">
        <v>10</v>
      </c>
      <c r="F31" s="16">
        <v>200</v>
      </c>
      <c r="G31" s="16">
        <v>8.6</v>
      </c>
      <c r="H31" s="963">
        <f t="shared" si="0"/>
        <v>0.86</v>
      </c>
      <c r="I31" s="1180">
        <f t="shared" si="1"/>
        <v>1720</v>
      </c>
    </row>
    <row r="32" spans="3:15">
      <c r="D32" s="332" t="s">
        <v>922</v>
      </c>
      <c r="E32" s="495">
        <v>24</v>
      </c>
      <c r="F32" s="16">
        <v>20</v>
      </c>
      <c r="G32" s="16">
        <v>18.3</v>
      </c>
      <c r="H32" s="963">
        <f t="shared" si="0"/>
        <v>0.76250000000000007</v>
      </c>
      <c r="I32" s="1180">
        <f t="shared" si="1"/>
        <v>366</v>
      </c>
    </row>
    <row r="33" spans="2:61">
      <c r="D33" s="332" t="s">
        <v>905</v>
      </c>
      <c r="E33" s="495">
        <v>24</v>
      </c>
      <c r="F33" s="16">
        <v>50</v>
      </c>
      <c r="G33" s="16">
        <v>13.1</v>
      </c>
      <c r="H33" s="963">
        <f t="shared" si="0"/>
        <v>0.54583333333333328</v>
      </c>
      <c r="I33" s="1180">
        <f t="shared" si="1"/>
        <v>655</v>
      </c>
    </row>
    <row r="34" spans="2:61" hidden="1">
      <c r="D34" s="332" t="s">
        <v>906</v>
      </c>
      <c r="E34" s="495">
        <v>12</v>
      </c>
      <c r="F34" s="495">
        <v>0</v>
      </c>
      <c r="G34" s="16">
        <v>13.1</v>
      </c>
      <c r="H34" s="963">
        <f t="shared" si="0"/>
        <v>1.0916666666666666</v>
      </c>
      <c r="I34" s="1180">
        <f t="shared" si="1"/>
        <v>0</v>
      </c>
    </row>
    <row r="35" spans="2:61" s="110" customFormat="1">
      <c r="B35" s="404"/>
      <c r="C35" s="1181"/>
      <c r="D35" s="332" t="s">
        <v>1324</v>
      </c>
      <c r="E35" s="495">
        <v>15</v>
      </c>
      <c r="F35" s="16">
        <v>60</v>
      </c>
      <c r="G35" s="16">
        <v>13.5</v>
      </c>
      <c r="H35" s="963">
        <f t="shared" si="0"/>
        <v>0.9</v>
      </c>
      <c r="I35" s="1180">
        <f t="shared" si="1"/>
        <v>810</v>
      </c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3"/>
      <c r="BG35" s="123"/>
      <c r="BH35" s="123"/>
      <c r="BI35" s="123"/>
    </row>
    <row r="36" spans="2:61" s="110" customFormat="1" hidden="1">
      <c r="B36" s="404"/>
      <c r="C36" s="1190">
        <v>9579</v>
      </c>
      <c r="D36" s="332" t="s">
        <v>899</v>
      </c>
      <c r="E36" s="495">
        <v>1000</v>
      </c>
      <c r="F36" s="493">
        <v>0</v>
      </c>
      <c r="G36" s="493">
        <v>3.4</v>
      </c>
      <c r="H36" s="963">
        <f t="shared" si="0"/>
        <v>3.3999999999999998E-3</v>
      </c>
      <c r="I36" s="1180">
        <f t="shared" si="1"/>
        <v>0</v>
      </c>
      <c r="J36" s="123"/>
      <c r="K36" s="1441"/>
      <c r="L36" s="1441"/>
      <c r="M36" s="1441"/>
      <c r="N36" s="1441"/>
      <c r="O36" s="1441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</row>
    <row r="37" spans="2:61" s="110" customFormat="1">
      <c r="B37" s="404"/>
      <c r="C37" s="1193"/>
      <c r="D37" s="332" t="s">
        <v>1325</v>
      </c>
      <c r="E37" s="495">
        <v>24</v>
      </c>
      <c r="F37" s="16">
        <v>7</v>
      </c>
      <c r="G37" s="16">
        <v>19.7</v>
      </c>
      <c r="H37" s="963">
        <f t="shared" si="0"/>
        <v>0.8208333333333333</v>
      </c>
      <c r="I37" s="1180">
        <f t="shared" si="1"/>
        <v>137.9</v>
      </c>
      <c r="J37" s="123"/>
      <c r="K37" s="1441"/>
      <c r="L37" s="1441"/>
      <c r="M37" s="1441"/>
      <c r="N37" s="1441"/>
      <c r="O37" s="1441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</row>
    <row r="38" spans="2:61" s="110" customFormat="1">
      <c r="B38" s="404"/>
      <c r="C38" s="1193"/>
      <c r="D38" s="332" t="s">
        <v>914</v>
      </c>
      <c r="E38" s="495">
        <v>100</v>
      </c>
      <c r="F38" s="16">
        <v>3</v>
      </c>
      <c r="G38" s="16">
        <v>37.5</v>
      </c>
      <c r="H38" s="963">
        <f t="shared" si="0"/>
        <v>0.375</v>
      </c>
      <c r="I38" s="1180">
        <f t="shared" si="1"/>
        <v>112.5</v>
      </c>
      <c r="J38" s="123"/>
      <c r="K38" s="1441"/>
      <c r="L38" s="1441"/>
      <c r="M38" s="1441"/>
      <c r="N38" s="1441"/>
      <c r="O38" s="1441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</row>
    <row r="39" spans="2:61" s="110" customFormat="1">
      <c r="B39" s="404"/>
      <c r="C39" s="1181"/>
      <c r="D39" s="332" t="s">
        <v>1326</v>
      </c>
      <c r="E39" s="495">
        <v>24</v>
      </c>
      <c r="F39" s="16">
        <v>7</v>
      </c>
      <c r="G39" s="16">
        <v>19.7</v>
      </c>
      <c r="H39" s="963">
        <f t="shared" si="0"/>
        <v>0.8208333333333333</v>
      </c>
      <c r="I39" s="1180">
        <f t="shared" si="1"/>
        <v>137.9</v>
      </c>
      <c r="J39" s="123"/>
      <c r="K39" s="1441"/>
      <c r="L39" s="1441"/>
      <c r="M39" s="1441"/>
      <c r="N39" s="1441"/>
      <c r="O39" s="1441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</row>
    <row r="40" spans="2:61" hidden="1">
      <c r="D40" s="1231" t="s">
        <v>923</v>
      </c>
      <c r="E40" s="495">
        <v>96</v>
      </c>
      <c r="F40" s="495">
        <v>0</v>
      </c>
      <c r="G40" s="495">
        <v>51.2</v>
      </c>
      <c r="H40" s="963">
        <f t="shared" si="0"/>
        <v>0.53333333333333333</v>
      </c>
      <c r="I40" s="1180">
        <f t="shared" si="1"/>
        <v>0</v>
      </c>
      <c r="O40" s="123" t="s">
        <v>65</v>
      </c>
    </row>
    <row r="41" spans="2:61" hidden="1">
      <c r="D41" s="1231" t="s">
        <v>924</v>
      </c>
      <c r="E41" s="495">
        <v>96</v>
      </c>
      <c r="F41" s="495">
        <v>0</v>
      </c>
      <c r="G41" s="495">
        <v>51.2</v>
      </c>
      <c r="H41" s="963">
        <f t="shared" si="0"/>
        <v>0.53333333333333333</v>
      </c>
      <c r="I41" s="1180">
        <f t="shared" si="1"/>
        <v>0</v>
      </c>
    </row>
    <row r="42" spans="2:61">
      <c r="D42" s="1231" t="s">
        <v>925</v>
      </c>
      <c r="E42" s="495">
        <v>24</v>
      </c>
      <c r="F42" s="16">
        <v>20</v>
      </c>
      <c r="G42" s="16">
        <v>15.5</v>
      </c>
      <c r="H42" s="963">
        <f t="shared" si="0"/>
        <v>0.64583333333333337</v>
      </c>
      <c r="I42" s="1180">
        <f t="shared" si="1"/>
        <v>310</v>
      </c>
    </row>
    <row r="43" spans="2:61" hidden="1">
      <c r="D43" s="1231" t="s">
        <v>926</v>
      </c>
      <c r="E43" s="495">
        <v>12</v>
      </c>
      <c r="F43" s="495">
        <v>0</v>
      </c>
      <c r="G43" s="495">
        <v>15.5</v>
      </c>
      <c r="H43" s="963">
        <f t="shared" si="0"/>
        <v>1.2916666666666667</v>
      </c>
      <c r="I43" s="1180">
        <f t="shared" si="1"/>
        <v>0</v>
      </c>
    </row>
    <row r="44" spans="2:61" hidden="1">
      <c r="D44" s="1231" t="s">
        <v>927</v>
      </c>
      <c r="E44" s="495">
        <v>12</v>
      </c>
      <c r="F44" s="495">
        <v>0</v>
      </c>
      <c r="G44" s="495">
        <v>15.5</v>
      </c>
      <c r="H44" s="963">
        <f t="shared" si="0"/>
        <v>1.2916666666666667</v>
      </c>
      <c r="I44" s="1180">
        <f t="shared" si="1"/>
        <v>0</v>
      </c>
    </row>
    <row r="45" spans="2:61">
      <c r="D45" s="1231" t="s">
        <v>928</v>
      </c>
      <c r="E45" s="495">
        <v>12</v>
      </c>
      <c r="F45" s="16">
        <v>20</v>
      </c>
      <c r="G45" s="16">
        <v>7.7</v>
      </c>
      <c r="H45" s="963">
        <f t="shared" si="0"/>
        <v>0.64166666666666672</v>
      </c>
      <c r="I45" s="1180">
        <f t="shared" si="1"/>
        <v>154</v>
      </c>
    </row>
    <row r="46" spans="2:61">
      <c r="D46" s="1231" t="s">
        <v>929</v>
      </c>
      <c r="E46" s="495">
        <v>24</v>
      </c>
      <c r="F46" s="16">
        <v>20</v>
      </c>
      <c r="G46" s="16">
        <v>12</v>
      </c>
      <c r="H46" s="963">
        <f t="shared" si="0"/>
        <v>0.5</v>
      </c>
      <c r="I46" s="1180">
        <f t="shared" si="1"/>
        <v>240</v>
      </c>
    </row>
    <row r="47" spans="2:61">
      <c r="D47" s="1231" t="s">
        <v>930</v>
      </c>
      <c r="E47" s="495">
        <v>12</v>
      </c>
      <c r="F47" s="16">
        <v>20</v>
      </c>
      <c r="G47" s="16">
        <v>12</v>
      </c>
      <c r="H47" s="963">
        <f t="shared" si="0"/>
        <v>1</v>
      </c>
      <c r="I47" s="1180">
        <f t="shared" si="1"/>
        <v>240</v>
      </c>
    </row>
    <row r="48" spans="2:61">
      <c r="D48" s="1231" t="s">
        <v>931</v>
      </c>
      <c r="E48" s="495">
        <v>24</v>
      </c>
      <c r="F48" s="16">
        <v>20</v>
      </c>
      <c r="G48" s="16">
        <v>12</v>
      </c>
      <c r="H48" s="963">
        <f t="shared" si="0"/>
        <v>0.5</v>
      </c>
      <c r="I48" s="1180">
        <f t="shared" si="1"/>
        <v>240</v>
      </c>
    </row>
    <row r="49" spans="4:9">
      <c r="D49" s="1231" t="s">
        <v>932</v>
      </c>
      <c r="E49" s="495">
        <v>12</v>
      </c>
      <c r="F49" s="16">
        <v>20</v>
      </c>
      <c r="G49" s="16">
        <v>12</v>
      </c>
      <c r="H49" s="963">
        <f t="shared" si="0"/>
        <v>1</v>
      </c>
      <c r="I49" s="1180">
        <f t="shared" si="1"/>
        <v>240</v>
      </c>
    </row>
    <row r="50" spans="4:9">
      <c r="D50" s="332" t="s">
        <v>933</v>
      </c>
      <c r="E50" s="495">
        <v>24</v>
      </c>
      <c r="F50" s="16">
        <v>20</v>
      </c>
      <c r="G50" s="16">
        <v>12</v>
      </c>
      <c r="H50" s="963">
        <f t="shared" si="0"/>
        <v>0.5</v>
      </c>
      <c r="I50" s="1180">
        <f t="shared" si="1"/>
        <v>240</v>
      </c>
    </row>
    <row r="51" spans="4:9">
      <c r="D51" s="332" t="s">
        <v>934</v>
      </c>
      <c r="E51" s="495">
        <v>12</v>
      </c>
      <c r="F51" s="16">
        <v>20</v>
      </c>
      <c r="G51" s="16">
        <v>12</v>
      </c>
      <c r="H51" s="963">
        <f t="shared" si="0"/>
        <v>1</v>
      </c>
      <c r="I51" s="1180">
        <f t="shared" si="1"/>
        <v>240</v>
      </c>
    </row>
    <row r="52" spans="4:9">
      <c r="D52" s="332" t="s">
        <v>935</v>
      </c>
      <c r="E52" s="495">
        <v>72</v>
      </c>
      <c r="F52" s="16">
        <v>2</v>
      </c>
      <c r="G52" s="16">
        <v>21.6</v>
      </c>
      <c r="H52" s="963">
        <f t="shared" si="0"/>
        <v>0.30000000000000004</v>
      </c>
      <c r="I52" s="1180">
        <f t="shared" si="1"/>
        <v>43.2</v>
      </c>
    </row>
    <row r="53" spans="4:9" hidden="1">
      <c r="D53" s="332" t="s">
        <v>936</v>
      </c>
      <c r="E53" s="495">
        <v>72</v>
      </c>
      <c r="F53" s="495"/>
      <c r="G53" s="495">
        <v>12.5</v>
      </c>
      <c r="H53" s="963">
        <f t="shared" si="0"/>
        <v>0.1736111111111111</v>
      </c>
      <c r="I53" s="1180">
        <f t="shared" si="1"/>
        <v>0</v>
      </c>
    </row>
    <row r="54" spans="4:9">
      <c r="D54" s="332" t="s">
        <v>937</v>
      </c>
      <c r="E54" s="495">
        <v>48</v>
      </c>
      <c r="F54" s="16">
        <v>30</v>
      </c>
      <c r="G54" s="16">
        <v>17.5</v>
      </c>
      <c r="H54" s="963">
        <f t="shared" si="0"/>
        <v>0.36458333333333331</v>
      </c>
      <c r="I54" s="1180">
        <f t="shared" si="1"/>
        <v>525</v>
      </c>
    </row>
    <row r="55" spans="4:9" hidden="1">
      <c r="D55" s="332" t="s">
        <v>938</v>
      </c>
      <c r="E55" s="495">
        <v>48</v>
      </c>
      <c r="F55" s="495">
        <v>0</v>
      </c>
      <c r="G55" s="495">
        <v>17.5</v>
      </c>
      <c r="H55" s="963">
        <f t="shared" si="0"/>
        <v>0.36458333333333331</v>
      </c>
      <c r="I55" s="1180">
        <f t="shared" si="1"/>
        <v>0</v>
      </c>
    </row>
    <row r="56" spans="4:9">
      <c r="D56" s="332" t="s">
        <v>939</v>
      </c>
      <c r="E56" s="495">
        <v>288</v>
      </c>
      <c r="F56" s="16">
        <v>3</v>
      </c>
      <c r="G56" s="16">
        <v>89</v>
      </c>
      <c r="H56" s="963">
        <f t="shared" si="0"/>
        <v>0.30902777777777779</v>
      </c>
      <c r="I56" s="1180">
        <f t="shared" si="1"/>
        <v>267</v>
      </c>
    </row>
    <row r="57" spans="4:9">
      <c r="D57" s="332"/>
      <c r="E57" s="495" t="s">
        <v>940</v>
      </c>
      <c r="F57" s="495"/>
      <c r="G57" s="495"/>
      <c r="H57" s="963"/>
      <c r="I57" s="1180">
        <f>SUM(I29:I56)</f>
        <v>6678.5</v>
      </c>
    </row>
    <row r="58" spans="4:9">
      <c r="D58" s="332" t="s">
        <v>1391</v>
      </c>
      <c r="E58" s="495"/>
      <c r="F58" s="495"/>
      <c r="G58" s="495"/>
      <c r="H58" s="963"/>
      <c r="I58" s="1180"/>
    </row>
    <row r="59" spans="4:9">
      <c r="D59" s="332" t="s">
        <v>1325</v>
      </c>
      <c r="E59" s="495"/>
      <c r="F59" s="495"/>
      <c r="G59" s="495"/>
      <c r="H59" s="963">
        <f>H37</f>
        <v>0.8208333333333333</v>
      </c>
      <c r="I59" s="1180">
        <f>H59*48</f>
        <v>39.4</v>
      </c>
    </row>
    <row r="60" spans="4:9">
      <c r="D60" s="332"/>
      <c r="E60" s="495"/>
      <c r="F60" s="495"/>
      <c r="G60" s="495"/>
      <c r="H60" s="963"/>
      <c r="I60" s="1180">
        <f>I57-I59</f>
        <v>6639.1</v>
      </c>
    </row>
    <row r="61" spans="4:9">
      <c r="D61" s="332"/>
      <c r="E61" s="495"/>
      <c r="F61" s="495"/>
      <c r="G61" s="495"/>
      <c r="H61" s="963"/>
      <c r="I61" s="1180"/>
    </row>
    <row r="62" spans="4:9">
      <c r="D62" s="332"/>
      <c r="E62" s="495"/>
      <c r="F62" s="495"/>
      <c r="G62" s="495"/>
      <c r="H62" s="963"/>
      <c r="I62" s="1180"/>
    </row>
    <row r="63" spans="4:9">
      <c r="D63" s="332"/>
      <c r="E63" s="495"/>
      <c r="F63" s="495"/>
      <c r="G63" s="495"/>
      <c r="H63" s="963"/>
      <c r="I63" s="1180"/>
    </row>
    <row r="64" spans="4:9">
      <c r="D64" s="332"/>
      <c r="E64" s="495"/>
      <c r="F64" s="495"/>
      <c r="G64" s="495"/>
      <c r="H64" s="963"/>
      <c r="I64" s="1180"/>
    </row>
    <row r="65" spans="2:61">
      <c r="D65" s="332"/>
      <c r="E65" s="495"/>
      <c r="F65" s="495"/>
      <c r="G65" s="495"/>
      <c r="H65" s="963"/>
      <c r="I65" s="1180"/>
    </row>
    <row r="66" spans="2:61" ht="50.25" customHeight="1">
      <c r="D66" s="1190" t="s">
        <v>1505</v>
      </c>
      <c r="E66" s="494" t="s">
        <v>916</v>
      </c>
      <c r="F66" s="492" t="s">
        <v>68</v>
      </c>
      <c r="G66" s="216" t="s">
        <v>903</v>
      </c>
      <c r="H66" s="963" t="s">
        <v>559</v>
      </c>
      <c r="I66" s="378" t="s">
        <v>917</v>
      </c>
    </row>
    <row r="67" spans="2:61" hidden="1">
      <c r="D67" s="332" t="s">
        <v>918</v>
      </c>
      <c r="E67" s="495">
        <v>20</v>
      </c>
      <c r="F67" s="495">
        <v>0</v>
      </c>
      <c r="G67" s="495">
        <v>34.799999999999997</v>
      </c>
      <c r="H67" s="963">
        <f>G67/E67</f>
        <v>1.7399999999999998</v>
      </c>
      <c r="I67" s="1180">
        <f>F67*G67</f>
        <v>0</v>
      </c>
      <c r="J67" s="348" t="s">
        <v>0</v>
      </c>
    </row>
    <row r="68" spans="2:61" hidden="1">
      <c r="D68" s="332" t="s">
        <v>919</v>
      </c>
      <c r="E68" s="495">
        <v>20</v>
      </c>
      <c r="F68" s="495">
        <v>0</v>
      </c>
      <c r="G68" s="495">
        <v>34.799999999999997</v>
      </c>
      <c r="H68" s="963">
        <f t="shared" ref="H68:H96" si="2">G68/E68</f>
        <v>1.7399999999999998</v>
      </c>
      <c r="I68" s="1180">
        <f t="shared" ref="I68:I96" si="3">F68*G68</f>
        <v>0</v>
      </c>
      <c r="J68" s="452">
        <v>8162</v>
      </c>
    </row>
    <row r="69" spans="2:61">
      <c r="D69" s="1190" t="s">
        <v>921</v>
      </c>
      <c r="E69" s="495">
        <v>10</v>
      </c>
      <c r="F69" s="16">
        <v>0</v>
      </c>
      <c r="G69" s="16">
        <v>8.6</v>
      </c>
      <c r="H69" s="963">
        <f t="shared" si="2"/>
        <v>0.86</v>
      </c>
      <c r="I69" s="1180">
        <f t="shared" si="3"/>
        <v>0</v>
      </c>
      <c r="J69" s="7"/>
    </row>
    <row r="70" spans="2:61" hidden="1">
      <c r="D70" s="1190" t="s">
        <v>922</v>
      </c>
      <c r="E70" s="495">
        <v>24</v>
      </c>
      <c r="F70" s="16">
        <v>0</v>
      </c>
      <c r="G70" s="16">
        <v>18.3</v>
      </c>
      <c r="H70" s="963">
        <f t="shared" si="2"/>
        <v>0.76250000000000007</v>
      </c>
      <c r="I70" s="1180">
        <f t="shared" si="3"/>
        <v>0</v>
      </c>
      <c r="J70" s="7"/>
    </row>
    <row r="71" spans="2:61" hidden="1">
      <c r="D71" s="1190" t="s">
        <v>905</v>
      </c>
      <c r="E71" s="495">
        <v>24</v>
      </c>
      <c r="F71" s="16">
        <v>0</v>
      </c>
      <c r="G71" s="16">
        <v>13.1</v>
      </c>
      <c r="H71" s="963">
        <f t="shared" si="2"/>
        <v>0.54583333333333328</v>
      </c>
      <c r="I71" s="1180">
        <f t="shared" si="3"/>
        <v>0</v>
      </c>
      <c r="J71" s="7"/>
    </row>
    <row r="72" spans="2:61">
      <c r="D72" s="1190" t="s">
        <v>906</v>
      </c>
      <c r="E72" s="495">
        <v>12</v>
      </c>
      <c r="F72" s="16">
        <v>0</v>
      </c>
      <c r="G72" s="16">
        <v>14</v>
      </c>
      <c r="H72" s="963">
        <f t="shared" si="2"/>
        <v>1.1666666666666667</v>
      </c>
      <c r="I72" s="1180">
        <f t="shared" si="3"/>
        <v>0</v>
      </c>
      <c r="J72" s="7"/>
    </row>
    <row r="73" spans="2:61" hidden="1">
      <c r="C73" s="1190">
        <v>16237</v>
      </c>
      <c r="D73" s="1190" t="s">
        <v>1324</v>
      </c>
      <c r="E73" s="495">
        <v>15</v>
      </c>
      <c r="F73" s="16">
        <v>0</v>
      </c>
      <c r="G73" s="16">
        <v>13.5</v>
      </c>
      <c r="H73" s="963">
        <f t="shared" si="2"/>
        <v>0.9</v>
      </c>
      <c r="I73" s="1180">
        <f t="shared" si="3"/>
        <v>0</v>
      </c>
      <c r="J73" s="7"/>
    </row>
    <row r="74" spans="2:61" s="357" customFormat="1">
      <c r="B74" s="404"/>
      <c r="C74" s="1181"/>
      <c r="D74" s="1190" t="s">
        <v>1507</v>
      </c>
      <c r="E74" s="495">
        <v>120</v>
      </c>
      <c r="F74" s="16">
        <v>15</v>
      </c>
      <c r="G74" s="16">
        <v>8.3000000000000007</v>
      </c>
      <c r="H74" s="963">
        <f t="shared" si="2"/>
        <v>6.9166666666666668E-2</v>
      </c>
      <c r="I74" s="1180">
        <f t="shared" si="3"/>
        <v>124.50000000000001</v>
      </c>
      <c r="J74" s="7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  <c r="AO74" s="123"/>
      <c r="AP74" s="123"/>
      <c r="AQ74" s="123"/>
      <c r="AR74" s="123"/>
      <c r="AS74" s="123"/>
      <c r="AT74" s="123"/>
      <c r="AU74" s="123"/>
      <c r="AV74" s="123"/>
      <c r="AW74" s="123"/>
      <c r="AX74" s="123"/>
      <c r="AY74" s="123"/>
      <c r="AZ74" s="123"/>
      <c r="BA74" s="123"/>
      <c r="BB74" s="123"/>
      <c r="BC74" s="123"/>
      <c r="BD74" s="123"/>
      <c r="BE74" s="123"/>
      <c r="BF74" s="123"/>
      <c r="BG74" s="123"/>
      <c r="BH74" s="123"/>
      <c r="BI74" s="123"/>
    </row>
    <row r="75" spans="2:61">
      <c r="C75" s="1190">
        <v>9579</v>
      </c>
      <c r="D75" s="1190" t="s">
        <v>899</v>
      </c>
      <c r="E75" s="495">
        <v>1000</v>
      </c>
      <c r="F75" s="16">
        <v>0</v>
      </c>
      <c r="G75" s="493">
        <v>3.4</v>
      </c>
      <c r="H75" s="963">
        <f t="shared" si="2"/>
        <v>3.3999999999999998E-3</v>
      </c>
      <c r="I75" s="1180">
        <f t="shared" si="3"/>
        <v>0</v>
      </c>
      <c r="J75" s="7"/>
    </row>
    <row r="76" spans="2:61" hidden="1">
      <c r="C76" s="1193"/>
      <c r="D76" s="1190" t="s">
        <v>1325</v>
      </c>
      <c r="E76" s="495">
        <v>24</v>
      </c>
      <c r="F76" s="16">
        <v>0</v>
      </c>
      <c r="G76" s="16">
        <v>19.7</v>
      </c>
      <c r="H76" s="963">
        <f t="shared" si="2"/>
        <v>0.8208333333333333</v>
      </c>
      <c r="I76" s="1180">
        <f t="shared" si="3"/>
        <v>0</v>
      </c>
      <c r="J76" s="7"/>
    </row>
    <row r="77" spans="2:61" hidden="1">
      <c r="C77" s="1193"/>
      <c r="D77" s="1190" t="s">
        <v>914</v>
      </c>
      <c r="E77" s="495">
        <v>100</v>
      </c>
      <c r="F77" s="16">
        <v>0</v>
      </c>
      <c r="G77" s="16">
        <v>37.5</v>
      </c>
      <c r="H77" s="963">
        <f t="shared" si="2"/>
        <v>0.375</v>
      </c>
      <c r="I77" s="1180">
        <f t="shared" si="3"/>
        <v>0</v>
      </c>
      <c r="J77" s="7"/>
    </row>
    <row r="78" spans="2:61" hidden="1">
      <c r="D78" s="1190" t="s">
        <v>1326</v>
      </c>
      <c r="E78" s="495">
        <v>24</v>
      </c>
      <c r="F78" s="16">
        <v>0</v>
      </c>
      <c r="G78" s="16">
        <v>19.7</v>
      </c>
      <c r="H78" s="963">
        <f t="shared" si="2"/>
        <v>0.8208333333333333</v>
      </c>
      <c r="I78" s="1180">
        <f t="shared" si="3"/>
        <v>0</v>
      </c>
      <c r="J78" s="7"/>
    </row>
    <row r="79" spans="2:61">
      <c r="D79" s="305" t="s">
        <v>923</v>
      </c>
      <c r="E79" s="495">
        <v>96</v>
      </c>
      <c r="F79" s="16">
        <v>10</v>
      </c>
      <c r="G79" s="495">
        <v>51.2</v>
      </c>
      <c r="H79" s="963">
        <f t="shared" si="2"/>
        <v>0.53333333333333333</v>
      </c>
      <c r="I79" s="1180">
        <f t="shared" si="3"/>
        <v>512</v>
      </c>
      <c r="J79" s="7"/>
    </row>
    <row r="80" spans="2:61">
      <c r="D80" s="305" t="s">
        <v>924</v>
      </c>
      <c r="E80" s="495">
        <v>96</v>
      </c>
      <c r="F80" s="16">
        <v>10</v>
      </c>
      <c r="G80" s="495">
        <v>51.2</v>
      </c>
      <c r="H80" s="963">
        <f t="shared" si="2"/>
        <v>0.53333333333333333</v>
      </c>
      <c r="I80" s="1180">
        <f t="shared" si="3"/>
        <v>512</v>
      </c>
      <c r="J80" s="7"/>
    </row>
    <row r="81" spans="2:61" s="357" customFormat="1" hidden="1">
      <c r="B81" s="404"/>
      <c r="C81" s="1181"/>
      <c r="D81" s="305"/>
      <c r="E81" s="495"/>
      <c r="F81" s="16"/>
      <c r="G81" s="495"/>
      <c r="H81" s="963"/>
      <c r="I81" s="1180"/>
      <c r="J81" s="7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  <c r="AA81" s="123"/>
      <c r="AB81" s="123"/>
      <c r="AC81" s="123"/>
      <c r="AD81" s="123"/>
      <c r="AE81" s="123"/>
      <c r="AF81" s="123"/>
      <c r="AG81" s="123"/>
      <c r="AH81" s="123"/>
      <c r="AI81" s="123"/>
      <c r="AJ81" s="123"/>
      <c r="AK81" s="123"/>
      <c r="AL81" s="123"/>
      <c r="AM81" s="123"/>
      <c r="AN81" s="123"/>
      <c r="AO81" s="123"/>
      <c r="AP81" s="123"/>
      <c r="AQ81" s="123"/>
      <c r="AR81" s="123"/>
      <c r="AS81" s="123"/>
      <c r="AT81" s="123"/>
      <c r="AU81" s="123"/>
      <c r="AV81" s="123"/>
      <c r="AW81" s="123"/>
      <c r="AX81" s="123"/>
      <c r="AY81" s="123"/>
      <c r="AZ81" s="123"/>
      <c r="BA81" s="123"/>
      <c r="BB81" s="123"/>
      <c r="BC81" s="123"/>
      <c r="BD81" s="123"/>
      <c r="BE81" s="123"/>
      <c r="BF81" s="123"/>
      <c r="BG81" s="123"/>
      <c r="BH81" s="123"/>
      <c r="BI81" s="123"/>
    </row>
    <row r="82" spans="2:61" s="357" customFormat="1" hidden="1">
      <c r="B82" s="404"/>
      <c r="C82" s="1190">
        <v>2647</v>
      </c>
      <c r="D82" s="1190" t="s">
        <v>913</v>
      </c>
      <c r="E82" s="495">
        <v>252</v>
      </c>
      <c r="F82" s="16" t="s">
        <v>65</v>
      </c>
      <c r="G82" s="495"/>
      <c r="H82" s="963"/>
      <c r="I82" s="1180"/>
      <c r="J82" s="7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  <c r="AA82" s="123"/>
      <c r="AB82" s="123"/>
      <c r="AC82" s="123"/>
      <c r="AD82" s="123"/>
      <c r="AE82" s="123"/>
      <c r="AF82" s="123"/>
      <c r="AG82" s="123"/>
      <c r="AH82" s="123"/>
      <c r="AI82" s="123"/>
      <c r="AJ82" s="123"/>
      <c r="AK82" s="123"/>
      <c r="AL82" s="123"/>
      <c r="AM82" s="123"/>
      <c r="AN82" s="123"/>
      <c r="AO82" s="123"/>
      <c r="AP82" s="123"/>
      <c r="AQ82" s="123"/>
      <c r="AR82" s="123"/>
      <c r="AS82" s="123"/>
      <c r="AT82" s="123"/>
      <c r="AU82" s="123"/>
      <c r="AV82" s="123"/>
      <c r="AW82" s="123"/>
      <c r="AX82" s="123"/>
      <c r="AY82" s="123"/>
      <c r="AZ82" s="123"/>
      <c r="BA82" s="123"/>
      <c r="BB82" s="123"/>
      <c r="BC82" s="123"/>
      <c r="BD82" s="123"/>
      <c r="BE82" s="123"/>
      <c r="BF82" s="123"/>
      <c r="BG82" s="123"/>
      <c r="BH82" s="123"/>
      <c r="BI82" s="123"/>
    </row>
    <row r="83" spans="2:61" s="357" customFormat="1" hidden="1">
      <c r="B83" s="404"/>
      <c r="C83" s="1181"/>
      <c r="D83" s="1190" t="s">
        <v>1506</v>
      </c>
      <c r="E83" s="495"/>
      <c r="F83" s="16"/>
      <c r="G83" s="495"/>
      <c r="H83" s="963"/>
      <c r="I83" s="1180"/>
      <c r="J83" s="7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  <c r="AL83" s="123"/>
      <c r="AM83" s="123"/>
      <c r="AN83" s="123"/>
      <c r="AO83" s="123"/>
      <c r="AP83" s="123"/>
      <c r="AQ83" s="123"/>
      <c r="AR83" s="123"/>
      <c r="AS83" s="123"/>
      <c r="AT83" s="123"/>
      <c r="AU83" s="123"/>
      <c r="AV83" s="123"/>
      <c r="AW83" s="123"/>
      <c r="AX83" s="123"/>
      <c r="AY83" s="123"/>
      <c r="AZ83" s="123"/>
      <c r="BA83" s="123"/>
      <c r="BB83" s="123"/>
      <c r="BC83" s="123"/>
      <c r="BD83" s="123"/>
      <c r="BE83" s="123"/>
      <c r="BF83" s="123"/>
      <c r="BG83" s="123"/>
      <c r="BH83" s="123"/>
      <c r="BI83" s="123"/>
    </row>
    <row r="84" spans="2:61" s="357" customFormat="1" hidden="1">
      <c r="B84" s="404"/>
      <c r="C84" s="1190">
        <v>950</v>
      </c>
      <c r="D84" s="1190" t="s">
        <v>1508</v>
      </c>
      <c r="E84" s="495"/>
      <c r="F84" s="16"/>
      <c r="G84" s="495"/>
      <c r="H84" s="963"/>
      <c r="I84" s="1180"/>
      <c r="J84" s="7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  <c r="AA84" s="123"/>
      <c r="AB84" s="123"/>
      <c r="AC84" s="123"/>
      <c r="AD84" s="123"/>
      <c r="AE84" s="123"/>
      <c r="AF84" s="123"/>
      <c r="AG84" s="123"/>
      <c r="AH84" s="123"/>
      <c r="AI84" s="123"/>
      <c r="AJ84" s="123"/>
      <c r="AK84" s="123"/>
      <c r="AL84" s="123"/>
      <c r="AM84" s="123"/>
      <c r="AN84" s="123"/>
      <c r="AO84" s="123"/>
      <c r="AP84" s="123"/>
      <c r="AQ84" s="123"/>
      <c r="AR84" s="123"/>
      <c r="AS84" s="123"/>
      <c r="AT84" s="123"/>
      <c r="AU84" s="123"/>
      <c r="AV84" s="123"/>
      <c r="AW84" s="123"/>
      <c r="AX84" s="123"/>
      <c r="AY84" s="123"/>
      <c r="AZ84" s="123"/>
      <c r="BA84" s="123"/>
      <c r="BB84" s="123"/>
      <c r="BC84" s="123"/>
      <c r="BD84" s="123"/>
      <c r="BE84" s="123"/>
      <c r="BF84" s="123"/>
      <c r="BG84" s="123"/>
      <c r="BH84" s="123"/>
      <c r="BI84" s="123"/>
    </row>
    <row r="85" spans="2:61" s="357" customFormat="1" hidden="1">
      <c r="B85" s="404"/>
      <c r="C85" s="1181"/>
      <c r="D85" s="305"/>
      <c r="E85" s="495"/>
      <c r="F85" s="16"/>
      <c r="G85" s="495"/>
      <c r="H85" s="963"/>
      <c r="I85" s="1180"/>
      <c r="J85" s="7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3"/>
      <c r="AU85" s="123"/>
      <c r="AV85" s="123"/>
      <c r="AW85" s="123"/>
      <c r="AX85" s="123"/>
      <c r="AY85" s="123"/>
      <c r="AZ85" s="123"/>
      <c r="BA85" s="123"/>
      <c r="BB85" s="123"/>
      <c r="BC85" s="123"/>
      <c r="BD85" s="123"/>
      <c r="BE85" s="123"/>
      <c r="BF85" s="123"/>
      <c r="BG85" s="123"/>
      <c r="BH85" s="123"/>
      <c r="BI85" s="123"/>
    </row>
    <row r="86" spans="2:61" hidden="1">
      <c r="C86" s="1190">
        <v>9500</v>
      </c>
      <c r="D86" s="305" t="s">
        <v>925</v>
      </c>
      <c r="E86" s="495">
        <v>24</v>
      </c>
      <c r="F86" s="16">
        <v>0</v>
      </c>
      <c r="G86" s="16">
        <v>15.5</v>
      </c>
      <c r="H86" s="963">
        <f t="shared" si="2"/>
        <v>0.64583333333333337</v>
      </c>
      <c r="I86" s="1180">
        <f t="shared" si="3"/>
        <v>0</v>
      </c>
      <c r="J86" s="7"/>
    </row>
    <row r="87" spans="2:61" hidden="1">
      <c r="D87" s="305" t="s">
        <v>926</v>
      </c>
      <c r="E87" s="495">
        <v>12</v>
      </c>
      <c r="F87" s="16">
        <v>0</v>
      </c>
      <c r="G87" s="495">
        <v>15.5</v>
      </c>
      <c r="H87" s="963">
        <f t="shared" si="2"/>
        <v>1.2916666666666667</v>
      </c>
      <c r="I87" s="1180">
        <f t="shared" si="3"/>
        <v>0</v>
      </c>
      <c r="J87" s="7"/>
    </row>
    <row r="88" spans="2:61" hidden="1">
      <c r="D88" s="305" t="s">
        <v>927</v>
      </c>
      <c r="E88" s="495">
        <v>12</v>
      </c>
      <c r="F88" s="16">
        <v>0</v>
      </c>
      <c r="G88" s="495">
        <v>15.5</v>
      </c>
      <c r="H88" s="963">
        <f t="shared" si="2"/>
        <v>1.2916666666666667</v>
      </c>
      <c r="I88" s="1180">
        <f t="shared" si="3"/>
        <v>0</v>
      </c>
      <c r="J88" s="7"/>
    </row>
    <row r="89" spans="2:61">
      <c r="C89" s="1190">
        <v>18707</v>
      </c>
      <c r="D89" s="305" t="s">
        <v>928</v>
      </c>
      <c r="E89" s="495">
        <v>12</v>
      </c>
      <c r="F89" s="16">
        <v>15</v>
      </c>
      <c r="G89" s="16">
        <v>7.7</v>
      </c>
      <c r="H89" s="963">
        <f t="shared" si="2"/>
        <v>0.64166666666666672</v>
      </c>
      <c r="I89" s="1180">
        <f t="shared" si="3"/>
        <v>115.5</v>
      </c>
      <c r="J89" s="7"/>
    </row>
    <row r="90" spans="2:61" hidden="1">
      <c r="C90" s="1190">
        <v>18714</v>
      </c>
      <c r="D90" s="305" t="s">
        <v>1510</v>
      </c>
      <c r="E90" s="495">
        <v>24</v>
      </c>
      <c r="F90" s="16">
        <v>0</v>
      </c>
      <c r="G90" s="16">
        <v>12</v>
      </c>
      <c r="H90" s="963">
        <f t="shared" si="2"/>
        <v>0.5</v>
      </c>
      <c r="I90" s="1180">
        <f t="shared" si="3"/>
        <v>0</v>
      </c>
      <c r="J90" s="7"/>
    </row>
    <row r="91" spans="2:61">
      <c r="C91" s="1190">
        <v>15430</v>
      </c>
      <c r="D91" s="305" t="s">
        <v>1511</v>
      </c>
      <c r="E91" s="495">
        <v>12</v>
      </c>
      <c r="F91" s="16">
        <v>15</v>
      </c>
      <c r="G91" s="16">
        <v>12</v>
      </c>
      <c r="H91" s="963">
        <f t="shared" si="2"/>
        <v>1</v>
      </c>
      <c r="I91" s="1180">
        <f t="shared" si="3"/>
        <v>180</v>
      </c>
      <c r="J91" s="7"/>
    </row>
    <row r="92" spans="2:61" hidden="1">
      <c r="C92" s="1190">
        <v>15767</v>
      </c>
      <c r="D92" s="305" t="s">
        <v>931</v>
      </c>
      <c r="E92" s="495">
        <v>24</v>
      </c>
      <c r="F92" s="16">
        <v>0</v>
      </c>
      <c r="G92" s="16">
        <v>12</v>
      </c>
      <c r="H92" s="963">
        <f t="shared" si="2"/>
        <v>0.5</v>
      </c>
      <c r="I92" s="1180">
        <f t="shared" si="3"/>
        <v>0</v>
      </c>
      <c r="J92" s="419">
        <v>17889</v>
      </c>
    </row>
    <row r="93" spans="2:61">
      <c r="C93" s="1190">
        <v>15428</v>
      </c>
      <c r="D93" s="305" t="s">
        <v>932</v>
      </c>
      <c r="E93" s="495">
        <v>12</v>
      </c>
      <c r="F93" s="16">
        <v>15</v>
      </c>
      <c r="G93" s="16">
        <v>12</v>
      </c>
      <c r="H93" s="963">
        <f t="shared" si="2"/>
        <v>1</v>
      </c>
      <c r="I93" s="1180">
        <f t="shared" si="3"/>
        <v>180</v>
      </c>
    </row>
    <row r="94" spans="2:61" hidden="1">
      <c r="C94" s="1190">
        <v>16239</v>
      </c>
      <c r="D94" s="1190" t="s">
        <v>933</v>
      </c>
      <c r="E94" s="495">
        <v>24</v>
      </c>
      <c r="F94" s="16">
        <v>0</v>
      </c>
      <c r="G94" s="16">
        <v>12</v>
      </c>
      <c r="H94" s="963">
        <f t="shared" si="2"/>
        <v>0.5</v>
      </c>
      <c r="I94" s="1180">
        <f t="shared" si="3"/>
        <v>0</v>
      </c>
    </row>
    <row r="95" spans="2:61">
      <c r="C95" s="1190">
        <v>15426</v>
      </c>
      <c r="D95" s="1190" t="s">
        <v>934</v>
      </c>
      <c r="E95" s="495">
        <v>12</v>
      </c>
      <c r="F95" s="16">
        <v>15</v>
      </c>
      <c r="G95" s="16">
        <v>12</v>
      </c>
      <c r="H95" s="963">
        <f t="shared" si="2"/>
        <v>1</v>
      </c>
      <c r="I95" s="1180">
        <f t="shared" si="3"/>
        <v>180</v>
      </c>
    </row>
    <row r="96" spans="2:61">
      <c r="D96" s="1190" t="s">
        <v>1512</v>
      </c>
      <c r="E96" s="495">
        <v>72</v>
      </c>
      <c r="F96" s="16">
        <v>20</v>
      </c>
      <c r="G96" s="16">
        <v>21.6</v>
      </c>
      <c r="H96" s="963">
        <f t="shared" si="2"/>
        <v>0.30000000000000004</v>
      </c>
      <c r="I96" s="1180">
        <f t="shared" si="3"/>
        <v>432</v>
      </c>
    </row>
    <row r="97" spans="2:61" s="357" customFormat="1">
      <c r="B97" s="404"/>
      <c r="C97" s="1181"/>
      <c r="D97" s="1193"/>
      <c r="E97" s="495"/>
      <c r="F97" s="493"/>
      <c r="G97" s="493"/>
      <c r="H97" s="966"/>
      <c r="I97" s="104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3"/>
      <c r="AH97" s="123"/>
      <c r="AI97" s="123"/>
      <c r="AJ97" s="123"/>
      <c r="AK97" s="123"/>
      <c r="AL97" s="123"/>
      <c r="AM97" s="123"/>
      <c r="AN97" s="123"/>
      <c r="AO97" s="123"/>
      <c r="AP97" s="123"/>
      <c r="AQ97" s="123"/>
      <c r="AR97" s="123"/>
      <c r="AS97" s="123"/>
      <c r="AT97" s="123"/>
      <c r="AU97" s="123"/>
      <c r="AV97" s="123"/>
      <c r="AW97" s="123"/>
      <c r="AX97" s="123"/>
      <c r="AY97" s="123"/>
      <c r="AZ97" s="123"/>
      <c r="BA97" s="123"/>
      <c r="BB97" s="123"/>
      <c r="BC97" s="123"/>
      <c r="BD97" s="123"/>
      <c r="BE97" s="123"/>
      <c r="BF97" s="123"/>
      <c r="BG97" s="123"/>
      <c r="BH97" s="123"/>
      <c r="BI97" s="123"/>
    </row>
    <row r="98" spans="2:61">
      <c r="E98" s="2316" t="s">
        <v>65</v>
      </c>
      <c r="F98" s="2316"/>
      <c r="G98" s="493" t="s">
        <v>65</v>
      </c>
      <c r="H98" s="962" t="s">
        <v>71</v>
      </c>
      <c r="I98" s="101">
        <f>SUM(I67:I96)</f>
        <v>2236</v>
      </c>
    </row>
    <row r="99" spans="2:61" ht="15.75" thickBot="1">
      <c r="D99" s="369" t="s">
        <v>1392</v>
      </c>
      <c r="E99" s="2315" t="s">
        <v>1507</v>
      </c>
      <c r="F99" s="2315"/>
      <c r="G99" s="492">
        <v>8</v>
      </c>
      <c r="H99" s="967">
        <v>7.0000000000000007E-2</v>
      </c>
      <c r="I99" s="101">
        <f>G99*H99</f>
        <v>0.56000000000000005</v>
      </c>
    </row>
    <row r="100" spans="2:61" ht="15.75" thickBot="1">
      <c r="I100" s="1183">
        <f>I98-I99</f>
        <v>2235.44</v>
      </c>
    </row>
    <row r="104" spans="2:61" ht="60">
      <c r="E104" s="494" t="s">
        <v>916</v>
      </c>
      <c r="F104" s="492" t="s">
        <v>68</v>
      </c>
      <c r="G104" s="216" t="s">
        <v>903</v>
      </c>
      <c r="H104" s="963" t="s">
        <v>559</v>
      </c>
      <c r="I104" s="378" t="s">
        <v>917</v>
      </c>
    </row>
    <row r="105" spans="2:61" hidden="1">
      <c r="C105" s="1190">
        <v>9755</v>
      </c>
      <c r="D105" s="332" t="s">
        <v>905</v>
      </c>
      <c r="E105" s="495">
        <v>24</v>
      </c>
      <c r="F105" s="495">
        <v>0</v>
      </c>
      <c r="G105" s="492">
        <v>14</v>
      </c>
      <c r="H105" s="963">
        <v>0.56000000000000005</v>
      </c>
      <c r="I105" s="453">
        <f>F105*G105</f>
        <v>0</v>
      </c>
    </row>
    <row r="106" spans="2:61">
      <c r="C106" s="1190">
        <v>10396</v>
      </c>
      <c r="D106" s="1190" t="s">
        <v>906</v>
      </c>
      <c r="E106" s="495">
        <v>12</v>
      </c>
      <c r="F106" s="16">
        <v>150</v>
      </c>
      <c r="G106" s="16">
        <v>14</v>
      </c>
      <c r="H106" s="963">
        <f>G106/E106</f>
        <v>1.1666666666666667</v>
      </c>
      <c r="I106" s="453">
        <f>F106*G106</f>
        <v>2100</v>
      </c>
    </row>
    <row r="107" spans="2:61">
      <c r="C107" s="1190">
        <v>9579</v>
      </c>
      <c r="D107" s="1190" t="s">
        <v>899</v>
      </c>
      <c r="E107" s="495">
        <v>1000</v>
      </c>
      <c r="F107" s="16">
        <v>30</v>
      </c>
      <c r="G107" s="493">
        <v>3.4</v>
      </c>
      <c r="H107" s="963">
        <f>G107/E107</f>
        <v>3.3999999999999998E-3</v>
      </c>
      <c r="I107" s="453">
        <f>F107*G107</f>
        <v>102</v>
      </c>
    </row>
    <row r="108" spans="2:61">
      <c r="H108" s="962" t="s">
        <v>71</v>
      </c>
      <c r="I108" s="101">
        <f>SUM(I105:I107)</f>
        <v>2202</v>
      </c>
    </row>
    <row r="109" spans="2:61" s="357" customFormat="1" ht="48.75" customHeight="1">
      <c r="B109" s="404"/>
      <c r="C109" s="1181"/>
      <c r="D109" s="403" t="s">
        <v>1392</v>
      </c>
      <c r="E109" s="2317" t="s">
        <v>906</v>
      </c>
      <c r="F109" s="2317"/>
      <c r="G109" s="495">
        <v>24</v>
      </c>
      <c r="H109" s="963">
        <v>1.17</v>
      </c>
      <c r="I109" s="1180">
        <f>G109*H109</f>
        <v>28.08</v>
      </c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  <c r="AA109" s="123"/>
      <c r="AB109" s="123"/>
      <c r="AC109" s="123"/>
      <c r="AD109" s="123"/>
      <c r="AE109" s="123"/>
      <c r="AF109" s="123"/>
      <c r="AG109" s="123"/>
      <c r="AH109" s="123"/>
      <c r="AI109" s="123"/>
      <c r="AJ109" s="123"/>
      <c r="AK109" s="123"/>
      <c r="AL109" s="123"/>
      <c r="AM109" s="123"/>
      <c r="AN109" s="123"/>
      <c r="AO109" s="123"/>
      <c r="AP109" s="123"/>
      <c r="AQ109" s="123"/>
      <c r="AR109" s="123"/>
      <c r="AS109" s="123"/>
      <c r="AT109" s="123"/>
      <c r="AU109" s="123"/>
      <c r="AV109" s="123"/>
      <c r="AW109" s="123"/>
      <c r="AX109" s="123"/>
      <c r="AY109" s="123"/>
      <c r="AZ109" s="123"/>
      <c r="BA109" s="123"/>
      <c r="BB109" s="123"/>
      <c r="BC109" s="123"/>
      <c r="BD109" s="123"/>
      <c r="BE109" s="123"/>
      <c r="BF109" s="123"/>
      <c r="BG109" s="123"/>
      <c r="BH109" s="123"/>
      <c r="BI109" s="123"/>
    </row>
    <row r="110" spans="2:61" s="357" customFormat="1" ht="15.75" thickBot="1">
      <c r="B110" s="404"/>
      <c r="C110" s="1181"/>
      <c r="D110" s="314"/>
      <c r="E110" s="491"/>
      <c r="F110" s="491"/>
      <c r="G110" s="491"/>
      <c r="H110" s="962"/>
      <c r="I110" s="402">
        <f>I108-I109</f>
        <v>2173.92</v>
      </c>
      <c r="J110" s="123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3"/>
      <c r="AA110" s="123"/>
      <c r="AB110" s="123"/>
      <c r="AC110" s="123"/>
      <c r="AD110" s="123"/>
      <c r="AE110" s="123"/>
      <c r="AF110" s="123"/>
      <c r="AG110" s="123"/>
      <c r="AH110" s="123"/>
      <c r="AI110" s="123"/>
      <c r="AJ110" s="123"/>
      <c r="AK110" s="123"/>
      <c r="AL110" s="123"/>
      <c r="AM110" s="123"/>
      <c r="AN110" s="123"/>
      <c r="AO110" s="123"/>
      <c r="AP110" s="123"/>
      <c r="AQ110" s="123"/>
      <c r="AR110" s="123"/>
      <c r="AS110" s="123"/>
      <c r="AT110" s="123"/>
      <c r="AU110" s="123"/>
      <c r="AV110" s="123"/>
      <c r="AW110" s="123"/>
      <c r="AX110" s="123"/>
      <c r="AY110" s="123"/>
      <c r="AZ110" s="123"/>
      <c r="BA110" s="123"/>
      <c r="BB110" s="123"/>
      <c r="BC110" s="123"/>
      <c r="BD110" s="123"/>
      <c r="BE110" s="123"/>
      <c r="BF110" s="123"/>
      <c r="BG110" s="123"/>
      <c r="BH110" s="123"/>
      <c r="BI110" s="123"/>
    </row>
    <row r="111" spans="2:61" s="357" customFormat="1">
      <c r="B111" s="404"/>
      <c r="C111" s="1181"/>
      <c r="D111" s="314"/>
      <c r="E111" s="491"/>
      <c r="F111" s="491"/>
      <c r="G111" s="491"/>
      <c r="H111" s="962"/>
      <c r="I111" s="101"/>
      <c r="J111" s="123"/>
      <c r="K111" s="123"/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  <c r="AA111" s="123"/>
      <c r="AB111" s="123"/>
      <c r="AC111" s="123"/>
      <c r="AD111" s="123"/>
      <c r="AE111" s="123"/>
      <c r="AF111" s="123"/>
      <c r="AG111" s="123"/>
      <c r="AH111" s="123"/>
      <c r="AI111" s="123"/>
      <c r="AJ111" s="123"/>
      <c r="AK111" s="123"/>
      <c r="AL111" s="123"/>
      <c r="AM111" s="123"/>
      <c r="AN111" s="123"/>
      <c r="AO111" s="123"/>
      <c r="AP111" s="123"/>
      <c r="AQ111" s="123"/>
      <c r="AR111" s="123"/>
      <c r="AS111" s="123"/>
      <c r="AT111" s="123"/>
      <c r="AU111" s="123"/>
      <c r="AV111" s="123"/>
      <c r="AW111" s="123"/>
      <c r="AX111" s="123"/>
      <c r="AY111" s="123"/>
      <c r="AZ111" s="123"/>
      <c r="BA111" s="123"/>
      <c r="BB111" s="123"/>
      <c r="BC111" s="123"/>
      <c r="BD111" s="123"/>
      <c r="BE111" s="123"/>
      <c r="BF111" s="123"/>
      <c r="BG111" s="123"/>
      <c r="BH111" s="123"/>
      <c r="BI111" s="123"/>
    </row>
    <row r="112" spans="2:61" s="357" customFormat="1">
      <c r="B112" s="404"/>
      <c r="C112" s="1181"/>
      <c r="D112" s="314"/>
      <c r="E112" s="491"/>
      <c r="F112" s="491"/>
      <c r="G112" s="491"/>
      <c r="H112" s="962"/>
      <c r="I112" s="101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3"/>
      <c r="AA112" s="123"/>
      <c r="AB112" s="123"/>
      <c r="AC112" s="123"/>
      <c r="AD112" s="123"/>
      <c r="AE112" s="123"/>
      <c r="AF112" s="123"/>
      <c r="AG112" s="123"/>
      <c r="AH112" s="123"/>
      <c r="AI112" s="123"/>
      <c r="AJ112" s="123"/>
      <c r="AK112" s="123"/>
      <c r="AL112" s="123"/>
      <c r="AM112" s="123"/>
      <c r="AN112" s="123"/>
      <c r="AO112" s="123"/>
      <c r="AP112" s="123"/>
      <c r="AQ112" s="123"/>
      <c r="AR112" s="123"/>
      <c r="AS112" s="123"/>
      <c r="AT112" s="123"/>
      <c r="AU112" s="123"/>
      <c r="AV112" s="123"/>
      <c r="AW112" s="123"/>
      <c r="AX112" s="123"/>
      <c r="AY112" s="123"/>
      <c r="AZ112" s="123"/>
      <c r="BA112" s="123"/>
      <c r="BB112" s="123"/>
      <c r="BC112" s="123"/>
      <c r="BD112" s="123"/>
      <c r="BE112" s="123"/>
      <c r="BF112" s="123"/>
      <c r="BG112" s="123"/>
      <c r="BH112" s="123"/>
      <c r="BI112" s="123"/>
    </row>
    <row r="113" spans="2:61" s="357" customFormat="1">
      <c r="B113" s="404"/>
      <c r="C113" s="1181"/>
      <c r="D113" s="314"/>
      <c r="E113" s="491"/>
      <c r="F113" s="491"/>
      <c r="G113" s="491"/>
      <c r="H113" s="962"/>
      <c r="I113" s="101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  <c r="AA113" s="123"/>
      <c r="AB113" s="123"/>
      <c r="AC113" s="123"/>
      <c r="AD113" s="123"/>
      <c r="AE113" s="123"/>
      <c r="AF113" s="123"/>
      <c r="AG113" s="123"/>
      <c r="AH113" s="123"/>
      <c r="AI113" s="123"/>
      <c r="AJ113" s="123"/>
      <c r="AK113" s="123"/>
      <c r="AL113" s="123"/>
      <c r="AM113" s="123"/>
      <c r="AN113" s="123"/>
      <c r="AO113" s="123"/>
      <c r="AP113" s="123"/>
      <c r="AQ113" s="123"/>
      <c r="AR113" s="123"/>
      <c r="AS113" s="123"/>
      <c r="AT113" s="123"/>
      <c r="AU113" s="123"/>
      <c r="AV113" s="123"/>
      <c r="AW113" s="123"/>
      <c r="AX113" s="123"/>
      <c r="AY113" s="123"/>
      <c r="AZ113" s="123"/>
      <c r="BA113" s="123"/>
      <c r="BB113" s="123"/>
      <c r="BC113" s="123"/>
      <c r="BD113" s="123"/>
      <c r="BE113" s="123"/>
      <c r="BF113" s="123"/>
      <c r="BG113" s="123"/>
      <c r="BH113" s="123"/>
      <c r="BI113" s="123"/>
    </row>
    <row r="114" spans="2:61" s="357" customFormat="1">
      <c r="B114" s="404"/>
      <c r="C114" s="1181"/>
      <c r="D114" s="314"/>
      <c r="E114" s="491"/>
      <c r="F114" s="491"/>
      <c r="G114" s="491"/>
      <c r="H114" s="962"/>
      <c r="I114" s="101"/>
      <c r="J114" s="123"/>
      <c r="K114" s="123"/>
      <c r="L114" s="123"/>
      <c r="M114" s="123"/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3"/>
      <c r="AA114" s="123"/>
      <c r="AB114" s="123"/>
      <c r="AC114" s="123"/>
      <c r="AD114" s="123"/>
      <c r="AE114" s="123"/>
      <c r="AF114" s="123"/>
      <c r="AG114" s="123"/>
      <c r="AH114" s="123"/>
      <c r="AI114" s="123"/>
      <c r="AJ114" s="123"/>
      <c r="AK114" s="123"/>
      <c r="AL114" s="123"/>
      <c r="AM114" s="123"/>
      <c r="AN114" s="123"/>
      <c r="AO114" s="123"/>
      <c r="AP114" s="123"/>
      <c r="AQ114" s="123"/>
      <c r="AR114" s="123"/>
      <c r="AS114" s="123"/>
      <c r="AT114" s="123"/>
      <c r="AU114" s="123"/>
      <c r="AV114" s="123"/>
      <c r="AW114" s="123"/>
      <c r="AX114" s="123"/>
      <c r="AY114" s="123"/>
      <c r="AZ114" s="123"/>
      <c r="BA114" s="123"/>
      <c r="BB114" s="123"/>
      <c r="BC114" s="123"/>
      <c r="BD114" s="123"/>
      <c r="BE114" s="123"/>
      <c r="BF114" s="123"/>
      <c r="BG114" s="123"/>
      <c r="BH114" s="123"/>
      <c r="BI114" s="123"/>
    </row>
    <row r="115" spans="2:61" s="357" customFormat="1">
      <c r="B115" s="404"/>
      <c r="C115" s="1181"/>
      <c r="D115" s="314"/>
      <c r="E115" s="491"/>
      <c r="F115" s="491"/>
      <c r="G115" s="491"/>
      <c r="H115" s="962"/>
      <c r="I115" s="101"/>
      <c r="J115" s="123"/>
      <c r="K115" s="123"/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  <c r="Z115" s="123"/>
      <c r="AA115" s="123"/>
      <c r="AB115" s="123"/>
      <c r="AC115" s="123"/>
      <c r="AD115" s="123"/>
      <c r="AE115" s="123"/>
      <c r="AF115" s="123"/>
      <c r="AG115" s="123"/>
      <c r="AH115" s="123"/>
      <c r="AI115" s="123"/>
      <c r="AJ115" s="123"/>
      <c r="AK115" s="123"/>
      <c r="AL115" s="123"/>
      <c r="AM115" s="123"/>
      <c r="AN115" s="123"/>
      <c r="AO115" s="123"/>
      <c r="AP115" s="123"/>
      <c r="AQ115" s="123"/>
      <c r="AR115" s="123"/>
      <c r="AS115" s="123"/>
      <c r="AT115" s="123"/>
      <c r="AU115" s="123"/>
      <c r="AV115" s="123"/>
      <c r="AW115" s="123"/>
      <c r="AX115" s="123"/>
      <c r="AY115" s="123"/>
      <c r="AZ115" s="123"/>
      <c r="BA115" s="123"/>
      <c r="BB115" s="123"/>
      <c r="BC115" s="123"/>
      <c r="BD115" s="123"/>
      <c r="BE115" s="123"/>
      <c r="BF115" s="123"/>
      <c r="BG115" s="123"/>
      <c r="BH115" s="123"/>
      <c r="BI115" s="123"/>
    </row>
    <row r="116" spans="2:61" s="357" customFormat="1">
      <c r="B116" s="404"/>
      <c r="C116" s="1181"/>
      <c r="D116" s="314"/>
      <c r="E116" s="491"/>
      <c r="F116" s="491"/>
      <c r="G116" s="491"/>
      <c r="H116" s="962"/>
      <c r="I116" s="101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3"/>
      <c r="AA116" s="123"/>
      <c r="AB116" s="123"/>
      <c r="AC116" s="123"/>
      <c r="AD116" s="123"/>
      <c r="AE116" s="123"/>
      <c r="AF116" s="123"/>
      <c r="AG116" s="123"/>
      <c r="AH116" s="123"/>
      <c r="AI116" s="123"/>
      <c r="AJ116" s="123"/>
      <c r="AK116" s="123"/>
      <c r="AL116" s="123"/>
      <c r="AM116" s="123"/>
      <c r="AN116" s="123"/>
      <c r="AO116" s="123"/>
      <c r="AP116" s="123"/>
      <c r="AQ116" s="123"/>
      <c r="AR116" s="123"/>
      <c r="AS116" s="123"/>
      <c r="AT116" s="123"/>
      <c r="AU116" s="123"/>
      <c r="AV116" s="123"/>
      <c r="AW116" s="123"/>
      <c r="AX116" s="123"/>
      <c r="AY116" s="123"/>
      <c r="AZ116" s="123"/>
      <c r="BA116" s="123"/>
      <c r="BB116" s="123"/>
      <c r="BC116" s="123"/>
      <c r="BD116" s="123"/>
      <c r="BE116" s="123"/>
      <c r="BF116" s="123"/>
      <c r="BG116" s="123"/>
      <c r="BH116" s="123"/>
      <c r="BI116" s="123"/>
    </row>
    <row r="117" spans="2:61" s="357" customFormat="1">
      <c r="B117" s="404"/>
      <c r="C117" s="1181"/>
      <c r="D117" s="314"/>
      <c r="E117" s="491"/>
      <c r="F117" s="491"/>
      <c r="G117" s="491"/>
      <c r="H117" s="962"/>
      <c r="I117" s="101"/>
      <c r="J117" s="123"/>
      <c r="K117" s="123"/>
      <c r="L117" s="123"/>
      <c r="M117" s="123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3"/>
      <c r="AA117" s="123"/>
      <c r="AB117" s="123"/>
      <c r="AC117" s="123"/>
      <c r="AD117" s="123"/>
      <c r="AE117" s="123"/>
      <c r="AF117" s="123"/>
      <c r="AG117" s="123"/>
      <c r="AH117" s="123"/>
      <c r="AI117" s="123"/>
      <c r="AJ117" s="123"/>
      <c r="AK117" s="123"/>
      <c r="AL117" s="123"/>
      <c r="AM117" s="123"/>
      <c r="AN117" s="123"/>
      <c r="AO117" s="123"/>
      <c r="AP117" s="123"/>
      <c r="AQ117" s="123"/>
      <c r="AR117" s="123"/>
      <c r="AS117" s="123"/>
      <c r="AT117" s="123"/>
      <c r="AU117" s="123"/>
      <c r="AV117" s="123"/>
      <c r="AW117" s="123"/>
      <c r="AX117" s="123"/>
      <c r="AY117" s="123"/>
      <c r="AZ117" s="123"/>
      <c r="BA117" s="123"/>
      <c r="BB117" s="123"/>
      <c r="BC117" s="123"/>
      <c r="BD117" s="123"/>
      <c r="BE117" s="123"/>
      <c r="BF117" s="123"/>
      <c r="BG117" s="123"/>
      <c r="BH117" s="123"/>
      <c r="BI117" s="123"/>
    </row>
    <row r="120" spans="2:61" s="357" customFormat="1">
      <c r="B120" s="404"/>
      <c r="C120" s="1181"/>
      <c r="D120" s="314"/>
      <c r="E120" s="491"/>
      <c r="F120" s="491"/>
      <c r="G120" s="491"/>
      <c r="H120" s="962"/>
      <c r="I120" s="101"/>
      <c r="J120" s="123"/>
      <c r="K120" s="123"/>
      <c r="L120" s="123"/>
      <c r="M120" s="123"/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3"/>
      <c r="AA120" s="123"/>
      <c r="AB120" s="123"/>
      <c r="AC120" s="123"/>
      <c r="AD120" s="123"/>
      <c r="AE120" s="123"/>
      <c r="AF120" s="123"/>
      <c r="AG120" s="123"/>
      <c r="AH120" s="123"/>
      <c r="AI120" s="123"/>
      <c r="AJ120" s="123"/>
      <c r="AK120" s="123"/>
      <c r="AL120" s="123"/>
      <c r="AM120" s="123"/>
      <c r="AN120" s="123"/>
      <c r="AO120" s="123"/>
      <c r="AP120" s="123"/>
      <c r="AQ120" s="123"/>
      <c r="AR120" s="123"/>
      <c r="AS120" s="123"/>
      <c r="AT120" s="123"/>
      <c r="AU120" s="123"/>
      <c r="AV120" s="123"/>
      <c r="AW120" s="123"/>
      <c r="AX120" s="123"/>
      <c r="AY120" s="123"/>
      <c r="AZ120" s="123"/>
      <c r="BA120" s="123"/>
      <c r="BB120" s="123"/>
      <c r="BC120" s="123"/>
      <c r="BD120" s="123"/>
      <c r="BE120" s="123"/>
      <c r="BF120" s="123"/>
      <c r="BG120" s="123"/>
      <c r="BH120" s="123"/>
      <c r="BI120" s="123"/>
    </row>
    <row r="121" spans="2:61" ht="60">
      <c r="D121" s="1190" t="s">
        <v>1574</v>
      </c>
      <c r="E121" s="494" t="s">
        <v>916</v>
      </c>
      <c r="F121" s="492" t="s">
        <v>68</v>
      </c>
      <c r="G121" s="216" t="s">
        <v>903</v>
      </c>
      <c r="H121" s="963" t="s">
        <v>559</v>
      </c>
      <c r="I121" s="378" t="s">
        <v>917</v>
      </c>
    </row>
    <row r="122" spans="2:61">
      <c r="D122" s="1190" t="s">
        <v>921</v>
      </c>
      <c r="E122" s="495">
        <v>10</v>
      </c>
      <c r="F122" s="16">
        <v>100</v>
      </c>
      <c r="G122" s="16">
        <v>8.6</v>
      </c>
      <c r="H122" s="963">
        <f>G122/E122</f>
        <v>0.86</v>
      </c>
      <c r="I122" s="1180">
        <f>F122*G122</f>
        <v>860</v>
      </c>
    </row>
    <row r="127" spans="2:61" ht="60">
      <c r="D127" s="1190" t="s">
        <v>1883</v>
      </c>
      <c r="E127" s="494" t="s">
        <v>916</v>
      </c>
      <c r="F127" s="492" t="s">
        <v>68</v>
      </c>
      <c r="G127" s="216" t="s">
        <v>903</v>
      </c>
      <c r="H127" s="963" t="s">
        <v>559</v>
      </c>
      <c r="I127" s="378" t="s">
        <v>917</v>
      </c>
    </row>
    <row r="128" spans="2:61" hidden="1">
      <c r="C128" s="1190">
        <v>13926</v>
      </c>
      <c r="D128" s="332" t="s">
        <v>1884</v>
      </c>
      <c r="E128" s="495">
        <v>20</v>
      </c>
      <c r="F128" s="495">
        <v>0</v>
      </c>
      <c r="G128" s="495">
        <v>34.799999999999997</v>
      </c>
      <c r="H128" s="963">
        <f>G128/E128</f>
        <v>1.7399999999999998</v>
      </c>
      <c r="I128" s="1180">
        <f>G128*F128</f>
        <v>0</v>
      </c>
    </row>
    <row r="129" spans="3:61">
      <c r="C129" s="322">
        <v>4030</v>
      </c>
      <c r="D129" s="1247" t="s">
        <v>1885</v>
      </c>
      <c r="E129" s="322">
        <v>100</v>
      </c>
      <c r="F129" s="322">
        <v>30</v>
      </c>
      <c r="G129" s="322">
        <v>3.4</v>
      </c>
      <c r="H129" s="964">
        <f t="shared" ref="H129:H167" si="4">G129/E129</f>
        <v>3.4000000000000002E-2</v>
      </c>
      <c r="I129" s="453">
        <f t="shared" ref="I129:I167" si="5">G129*F129</f>
        <v>102</v>
      </c>
    </row>
    <row r="130" spans="3:61">
      <c r="C130" s="322">
        <v>950</v>
      </c>
      <c r="D130" s="1247" t="s">
        <v>1508</v>
      </c>
      <c r="E130" s="322">
        <v>100</v>
      </c>
      <c r="F130" s="322">
        <v>4</v>
      </c>
      <c r="G130" s="322">
        <v>21.1</v>
      </c>
      <c r="H130" s="964">
        <f t="shared" si="4"/>
        <v>0.21100000000000002</v>
      </c>
      <c r="I130" s="453">
        <f t="shared" si="5"/>
        <v>84.4</v>
      </c>
    </row>
    <row r="131" spans="3:61" s="404" customFormat="1">
      <c r="C131" s="322"/>
      <c r="D131" s="1247" t="s">
        <v>1912</v>
      </c>
      <c r="E131" s="322">
        <v>100</v>
      </c>
      <c r="F131" s="322">
        <v>4</v>
      </c>
      <c r="G131" s="322">
        <v>69.5</v>
      </c>
      <c r="H131" s="964">
        <f t="shared" si="4"/>
        <v>0.69499999999999995</v>
      </c>
      <c r="I131" s="453">
        <f t="shared" si="5"/>
        <v>278</v>
      </c>
      <c r="J131" s="123"/>
      <c r="K131" s="123"/>
      <c r="L131" s="123"/>
      <c r="M131" s="123"/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3"/>
      <c r="AA131" s="123"/>
      <c r="AB131" s="123"/>
      <c r="AC131" s="123"/>
      <c r="AD131" s="123"/>
      <c r="AE131" s="123"/>
      <c r="AF131" s="123"/>
      <c r="AG131" s="123"/>
      <c r="AH131" s="123"/>
      <c r="AI131" s="123"/>
      <c r="AJ131" s="123"/>
      <c r="AK131" s="123"/>
      <c r="AL131" s="123"/>
      <c r="AM131" s="123"/>
      <c r="AN131" s="123"/>
      <c r="AO131" s="123"/>
      <c r="AP131" s="123"/>
      <c r="AQ131" s="123"/>
      <c r="AR131" s="123"/>
      <c r="AS131" s="123"/>
      <c r="AT131" s="123"/>
      <c r="AU131" s="123"/>
      <c r="AV131" s="123"/>
      <c r="AW131" s="123"/>
      <c r="AX131" s="123"/>
      <c r="AY131" s="123"/>
      <c r="AZ131" s="123"/>
      <c r="BA131" s="123"/>
      <c r="BB131" s="123"/>
      <c r="BC131" s="123"/>
      <c r="BD131" s="123"/>
      <c r="BE131" s="123"/>
      <c r="BF131" s="123"/>
      <c r="BG131" s="123"/>
      <c r="BH131" s="123"/>
      <c r="BI131" s="123"/>
    </row>
    <row r="132" spans="3:61">
      <c r="C132" s="322">
        <v>16237</v>
      </c>
      <c r="D132" s="1247" t="s">
        <v>1886</v>
      </c>
      <c r="E132" s="322">
        <v>15</v>
      </c>
      <c r="F132" s="322">
        <v>40</v>
      </c>
      <c r="G132" s="322">
        <v>13.5</v>
      </c>
      <c r="H132" s="964">
        <f t="shared" si="4"/>
        <v>0.9</v>
      </c>
      <c r="I132" s="453">
        <f t="shared" si="5"/>
        <v>540</v>
      </c>
    </row>
    <row r="133" spans="3:61">
      <c r="C133" s="322">
        <v>9923</v>
      </c>
      <c r="D133" s="1247" t="s">
        <v>1890</v>
      </c>
      <c r="E133" s="322">
        <v>72</v>
      </c>
      <c r="F133" s="322">
        <v>35</v>
      </c>
      <c r="G133" s="322">
        <v>21.6</v>
      </c>
      <c r="H133" s="964">
        <f t="shared" si="4"/>
        <v>0.30000000000000004</v>
      </c>
      <c r="I133" s="453">
        <f t="shared" si="5"/>
        <v>756</v>
      </c>
    </row>
    <row r="134" spans="3:61">
      <c r="C134" s="322">
        <v>9499</v>
      </c>
      <c r="D134" s="1247" t="s">
        <v>1901</v>
      </c>
      <c r="E134" s="322">
        <v>12</v>
      </c>
      <c r="F134" s="322">
        <v>10</v>
      </c>
      <c r="G134" s="322">
        <v>16.7</v>
      </c>
      <c r="H134" s="964">
        <f t="shared" si="4"/>
        <v>1.3916666666666666</v>
      </c>
      <c r="I134" s="453">
        <f t="shared" si="5"/>
        <v>167</v>
      </c>
    </row>
    <row r="135" spans="3:61">
      <c r="C135" s="322">
        <v>9500</v>
      </c>
      <c r="D135" s="1247" t="s">
        <v>1900</v>
      </c>
      <c r="E135" s="322">
        <v>24</v>
      </c>
      <c r="F135" s="322">
        <v>10</v>
      </c>
      <c r="G135" s="322">
        <v>17</v>
      </c>
      <c r="H135" s="964">
        <f t="shared" si="4"/>
        <v>0.70833333333333337</v>
      </c>
      <c r="I135" s="453">
        <f t="shared" si="5"/>
        <v>170</v>
      </c>
    </row>
    <row r="136" spans="3:61" s="404" customFormat="1">
      <c r="C136" s="322"/>
      <c r="D136" s="1247" t="s">
        <v>1902</v>
      </c>
      <c r="E136" s="322">
        <v>12</v>
      </c>
      <c r="F136" s="322">
        <v>5</v>
      </c>
      <c r="G136" s="322">
        <v>16.7</v>
      </c>
      <c r="H136" s="964">
        <f t="shared" si="4"/>
        <v>1.3916666666666666</v>
      </c>
      <c r="I136" s="453">
        <f t="shared" si="5"/>
        <v>83.5</v>
      </c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3"/>
      <c r="AA136" s="123"/>
      <c r="AB136" s="123"/>
      <c r="AC136" s="123"/>
      <c r="AD136" s="123"/>
      <c r="AE136" s="123"/>
      <c r="AF136" s="123"/>
      <c r="AG136" s="123"/>
      <c r="AH136" s="123"/>
      <c r="AI136" s="123"/>
      <c r="AJ136" s="123"/>
      <c r="AK136" s="123"/>
      <c r="AL136" s="123"/>
      <c r="AM136" s="123"/>
      <c r="AN136" s="123"/>
      <c r="AO136" s="123"/>
      <c r="AP136" s="123"/>
      <c r="AQ136" s="123"/>
      <c r="AR136" s="123"/>
      <c r="AS136" s="123"/>
      <c r="AT136" s="123"/>
      <c r="AU136" s="123"/>
      <c r="AV136" s="123"/>
      <c r="AW136" s="123"/>
      <c r="AX136" s="123"/>
      <c r="AY136" s="123"/>
      <c r="AZ136" s="123"/>
      <c r="BA136" s="123"/>
      <c r="BB136" s="123"/>
      <c r="BC136" s="123"/>
      <c r="BD136" s="123"/>
      <c r="BE136" s="123"/>
      <c r="BF136" s="123"/>
      <c r="BG136" s="123"/>
      <c r="BH136" s="123"/>
      <c r="BI136" s="123"/>
    </row>
    <row r="137" spans="3:61" s="404" customFormat="1">
      <c r="C137" s="322"/>
      <c r="D137" s="1247" t="s">
        <v>1903</v>
      </c>
      <c r="E137" s="322">
        <v>24</v>
      </c>
      <c r="F137" s="322">
        <v>10</v>
      </c>
      <c r="G137" s="322">
        <v>17</v>
      </c>
      <c r="H137" s="964">
        <f t="shared" si="4"/>
        <v>0.70833333333333337</v>
      </c>
      <c r="I137" s="453">
        <f t="shared" si="5"/>
        <v>170</v>
      </c>
      <c r="J137" s="123"/>
      <c r="K137" s="123"/>
      <c r="L137" s="123"/>
      <c r="M137" s="123"/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3"/>
      <c r="AA137" s="123"/>
      <c r="AB137" s="123"/>
      <c r="AC137" s="123"/>
      <c r="AD137" s="123"/>
      <c r="AE137" s="123"/>
      <c r="AF137" s="123"/>
      <c r="AG137" s="123"/>
      <c r="AH137" s="123"/>
      <c r="AI137" s="123"/>
      <c r="AJ137" s="123"/>
      <c r="AK137" s="123"/>
      <c r="AL137" s="123"/>
      <c r="AM137" s="123"/>
      <c r="AN137" s="123"/>
      <c r="AO137" s="123"/>
      <c r="AP137" s="123"/>
      <c r="AQ137" s="123"/>
      <c r="AR137" s="123"/>
      <c r="AS137" s="123"/>
      <c r="AT137" s="123"/>
      <c r="AU137" s="123"/>
      <c r="AV137" s="123"/>
      <c r="AW137" s="123"/>
      <c r="AX137" s="123"/>
      <c r="AY137" s="123"/>
      <c r="AZ137" s="123"/>
      <c r="BA137" s="123"/>
      <c r="BB137" s="123"/>
      <c r="BC137" s="123"/>
      <c r="BD137" s="123"/>
      <c r="BE137" s="123"/>
      <c r="BF137" s="123"/>
      <c r="BG137" s="123"/>
      <c r="BH137" s="123"/>
      <c r="BI137" s="123"/>
    </row>
    <row r="138" spans="3:61">
      <c r="C138" s="322">
        <v>15426</v>
      </c>
      <c r="D138" s="1247" t="s">
        <v>1887</v>
      </c>
      <c r="E138" s="322">
        <v>12</v>
      </c>
      <c r="F138" s="322">
        <v>10</v>
      </c>
      <c r="G138" s="322">
        <v>12</v>
      </c>
      <c r="H138" s="964">
        <f t="shared" si="4"/>
        <v>1</v>
      </c>
      <c r="I138" s="453">
        <f t="shared" si="5"/>
        <v>120</v>
      </c>
    </row>
    <row r="139" spans="3:61" hidden="1">
      <c r="C139" s="1190">
        <v>15428</v>
      </c>
      <c r="D139" s="332" t="s">
        <v>1888</v>
      </c>
      <c r="E139" s="495">
        <v>12</v>
      </c>
      <c r="F139" s="495">
        <v>0</v>
      </c>
      <c r="G139" s="495">
        <v>12</v>
      </c>
      <c r="H139" s="963">
        <f t="shared" si="4"/>
        <v>1</v>
      </c>
      <c r="I139" s="1180">
        <f t="shared" si="5"/>
        <v>0</v>
      </c>
    </row>
    <row r="140" spans="3:61">
      <c r="C140" s="322">
        <v>15767</v>
      </c>
      <c r="D140" s="1247" t="s">
        <v>1889</v>
      </c>
      <c r="E140" s="322">
        <v>24</v>
      </c>
      <c r="F140" s="322">
        <v>10</v>
      </c>
      <c r="G140" s="322">
        <v>12</v>
      </c>
      <c r="H140" s="964">
        <f t="shared" si="4"/>
        <v>0.5</v>
      </c>
      <c r="I140" s="453">
        <f t="shared" si="5"/>
        <v>120</v>
      </c>
    </row>
    <row r="141" spans="3:61" s="404" customFormat="1" hidden="1">
      <c r="C141" s="1190">
        <v>16239</v>
      </c>
      <c r="D141" s="332" t="s">
        <v>1904</v>
      </c>
      <c r="E141" s="495">
        <v>24</v>
      </c>
      <c r="F141" s="495">
        <v>0</v>
      </c>
      <c r="G141" s="495">
        <v>12</v>
      </c>
      <c r="H141" s="963">
        <f t="shared" si="4"/>
        <v>0.5</v>
      </c>
      <c r="I141" s="1180">
        <f t="shared" si="5"/>
        <v>0</v>
      </c>
      <c r="J141" s="123"/>
      <c r="K141" s="123"/>
      <c r="L141" s="123"/>
      <c r="M141" s="123"/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3"/>
      <c r="AA141" s="123"/>
      <c r="AB141" s="123"/>
      <c r="AC141" s="123"/>
      <c r="AD141" s="123"/>
      <c r="AE141" s="123"/>
      <c r="AF141" s="123"/>
      <c r="AG141" s="123"/>
      <c r="AH141" s="123"/>
      <c r="AI141" s="123"/>
      <c r="AJ141" s="123"/>
      <c r="AK141" s="123"/>
      <c r="AL141" s="123"/>
      <c r="AM141" s="123"/>
      <c r="AN141" s="123"/>
      <c r="AO141" s="123"/>
      <c r="AP141" s="123"/>
      <c r="AQ141" s="123"/>
      <c r="AR141" s="123"/>
      <c r="AS141" s="123"/>
      <c r="AT141" s="123"/>
      <c r="AU141" s="123"/>
      <c r="AV141" s="123"/>
      <c r="AW141" s="123"/>
      <c r="AX141" s="123"/>
      <c r="AY141" s="123"/>
      <c r="AZ141" s="123"/>
      <c r="BA141" s="123"/>
      <c r="BB141" s="123"/>
      <c r="BC141" s="123"/>
      <c r="BD141" s="123"/>
      <c r="BE141" s="123"/>
      <c r="BF141" s="123"/>
      <c r="BG141" s="123"/>
      <c r="BH141" s="123"/>
      <c r="BI141" s="123"/>
    </row>
    <row r="142" spans="3:61">
      <c r="C142" s="322">
        <v>15430</v>
      </c>
      <c r="D142" s="1247" t="s">
        <v>1907</v>
      </c>
      <c r="E142" s="322">
        <v>12</v>
      </c>
      <c r="F142" s="322">
        <v>10</v>
      </c>
      <c r="G142" s="322">
        <v>12</v>
      </c>
      <c r="H142" s="964">
        <f t="shared" si="4"/>
        <v>1</v>
      </c>
      <c r="I142" s="453">
        <f t="shared" si="5"/>
        <v>120</v>
      </c>
    </row>
    <row r="143" spans="3:61" s="404" customFormat="1">
      <c r="C143" s="322">
        <v>18714</v>
      </c>
      <c r="D143" s="1247" t="s">
        <v>1905</v>
      </c>
      <c r="E143" s="322">
        <v>24</v>
      </c>
      <c r="F143" s="322">
        <v>10</v>
      </c>
      <c r="G143" s="322">
        <v>12</v>
      </c>
      <c r="H143" s="964">
        <f t="shared" si="4"/>
        <v>0.5</v>
      </c>
      <c r="I143" s="453">
        <f t="shared" si="5"/>
        <v>120</v>
      </c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3"/>
      <c r="AA143" s="123"/>
      <c r="AB143" s="123"/>
      <c r="AC143" s="123"/>
      <c r="AD143" s="123"/>
      <c r="AE143" s="123"/>
      <c r="AF143" s="123"/>
      <c r="AG143" s="123"/>
      <c r="AH143" s="123"/>
      <c r="AI143" s="123"/>
      <c r="AJ143" s="123"/>
      <c r="AK143" s="123"/>
      <c r="AL143" s="123"/>
      <c r="AM143" s="123"/>
      <c r="AN143" s="123"/>
      <c r="AO143" s="123"/>
      <c r="AP143" s="123"/>
      <c r="AQ143" s="123"/>
      <c r="AR143" s="123"/>
      <c r="AS143" s="123"/>
      <c r="AT143" s="123"/>
      <c r="AU143" s="123"/>
      <c r="AV143" s="123"/>
      <c r="AW143" s="123"/>
      <c r="AX143" s="123"/>
      <c r="AY143" s="123"/>
      <c r="AZ143" s="123"/>
      <c r="BA143" s="123"/>
      <c r="BB143" s="123"/>
      <c r="BC143" s="123"/>
      <c r="BD143" s="123"/>
      <c r="BE143" s="123"/>
      <c r="BF143" s="123"/>
      <c r="BG143" s="123"/>
      <c r="BH143" s="123"/>
      <c r="BI143" s="123"/>
    </row>
    <row r="144" spans="3:61" s="404" customFormat="1">
      <c r="C144" s="322">
        <v>18707</v>
      </c>
      <c r="D144" s="1247" t="s">
        <v>1906</v>
      </c>
      <c r="E144" s="322">
        <v>12</v>
      </c>
      <c r="F144" s="322">
        <v>10</v>
      </c>
      <c r="G144" s="322">
        <v>7.7</v>
      </c>
      <c r="H144" s="964">
        <f t="shared" si="4"/>
        <v>0.64166666666666672</v>
      </c>
      <c r="I144" s="453">
        <f t="shared" si="5"/>
        <v>77</v>
      </c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  <c r="AA144" s="123"/>
      <c r="AB144" s="123"/>
      <c r="AC144" s="123"/>
      <c r="AD144" s="123"/>
      <c r="AE144" s="123"/>
      <c r="AF144" s="123"/>
      <c r="AG144" s="123"/>
      <c r="AH144" s="123"/>
      <c r="AI144" s="123"/>
      <c r="AJ144" s="123"/>
      <c r="AK144" s="123"/>
      <c r="AL144" s="123"/>
      <c r="AM144" s="123"/>
      <c r="AN144" s="123"/>
      <c r="AO144" s="123"/>
      <c r="AP144" s="123"/>
      <c r="AQ144" s="123"/>
      <c r="AR144" s="123"/>
      <c r="AS144" s="123"/>
      <c r="AT144" s="123"/>
      <c r="AU144" s="123"/>
      <c r="AV144" s="123"/>
      <c r="AW144" s="123"/>
      <c r="AX144" s="123"/>
      <c r="AY144" s="123"/>
      <c r="AZ144" s="123"/>
      <c r="BA144" s="123"/>
      <c r="BB144" s="123"/>
      <c r="BC144" s="123"/>
      <c r="BD144" s="123"/>
      <c r="BE144" s="123"/>
      <c r="BF144" s="123"/>
      <c r="BG144" s="123"/>
      <c r="BH144" s="123"/>
      <c r="BI144" s="123"/>
    </row>
    <row r="145" spans="3:61" hidden="1">
      <c r="C145" s="1190">
        <v>17887</v>
      </c>
      <c r="D145" s="332" t="s">
        <v>1891</v>
      </c>
      <c r="E145" s="495"/>
      <c r="F145" s="495"/>
      <c r="G145" s="495"/>
      <c r="H145" s="963"/>
      <c r="I145" s="1180">
        <f t="shared" si="5"/>
        <v>0</v>
      </c>
    </row>
    <row r="146" spans="3:61" hidden="1">
      <c r="C146" s="1190">
        <v>11384</v>
      </c>
      <c r="D146" s="332" t="s">
        <v>1892</v>
      </c>
      <c r="E146" s="495"/>
      <c r="F146" s="495"/>
      <c r="G146" s="495"/>
      <c r="H146" s="963"/>
      <c r="I146" s="1180">
        <f t="shared" si="5"/>
        <v>0</v>
      </c>
    </row>
    <row r="147" spans="3:61" hidden="1">
      <c r="C147" s="1190">
        <v>13718</v>
      </c>
      <c r="D147" s="332" t="s">
        <v>1893</v>
      </c>
      <c r="E147" s="495"/>
      <c r="F147" s="495"/>
      <c r="G147" s="495"/>
      <c r="H147" s="963"/>
      <c r="I147" s="1180">
        <f t="shared" si="5"/>
        <v>0</v>
      </c>
    </row>
    <row r="148" spans="3:61" hidden="1">
      <c r="C148" s="1190">
        <v>10228</v>
      </c>
      <c r="D148" s="332" t="s">
        <v>1894</v>
      </c>
      <c r="E148" s="495"/>
      <c r="F148" s="495"/>
      <c r="G148" s="495"/>
      <c r="H148" s="963"/>
      <c r="I148" s="1180">
        <f t="shared" si="5"/>
        <v>0</v>
      </c>
    </row>
    <row r="149" spans="3:61" hidden="1">
      <c r="C149" s="1190">
        <v>10238</v>
      </c>
      <c r="D149" s="332" t="s">
        <v>1491</v>
      </c>
      <c r="E149" s="495"/>
      <c r="F149" s="495"/>
      <c r="G149" s="495"/>
      <c r="H149" s="963" t="s">
        <v>65</v>
      </c>
      <c r="I149" s="1180">
        <f t="shared" si="5"/>
        <v>0</v>
      </c>
    </row>
    <row r="150" spans="3:61">
      <c r="C150" s="322">
        <v>15750</v>
      </c>
      <c r="D150" s="1247" t="s">
        <v>1908</v>
      </c>
      <c r="E150" s="322">
        <v>20</v>
      </c>
      <c r="F150" s="322">
        <v>30</v>
      </c>
      <c r="G150" s="322">
        <v>43</v>
      </c>
      <c r="H150" s="964">
        <f t="shared" si="4"/>
        <v>2.15</v>
      </c>
      <c r="I150" s="453">
        <f t="shared" si="5"/>
        <v>1290</v>
      </c>
    </row>
    <row r="151" spans="3:61" hidden="1">
      <c r="C151" s="1190">
        <v>13719</v>
      </c>
      <c r="D151" s="332" t="s">
        <v>1895</v>
      </c>
      <c r="E151" s="495"/>
      <c r="F151" s="495"/>
      <c r="G151" s="495"/>
      <c r="H151" s="963" t="s">
        <v>65</v>
      </c>
      <c r="I151" s="1180">
        <f t="shared" si="5"/>
        <v>0</v>
      </c>
    </row>
    <row r="152" spans="3:61" hidden="1">
      <c r="C152" s="1190">
        <v>13720</v>
      </c>
      <c r="D152" s="332" t="s">
        <v>1896</v>
      </c>
      <c r="E152" s="495"/>
      <c r="F152" s="495"/>
      <c r="G152" s="495"/>
      <c r="H152" s="963" t="s">
        <v>65</v>
      </c>
      <c r="I152" s="1180">
        <f t="shared" si="5"/>
        <v>0</v>
      </c>
    </row>
    <row r="153" spans="3:61">
      <c r="C153" s="322">
        <v>9755</v>
      </c>
      <c r="D153" s="1247" t="s">
        <v>1897</v>
      </c>
      <c r="E153" s="322">
        <v>24</v>
      </c>
      <c r="F153" s="322">
        <v>20</v>
      </c>
      <c r="G153" s="322">
        <v>14</v>
      </c>
      <c r="H153" s="964">
        <f t="shared" si="4"/>
        <v>0.58333333333333337</v>
      </c>
      <c r="I153" s="453">
        <f t="shared" si="5"/>
        <v>280</v>
      </c>
    </row>
    <row r="154" spans="3:61" hidden="1">
      <c r="C154" s="1190">
        <v>10396</v>
      </c>
      <c r="D154" s="332" t="s">
        <v>1898</v>
      </c>
      <c r="E154" s="495">
        <v>0</v>
      </c>
      <c r="F154" s="495">
        <v>0</v>
      </c>
      <c r="G154" s="495">
        <v>0</v>
      </c>
      <c r="H154" s="963" t="s">
        <v>65</v>
      </c>
      <c r="I154" s="1180">
        <f t="shared" si="5"/>
        <v>0</v>
      </c>
    </row>
    <row r="155" spans="3:61">
      <c r="C155" s="322">
        <v>5864</v>
      </c>
      <c r="D155" s="1247" t="s">
        <v>1909</v>
      </c>
      <c r="E155" s="322">
        <v>12</v>
      </c>
      <c r="F155" s="322">
        <v>40</v>
      </c>
      <c r="G155" s="322">
        <v>25.8</v>
      </c>
      <c r="H155" s="964">
        <f t="shared" si="4"/>
        <v>2.15</v>
      </c>
      <c r="I155" s="453">
        <f t="shared" si="5"/>
        <v>1032</v>
      </c>
    </row>
    <row r="156" spans="3:61">
      <c r="C156" s="322">
        <v>2647</v>
      </c>
      <c r="D156" s="1247" t="s">
        <v>1899</v>
      </c>
      <c r="E156" s="322">
        <v>252</v>
      </c>
      <c r="F156" s="322">
        <v>2</v>
      </c>
      <c r="G156" s="322">
        <v>37.200000000000003</v>
      </c>
      <c r="H156" s="964">
        <f t="shared" si="4"/>
        <v>0.14761904761904762</v>
      </c>
      <c r="I156" s="453">
        <f t="shared" si="5"/>
        <v>74.400000000000006</v>
      </c>
    </row>
    <row r="157" spans="3:61" s="404" customFormat="1" hidden="1">
      <c r="C157" s="1190"/>
      <c r="D157" s="332" t="s">
        <v>1910</v>
      </c>
      <c r="E157" s="495">
        <v>18</v>
      </c>
      <c r="F157" s="495">
        <v>0</v>
      </c>
      <c r="G157" s="495">
        <v>19</v>
      </c>
      <c r="H157" s="963">
        <f t="shared" si="4"/>
        <v>1.0555555555555556</v>
      </c>
      <c r="I157" s="1180">
        <f t="shared" si="5"/>
        <v>0</v>
      </c>
      <c r="J157" s="123"/>
      <c r="K157" s="123"/>
      <c r="L157" s="123"/>
      <c r="M157" s="123"/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  <c r="Z157" s="123"/>
      <c r="AA157" s="123"/>
      <c r="AB157" s="123"/>
      <c r="AC157" s="123"/>
      <c r="AD157" s="123"/>
      <c r="AE157" s="123"/>
      <c r="AF157" s="123"/>
      <c r="AG157" s="123"/>
      <c r="AH157" s="123"/>
      <c r="AI157" s="123"/>
      <c r="AJ157" s="123"/>
      <c r="AK157" s="123"/>
      <c r="AL157" s="123"/>
      <c r="AM157" s="123"/>
      <c r="AN157" s="123"/>
      <c r="AO157" s="123"/>
      <c r="AP157" s="123"/>
      <c r="AQ157" s="123"/>
      <c r="AR157" s="123"/>
      <c r="AS157" s="123"/>
      <c r="AT157" s="123"/>
      <c r="AU157" s="123"/>
      <c r="AV157" s="123"/>
      <c r="AW157" s="123"/>
      <c r="AX157" s="123"/>
      <c r="AY157" s="123"/>
      <c r="AZ157" s="123"/>
      <c r="BA157" s="123"/>
      <c r="BB157" s="123"/>
      <c r="BC157" s="123"/>
      <c r="BD157" s="123"/>
      <c r="BE157" s="123"/>
      <c r="BF157" s="123"/>
      <c r="BG157" s="123"/>
      <c r="BH157" s="123"/>
      <c r="BI157" s="123"/>
    </row>
    <row r="158" spans="3:61" s="404" customFormat="1">
      <c r="C158" s="322"/>
      <c r="D158" s="1247" t="s">
        <v>1911</v>
      </c>
      <c r="E158" s="322">
        <v>24</v>
      </c>
      <c r="F158" s="322">
        <v>80</v>
      </c>
      <c r="G158" s="322">
        <v>23</v>
      </c>
      <c r="H158" s="964">
        <f t="shared" si="4"/>
        <v>0.95833333333333337</v>
      </c>
      <c r="I158" s="453">
        <f t="shared" si="5"/>
        <v>1840</v>
      </c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3"/>
      <c r="AA158" s="123"/>
      <c r="AB158" s="123"/>
      <c r="AC158" s="123"/>
      <c r="AD158" s="123"/>
      <c r="AE158" s="123"/>
      <c r="AF158" s="123"/>
      <c r="AG158" s="123"/>
      <c r="AH158" s="123"/>
      <c r="AI158" s="123"/>
      <c r="AJ158" s="123"/>
      <c r="AK158" s="123"/>
      <c r="AL158" s="123"/>
      <c r="AM158" s="123"/>
      <c r="AN158" s="123"/>
      <c r="AO158" s="123"/>
      <c r="AP158" s="123"/>
      <c r="AQ158" s="123"/>
      <c r="AR158" s="123"/>
      <c r="AS158" s="123"/>
      <c r="AT158" s="123"/>
      <c r="AU158" s="123"/>
      <c r="AV158" s="123"/>
      <c r="AW158" s="123"/>
      <c r="AX158" s="123"/>
      <c r="AY158" s="123"/>
      <c r="AZ158" s="123"/>
      <c r="BA158" s="123"/>
      <c r="BB158" s="123"/>
      <c r="BC158" s="123"/>
      <c r="BD158" s="123"/>
      <c r="BE158" s="123"/>
      <c r="BF158" s="123"/>
      <c r="BG158" s="123"/>
      <c r="BH158" s="123"/>
      <c r="BI158" s="123"/>
    </row>
    <row r="159" spans="3:61" s="404" customFormat="1">
      <c r="C159" s="322">
        <v>20013</v>
      </c>
      <c r="D159" s="1247" t="s">
        <v>1913</v>
      </c>
      <c r="E159" s="322">
        <v>80</v>
      </c>
      <c r="F159" s="322">
        <v>3</v>
      </c>
      <c r="G159" s="322">
        <v>8</v>
      </c>
      <c r="H159" s="964">
        <f t="shared" si="4"/>
        <v>0.1</v>
      </c>
      <c r="I159" s="453">
        <f t="shared" si="5"/>
        <v>24</v>
      </c>
      <c r="J159" s="123"/>
      <c r="K159" s="123"/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  <c r="AA159" s="123"/>
      <c r="AB159" s="123"/>
      <c r="AC159" s="123"/>
      <c r="AD159" s="123"/>
      <c r="AE159" s="123"/>
      <c r="AF159" s="123"/>
      <c r="AG159" s="123"/>
      <c r="AH159" s="123"/>
      <c r="AI159" s="123"/>
      <c r="AJ159" s="123"/>
      <c r="AK159" s="123"/>
      <c r="AL159" s="123"/>
      <c r="AM159" s="123"/>
      <c r="AN159" s="123"/>
      <c r="AO159" s="123"/>
      <c r="AP159" s="123"/>
      <c r="AQ159" s="123"/>
      <c r="AR159" s="123"/>
      <c r="AS159" s="123"/>
      <c r="AT159" s="123"/>
      <c r="AU159" s="123"/>
      <c r="AV159" s="123"/>
      <c r="AW159" s="123"/>
      <c r="AX159" s="123"/>
      <c r="AY159" s="123"/>
      <c r="AZ159" s="123"/>
      <c r="BA159" s="123"/>
      <c r="BB159" s="123"/>
      <c r="BC159" s="123"/>
      <c r="BD159" s="123"/>
      <c r="BE159" s="123"/>
      <c r="BF159" s="123"/>
      <c r="BG159" s="123"/>
      <c r="BH159" s="123"/>
      <c r="BI159" s="123"/>
    </row>
    <row r="160" spans="3:61" s="404" customFormat="1">
      <c r="C160" s="322">
        <v>10427</v>
      </c>
      <c r="D160" s="1247" t="s">
        <v>1914</v>
      </c>
      <c r="E160" s="322">
        <v>12</v>
      </c>
      <c r="F160" s="322">
        <v>10</v>
      </c>
      <c r="G160" s="322">
        <v>3.9</v>
      </c>
      <c r="H160" s="964">
        <f t="shared" si="4"/>
        <v>0.32500000000000001</v>
      </c>
      <c r="I160" s="453">
        <f t="shared" si="5"/>
        <v>39</v>
      </c>
      <c r="J160" s="123"/>
      <c r="K160" s="123"/>
      <c r="L160" s="123"/>
      <c r="M160" s="123"/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  <c r="Z160" s="123"/>
      <c r="AA160" s="123"/>
      <c r="AB160" s="123"/>
      <c r="AC160" s="123"/>
      <c r="AD160" s="123"/>
      <c r="AE160" s="123"/>
      <c r="AF160" s="123"/>
      <c r="AG160" s="123"/>
      <c r="AH160" s="123"/>
      <c r="AI160" s="123"/>
      <c r="AJ160" s="123"/>
      <c r="AK160" s="123"/>
      <c r="AL160" s="123"/>
      <c r="AM160" s="123"/>
      <c r="AN160" s="123"/>
      <c r="AO160" s="123"/>
      <c r="AP160" s="123"/>
      <c r="AQ160" s="123"/>
      <c r="AR160" s="123"/>
      <c r="AS160" s="123"/>
      <c r="AT160" s="123"/>
      <c r="AU160" s="123"/>
      <c r="AV160" s="123"/>
      <c r="AW160" s="123"/>
      <c r="AX160" s="123"/>
      <c r="AY160" s="123"/>
      <c r="AZ160" s="123"/>
      <c r="BA160" s="123"/>
      <c r="BB160" s="123"/>
      <c r="BC160" s="123"/>
      <c r="BD160" s="123"/>
      <c r="BE160" s="123"/>
      <c r="BF160" s="123"/>
      <c r="BG160" s="123"/>
      <c r="BH160" s="123"/>
      <c r="BI160" s="123"/>
    </row>
    <row r="161" spans="3:61" s="404" customFormat="1">
      <c r="C161" s="322">
        <v>20006</v>
      </c>
      <c r="D161" s="1247" t="s">
        <v>1915</v>
      </c>
      <c r="E161" s="322">
        <v>40</v>
      </c>
      <c r="F161" s="322">
        <v>1</v>
      </c>
      <c r="G161" s="322">
        <v>33.4</v>
      </c>
      <c r="H161" s="964">
        <f t="shared" si="4"/>
        <v>0.83499999999999996</v>
      </c>
      <c r="I161" s="453">
        <f t="shared" si="5"/>
        <v>33.4</v>
      </c>
      <c r="J161" s="123"/>
      <c r="K161" s="123"/>
      <c r="L161" s="123"/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  <c r="Z161" s="123"/>
      <c r="AA161" s="123"/>
      <c r="AB161" s="123"/>
      <c r="AC161" s="123"/>
      <c r="AD161" s="123"/>
      <c r="AE161" s="123"/>
      <c r="AF161" s="123"/>
      <c r="AG161" s="123"/>
      <c r="AH161" s="123"/>
      <c r="AI161" s="123"/>
      <c r="AJ161" s="123"/>
      <c r="AK161" s="123"/>
      <c r="AL161" s="123"/>
      <c r="AM161" s="123"/>
      <c r="AN161" s="123"/>
      <c r="AO161" s="123"/>
      <c r="AP161" s="123"/>
      <c r="AQ161" s="123"/>
      <c r="AR161" s="123"/>
      <c r="AS161" s="123"/>
      <c r="AT161" s="123"/>
      <c r="AU161" s="123"/>
      <c r="AV161" s="123"/>
      <c r="AW161" s="123"/>
      <c r="AX161" s="123"/>
      <c r="AY161" s="123"/>
      <c r="AZ161" s="123"/>
      <c r="BA161" s="123"/>
      <c r="BB161" s="123"/>
      <c r="BC161" s="123"/>
      <c r="BD161" s="123"/>
      <c r="BE161" s="123"/>
      <c r="BF161" s="123"/>
      <c r="BG161" s="123"/>
      <c r="BH161" s="123"/>
      <c r="BI161" s="123"/>
    </row>
    <row r="162" spans="3:61" s="404" customFormat="1">
      <c r="C162" s="322">
        <v>20009</v>
      </c>
      <c r="D162" s="1247" t="s">
        <v>1916</v>
      </c>
      <c r="E162" s="322">
        <v>96</v>
      </c>
      <c r="F162" s="322">
        <v>1</v>
      </c>
      <c r="G162" s="322">
        <v>23.3</v>
      </c>
      <c r="H162" s="964">
        <f t="shared" si="4"/>
        <v>0.24270833333333333</v>
      </c>
      <c r="I162" s="453">
        <f t="shared" si="5"/>
        <v>23.3</v>
      </c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3"/>
      <c r="AA162" s="123"/>
      <c r="AB162" s="123"/>
      <c r="AC162" s="123"/>
      <c r="AD162" s="123"/>
      <c r="AE162" s="123"/>
      <c r="AF162" s="123"/>
      <c r="AG162" s="123"/>
      <c r="AH162" s="123"/>
      <c r="AI162" s="123"/>
      <c r="AJ162" s="123"/>
      <c r="AK162" s="123"/>
      <c r="AL162" s="123"/>
      <c r="AM162" s="123"/>
      <c r="AN162" s="123"/>
      <c r="AO162" s="123"/>
      <c r="AP162" s="123"/>
      <c r="AQ162" s="123"/>
      <c r="AR162" s="123"/>
      <c r="AS162" s="123"/>
      <c r="AT162" s="123"/>
      <c r="AU162" s="123"/>
      <c r="AV162" s="123"/>
      <c r="AW162" s="123"/>
      <c r="AX162" s="123"/>
      <c r="AY162" s="123"/>
      <c r="AZ162" s="123"/>
      <c r="BA162" s="123"/>
      <c r="BB162" s="123"/>
      <c r="BC162" s="123"/>
      <c r="BD162" s="123"/>
      <c r="BE162" s="123"/>
      <c r="BF162" s="123"/>
      <c r="BG162" s="123"/>
      <c r="BH162" s="123"/>
      <c r="BI162" s="123"/>
    </row>
    <row r="163" spans="3:61" s="404" customFormat="1">
      <c r="C163" s="322">
        <v>20005</v>
      </c>
      <c r="D163" s="1247" t="s">
        <v>1918</v>
      </c>
      <c r="E163" s="322">
        <v>48</v>
      </c>
      <c r="F163" s="322">
        <v>1</v>
      </c>
      <c r="G163" s="322">
        <v>27.7</v>
      </c>
      <c r="H163" s="964">
        <f t="shared" si="4"/>
        <v>0.57708333333333328</v>
      </c>
      <c r="I163" s="453">
        <f t="shared" si="5"/>
        <v>27.7</v>
      </c>
      <c r="J163" s="123"/>
      <c r="K163" s="123"/>
      <c r="L163" s="123"/>
      <c r="M163" s="123"/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  <c r="X163" s="123"/>
      <c r="Y163" s="123"/>
      <c r="Z163" s="123"/>
      <c r="AA163" s="123"/>
      <c r="AB163" s="123"/>
      <c r="AC163" s="123"/>
      <c r="AD163" s="123"/>
      <c r="AE163" s="123"/>
      <c r="AF163" s="123"/>
      <c r="AG163" s="123"/>
      <c r="AH163" s="123"/>
      <c r="AI163" s="123"/>
      <c r="AJ163" s="123"/>
      <c r="AK163" s="123"/>
      <c r="AL163" s="123"/>
      <c r="AM163" s="123"/>
      <c r="AN163" s="123"/>
      <c r="AO163" s="123"/>
      <c r="AP163" s="123"/>
      <c r="AQ163" s="123"/>
      <c r="AR163" s="123"/>
      <c r="AS163" s="123"/>
      <c r="AT163" s="123"/>
      <c r="AU163" s="123"/>
      <c r="AV163" s="123"/>
      <c r="AW163" s="123"/>
      <c r="AX163" s="123"/>
      <c r="AY163" s="123"/>
      <c r="AZ163" s="123"/>
      <c r="BA163" s="123"/>
      <c r="BB163" s="123"/>
      <c r="BC163" s="123"/>
      <c r="BD163" s="123"/>
      <c r="BE163" s="123"/>
      <c r="BF163" s="123"/>
      <c r="BG163" s="123"/>
      <c r="BH163" s="123"/>
      <c r="BI163" s="123"/>
    </row>
    <row r="164" spans="3:61" s="404" customFormat="1">
      <c r="C164" s="322">
        <v>20008</v>
      </c>
      <c r="D164" s="1247" t="s">
        <v>1917</v>
      </c>
      <c r="E164" s="322">
        <v>48</v>
      </c>
      <c r="F164" s="322">
        <v>1</v>
      </c>
      <c r="G164" s="322">
        <v>20.7</v>
      </c>
      <c r="H164" s="964">
        <f t="shared" si="4"/>
        <v>0.43124999999999997</v>
      </c>
      <c r="I164" s="453">
        <f t="shared" si="5"/>
        <v>20.7</v>
      </c>
      <c r="J164" s="123"/>
      <c r="K164" s="123"/>
      <c r="L164" s="123"/>
      <c r="M164" s="123"/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  <c r="X164" s="123"/>
      <c r="Y164" s="123"/>
      <c r="Z164" s="123"/>
      <c r="AA164" s="123"/>
      <c r="AB164" s="123"/>
      <c r="AC164" s="123"/>
      <c r="AD164" s="123"/>
      <c r="AE164" s="123"/>
      <c r="AF164" s="123"/>
      <c r="AG164" s="123"/>
      <c r="AH164" s="123"/>
      <c r="AI164" s="123"/>
      <c r="AJ164" s="123"/>
      <c r="AK164" s="123"/>
      <c r="AL164" s="123"/>
      <c r="AM164" s="123"/>
      <c r="AN164" s="123"/>
      <c r="AO164" s="123"/>
      <c r="AP164" s="123"/>
      <c r="AQ164" s="123"/>
      <c r="AR164" s="123"/>
      <c r="AS164" s="123"/>
      <c r="AT164" s="123"/>
      <c r="AU164" s="123"/>
      <c r="AV164" s="123"/>
      <c r="AW164" s="123"/>
      <c r="AX164" s="123"/>
      <c r="AY164" s="123"/>
      <c r="AZ164" s="123"/>
      <c r="BA164" s="123"/>
      <c r="BB164" s="123"/>
      <c r="BC164" s="123"/>
      <c r="BD164" s="123"/>
      <c r="BE164" s="123"/>
      <c r="BF164" s="123"/>
      <c r="BG164" s="123"/>
      <c r="BH164" s="123"/>
      <c r="BI164" s="123"/>
    </row>
    <row r="165" spans="3:61" s="404" customFormat="1">
      <c r="C165" s="322">
        <v>20007</v>
      </c>
      <c r="D165" s="1247" t="s">
        <v>1919</v>
      </c>
      <c r="E165" s="322">
        <v>30</v>
      </c>
      <c r="F165" s="322">
        <v>1</v>
      </c>
      <c r="G165" s="322">
        <v>18.5</v>
      </c>
      <c r="H165" s="964">
        <f t="shared" si="4"/>
        <v>0.6166666666666667</v>
      </c>
      <c r="I165" s="453">
        <f t="shared" si="5"/>
        <v>18.5</v>
      </c>
      <c r="J165" s="123"/>
      <c r="K165" s="123"/>
      <c r="L165" s="123"/>
      <c r="M165" s="123"/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23"/>
      <c r="Z165" s="123"/>
      <c r="AA165" s="123"/>
      <c r="AB165" s="123"/>
      <c r="AC165" s="123"/>
      <c r="AD165" s="123"/>
      <c r="AE165" s="123"/>
      <c r="AF165" s="123"/>
      <c r="AG165" s="123"/>
      <c r="AH165" s="123"/>
      <c r="AI165" s="123"/>
      <c r="AJ165" s="123"/>
      <c r="AK165" s="123"/>
      <c r="AL165" s="123"/>
      <c r="AM165" s="123"/>
      <c r="AN165" s="123"/>
      <c r="AO165" s="123"/>
      <c r="AP165" s="123"/>
      <c r="AQ165" s="123"/>
      <c r="AR165" s="123"/>
      <c r="AS165" s="123"/>
      <c r="AT165" s="123"/>
      <c r="AU165" s="123"/>
      <c r="AV165" s="123"/>
      <c r="AW165" s="123"/>
      <c r="AX165" s="123"/>
      <c r="AY165" s="123"/>
      <c r="AZ165" s="123"/>
      <c r="BA165" s="123"/>
      <c r="BB165" s="123"/>
      <c r="BC165" s="123"/>
      <c r="BD165" s="123"/>
      <c r="BE165" s="123"/>
      <c r="BF165" s="123"/>
      <c r="BG165" s="123"/>
      <c r="BH165" s="123"/>
      <c r="BI165" s="123"/>
    </row>
    <row r="166" spans="3:61" s="404" customFormat="1">
      <c r="C166" s="322">
        <v>20011</v>
      </c>
      <c r="D166" s="1247" t="s">
        <v>1920</v>
      </c>
      <c r="E166" s="322">
        <v>36</v>
      </c>
      <c r="F166" s="322">
        <v>1</v>
      </c>
      <c r="G166" s="322">
        <v>13.3</v>
      </c>
      <c r="H166" s="964">
        <f t="shared" si="4"/>
        <v>0.36944444444444446</v>
      </c>
      <c r="I166" s="453">
        <f t="shared" si="5"/>
        <v>13.3</v>
      </c>
      <c r="J166" s="123"/>
      <c r="K166" s="123"/>
      <c r="L166" s="123"/>
      <c r="M166" s="123"/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  <c r="X166" s="123"/>
      <c r="Y166" s="123"/>
      <c r="Z166" s="123"/>
      <c r="AA166" s="123"/>
      <c r="AB166" s="123"/>
      <c r="AC166" s="123"/>
      <c r="AD166" s="123"/>
      <c r="AE166" s="123"/>
      <c r="AF166" s="123"/>
      <c r="AG166" s="123"/>
      <c r="AH166" s="123"/>
      <c r="AI166" s="123"/>
      <c r="AJ166" s="123"/>
      <c r="AK166" s="123"/>
      <c r="AL166" s="123"/>
      <c r="AM166" s="123"/>
      <c r="AN166" s="123"/>
      <c r="AO166" s="123"/>
      <c r="AP166" s="123"/>
      <c r="AQ166" s="123"/>
      <c r="AR166" s="123"/>
      <c r="AS166" s="123"/>
      <c r="AT166" s="123"/>
      <c r="AU166" s="123"/>
      <c r="AV166" s="123"/>
      <c r="AW166" s="123"/>
      <c r="AX166" s="123"/>
      <c r="AY166" s="123"/>
      <c r="AZ166" s="123"/>
      <c r="BA166" s="123"/>
      <c r="BB166" s="123"/>
      <c r="BC166" s="123"/>
      <c r="BD166" s="123"/>
      <c r="BE166" s="123"/>
      <c r="BF166" s="123"/>
      <c r="BG166" s="123"/>
      <c r="BH166" s="123"/>
      <c r="BI166" s="123"/>
    </row>
    <row r="167" spans="3:61" s="404" customFormat="1" ht="15.75" thickBot="1">
      <c r="C167" s="1181"/>
      <c r="D167" s="1247" t="s">
        <v>1921</v>
      </c>
      <c r="E167" s="322">
        <v>12</v>
      </c>
      <c r="F167" s="322">
        <v>0</v>
      </c>
      <c r="G167" s="322">
        <v>13.5</v>
      </c>
      <c r="H167" s="968">
        <f t="shared" si="4"/>
        <v>1.125</v>
      </c>
      <c r="I167" s="1242">
        <f t="shared" si="5"/>
        <v>0</v>
      </c>
      <c r="J167" s="123"/>
      <c r="K167" s="123"/>
      <c r="L167" s="123"/>
      <c r="M167" s="123"/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  <c r="X167" s="123"/>
      <c r="Y167" s="123"/>
      <c r="Z167" s="123"/>
      <c r="AA167" s="123"/>
      <c r="AB167" s="123"/>
      <c r="AC167" s="123"/>
      <c r="AD167" s="123"/>
      <c r="AE167" s="123"/>
      <c r="AF167" s="123"/>
      <c r="AG167" s="123"/>
      <c r="AH167" s="123"/>
      <c r="AI167" s="123"/>
      <c r="AJ167" s="123"/>
      <c r="AK167" s="123"/>
      <c r="AL167" s="123"/>
      <c r="AM167" s="123"/>
      <c r="AN167" s="123"/>
      <c r="AO167" s="123"/>
      <c r="AP167" s="123"/>
      <c r="AQ167" s="123"/>
      <c r="AR167" s="123"/>
      <c r="AS167" s="123"/>
      <c r="AT167" s="123"/>
      <c r="AU167" s="123"/>
      <c r="AV167" s="123"/>
      <c r="AW167" s="123"/>
      <c r="AX167" s="123"/>
      <c r="AY167" s="123"/>
      <c r="AZ167" s="123"/>
      <c r="BA167" s="123"/>
      <c r="BB167" s="123"/>
      <c r="BC167" s="123"/>
      <c r="BD167" s="123"/>
      <c r="BE167" s="123"/>
      <c r="BF167" s="123"/>
      <c r="BG167" s="123"/>
      <c r="BH167" s="123"/>
      <c r="BI167" s="123"/>
    </row>
    <row r="168" spans="3:61" s="404" customFormat="1" ht="15.75" thickBot="1">
      <c r="C168" s="1190"/>
      <c r="D168" s="332"/>
      <c r="E168" s="491"/>
      <c r="F168" s="491"/>
      <c r="G168" s="491"/>
      <c r="H168" s="969" t="s">
        <v>71</v>
      </c>
      <c r="I168" s="1189">
        <f>I128+I129+I130+I131+I132+I133+I134+I135+I136+I137+I138+I139+I140+I141+I142+I143+I144+I150+I153+I155+I156+I157+I158+I159+I160+I161+I162+I163+I164+I165+I166+I167</f>
        <v>7624.1999999999989</v>
      </c>
      <c r="J168" s="123"/>
      <c r="K168" s="123"/>
      <c r="L168" s="123"/>
      <c r="M168" s="123"/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  <c r="X168" s="123"/>
      <c r="Y168" s="123"/>
      <c r="Z168" s="123"/>
      <c r="AA168" s="123"/>
      <c r="AB168" s="123"/>
      <c r="AC168" s="123"/>
      <c r="AD168" s="123"/>
      <c r="AE168" s="123"/>
      <c r="AF168" s="123"/>
      <c r="AG168" s="123"/>
      <c r="AH168" s="123"/>
      <c r="AI168" s="123"/>
      <c r="AJ168" s="123"/>
      <c r="AK168" s="123"/>
      <c r="AL168" s="123"/>
      <c r="AM168" s="123"/>
      <c r="AN168" s="123"/>
      <c r="AO168" s="123"/>
      <c r="AP168" s="123"/>
      <c r="AQ168" s="123"/>
      <c r="AR168" s="123"/>
      <c r="AS168" s="123"/>
      <c r="AT168" s="123"/>
      <c r="AU168" s="123"/>
      <c r="AV168" s="123"/>
      <c r="AW168" s="123"/>
      <c r="AX168" s="123"/>
      <c r="AY168" s="123"/>
      <c r="AZ168" s="123"/>
      <c r="BA168" s="123"/>
      <c r="BB168" s="123"/>
      <c r="BC168" s="123"/>
      <c r="BD168" s="123"/>
      <c r="BE168" s="123"/>
      <c r="BF168" s="123"/>
      <c r="BG168" s="123"/>
      <c r="BH168" s="123"/>
      <c r="BI168" s="123"/>
    </row>
    <row r="169" spans="3:61" customFormat="1" ht="45">
      <c r="C169" s="1181"/>
      <c r="D169" s="1191" t="s">
        <v>1392</v>
      </c>
      <c r="E169" s="495"/>
      <c r="F169" s="453" t="s">
        <v>242</v>
      </c>
      <c r="G169" s="39" t="s">
        <v>1988</v>
      </c>
      <c r="H169" s="970" t="s">
        <v>1989</v>
      </c>
      <c r="I169" s="1180"/>
      <c r="J169" s="123"/>
      <c r="K169" s="123"/>
      <c r="L169" s="123"/>
      <c r="M169" s="123"/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  <c r="X169" s="123"/>
      <c r="Y169" s="123"/>
      <c r="Z169" s="123"/>
      <c r="AA169" s="123"/>
      <c r="AB169" s="123"/>
      <c r="AC169" s="123"/>
      <c r="AD169" s="123"/>
      <c r="AE169" s="123"/>
      <c r="AF169" s="123"/>
      <c r="AG169" s="123"/>
      <c r="AH169" s="123"/>
      <c r="AI169" s="123"/>
      <c r="AJ169" s="123"/>
      <c r="AK169" s="123"/>
      <c r="AL169" s="123"/>
      <c r="AM169" s="123"/>
      <c r="AN169" s="123"/>
      <c r="AO169" s="123"/>
      <c r="AP169" s="123"/>
      <c r="AQ169" s="123"/>
      <c r="AR169" s="123"/>
      <c r="AS169" s="123"/>
      <c r="AT169" s="123"/>
      <c r="AU169" s="123"/>
      <c r="AV169" s="123"/>
      <c r="AW169" s="123"/>
      <c r="AX169" s="123"/>
      <c r="AY169" s="123"/>
      <c r="AZ169" s="123"/>
      <c r="BA169" s="123"/>
      <c r="BB169" s="123"/>
      <c r="BC169" s="123"/>
      <c r="BD169" s="123"/>
      <c r="BE169" s="123"/>
      <c r="BF169" s="123"/>
      <c r="BG169" s="123"/>
      <c r="BH169" s="123"/>
      <c r="BI169" s="123"/>
    </row>
    <row r="170" spans="3:61" customFormat="1">
      <c r="C170" s="1181"/>
      <c r="D170" s="1248" t="s">
        <v>1902</v>
      </c>
      <c r="E170" s="495">
        <v>12</v>
      </c>
      <c r="F170" s="495">
        <v>5</v>
      </c>
      <c r="G170" s="495">
        <v>16.7</v>
      </c>
      <c r="H170" s="963">
        <f>G170/E170</f>
        <v>1.3916666666666666</v>
      </c>
      <c r="I170" s="1180">
        <f>F170*G170</f>
        <v>83.5</v>
      </c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3"/>
      <c r="AA170" s="123"/>
      <c r="AB170" s="123"/>
      <c r="AC170" s="123"/>
      <c r="AD170" s="123"/>
      <c r="AE170" s="123"/>
      <c r="AF170" s="123"/>
      <c r="AG170" s="123"/>
      <c r="AH170" s="123"/>
      <c r="AI170" s="123"/>
      <c r="AJ170" s="123"/>
      <c r="AK170" s="123"/>
      <c r="AL170" s="123"/>
      <c r="AM170" s="123"/>
      <c r="AN170" s="123"/>
      <c r="AO170" s="123"/>
      <c r="AP170" s="123"/>
      <c r="AQ170" s="123"/>
      <c r="AR170" s="123"/>
      <c r="AS170" s="123"/>
      <c r="AT170" s="123"/>
      <c r="AU170" s="123"/>
      <c r="AV170" s="123"/>
      <c r="AW170" s="123"/>
      <c r="AX170" s="123"/>
      <c r="AY170" s="123"/>
      <c r="AZ170" s="123"/>
      <c r="BA170" s="123"/>
      <c r="BB170" s="123"/>
      <c r="BC170" s="123"/>
      <c r="BD170" s="123"/>
      <c r="BE170" s="123"/>
      <c r="BF170" s="123"/>
      <c r="BG170" s="123"/>
      <c r="BH170" s="123"/>
      <c r="BI170" s="123"/>
    </row>
    <row r="171" spans="3:61" customFormat="1" ht="15.75" thickBot="1">
      <c r="C171" s="1181"/>
      <c r="D171" s="314" t="s">
        <v>1887</v>
      </c>
      <c r="E171" s="495">
        <v>12</v>
      </c>
      <c r="F171" s="495">
        <v>5</v>
      </c>
      <c r="G171" s="395">
        <v>12</v>
      </c>
      <c r="H171" s="971">
        <f>G171/E171</f>
        <v>1</v>
      </c>
      <c r="I171" s="438">
        <f>F171*G171</f>
        <v>60</v>
      </c>
      <c r="J171" s="123"/>
      <c r="K171" s="123"/>
      <c r="L171" s="123"/>
      <c r="M171" s="123"/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3"/>
      <c r="AA171" s="123"/>
      <c r="AB171" s="123"/>
      <c r="AC171" s="123"/>
      <c r="AD171" s="123"/>
      <c r="AE171" s="123"/>
      <c r="AF171" s="123"/>
      <c r="AG171" s="123"/>
      <c r="AH171" s="123"/>
      <c r="AI171" s="123"/>
      <c r="AJ171" s="123"/>
      <c r="AK171" s="123"/>
      <c r="AL171" s="123"/>
      <c r="AM171" s="123"/>
      <c r="AN171" s="123"/>
      <c r="AO171" s="123"/>
      <c r="AP171" s="123"/>
      <c r="AQ171" s="123"/>
      <c r="AR171" s="123"/>
      <c r="AS171" s="123"/>
      <c r="AT171" s="123"/>
      <c r="AU171" s="123"/>
      <c r="AV171" s="123"/>
      <c r="AW171" s="123"/>
      <c r="AX171" s="123"/>
      <c r="AY171" s="123"/>
      <c r="AZ171" s="123"/>
      <c r="BA171" s="123"/>
      <c r="BB171" s="123"/>
      <c r="BC171" s="123"/>
      <c r="BD171" s="123"/>
      <c r="BE171" s="123"/>
      <c r="BF171" s="123"/>
      <c r="BG171" s="123"/>
      <c r="BH171" s="123"/>
      <c r="BI171" s="123"/>
    </row>
    <row r="172" spans="3:61" customFormat="1" ht="15.75" thickBot="1">
      <c r="C172" s="1181"/>
      <c r="D172" s="314"/>
      <c r="E172" s="491"/>
      <c r="F172" s="491"/>
      <c r="G172" s="2322" t="s">
        <v>1392</v>
      </c>
      <c r="H172" s="2323"/>
      <c r="I172" s="454">
        <f>SUM(I170:I171)</f>
        <v>143.5</v>
      </c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3"/>
      <c r="AA172" s="123"/>
      <c r="AB172" s="123"/>
      <c r="AC172" s="123"/>
      <c r="AD172" s="123"/>
      <c r="AE172" s="123"/>
      <c r="AF172" s="123"/>
      <c r="AG172" s="123"/>
      <c r="AH172" s="123"/>
      <c r="AI172" s="123"/>
      <c r="AJ172" s="123"/>
      <c r="AK172" s="123"/>
      <c r="AL172" s="123"/>
      <c r="AM172" s="123"/>
      <c r="AN172" s="123"/>
      <c r="AO172" s="123"/>
      <c r="AP172" s="123"/>
      <c r="AQ172" s="123"/>
      <c r="AR172" s="123"/>
      <c r="AS172" s="123"/>
      <c r="AT172" s="123"/>
      <c r="AU172" s="123"/>
      <c r="AV172" s="123"/>
      <c r="AW172" s="123"/>
      <c r="AX172" s="123"/>
      <c r="AY172" s="123"/>
      <c r="AZ172" s="123"/>
      <c r="BA172" s="123"/>
      <c r="BB172" s="123"/>
      <c r="BC172" s="123"/>
      <c r="BD172" s="123"/>
      <c r="BE172" s="123"/>
      <c r="BF172" s="123"/>
      <c r="BG172" s="123"/>
      <c r="BH172" s="123"/>
      <c r="BI172" s="123"/>
    </row>
    <row r="173" spans="3:61" customFormat="1" ht="15.75" thickBot="1">
      <c r="C173" s="1181"/>
      <c r="D173" s="314"/>
      <c r="E173" s="491"/>
      <c r="F173" s="491"/>
      <c r="G173" s="2320" t="s">
        <v>74</v>
      </c>
      <c r="H173" s="2321"/>
      <c r="I173" s="1189">
        <f>I168-I172</f>
        <v>7480.6999999999989</v>
      </c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3"/>
      <c r="AA173" s="123"/>
      <c r="AB173" s="123"/>
      <c r="AC173" s="123"/>
      <c r="AD173" s="123"/>
      <c r="AE173" s="123"/>
      <c r="AF173" s="123"/>
      <c r="AG173" s="123"/>
      <c r="AH173" s="123"/>
      <c r="AI173" s="123"/>
      <c r="AJ173" s="123"/>
      <c r="AK173" s="123"/>
      <c r="AL173" s="123"/>
      <c r="AM173" s="123"/>
      <c r="AN173" s="123"/>
      <c r="AO173" s="123"/>
      <c r="AP173" s="123"/>
      <c r="AQ173" s="123"/>
      <c r="AR173" s="123"/>
      <c r="AS173" s="123"/>
      <c r="AT173" s="123"/>
      <c r="AU173" s="123"/>
      <c r="AV173" s="123"/>
      <c r="AW173" s="123"/>
      <c r="AX173" s="123"/>
      <c r="AY173" s="123"/>
      <c r="AZ173" s="123"/>
      <c r="BA173" s="123"/>
      <c r="BB173" s="123"/>
      <c r="BC173" s="123"/>
      <c r="BD173" s="123"/>
      <c r="BE173" s="123"/>
      <c r="BF173" s="123"/>
      <c r="BG173" s="123"/>
      <c r="BH173" s="123"/>
      <c r="BI173" s="123"/>
    </row>
    <row r="174" spans="3:61" customFormat="1">
      <c r="C174" s="1181"/>
      <c r="D174" s="314"/>
      <c r="E174" s="491"/>
      <c r="F174" s="491"/>
      <c r="G174" s="491"/>
      <c r="H174" s="962"/>
      <c r="I174" s="101"/>
      <c r="J174" s="123"/>
      <c r="K174" s="123"/>
      <c r="L174" s="123"/>
      <c r="M174" s="123"/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  <c r="X174" s="123"/>
      <c r="Y174" s="123"/>
      <c r="Z174" s="123"/>
      <c r="AA174" s="123"/>
      <c r="AB174" s="123"/>
      <c r="AC174" s="123"/>
      <c r="AD174" s="123"/>
      <c r="AE174" s="123"/>
      <c r="AF174" s="123"/>
      <c r="AG174" s="123"/>
      <c r="AH174" s="123"/>
      <c r="AI174" s="123"/>
      <c r="AJ174" s="123"/>
      <c r="AK174" s="123"/>
      <c r="AL174" s="123"/>
      <c r="AM174" s="123"/>
      <c r="AN174" s="123"/>
      <c r="AO174" s="123"/>
      <c r="AP174" s="123"/>
      <c r="AQ174" s="123"/>
      <c r="AR174" s="123"/>
      <c r="AS174" s="123"/>
      <c r="AT174" s="123"/>
      <c r="AU174" s="123"/>
      <c r="AV174" s="123"/>
      <c r="AW174" s="123"/>
      <c r="AX174" s="123"/>
      <c r="AY174" s="123"/>
      <c r="AZ174" s="123"/>
      <c r="BA174" s="123"/>
      <c r="BB174" s="123"/>
      <c r="BC174" s="123"/>
      <c r="BD174" s="123"/>
      <c r="BE174" s="123"/>
      <c r="BF174" s="123"/>
      <c r="BG174" s="123"/>
      <c r="BH174" s="123"/>
      <c r="BI174" s="123"/>
    </row>
    <row r="175" spans="3:61" customFormat="1">
      <c r="C175" s="1181"/>
      <c r="D175" s="314"/>
      <c r="E175" s="491"/>
      <c r="F175" s="491"/>
      <c r="G175" s="491"/>
      <c r="H175" s="962"/>
      <c r="I175" s="101"/>
      <c r="J175" s="123"/>
      <c r="K175" s="123"/>
      <c r="L175" s="123"/>
      <c r="M175" s="123"/>
      <c r="N175" s="123"/>
      <c r="O175" s="123"/>
      <c r="P175" s="123"/>
      <c r="Q175" s="123"/>
      <c r="R175" s="123"/>
      <c r="S175" s="123"/>
      <c r="T175" s="123"/>
      <c r="U175" s="123"/>
      <c r="V175" s="123"/>
      <c r="W175" s="123"/>
      <c r="X175" s="123"/>
      <c r="Y175" s="123"/>
      <c r="Z175" s="123"/>
      <c r="AA175" s="123"/>
      <c r="AB175" s="123"/>
      <c r="AC175" s="123"/>
      <c r="AD175" s="123"/>
      <c r="AE175" s="123"/>
      <c r="AF175" s="123"/>
      <c r="AG175" s="123"/>
      <c r="AH175" s="123"/>
      <c r="AI175" s="123"/>
      <c r="AJ175" s="123"/>
      <c r="AK175" s="123"/>
      <c r="AL175" s="123"/>
      <c r="AM175" s="123"/>
      <c r="AN175" s="123"/>
      <c r="AO175" s="123"/>
      <c r="AP175" s="123"/>
      <c r="AQ175" s="123"/>
      <c r="AR175" s="123"/>
      <c r="AS175" s="123"/>
      <c r="AT175" s="123"/>
      <c r="AU175" s="123"/>
      <c r="AV175" s="123"/>
      <c r="AW175" s="123"/>
      <c r="AX175" s="123"/>
      <c r="AY175" s="123"/>
      <c r="AZ175" s="123"/>
      <c r="BA175" s="123"/>
      <c r="BB175" s="123"/>
      <c r="BC175" s="123"/>
      <c r="BD175" s="123"/>
      <c r="BE175" s="123"/>
      <c r="BF175" s="123"/>
      <c r="BG175" s="123"/>
      <c r="BH175" s="123"/>
      <c r="BI175" s="123"/>
    </row>
    <row r="176" spans="3:61" customFormat="1" ht="60">
      <c r="C176" s="1190"/>
      <c r="D176" s="332"/>
      <c r="E176" s="489" t="s">
        <v>916</v>
      </c>
      <c r="F176" s="490" t="s">
        <v>68</v>
      </c>
      <c r="G176" s="489" t="s">
        <v>903</v>
      </c>
      <c r="H176" s="972" t="s">
        <v>559</v>
      </c>
      <c r="I176" s="489" t="s">
        <v>917</v>
      </c>
      <c r="J176" s="123"/>
      <c r="K176" s="123"/>
      <c r="L176" s="123"/>
      <c r="M176" s="123"/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  <c r="X176" s="123"/>
      <c r="Y176" s="123"/>
      <c r="Z176" s="123"/>
      <c r="AA176" s="123"/>
      <c r="AB176" s="123"/>
      <c r="AC176" s="123"/>
      <c r="AD176" s="123"/>
      <c r="AE176" s="123"/>
      <c r="AF176" s="123"/>
      <c r="AG176" s="123"/>
      <c r="AH176" s="123"/>
      <c r="AI176" s="123"/>
      <c r="AJ176" s="123"/>
      <c r="AK176" s="123"/>
      <c r="AL176" s="123"/>
      <c r="AM176" s="123"/>
      <c r="AN176" s="123"/>
      <c r="AO176" s="123"/>
      <c r="AP176" s="123"/>
      <c r="AQ176" s="123"/>
      <c r="AR176" s="123"/>
      <c r="AS176" s="123"/>
      <c r="AT176" s="123"/>
      <c r="AU176" s="123"/>
      <c r="AV176" s="123"/>
      <c r="AW176" s="123"/>
      <c r="AX176" s="123"/>
      <c r="AY176" s="123"/>
      <c r="AZ176" s="123"/>
      <c r="BA176" s="123"/>
      <c r="BB176" s="123"/>
      <c r="BC176" s="123"/>
      <c r="BD176" s="123"/>
      <c r="BE176" s="123"/>
      <c r="BF176" s="123"/>
      <c r="BG176" s="123"/>
      <c r="BH176" s="123"/>
      <c r="BI176" s="123"/>
    </row>
    <row r="177" spans="2:61" hidden="1">
      <c r="B177"/>
      <c r="C177" s="1193">
        <v>20003</v>
      </c>
      <c r="D177" s="391" t="s">
        <v>2298</v>
      </c>
      <c r="E177" s="495"/>
      <c r="F177" s="495"/>
      <c r="G177" s="495"/>
      <c r="H177" s="963"/>
      <c r="I177" s="1180"/>
    </row>
    <row r="178" spans="2:61" s="404" customFormat="1">
      <c r="C178" s="557"/>
      <c r="D178" s="1249" t="s">
        <v>2299</v>
      </c>
      <c r="E178" s="16">
        <v>20</v>
      </c>
      <c r="F178" s="16">
        <v>20</v>
      </c>
      <c r="G178" s="16">
        <v>35</v>
      </c>
      <c r="H178" s="973">
        <f>G178/E178</f>
        <v>1.75</v>
      </c>
      <c r="I178" s="297">
        <f>F178*G178</f>
        <v>700</v>
      </c>
      <c r="J178" s="123"/>
      <c r="K178" s="123"/>
      <c r="L178" s="123"/>
      <c r="M178" s="123"/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  <c r="X178" s="123"/>
      <c r="Y178" s="123"/>
      <c r="Z178" s="123"/>
      <c r="AA178" s="123"/>
      <c r="AB178" s="123"/>
      <c r="AC178" s="123"/>
      <c r="AD178" s="123"/>
      <c r="AE178" s="123"/>
      <c r="AF178" s="123"/>
      <c r="AG178" s="123"/>
      <c r="AH178" s="123"/>
      <c r="AI178" s="123"/>
      <c r="AJ178" s="123"/>
      <c r="AK178" s="123"/>
      <c r="AL178" s="123"/>
      <c r="AM178" s="123"/>
      <c r="AN178" s="123"/>
      <c r="AO178" s="123"/>
      <c r="AP178" s="123"/>
      <c r="AQ178" s="123"/>
      <c r="AR178" s="123"/>
      <c r="AS178" s="123"/>
      <c r="AT178" s="123"/>
      <c r="AU178" s="123"/>
      <c r="AV178" s="123"/>
      <c r="AW178" s="123"/>
      <c r="AX178" s="123"/>
      <c r="AY178" s="123"/>
      <c r="AZ178" s="123"/>
      <c r="BA178" s="123"/>
      <c r="BB178" s="123"/>
      <c r="BC178" s="123"/>
      <c r="BD178" s="123"/>
      <c r="BE178" s="123"/>
      <c r="BF178" s="123"/>
      <c r="BG178" s="123"/>
      <c r="BH178" s="123"/>
      <c r="BI178" s="123"/>
    </row>
    <row r="179" spans="2:61">
      <c r="B179"/>
      <c r="C179" s="16">
        <v>4030</v>
      </c>
      <c r="D179" s="1250" t="s">
        <v>1885</v>
      </c>
      <c r="E179" s="16">
        <v>1000</v>
      </c>
      <c r="F179" s="16">
        <v>20</v>
      </c>
      <c r="G179" s="16">
        <v>3.4</v>
      </c>
      <c r="H179" s="973">
        <f t="shared" ref="H179:H235" si="6">G179/E179</f>
        <v>3.3999999999999998E-3</v>
      </c>
      <c r="I179" s="297">
        <f t="shared" ref="I179:I238" si="7">F179*G179</f>
        <v>68</v>
      </c>
    </row>
    <row r="180" spans="2:61" s="404" customFormat="1" hidden="1">
      <c r="C180" s="16">
        <v>8162</v>
      </c>
      <c r="D180" s="1250" t="s">
        <v>897</v>
      </c>
      <c r="E180" s="16"/>
      <c r="F180" s="16"/>
      <c r="G180" s="16"/>
      <c r="H180" s="973" t="e">
        <f t="shared" si="6"/>
        <v>#DIV/0!</v>
      </c>
      <c r="I180" s="297">
        <f t="shared" si="7"/>
        <v>0</v>
      </c>
      <c r="J180" s="123"/>
      <c r="K180" s="123"/>
      <c r="L180" s="123"/>
      <c r="M180" s="123"/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  <c r="X180" s="123"/>
      <c r="Y180" s="123"/>
      <c r="Z180" s="123"/>
      <c r="AA180" s="123"/>
      <c r="AB180" s="123"/>
      <c r="AC180" s="123"/>
      <c r="AD180" s="123"/>
      <c r="AE180" s="123"/>
      <c r="AF180" s="123"/>
      <c r="AG180" s="123"/>
      <c r="AH180" s="123"/>
      <c r="AI180" s="123"/>
      <c r="AJ180" s="123"/>
      <c r="AK180" s="123"/>
      <c r="AL180" s="123"/>
      <c r="AM180" s="123"/>
      <c r="AN180" s="123"/>
      <c r="AO180" s="123"/>
      <c r="AP180" s="123"/>
      <c r="AQ180" s="123"/>
      <c r="AR180" s="123"/>
      <c r="AS180" s="123"/>
      <c r="AT180" s="123"/>
      <c r="AU180" s="123"/>
      <c r="AV180" s="123"/>
      <c r="AW180" s="123"/>
      <c r="AX180" s="123"/>
      <c r="AY180" s="123"/>
      <c r="AZ180" s="123"/>
      <c r="BA180" s="123"/>
      <c r="BB180" s="123"/>
      <c r="BC180" s="123"/>
      <c r="BD180" s="123"/>
      <c r="BE180" s="123"/>
      <c r="BF180" s="123"/>
      <c r="BG180" s="123"/>
      <c r="BH180" s="123"/>
      <c r="BI180" s="123"/>
    </row>
    <row r="181" spans="2:61" hidden="1">
      <c r="B181"/>
      <c r="C181" s="16">
        <v>17888</v>
      </c>
      <c r="D181" s="1250" t="s">
        <v>898</v>
      </c>
      <c r="E181" s="16"/>
      <c r="F181" s="16"/>
      <c r="G181" s="16"/>
      <c r="H181" s="973" t="e">
        <f t="shared" si="6"/>
        <v>#DIV/0!</v>
      </c>
      <c r="I181" s="297">
        <f t="shared" si="7"/>
        <v>0</v>
      </c>
    </row>
    <row r="182" spans="2:61" hidden="1">
      <c r="B182"/>
      <c r="C182" s="16">
        <v>9579</v>
      </c>
      <c r="D182" s="1250" t="s">
        <v>899</v>
      </c>
      <c r="E182" s="16"/>
      <c r="F182" s="16"/>
      <c r="G182" s="16"/>
      <c r="H182" s="973" t="e">
        <f t="shared" si="6"/>
        <v>#DIV/0!</v>
      </c>
      <c r="I182" s="297">
        <f t="shared" si="7"/>
        <v>0</v>
      </c>
    </row>
    <row r="183" spans="2:61" hidden="1">
      <c r="B183"/>
      <c r="C183" s="16">
        <v>7960</v>
      </c>
      <c r="D183" s="1250" t="s">
        <v>900</v>
      </c>
      <c r="E183" s="16"/>
      <c r="F183" s="16"/>
      <c r="G183" s="16"/>
      <c r="H183" s="973" t="e">
        <f t="shared" si="6"/>
        <v>#DIV/0!</v>
      </c>
      <c r="I183" s="297">
        <f t="shared" si="7"/>
        <v>0</v>
      </c>
    </row>
    <row r="184" spans="2:61" hidden="1">
      <c r="B184"/>
      <c r="C184" s="16">
        <v>950</v>
      </c>
      <c r="D184" s="1250" t="s">
        <v>1508</v>
      </c>
      <c r="E184" s="16">
        <v>100</v>
      </c>
      <c r="F184" s="16">
        <v>0</v>
      </c>
      <c r="G184" s="16">
        <v>21.1</v>
      </c>
      <c r="H184" s="973">
        <f t="shared" si="6"/>
        <v>0.21100000000000002</v>
      </c>
      <c r="I184" s="297">
        <f t="shared" si="7"/>
        <v>0</v>
      </c>
    </row>
    <row r="185" spans="2:61" hidden="1">
      <c r="B185"/>
      <c r="C185" s="16">
        <v>20010</v>
      </c>
      <c r="D185" s="1250" t="s">
        <v>2286</v>
      </c>
      <c r="E185" s="16">
        <v>100</v>
      </c>
      <c r="F185" s="16">
        <v>0</v>
      </c>
      <c r="G185" s="16">
        <v>69.5</v>
      </c>
      <c r="H185" s="973">
        <f t="shared" si="6"/>
        <v>0.69499999999999995</v>
      </c>
      <c r="I185" s="297">
        <f t="shared" si="7"/>
        <v>0</v>
      </c>
    </row>
    <row r="186" spans="2:61">
      <c r="B186"/>
      <c r="C186" s="16">
        <v>16237</v>
      </c>
      <c r="D186" s="1250" t="s">
        <v>1886</v>
      </c>
      <c r="E186" s="16">
        <v>15</v>
      </c>
      <c r="F186" s="16">
        <v>30</v>
      </c>
      <c r="G186" s="16">
        <v>13.5</v>
      </c>
      <c r="H186" s="973">
        <f t="shared" si="6"/>
        <v>0.9</v>
      </c>
      <c r="I186" s="297">
        <f t="shared" si="7"/>
        <v>405</v>
      </c>
    </row>
    <row r="187" spans="2:61" hidden="1">
      <c r="B187"/>
      <c r="C187" s="16">
        <v>10427</v>
      </c>
      <c r="D187" s="1250" t="s">
        <v>2297</v>
      </c>
      <c r="E187" s="16">
        <v>12</v>
      </c>
      <c r="F187" s="16"/>
      <c r="G187" s="16">
        <v>3.9</v>
      </c>
      <c r="H187" s="973">
        <f t="shared" si="6"/>
        <v>0.32500000000000001</v>
      </c>
      <c r="I187" s="297">
        <f t="shared" si="7"/>
        <v>0</v>
      </c>
    </row>
    <row r="188" spans="2:61" hidden="1">
      <c r="B188"/>
      <c r="C188" s="16">
        <v>20006</v>
      </c>
      <c r="D188" s="1250" t="s">
        <v>2289</v>
      </c>
      <c r="E188" s="16">
        <v>40</v>
      </c>
      <c r="F188" s="16"/>
      <c r="G188" s="16">
        <v>33.4</v>
      </c>
      <c r="H188" s="973">
        <f t="shared" si="6"/>
        <v>0.83499999999999996</v>
      </c>
      <c r="I188" s="297">
        <f t="shared" si="7"/>
        <v>0</v>
      </c>
    </row>
    <row r="189" spans="2:61" hidden="1">
      <c r="B189"/>
      <c r="C189" s="16">
        <v>8117</v>
      </c>
      <c r="D189" s="1250" t="s">
        <v>2284</v>
      </c>
      <c r="E189" s="16">
        <v>96</v>
      </c>
      <c r="F189" s="16"/>
      <c r="G189" s="16">
        <v>51.2</v>
      </c>
      <c r="H189" s="973">
        <f t="shared" si="6"/>
        <v>0.53333333333333333</v>
      </c>
      <c r="I189" s="297">
        <f t="shared" si="7"/>
        <v>0</v>
      </c>
    </row>
    <row r="190" spans="2:61" hidden="1">
      <c r="B190"/>
      <c r="C190" s="16">
        <v>8017</v>
      </c>
      <c r="D190" s="1250" t="s">
        <v>2283</v>
      </c>
      <c r="E190" s="16">
        <v>96</v>
      </c>
      <c r="F190" s="16"/>
      <c r="G190" s="16">
        <v>51.2</v>
      </c>
      <c r="H190" s="973">
        <f t="shared" si="6"/>
        <v>0.53333333333333333</v>
      </c>
      <c r="I190" s="297">
        <f t="shared" si="7"/>
        <v>0</v>
      </c>
    </row>
    <row r="191" spans="2:61" hidden="1">
      <c r="B191"/>
      <c r="C191" s="12"/>
      <c r="D191" s="1251" t="s">
        <v>2307</v>
      </c>
      <c r="E191" s="16">
        <v>12</v>
      </c>
      <c r="F191" s="16"/>
      <c r="G191" s="16">
        <v>13.5</v>
      </c>
      <c r="H191" s="973">
        <f t="shared" si="6"/>
        <v>1.125</v>
      </c>
      <c r="I191" s="297">
        <f t="shared" si="7"/>
        <v>0</v>
      </c>
    </row>
    <row r="192" spans="2:61" hidden="1">
      <c r="B192"/>
      <c r="C192" s="16">
        <v>9499</v>
      </c>
      <c r="D192" s="1250" t="s">
        <v>1901</v>
      </c>
      <c r="E192" s="16"/>
      <c r="F192" s="16"/>
      <c r="G192" s="16"/>
      <c r="H192" s="973" t="e">
        <f t="shared" si="6"/>
        <v>#DIV/0!</v>
      </c>
      <c r="I192" s="297">
        <f t="shared" si="7"/>
        <v>0</v>
      </c>
    </row>
    <row r="193" spans="2:61" s="404" customFormat="1">
      <c r="C193" s="16">
        <v>10416</v>
      </c>
      <c r="D193" s="1250" t="s">
        <v>2366</v>
      </c>
      <c r="E193" s="16">
        <v>24</v>
      </c>
      <c r="F193" s="16">
        <v>20</v>
      </c>
      <c r="G193" s="16">
        <v>17</v>
      </c>
      <c r="H193" s="973">
        <f t="shared" si="6"/>
        <v>0.70833333333333337</v>
      </c>
      <c r="I193" s="297">
        <f t="shared" si="7"/>
        <v>340</v>
      </c>
      <c r="J193" s="123"/>
      <c r="K193" s="123"/>
      <c r="L193" s="123"/>
      <c r="M193" s="123"/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3"/>
      <c r="AA193" s="123"/>
      <c r="AB193" s="123"/>
      <c r="AC193" s="123"/>
      <c r="AD193" s="123"/>
      <c r="AE193" s="123"/>
      <c r="AF193" s="123"/>
      <c r="AG193" s="123"/>
      <c r="AH193" s="123"/>
      <c r="AI193" s="123"/>
      <c r="AJ193" s="123"/>
      <c r="AK193" s="123"/>
      <c r="AL193" s="123"/>
      <c r="AM193" s="123"/>
      <c r="AN193" s="123"/>
      <c r="AO193" s="123"/>
      <c r="AP193" s="123"/>
      <c r="AQ193" s="123"/>
      <c r="AR193" s="123"/>
      <c r="AS193" s="123"/>
      <c r="AT193" s="123"/>
      <c r="AU193" s="123"/>
      <c r="AV193" s="123"/>
      <c r="AW193" s="123"/>
      <c r="AX193" s="123"/>
      <c r="AY193" s="123"/>
      <c r="AZ193" s="123"/>
      <c r="BA193" s="123"/>
      <c r="BB193" s="123"/>
      <c r="BC193" s="123"/>
      <c r="BD193" s="123"/>
      <c r="BE193" s="123"/>
      <c r="BF193" s="123"/>
      <c r="BG193" s="123"/>
      <c r="BH193" s="123"/>
      <c r="BI193" s="123"/>
    </row>
    <row r="194" spans="2:61" s="404" customFormat="1" hidden="1">
      <c r="C194" s="1190">
        <v>9500</v>
      </c>
      <c r="D194" s="1252" t="s">
        <v>2274</v>
      </c>
      <c r="E194" s="495">
        <v>24</v>
      </c>
      <c r="F194" s="495">
        <v>0</v>
      </c>
      <c r="G194" s="495">
        <v>17</v>
      </c>
      <c r="H194" s="963">
        <f t="shared" si="6"/>
        <v>0.70833333333333337</v>
      </c>
      <c r="I194" s="1180">
        <f t="shared" si="7"/>
        <v>0</v>
      </c>
      <c r="J194" s="123"/>
      <c r="K194" s="123"/>
      <c r="L194" s="123"/>
      <c r="M194" s="123"/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  <c r="X194" s="123"/>
      <c r="Y194" s="123"/>
      <c r="Z194" s="123"/>
      <c r="AA194" s="123"/>
      <c r="AB194" s="123"/>
      <c r="AC194" s="123"/>
      <c r="AD194" s="123"/>
      <c r="AE194" s="123"/>
      <c r="AF194" s="123"/>
      <c r="AG194" s="123"/>
      <c r="AH194" s="123"/>
      <c r="AI194" s="123"/>
      <c r="AJ194" s="123"/>
      <c r="AK194" s="123"/>
      <c r="AL194" s="123"/>
      <c r="AM194" s="123"/>
      <c r="AN194" s="123"/>
      <c r="AO194" s="123"/>
      <c r="AP194" s="123"/>
      <c r="AQ194" s="123"/>
      <c r="AR194" s="123"/>
      <c r="AS194" s="123"/>
      <c r="AT194" s="123"/>
      <c r="AU194" s="123"/>
      <c r="AV194" s="123"/>
      <c r="AW194" s="123"/>
      <c r="AX194" s="123"/>
      <c r="AY194" s="123"/>
      <c r="AZ194" s="123"/>
      <c r="BA194" s="123"/>
      <c r="BB194" s="123"/>
      <c r="BC194" s="123"/>
      <c r="BD194" s="123"/>
      <c r="BE194" s="123"/>
      <c r="BF194" s="123"/>
      <c r="BG194" s="123"/>
      <c r="BH194" s="123"/>
      <c r="BI194" s="123"/>
    </row>
    <row r="195" spans="2:61">
      <c r="B195"/>
      <c r="C195" s="16">
        <v>20012</v>
      </c>
      <c r="D195" s="1250" t="s">
        <v>2287</v>
      </c>
      <c r="E195" s="16">
        <v>24</v>
      </c>
      <c r="F195" s="16">
        <v>10</v>
      </c>
      <c r="G195" s="16">
        <v>17</v>
      </c>
      <c r="H195" s="973">
        <f t="shared" si="6"/>
        <v>0.70833333333333337</v>
      </c>
      <c r="I195" s="297">
        <f t="shared" si="7"/>
        <v>170</v>
      </c>
    </row>
    <row r="196" spans="2:61">
      <c r="B196"/>
      <c r="C196" s="16">
        <v>18707</v>
      </c>
      <c r="D196" s="1250" t="s">
        <v>2278</v>
      </c>
      <c r="E196" s="16">
        <v>12</v>
      </c>
      <c r="F196" s="16">
        <v>10</v>
      </c>
      <c r="G196" s="16">
        <v>7.7</v>
      </c>
      <c r="H196" s="973">
        <f t="shared" si="6"/>
        <v>0.64166666666666672</v>
      </c>
      <c r="I196" s="297">
        <f t="shared" si="7"/>
        <v>77</v>
      </c>
    </row>
    <row r="197" spans="2:61" hidden="1">
      <c r="B197"/>
      <c r="D197" s="1253"/>
      <c r="E197" s="495"/>
      <c r="F197" s="495"/>
      <c r="G197" s="495"/>
      <c r="H197" s="963" t="e">
        <f t="shared" si="6"/>
        <v>#DIV/0!</v>
      </c>
      <c r="I197" s="1180">
        <f t="shared" si="7"/>
        <v>0</v>
      </c>
    </row>
    <row r="198" spans="2:61">
      <c r="B198"/>
      <c r="C198" s="16">
        <v>15430</v>
      </c>
      <c r="D198" s="1250" t="s">
        <v>2280</v>
      </c>
      <c r="E198" s="16">
        <v>12</v>
      </c>
      <c r="F198" s="16">
        <v>7</v>
      </c>
      <c r="G198" s="16">
        <v>12</v>
      </c>
      <c r="H198" s="973">
        <f t="shared" si="6"/>
        <v>1</v>
      </c>
      <c r="I198" s="297">
        <f t="shared" si="7"/>
        <v>84</v>
      </c>
    </row>
    <row r="199" spans="2:61" s="404" customFormat="1" hidden="1">
      <c r="C199" s="1190">
        <v>18714</v>
      </c>
      <c r="D199" s="1252" t="s">
        <v>2279</v>
      </c>
      <c r="E199" s="495">
        <v>24</v>
      </c>
      <c r="F199" s="495">
        <v>0</v>
      </c>
      <c r="G199" s="495">
        <v>12</v>
      </c>
      <c r="H199" s="963">
        <f t="shared" si="6"/>
        <v>0.5</v>
      </c>
      <c r="I199" s="1180">
        <f t="shared" si="7"/>
        <v>0</v>
      </c>
      <c r="J199" s="123"/>
      <c r="K199" s="123"/>
      <c r="L199" s="123"/>
      <c r="M199" s="123"/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  <c r="X199" s="123"/>
      <c r="Y199" s="123"/>
      <c r="Z199" s="123"/>
      <c r="AA199" s="123"/>
      <c r="AB199" s="123"/>
      <c r="AC199" s="123"/>
      <c r="AD199" s="123"/>
      <c r="AE199" s="123"/>
      <c r="AF199" s="123"/>
      <c r="AG199" s="123"/>
      <c r="AH199" s="123"/>
      <c r="AI199" s="123"/>
      <c r="AJ199" s="123"/>
      <c r="AK199" s="123"/>
      <c r="AL199" s="123"/>
      <c r="AM199" s="123"/>
      <c r="AN199" s="123"/>
      <c r="AO199" s="123"/>
      <c r="AP199" s="123"/>
      <c r="AQ199" s="123"/>
      <c r="AR199" s="123"/>
      <c r="AS199" s="123"/>
      <c r="AT199" s="123"/>
      <c r="AU199" s="123"/>
      <c r="AV199" s="123"/>
      <c r="AW199" s="123"/>
      <c r="AX199" s="123"/>
      <c r="AY199" s="123"/>
      <c r="AZ199" s="123"/>
      <c r="BA199" s="123"/>
      <c r="BB199" s="123"/>
      <c r="BC199" s="123"/>
      <c r="BD199" s="123"/>
      <c r="BE199" s="123"/>
      <c r="BF199" s="123"/>
      <c r="BG199" s="123"/>
      <c r="BH199" s="123"/>
      <c r="BI199" s="123"/>
    </row>
    <row r="200" spans="2:61" s="404" customFormat="1">
      <c r="C200" s="16">
        <v>16239</v>
      </c>
      <c r="D200" s="1250" t="s">
        <v>2281</v>
      </c>
      <c r="E200" s="16">
        <v>24</v>
      </c>
      <c r="F200" s="16">
        <v>10</v>
      </c>
      <c r="G200" s="16">
        <v>12</v>
      </c>
      <c r="H200" s="973">
        <f>G200/E200</f>
        <v>0.5</v>
      </c>
      <c r="I200" s="297">
        <f t="shared" si="7"/>
        <v>120</v>
      </c>
      <c r="J200" s="123"/>
      <c r="K200" s="123"/>
      <c r="L200" s="123"/>
      <c r="M200" s="123"/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  <c r="X200" s="123"/>
      <c r="Y200" s="123"/>
      <c r="Z200" s="123"/>
      <c r="AA200" s="123"/>
      <c r="AB200" s="123"/>
      <c r="AC200" s="123"/>
      <c r="AD200" s="123"/>
      <c r="AE200" s="123"/>
      <c r="AF200" s="123"/>
      <c r="AG200" s="123"/>
      <c r="AH200" s="123"/>
      <c r="AI200" s="123"/>
      <c r="AJ200" s="123"/>
      <c r="AK200" s="123"/>
      <c r="AL200" s="123"/>
      <c r="AM200" s="123"/>
      <c r="AN200" s="123"/>
      <c r="AO200" s="123"/>
      <c r="AP200" s="123"/>
      <c r="AQ200" s="123"/>
      <c r="AR200" s="123"/>
      <c r="AS200" s="123"/>
      <c r="AT200" s="123"/>
      <c r="AU200" s="123"/>
      <c r="AV200" s="123"/>
      <c r="AW200" s="123"/>
      <c r="AX200" s="123"/>
      <c r="AY200" s="123"/>
      <c r="AZ200" s="123"/>
      <c r="BA200" s="123"/>
      <c r="BB200" s="123"/>
      <c r="BC200" s="123"/>
      <c r="BD200" s="123"/>
      <c r="BE200" s="123"/>
      <c r="BF200" s="123"/>
      <c r="BG200" s="123"/>
      <c r="BH200" s="123"/>
      <c r="BI200" s="123"/>
    </row>
    <row r="201" spans="2:61" hidden="1">
      <c r="B201"/>
      <c r="C201" s="1190">
        <v>15428</v>
      </c>
      <c r="D201" s="1252" t="s">
        <v>1888</v>
      </c>
      <c r="E201" s="495">
        <v>12</v>
      </c>
      <c r="F201" s="495">
        <v>0</v>
      </c>
      <c r="G201" s="495">
        <v>12</v>
      </c>
      <c r="H201" s="963">
        <f t="shared" si="6"/>
        <v>1</v>
      </c>
      <c r="I201" s="1180">
        <f t="shared" si="7"/>
        <v>0</v>
      </c>
    </row>
    <row r="202" spans="2:61" hidden="1">
      <c r="B202"/>
      <c r="D202" s="1254" t="s">
        <v>2300</v>
      </c>
      <c r="E202" s="495">
        <v>24</v>
      </c>
      <c r="F202" s="495"/>
      <c r="G202" s="495">
        <v>12.2</v>
      </c>
      <c r="H202" s="963">
        <f t="shared" si="6"/>
        <v>0.5083333333333333</v>
      </c>
      <c r="I202" s="1180">
        <f t="shared" si="7"/>
        <v>0</v>
      </c>
    </row>
    <row r="203" spans="2:61" hidden="1">
      <c r="B203"/>
      <c r="C203" s="1190">
        <v>15426</v>
      </c>
      <c r="D203" s="1252" t="s">
        <v>1887</v>
      </c>
      <c r="E203" s="495">
        <v>12</v>
      </c>
      <c r="F203" s="495">
        <v>0</v>
      </c>
      <c r="G203" s="495">
        <v>12</v>
      </c>
      <c r="H203" s="963">
        <f t="shared" si="6"/>
        <v>1</v>
      </c>
      <c r="I203" s="1180">
        <f t="shared" si="7"/>
        <v>0</v>
      </c>
    </row>
    <row r="204" spans="2:61">
      <c r="B204"/>
      <c r="C204" s="16">
        <v>15767</v>
      </c>
      <c r="D204" s="1250" t="s">
        <v>1889</v>
      </c>
      <c r="E204" s="16">
        <v>24</v>
      </c>
      <c r="F204" s="16">
        <v>10</v>
      </c>
      <c r="G204" s="16">
        <v>12</v>
      </c>
      <c r="H204" s="973">
        <f t="shared" si="6"/>
        <v>0.5</v>
      </c>
      <c r="I204" s="297">
        <f t="shared" si="7"/>
        <v>120</v>
      </c>
    </row>
    <row r="205" spans="2:61" s="404" customFormat="1" hidden="1">
      <c r="C205" s="1190"/>
      <c r="D205" s="1252" t="s">
        <v>2301</v>
      </c>
      <c r="E205" s="495">
        <v>40</v>
      </c>
      <c r="F205" s="495"/>
      <c r="G205" s="495">
        <v>26.6</v>
      </c>
      <c r="H205" s="963">
        <f t="shared" si="6"/>
        <v>0.66500000000000004</v>
      </c>
      <c r="I205" s="1180">
        <f t="shared" si="7"/>
        <v>0</v>
      </c>
      <c r="J205" s="123"/>
      <c r="K205" s="123"/>
      <c r="L205" s="123"/>
      <c r="M205" s="123"/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  <c r="X205" s="123"/>
      <c r="Y205" s="123"/>
      <c r="Z205" s="123"/>
      <c r="AA205" s="123"/>
      <c r="AB205" s="123"/>
      <c r="AC205" s="123"/>
      <c r="AD205" s="123"/>
      <c r="AE205" s="123"/>
      <c r="AF205" s="123"/>
      <c r="AG205" s="123"/>
      <c r="AH205" s="123"/>
      <c r="AI205" s="123"/>
      <c r="AJ205" s="123"/>
      <c r="AK205" s="123"/>
      <c r="AL205" s="123"/>
      <c r="AM205" s="123"/>
      <c r="AN205" s="123"/>
      <c r="AO205" s="123"/>
      <c r="AP205" s="123"/>
      <c r="AQ205" s="123"/>
      <c r="AR205" s="123"/>
      <c r="AS205" s="123"/>
      <c r="AT205" s="123"/>
      <c r="AU205" s="123"/>
      <c r="AV205" s="123"/>
      <c r="AW205" s="123"/>
      <c r="AX205" s="123"/>
      <c r="AY205" s="123"/>
      <c r="AZ205" s="123"/>
      <c r="BA205" s="123"/>
      <c r="BB205" s="123"/>
      <c r="BC205" s="123"/>
      <c r="BD205" s="123"/>
      <c r="BE205" s="123"/>
      <c r="BF205" s="123"/>
      <c r="BG205" s="123"/>
      <c r="BH205" s="123"/>
      <c r="BI205" s="123"/>
    </row>
    <row r="206" spans="2:61" hidden="1">
      <c r="B206"/>
      <c r="C206" s="1190">
        <v>9252</v>
      </c>
      <c r="D206" s="1252" t="s">
        <v>2285</v>
      </c>
      <c r="E206" s="495">
        <v>120</v>
      </c>
      <c r="F206" s="495"/>
      <c r="G206" s="495">
        <v>8.3000000000000007</v>
      </c>
      <c r="H206" s="963">
        <f t="shared" si="6"/>
        <v>6.9166666666666668E-2</v>
      </c>
      <c r="I206" s="1180">
        <f t="shared" si="7"/>
        <v>0</v>
      </c>
    </row>
    <row r="207" spans="2:61" hidden="1">
      <c r="B207"/>
      <c r="C207" s="1190">
        <v>13577</v>
      </c>
      <c r="D207" s="1252" t="s">
        <v>2275</v>
      </c>
      <c r="E207" s="495"/>
      <c r="F207" s="495"/>
      <c r="G207" s="495"/>
      <c r="H207" s="963" t="e">
        <f t="shared" si="6"/>
        <v>#DIV/0!</v>
      </c>
      <c r="I207" s="1180">
        <f t="shared" si="7"/>
        <v>0</v>
      </c>
    </row>
    <row r="208" spans="2:61" hidden="1">
      <c r="B208"/>
      <c r="C208" s="1190">
        <v>6901</v>
      </c>
      <c r="D208" s="1252" t="s">
        <v>1374</v>
      </c>
      <c r="E208" s="495"/>
      <c r="F208" s="495"/>
      <c r="G208" s="495"/>
      <c r="H208" s="963" t="e">
        <f t="shared" si="6"/>
        <v>#DIV/0!</v>
      </c>
      <c r="I208" s="1180">
        <f t="shared" si="7"/>
        <v>0</v>
      </c>
    </row>
    <row r="209" spans="2:9" hidden="1">
      <c r="B209"/>
      <c r="D209" s="1253"/>
      <c r="E209" s="495"/>
      <c r="F209" s="495"/>
      <c r="G209" s="495"/>
      <c r="H209" s="963" t="e">
        <f t="shared" si="6"/>
        <v>#DIV/0!</v>
      </c>
      <c r="I209" s="1180">
        <f t="shared" si="7"/>
        <v>0</v>
      </c>
    </row>
    <row r="210" spans="2:9" hidden="1">
      <c r="B210"/>
      <c r="C210" s="1190">
        <v>9923</v>
      </c>
      <c r="D210" s="1252" t="s">
        <v>1890</v>
      </c>
      <c r="E210" s="495"/>
      <c r="F210" s="495"/>
      <c r="G210" s="495"/>
      <c r="H210" s="963" t="e">
        <f t="shared" si="6"/>
        <v>#DIV/0!</v>
      </c>
      <c r="I210" s="1180">
        <f t="shared" si="7"/>
        <v>0</v>
      </c>
    </row>
    <row r="211" spans="2:9" hidden="1">
      <c r="B211"/>
      <c r="C211" s="1190">
        <v>17887</v>
      </c>
      <c r="D211" s="1252" t="s">
        <v>1891</v>
      </c>
      <c r="E211" s="495"/>
      <c r="F211" s="495"/>
      <c r="G211" s="495"/>
      <c r="H211" s="963" t="e">
        <f t="shared" si="6"/>
        <v>#DIV/0!</v>
      </c>
      <c r="I211" s="1180">
        <f t="shared" si="7"/>
        <v>0</v>
      </c>
    </row>
    <row r="212" spans="2:9" hidden="1">
      <c r="B212"/>
      <c r="C212" s="1190">
        <v>11384</v>
      </c>
      <c r="D212" s="1252" t="s">
        <v>1892</v>
      </c>
      <c r="E212" s="495"/>
      <c r="F212" s="495"/>
      <c r="G212" s="495"/>
      <c r="H212" s="963" t="e">
        <f t="shared" si="6"/>
        <v>#DIV/0!</v>
      </c>
      <c r="I212" s="1180">
        <f t="shared" si="7"/>
        <v>0</v>
      </c>
    </row>
    <row r="213" spans="2:9" hidden="1">
      <c r="B213"/>
      <c r="C213" s="1190">
        <v>13718</v>
      </c>
      <c r="D213" s="1252" t="s">
        <v>1893</v>
      </c>
      <c r="E213" s="495"/>
      <c r="F213" s="495"/>
      <c r="G213" s="495"/>
      <c r="H213" s="963" t="e">
        <f t="shared" si="6"/>
        <v>#DIV/0!</v>
      </c>
      <c r="I213" s="1180">
        <f t="shared" si="7"/>
        <v>0</v>
      </c>
    </row>
    <row r="214" spans="2:9" hidden="1">
      <c r="B214"/>
      <c r="C214" s="1190">
        <v>10228</v>
      </c>
      <c r="D214" s="1252" t="s">
        <v>1894</v>
      </c>
      <c r="E214" s="495"/>
      <c r="F214" s="495"/>
      <c r="G214" s="495"/>
      <c r="H214" s="963" t="e">
        <f t="shared" si="6"/>
        <v>#DIV/0!</v>
      </c>
      <c r="I214" s="1180">
        <f t="shared" si="7"/>
        <v>0</v>
      </c>
    </row>
    <row r="215" spans="2:9" hidden="1">
      <c r="B215"/>
      <c r="C215" s="1190">
        <v>10238</v>
      </c>
      <c r="D215" s="1252" t="s">
        <v>1491</v>
      </c>
      <c r="E215" s="495"/>
      <c r="F215" s="495"/>
      <c r="G215" s="495"/>
      <c r="H215" s="963" t="e">
        <f t="shared" si="6"/>
        <v>#DIV/0!</v>
      </c>
      <c r="I215" s="1180">
        <f t="shared" si="7"/>
        <v>0</v>
      </c>
    </row>
    <row r="216" spans="2:9" hidden="1">
      <c r="B216"/>
      <c r="C216" s="322">
        <v>15750</v>
      </c>
      <c r="D216" s="1252" t="s">
        <v>1908</v>
      </c>
      <c r="E216" s="495"/>
      <c r="F216" s="495"/>
      <c r="G216" s="495"/>
      <c r="H216" s="963" t="e">
        <f t="shared" si="6"/>
        <v>#DIV/0!</v>
      </c>
      <c r="I216" s="1180">
        <f t="shared" si="7"/>
        <v>0</v>
      </c>
    </row>
    <row r="217" spans="2:9" hidden="1">
      <c r="B217"/>
      <c r="C217" s="1190">
        <v>20014</v>
      </c>
      <c r="D217" s="1252" t="s">
        <v>2295</v>
      </c>
      <c r="E217" s="495"/>
      <c r="F217" s="495"/>
      <c r="G217" s="495"/>
      <c r="H217" s="963" t="e">
        <f t="shared" si="6"/>
        <v>#DIV/0!</v>
      </c>
      <c r="I217" s="1180">
        <f t="shared" si="7"/>
        <v>0</v>
      </c>
    </row>
    <row r="218" spans="2:9" hidden="1">
      <c r="B218"/>
      <c r="C218" s="1190">
        <v>13719</v>
      </c>
      <c r="D218" s="1252" t="s">
        <v>1895</v>
      </c>
      <c r="E218" s="495"/>
      <c r="F218" s="495"/>
      <c r="G218" s="495"/>
      <c r="H218" s="963" t="e">
        <f t="shared" si="6"/>
        <v>#DIV/0!</v>
      </c>
      <c r="I218" s="1180">
        <f t="shared" si="7"/>
        <v>0</v>
      </c>
    </row>
    <row r="219" spans="2:9" hidden="1">
      <c r="B219"/>
      <c r="C219" s="1190">
        <v>13720</v>
      </c>
      <c r="D219" s="1252" t="s">
        <v>1896</v>
      </c>
      <c r="E219" s="495"/>
      <c r="F219" s="495"/>
      <c r="G219" s="495"/>
      <c r="H219" s="963" t="e">
        <f t="shared" si="6"/>
        <v>#DIV/0!</v>
      </c>
      <c r="I219" s="1180">
        <f t="shared" si="7"/>
        <v>0</v>
      </c>
    </row>
    <row r="220" spans="2:9" hidden="1">
      <c r="B220"/>
      <c r="C220" s="1190">
        <v>9755</v>
      </c>
      <c r="D220" s="1252" t="s">
        <v>1897</v>
      </c>
      <c r="E220" s="495">
        <v>24</v>
      </c>
      <c r="F220" s="495">
        <v>0</v>
      </c>
      <c r="G220" s="495">
        <v>14</v>
      </c>
      <c r="H220" s="963">
        <f t="shared" si="6"/>
        <v>0.58333333333333337</v>
      </c>
      <c r="I220" s="1180">
        <f t="shared" si="7"/>
        <v>0</v>
      </c>
    </row>
    <row r="221" spans="2:9" hidden="1">
      <c r="B221"/>
      <c r="C221" s="1190">
        <v>10396</v>
      </c>
      <c r="D221" s="1252" t="s">
        <v>1898</v>
      </c>
      <c r="E221" s="495"/>
      <c r="F221" s="495"/>
      <c r="G221" s="495"/>
      <c r="H221" s="963" t="e">
        <f t="shared" si="6"/>
        <v>#DIV/0!</v>
      </c>
      <c r="I221" s="1180">
        <f t="shared" si="7"/>
        <v>0</v>
      </c>
    </row>
    <row r="222" spans="2:9" hidden="1">
      <c r="B222"/>
      <c r="C222" s="1190">
        <v>5864</v>
      </c>
      <c r="D222" s="1252" t="s">
        <v>2296</v>
      </c>
      <c r="E222" s="495">
        <v>12</v>
      </c>
      <c r="F222" s="495"/>
      <c r="G222" s="495">
        <v>25.8</v>
      </c>
      <c r="H222" s="963">
        <f t="shared" si="6"/>
        <v>2.15</v>
      </c>
      <c r="I222" s="1180">
        <f t="shared" si="7"/>
        <v>0</v>
      </c>
    </row>
    <row r="223" spans="2:9" hidden="1">
      <c r="B223"/>
      <c r="C223" s="1190">
        <v>13578</v>
      </c>
      <c r="D223" s="1252" t="s">
        <v>2282</v>
      </c>
      <c r="E223" s="495"/>
      <c r="F223" s="495"/>
      <c r="G223" s="495"/>
      <c r="H223" s="963" t="e">
        <f t="shared" si="6"/>
        <v>#DIV/0!</v>
      </c>
      <c r="I223" s="1180">
        <f t="shared" si="7"/>
        <v>0</v>
      </c>
    </row>
    <row r="224" spans="2:9" hidden="1">
      <c r="B224"/>
      <c r="C224" s="1190">
        <v>2647</v>
      </c>
      <c r="D224" s="1252" t="s">
        <v>1899</v>
      </c>
      <c r="E224" s="495"/>
      <c r="F224" s="495"/>
      <c r="G224" s="495"/>
      <c r="H224" s="963" t="e">
        <f t="shared" si="6"/>
        <v>#DIV/0!</v>
      </c>
      <c r="I224" s="1180">
        <f t="shared" si="7"/>
        <v>0</v>
      </c>
    </row>
    <row r="225" spans="2:61" hidden="1">
      <c r="B225"/>
      <c r="C225" s="1190">
        <v>20007</v>
      </c>
      <c r="D225" s="1252" t="s">
        <v>2293</v>
      </c>
      <c r="E225" s="495">
        <v>30</v>
      </c>
      <c r="F225" s="495"/>
      <c r="G225" s="495">
        <v>18.5</v>
      </c>
      <c r="H225" s="963">
        <f t="shared" si="6"/>
        <v>0.6166666666666667</v>
      </c>
      <c r="I225" s="1180">
        <f t="shared" si="7"/>
        <v>0</v>
      </c>
    </row>
    <row r="226" spans="2:61" hidden="1">
      <c r="B226"/>
      <c r="C226" s="1190">
        <v>20011</v>
      </c>
      <c r="D226" s="1252" t="s">
        <v>2294</v>
      </c>
      <c r="E226" s="495">
        <v>36</v>
      </c>
      <c r="F226" s="495"/>
      <c r="G226" s="495">
        <v>13.3</v>
      </c>
      <c r="H226" s="963">
        <f t="shared" si="6"/>
        <v>0.36944444444444446</v>
      </c>
      <c r="I226" s="1180">
        <f t="shared" si="7"/>
        <v>0</v>
      </c>
    </row>
    <row r="227" spans="2:61" hidden="1">
      <c r="B227"/>
      <c r="C227" s="1190">
        <v>14403</v>
      </c>
      <c r="D227" s="1252" t="s">
        <v>2277</v>
      </c>
      <c r="E227" s="495"/>
      <c r="F227" s="495"/>
      <c r="G227" s="495"/>
      <c r="H227" s="963" t="e">
        <f t="shared" si="6"/>
        <v>#DIV/0!</v>
      </c>
      <c r="I227" s="1180">
        <f t="shared" si="7"/>
        <v>0</v>
      </c>
    </row>
    <row r="228" spans="2:61" hidden="1">
      <c r="B228"/>
      <c r="C228" s="1190">
        <v>20005</v>
      </c>
      <c r="D228" s="1252" t="s">
        <v>2291</v>
      </c>
      <c r="E228" s="495">
        <v>48</v>
      </c>
      <c r="F228" s="495"/>
      <c r="G228" s="495">
        <v>27.7</v>
      </c>
      <c r="H228" s="963">
        <f t="shared" si="6"/>
        <v>0.57708333333333328</v>
      </c>
      <c r="I228" s="1180">
        <f t="shared" si="7"/>
        <v>0</v>
      </c>
    </row>
    <row r="229" spans="2:61" hidden="1">
      <c r="B229"/>
      <c r="C229" s="1190">
        <v>20008</v>
      </c>
      <c r="D229" s="1252" t="s">
        <v>2292</v>
      </c>
      <c r="E229" s="495">
        <v>48</v>
      </c>
      <c r="F229" s="495"/>
      <c r="G229" s="495">
        <v>20.7</v>
      </c>
      <c r="H229" s="963">
        <f t="shared" si="6"/>
        <v>0.43124999999999997</v>
      </c>
      <c r="I229" s="1180">
        <f t="shared" si="7"/>
        <v>0</v>
      </c>
    </row>
    <row r="230" spans="2:61" hidden="1">
      <c r="B230"/>
      <c r="C230" s="1190">
        <v>20009</v>
      </c>
      <c r="D230" s="1252" t="s">
        <v>2290</v>
      </c>
      <c r="E230" s="495">
        <v>96</v>
      </c>
      <c r="F230" s="495"/>
      <c r="G230" s="495">
        <v>23.3</v>
      </c>
      <c r="H230" s="963">
        <f t="shared" si="6"/>
        <v>0.24270833333333333</v>
      </c>
      <c r="I230" s="1180">
        <f t="shared" si="7"/>
        <v>0</v>
      </c>
    </row>
    <row r="231" spans="2:61" hidden="1">
      <c r="B231"/>
      <c r="C231" s="1190">
        <v>14999</v>
      </c>
      <c r="D231" s="1252" t="s">
        <v>2276</v>
      </c>
      <c r="E231" s="495"/>
      <c r="F231" s="495"/>
      <c r="G231" s="495"/>
      <c r="H231" s="963" t="e">
        <f t="shared" si="6"/>
        <v>#DIV/0!</v>
      </c>
      <c r="I231" s="1180">
        <f t="shared" si="7"/>
        <v>0</v>
      </c>
    </row>
    <row r="232" spans="2:61" ht="15.75" thickBot="1">
      <c r="B232"/>
      <c r="C232" s="16">
        <v>17889</v>
      </c>
      <c r="D232" s="1250" t="s">
        <v>1509</v>
      </c>
      <c r="E232" s="16">
        <v>48</v>
      </c>
      <c r="F232" s="16">
        <v>30</v>
      </c>
      <c r="G232" s="16">
        <v>17.5</v>
      </c>
      <c r="H232" s="973">
        <f t="shared" si="6"/>
        <v>0.36458333333333331</v>
      </c>
      <c r="I232" s="297">
        <f t="shared" si="7"/>
        <v>525</v>
      </c>
    </row>
    <row r="233" spans="2:61" s="404" customFormat="1" ht="15.75" hidden="1" thickBot="1">
      <c r="C233" s="1190"/>
      <c r="D233" s="1255" t="s">
        <v>2302</v>
      </c>
      <c r="E233" s="495">
        <v>48</v>
      </c>
      <c r="F233" s="495"/>
      <c r="G233" s="495">
        <v>19.5</v>
      </c>
      <c r="H233" s="963">
        <f t="shared" si="6"/>
        <v>0.40625</v>
      </c>
      <c r="I233" s="1180">
        <f t="shared" si="7"/>
        <v>0</v>
      </c>
      <c r="J233" s="123"/>
      <c r="K233" s="123"/>
      <c r="L233" s="123"/>
      <c r="M233" s="123"/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  <c r="X233" s="123"/>
      <c r="Y233" s="123"/>
      <c r="Z233" s="123"/>
      <c r="AA233" s="123"/>
      <c r="AB233" s="123"/>
      <c r="AC233" s="123"/>
      <c r="AD233" s="123"/>
      <c r="AE233" s="123"/>
      <c r="AF233" s="123"/>
      <c r="AG233" s="123"/>
      <c r="AH233" s="123"/>
      <c r="AI233" s="123"/>
      <c r="AJ233" s="123"/>
      <c r="AK233" s="123"/>
      <c r="AL233" s="123"/>
      <c r="AM233" s="123"/>
      <c r="AN233" s="123"/>
      <c r="AO233" s="123"/>
      <c r="AP233" s="123"/>
      <c r="AQ233" s="123"/>
      <c r="AR233" s="123"/>
      <c r="AS233" s="123"/>
      <c r="AT233" s="123"/>
      <c r="AU233" s="123"/>
      <c r="AV233" s="123"/>
      <c r="AW233" s="123"/>
      <c r="AX233" s="123"/>
      <c r="AY233" s="123"/>
      <c r="AZ233" s="123"/>
      <c r="BA233" s="123"/>
      <c r="BB233" s="123"/>
      <c r="BC233" s="123"/>
      <c r="BD233" s="123"/>
      <c r="BE233" s="123"/>
      <c r="BF233" s="123"/>
      <c r="BG233" s="123"/>
      <c r="BH233" s="123"/>
      <c r="BI233" s="123"/>
    </row>
    <row r="234" spans="2:61" s="404" customFormat="1" ht="15.75" hidden="1" thickBot="1">
      <c r="C234" s="1190"/>
      <c r="D234" s="1255" t="s">
        <v>2303</v>
      </c>
      <c r="E234" s="495">
        <v>48</v>
      </c>
      <c r="F234" s="495"/>
      <c r="G234" s="495">
        <v>19.5</v>
      </c>
      <c r="H234" s="963">
        <f t="shared" si="6"/>
        <v>0.40625</v>
      </c>
      <c r="I234" s="1180">
        <f t="shared" si="7"/>
        <v>0</v>
      </c>
      <c r="J234" s="123"/>
      <c r="K234" s="123"/>
      <c r="L234" s="123"/>
      <c r="M234" s="123"/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  <c r="X234" s="123"/>
      <c r="Y234" s="123"/>
      <c r="Z234" s="123"/>
      <c r="AA234" s="123"/>
      <c r="AB234" s="123"/>
      <c r="AC234" s="123"/>
      <c r="AD234" s="123"/>
      <c r="AE234" s="123"/>
      <c r="AF234" s="123"/>
      <c r="AG234" s="123"/>
      <c r="AH234" s="123"/>
      <c r="AI234" s="123"/>
      <c r="AJ234" s="123"/>
      <c r="AK234" s="123"/>
      <c r="AL234" s="123"/>
      <c r="AM234" s="123"/>
      <c r="AN234" s="123"/>
      <c r="AO234" s="123"/>
      <c r="AP234" s="123"/>
      <c r="AQ234" s="123"/>
      <c r="AR234" s="123"/>
      <c r="AS234" s="123"/>
      <c r="AT234" s="123"/>
      <c r="AU234" s="123"/>
      <c r="AV234" s="123"/>
      <c r="AW234" s="123"/>
      <c r="AX234" s="123"/>
      <c r="AY234" s="123"/>
      <c r="AZ234" s="123"/>
      <c r="BA234" s="123"/>
      <c r="BB234" s="123"/>
      <c r="BC234" s="123"/>
      <c r="BD234" s="123"/>
      <c r="BE234" s="123"/>
      <c r="BF234" s="123"/>
      <c r="BG234" s="123"/>
      <c r="BH234" s="123"/>
      <c r="BI234" s="123"/>
    </row>
    <row r="235" spans="2:61" ht="15.75" hidden="1" thickBot="1">
      <c r="B235"/>
      <c r="C235" s="1190">
        <v>20013</v>
      </c>
      <c r="D235" s="1255" t="s">
        <v>2288</v>
      </c>
      <c r="E235" s="495">
        <v>80</v>
      </c>
      <c r="F235" s="495"/>
      <c r="G235" s="495">
        <v>8</v>
      </c>
      <c r="H235" s="963">
        <f t="shared" si="6"/>
        <v>0.1</v>
      </c>
      <c r="I235" s="1180">
        <f t="shared" si="7"/>
        <v>0</v>
      </c>
    </row>
    <row r="236" spans="2:61" ht="15.75" hidden="1" thickBot="1">
      <c r="B236"/>
      <c r="D236" s="1256" t="s">
        <v>2304</v>
      </c>
      <c r="E236" s="491">
        <v>288</v>
      </c>
      <c r="G236" s="491">
        <v>80</v>
      </c>
      <c r="I236" s="1180">
        <f t="shared" si="7"/>
        <v>0</v>
      </c>
    </row>
    <row r="237" spans="2:61" ht="15.75" hidden="1" thickBot="1">
      <c r="B237"/>
      <c r="D237" s="1256" t="s">
        <v>2305</v>
      </c>
      <c r="E237" s="135">
        <v>288</v>
      </c>
      <c r="G237" s="135">
        <v>80</v>
      </c>
      <c r="H237" s="118"/>
      <c r="I237" s="1180">
        <f t="shared" si="7"/>
        <v>0</v>
      </c>
    </row>
    <row r="238" spans="2:61" ht="15.75" hidden="1" thickBot="1">
      <c r="B238"/>
      <c r="D238" s="1256" t="s">
        <v>939</v>
      </c>
      <c r="E238" s="135">
        <v>288</v>
      </c>
      <c r="G238" s="135">
        <v>80</v>
      </c>
      <c r="H238" s="118"/>
      <c r="I238" s="438">
        <f t="shared" si="7"/>
        <v>0</v>
      </c>
    </row>
    <row r="239" spans="2:61" ht="15.75" thickBot="1">
      <c r="B239"/>
      <c r="G239" s="2320" t="s">
        <v>74</v>
      </c>
      <c r="H239" s="2321"/>
      <c r="I239" s="1112">
        <f>SUM(I178:I238)</f>
        <v>2609</v>
      </c>
    </row>
    <row r="240" spans="2:61">
      <c r="B240"/>
      <c r="H240" s="118"/>
      <c r="I240" s="25"/>
    </row>
    <row r="241" spans="2:61" ht="9.75" customHeight="1">
      <c r="B241"/>
      <c r="H241" s="118"/>
      <c r="I241" s="25"/>
    </row>
    <row r="242" spans="2:61" ht="39" customHeight="1">
      <c r="B242"/>
      <c r="C242" s="1190" t="s">
        <v>0</v>
      </c>
      <c r="D242" s="554" t="s">
        <v>65</v>
      </c>
      <c r="E242" s="489" t="s">
        <v>916</v>
      </c>
      <c r="F242" s="490" t="s">
        <v>68</v>
      </c>
      <c r="G242" s="489" t="s">
        <v>903</v>
      </c>
      <c r="H242" s="972" t="s">
        <v>559</v>
      </c>
      <c r="I242" s="489" t="s">
        <v>917</v>
      </c>
    </row>
    <row r="243" spans="2:61">
      <c r="B243"/>
      <c r="C243" s="1190">
        <v>9734</v>
      </c>
      <c r="D243" s="554" t="s">
        <v>2400</v>
      </c>
      <c r="E243" s="531">
        <v>20</v>
      </c>
      <c r="F243" s="531">
        <v>0</v>
      </c>
      <c r="G243" s="531">
        <v>33.799999999999997</v>
      </c>
      <c r="H243" s="963">
        <f>G243/E243</f>
        <v>1.69</v>
      </c>
      <c r="I243" s="1180">
        <f>G243*F243</f>
        <v>0</v>
      </c>
    </row>
    <row r="244" spans="2:61">
      <c r="B244"/>
      <c r="C244" s="1190">
        <v>9579</v>
      </c>
      <c r="D244" s="554" t="s">
        <v>899</v>
      </c>
      <c r="E244" s="531">
        <v>1000</v>
      </c>
      <c r="F244" s="531">
        <v>0</v>
      </c>
      <c r="G244" s="531">
        <v>3.4</v>
      </c>
      <c r="H244" s="963">
        <f t="shared" ref="H244:H302" si="8">G244/E244</f>
        <v>3.3999999999999998E-3</v>
      </c>
      <c r="I244" s="1180">
        <f t="shared" ref="I244:I302" si="9">G244*F244</f>
        <v>0</v>
      </c>
    </row>
    <row r="245" spans="2:61" hidden="1">
      <c r="B245"/>
      <c r="C245" s="1190">
        <v>7960</v>
      </c>
      <c r="D245" s="554" t="s">
        <v>900</v>
      </c>
      <c r="E245" s="531"/>
      <c r="F245" s="531"/>
      <c r="G245" s="531"/>
      <c r="H245" s="963" t="e">
        <f t="shared" si="8"/>
        <v>#DIV/0!</v>
      </c>
      <c r="I245" s="1180">
        <f t="shared" si="9"/>
        <v>0</v>
      </c>
    </row>
    <row r="246" spans="2:61" s="558" customFormat="1">
      <c r="C246" s="58">
        <v>950</v>
      </c>
      <c r="D246" s="1257" t="s">
        <v>1508</v>
      </c>
      <c r="E246" s="58">
        <v>100</v>
      </c>
      <c r="F246" s="58">
        <v>4</v>
      </c>
      <c r="G246" s="58">
        <v>21.1</v>
      </c>
      <c r="H246" s="974">
        <f t="shared" si="8"/>
        <v>0.21100000000000002</v>
      </c>
      <c r="I246" s="308">
        <f t="shared" si="9"/>
        <v>84.4</v>
      </c>
      <c r="J246" s="123"/>
      <c r="K246" s="123"/>
      <c r="L246" s="123"/>
      <c r="M246" s="123"/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  <c r="X246" s="123"/>
      <c r="Y246" s="123"/>
      <c r="Z246" s="123"/>
      <c r="AA246" s="123"/>
      <c r="AB246" s="123"/>
      <c r="AC246" s="123"/>
      <c r="AD246" s="123"/>
      <c r="AE246" s="123"/>
      <c r="AF246" s="123"/>
      <c r="AG246" s="123"/>
      <c r="AH246" s="123"/>
      <c r="AI246" s="123"/>
      <c r="AJ246" s="123"/>
      <c r="AK246" s="123"/>
      <c r="AL246" s="123"/>
      <c r="AM246" s="123"/>
      <c r="AN246" s="123"/>
      <c r="AO246" s="123"/>
      <c r="AP246" s="123"/>
      <c r="AQ246" s="123"/>
      <c r="AR246" s="123"/>
      <c r="AS246" s="123"/>
      <c r="AT246" s="123"/>
      <c r="AU246" s="123"/>
      <c r="AV246" s="123"/>
      <c r="AW246" s="123"/>
      <c r="AX246" s="123"/>
      <c r="AY246" s="123"/>
      <c r="AZ246" s="123"/>
      <c r="BA246" s="123"/>
      <c r="BB246" s="123"/>
      <c r="BC246" s="123"/>
      <c r="BD246" s="123"/>
      <c r="BE246" s="123"/>
      <c r="BF246" s="123"/>
      <c r="BG246" s="123"/>
      <c r="BH246" s="123"/>
      <c r="BI246" s="123"/>
    </row>
    <row r="247" spans="2:61" s="558" customFormat="1">
      <c r="C247" s="58">
        <v>8117</v>
      </c>
      <c r="D247" s="1257" t="s">
        <v>2284</v>
      </c>
      <c r="E247" s="58">
        <v>96</v>
      </c>
      <c r="F247" s="58">
        <v>10</v>
      </c>
      <c r="G247" s="58">
        <v>51.2</v>
      </c>
      <c r="H247" s="974">
        <f t="shared" si="8"/>
        <v>0.53333333333333333</v>
      </c>
      <c r="I247" s="308">
        <f t="shared" si="9"/>
        <v>512</v>
      </c>
      <c r="J247" s="123"/>
      <c r="K247" s="123"/>
      <c r="L247" s="123"/>
      <c r="M247" s="123"/>
      <c r="N247" s="123"/>
      <c r="O247" s="123"/>
      <c r="P247" s="123"/>
      <c r="Q247" s="123"/>
      <c r="R247" s="123"/>
      <c r="S247" s="123"/>
      <c r="T247" s="123"/>
      <c r="U247" s="123"/>
      <c r="V247" s="123"/>
      <c r="W247" s="123"/>
      <c r="X247" s="123"/>
      <c r="Y247" s="123"/>
      <c r="Z247" s="123"/>
      <c r="AA247" s="123"/>
      <c r="AB247" s="123"/>
      <c r="AC247" s="123"/>
      <c r="AD247" s="123"/>
      <c r="AE247" s="123"/>
      <c r="AF247" s="123"/>
      <c r="AG247" s="123"/>
      <c r="AH247" s="123"/>
      <c r="AI247" s="123"/>
      <c r="AJ247" s="123"/>
      <c r="AK247" s="123"/>
      <c r="AL247" s="123"/>
      <c r="AM247" s="123"/>
      <c r="AN247" s="123"/>
      <c r="AO247" s="123"/>
      <c r="AP247" s="123"/>
      <c r="AQ247" s="123"/>
      <c r="AR247" s="123"/>
      <c r="AS247" s="123"/>
      <c r="AT247" s="123"/>
      <c r="AU247" s="123"/>
      <c r="AV247" s="123"/>
      <c r="AW247" s="123"/>
      <c r="AX247" s="123"/>
      <c r="AY247" s="123"/>
      <c r="AZ247" s="123"/>
      <c r="BA247" s="123"/>
      <c r="BB247" s="123"/>
      <c r="BC247" s="123"/>
      <c r="BD247" s="123"/>
      <c r="BE247" s="123"/>
      <c r="BF247" s="123"/>
      <c r="BG247" s="123"/>
      <c r="BH247" s="123"/>
      <c r="BI247" s="123"/>
    </row>
    <row r="248" spans="2:61" s="558" customFormat="1">
      <c r="C248" s="58">
        <v>8017</v>
      </c>
      <c r="D248" s="1257" t="s">
        <v>2283</v>
      </c>
      <c r="E248" s="58">
        <v>96</v>
      </c>
      <c r="F248" s="58">
        <v>10</v>
      </c>
      <c r="G248" s="58">
        <v>51.2</v>
      </c>
      <c r="H248" s="974">
        <f t="shared" si="8"/>
        <v>0.53333333333333333</v>
      </c>
      <c r="I248" s="308">
        <f t="shared" si="9"/>
        <v>512</v>
      </c>
      <c r="J248" s="123"/>
      <c r="K248" s="123"/>
      <c r="L248" s="123"/>
      <c r="M248" s="123"/>
      <c r="N248" s="123"/>
      <c r="O248" s="123"/>
      <c r="P248" s="123"/>
      <c r="Q248" s="123"/>
      <c r="R248" s="123"/>
      <c r="S248" s="123"/>
      <c r="T248" s="123"/>
      <c r="U248" s="123"/>
      <c r="V248" s="123"/>
      <c r="W248" s="123"/>
      <c r="X248" s="123"/>
      <c r="Y248" s="123"/>
      <c r="Z248" s="123"/>
      <c r="AA248" s="123"/>
      <c r="AB248" s="123"/>
      <c r="AC248" s="123"/>
      <c r="AD248" s="123"/>
      <c r="AE248" s="123"/>
      <c r="AF248" s="123"/>
      <c r="AG248" s="123"/>
      <c r="AH248" s="123"/>
      <c r="AI248" s="123"/>
      <c r="AJ248" s="123"/>
      <c r="AK248" s="123"/>
      <c r="AL248" s="123"/>
      <c r="AM248" s="123"/>
      <c r="AN248" s="123"/>
      <c r="AO248" s="123"/>
      <c r="AP248" s="123"/>
      <c r="AQ248" s="123"/>
      <c r="AR248" s="123"/>
      <c r="AS248" s="123"/>
      <c r="AT248" s="123"/>
      <c r="AU248" s="123"/>
      <c r="AV248" s="123"/>
      <c r="AW248" s="123"/>
      <c r="AX248" s="123"/>
      <c r="AY248" s="123"/>
      <c r="AZ248" s="123"/>
      <c r="BA248" s="123"/>
      <c r="BB248" s="123"/>
      <c r="BC248" s="123"/>
      <c r="BD248" s="123"/>
      <c r="BE248" s="123"/>
      <c r="BF248" s="123"/>
      <c r="BG248" s="123"/>
      <c r="BH248" s="123"/>
      <c r="BI248" s="123"/>
    </row>
    <row r="249" spans="2:61" s="558" customFormat="1">
      <c r="C249" s="58"/>
      <c r="D249" s="1257" t="s">
        <v>2401</v>
      </c>
      <c r="E249" s="58">
        <v>144</v>
      </c>
      <c r="F249" s="58">
        <v>3</v>
      </c>
      <c r="G249" s="58">
        <v>87.5</v>
      </c>
      <c r="H249" s="974">
        <f t="shared" si="8"/>
        <v>0.60763888888888884</v>
      </c>
      <c r="I249" s="308">
        <f t="shared" si="9"/>
        <v>262.5</v>
      </c>
      <c r="J249" s="123"/>
      <c r="K249" s="123"/>
      <c r="L249" s="123"/>
      <c r="M249" s="123"/>
      <c r="N249" s="123"/>
      <c r="O249" s="123"/>
      <c r="P249" s="123"/>
      <c r="Q249" s="123"/>
      <c r="R249" s="123"/>
      <c r="S249" s="123"/>
      <c r="T249" s="123"/>
      <c r="U249" s="123"/>
      <c r="V249" s="123"/>
      <c r="W249" s="123"/>
      <c r="X249" s="123"/>
      <c r="Y249" s="123"/>
      <c r="Z249" s="123"/>
      <c r="AA249" s="123"/>
      <c r="AB249" s="123"/>
      <c r="AC249" s="123"/>
      <c r="AD249" s="123"/>
      <c r="AE249" s="123"/>
      <c r="AF249" s="123"/>
      <c r="AG249" s="123"/>
      <c r="AH249" s="123"/>
      <c r="AI249" s="123"/>
      <c r="AJ249" s="123"/>
      <c r="AK249" s="123"/>
      <c r="AL249" s="123"/>
      <c r="AM249" s="123"/>
      <c r="AN249" s="123"/>
      <c r="AO249" s="123"/>
      <c r="AP249" s="123"/>
      <c r="AQ249" s="123"/>
      <c r="AR249" s="123"/>
      <c r="AS249" s="123"/>
      <c r="AT249" s="123"/>
      <c r="AU249" s="123"/>
      <c r="AV249" s="123"/>
      <c r="AW249" s="123"/>
      <c r="AX249" s="123"/>
      <c r="AY249" s="123"/>
      <c r="AZ249" s="123"/>
      <c r="BA249" s="123"/>
      <c r="BB249" s="123"/>
      <c r="BC249" s="123"/>
      <c r="BD249" s="123"/>
      <c r="BE249" s="123"/>
      <c r="BF249" s="123"/>
      <c r="BG249" s="123"/>
      <c r="BH249" s="123"/>
      <c r="BI249" s="123"/>
    </row>
    <row r="250" spans="2:61" s="558" customFormat="1">
      <c r="C250" s="58"/>
      <c r="D250" s="1257" t="s">
        <v>2402</v>
      </c>
      <c r="E250" s="58">
        <v>72</v>
      </c>
      <c r="F250" s="58">
        <v>3</v>
      </c>
      <c r="G250" s="58">
        <v>26.3</v>
      </c>
      <c r="H250" s="974">
        <f t="shared" si="8"/>
        <v>0.36527777777777781</v>
      </c>
      <c r="I250" s="308">
        <f t="shared" si="9"/>
        <v>78.900000000000006</v>
      </c>
      <c r="J250" s="123"/>
      <c r="K250" s="123"/>
      <c r="L250" s="123"/>
      <c r="M250" s="123"/>
      <c r="N250" s="123"/>
      <c r="O250" s="123"/>
      <c r="P250" s="123"/>
      <c r="Q250" s="123"/>
      <c r="R250" s="123"/>
      <c r="S250" s="123"/>
      <c r="T250" s="123"/>
      <c r="U250" s="123"/>
      <c r="V250" s="123"/>
      <c r="W250" s="123"/>
      <c r="X250" s="123"/>
      <c r="Y250" s="123"/>
      <c r="Z250" s="123"/>
      <c r="AA250" s="123"/>
      <c r="AB250" s="123"/>
      <c r="AC250" s="123"/>
      <c r="AD250" s="123"/>
      <c r="AE250" s="123"/>
      <c r="AF250" s="123"/>
      <c r="AG250" s="123"/>
      <c r="AH250" s="123"/>
      <c r="AI250" s="123"/>
      <c r="AJ250" s="123"/>
      <c r="AK250" s="123"/>
      <c r="AL250" s="123"/>
      <c r="AM250" s="123"/>
      <c r="AN250" s="123"/>
      <c r="AO250" s="123"/>
      <c r="AP250" s="123"/>
      <c r="AQ250" s="123"/>
      <c r="AR250" s="123"/>
      <c r="AS250" s="123"/>
      <c r="AT250" s="123"/>
      <c r="AU250" s="123"/>
      <c r="AV250" s="123"/>
      <c r="AW250" s="123"/>
      <c r="AX250" s="123"/>
      <c r="AY250" s="123"/>
      <c r="AZ250" s="123"/>
      <c r="BA250" s="123"/>
      <c r="BB250" s="123"/>
      <c r="BC250" s="123"/>
      <c r="BD250" s="123"/>
      <c r="BE250" s="123"/>
      <c r="BF250" s="123"/>
      <c r="BG250" s="123"/>
      <c r="BH250" s="123"/>
      <c r="BI250" s="123"/>
    </row>
    <row r="251" spans="2:61" s="404" customFormat="1">
      <c r="C251" s="1190"/>
      <c r="D251" s="554" t="s">
        <v>2403</v>
      </c>
      <c r="E251" s="531">
        <v>72</v>
      </c>
      <c r="F251" s="531">
        <v>0</v>
      </c>
      <c r="G251" s="531">
        <v>26.3</v>
      </c>
      <c r="H251" s="963">
        <f t="shared" si="8"/>
        <v>0.36527777777777781</v>
      </c>
      <c r="I251" s="1180">
        <f t="shared" si="9"/>
        <v>0</v>
      </c>
      <c r="J251" s="123"/>
      <c r="K251" s="123"/>
      <c r="L251" s="123"/>
      <c r="M251" s="123"/>
      <c r="N251" s="123"/>
      <c r="O251" s="123"/>
      <c r="P251" s="123"/>
      <c r="Q251" s="123"/>
      <c r="R251" s="123"/>
      <c r="S251" s="123"/>
      <c r="T251" s="123"/>
      <c r="U251" s="123"/>
      <c r="V251" s="123"/>
      <c r="W251" s="123"/>
      <c r="X251" s="123"/>
      <c r="Y251" s="123"/>
      <c r="Z251" s="123"/>
      <c r="AA251" s="123"/>
      <c r="AB251" s="123"/>
      <c r="AC251" s="123"/>
      <c r="AD251" s="123"/>
      <c r="AE251" s="123"/>
      <c r="AF251" s="123"/>
      <c r="AG251" s="123"/>
      <c r="AH251" s="123"/>
      <c r="AI251" s="123"/>
      <c r="AJ251" s="123"/>
      <c r="AK251" s="123"/>
      <c r="AL251" s="123"/>
      <c r="AM251" s="123"/>
      <c r="AN251" s="123"/>
      <c r="AO251" s="123"/>
      <c r="AP251" s="123"/>
      <c r="AQ251" s="123"/>
      <c r="AR251" s="123"/>
      <c r="AS251" s="123"/>
      <c r="AT251" s="123"/>
      <c r="AU251" s="123"/>
      <c r="AV251" s="123"/>
      <c r="AW251" s="123"/>
      <c r="AX251" s="123"/>
      <c r="AY251" s="123"/>
      <c r="AZ251" s="123"/>
      <c r="BA251" s="123"/>
      <c r="BB251" s="123"/>
      <c r="BC251" s="123"/>
      <c r="BD251" s="123"/>
      <c r="BE251" s="123"/>
      <c r="BF251" s="123"/>
      <c r="BG251" s="123"/>
      <c r="BH251" s="123"/>
      <c r="BI251" s="123"/>
    </row>
    <row r="252" spans="2:61" s="558" customFormat="1">
      <c r="C252" s="58"/>
      <c r="D252" s="1257" t="s">
        <v>2404</v>
      </c>
      <c r="E252" s="58">
        <v>72</v>
      </c>
      <c r="F252" s="58">
        <v>3</v>
      </c>
      <c r="G252" s="58">
        <v>26.3</v>
      </c>
      <c r="H252" s="974">
        <f t="shared" si="8"/>
        <v>0.36527777777777781</v>
      </c>
      <c r="I252" s="308">
        <f t="shared" si="9"/>
        <v>78.900000000000006</v>
      </c>
      <c r="J252" s="123"/>
      <c r="K252" s="123"/>
      <c r="L252" s="123"/>
      <c r="M252" s="123"/>
      <c r="N252" s="123"/>
      <c r="O252" s="123"/>
      <c r="P252" s="123"/>
      <c r="Q252" s="123"/>
      <c r="R252" s="123"/>
      <c r="S252" s="123"/>
      <c r="T252" s="123"/>
      <c r="U252" s="123"/>
      <c r="V252" s="123"/>
      <c r="W252" s="123"/>
      <c r="X252" s="123"/>
      <c r="Y252" s="123"/>
      <c r="Z252" s="123"/>
      <c r="AA252" s="123"/>
      <c r="AB252" s="123"/>
      <c r="AC252" s="123"/>
      <c r="AD252" s="123"/>
      <c r="AE252" s="123"/>
      <c r="AF252" s="123"/>
      <c r="AG252" s="123"/>
      <c r="AH252" s="123"/>
      <c r="AI252" s="123"/>
      <c r="AJ252" s="123"/>
      <c r="AK252" s="123"/>
      <c r="AL252" s="123"/>
      <c r="AM252" s="123"/>
      <c r="AN252" s="123"/>
      <c r="AO252" s="123"/>
      <c r="AP252" s="123"/>
      <c r="AQ252" s="123"/>
      <c r="AR252" s="123"/>
      <c r="AS252" s="123"/>
      <c r="AT252" s="123"/>
      <c r="AU252" s="123"/>
      <c r="AV252" s="123"/>
      <c r="AW252" s="123"/>
      <c r="AX252" s="123"/>
      <c r="AY252" s="123"/>
      <c r="AZ252" s="123"/>
      <c r="BA252" s="123"/>
      <c r="BB252" s="123"/>
      <c r="BC252" s="123"/>
      <c r="BD252" s="123"/>
      <c r="BE252" s="123"/>
      <c r="BF252" s="123"/>
      <c r="BG252" s="123"/>
      <c r="BH252" s="123"/>
      <c r="BI252" s="123"/>
    </row>
    <row r="253" spans="2:61" s="404" customFormat="1">
      <c r="C253" s="1190"/>
      <c r="D253" s="554" t="s">
        <v>2405</v>
      </c>
      <c r="E253" s="531">
        <v>72</v>
      </c>
      <c r="F253" s="531">
        <v>0</v>
      </c>
      <c r="G253" s="531">
        <v>26.3</v>
      </c>
      <c r="H253" s="963">
        <f t="shared" si="8"/>
        <v>0.36527777777777781</v>
      </c>
      <c r="I253" s="1180">
        <f t="shared" si="9"/>
        <v>0</v>
      </c>
      <c r="J253" s="123"/>
      <c r="K253" s="123"/>
      <c r="L253" s="123"/>
      <c r="M253" s="123"/>
      <c r="N253" s="123"/>
      <c r="O253" s="123"/>
      <c r="P253" s="123"/>
      <c r="Q253" s="123"/>
      <c r="R253" s="123"/>
      <c r="S253" s="123"/>
      <c r="T253" s="123"/>
      <c r="U253" s="123"/>
      <c r="V253" s="123"/>
      <c r="W253" s="123"/>
      <c r="X253" s="123"/>
      <c r="Y253" s="123"/>
      <c r="Z253" s="123"/>
      <c r="AA253" s="123"/>
      <c r="AB253" s="123"/>
      <c r="AC253" s="123"/>
      <c r="AD253" s="123"/>
      <c r="AE253" s="123"/>
      <c r="AF253" s="123"/>
      <c r="AG253" s="123"/>
      <c r="AH253" s="123"/>
      <c r="AI253" s="123"/>
      <c r="AJ253" s="123"/>
      <c r="AK253" s="123"/>
      <c r="AL253" s="123"/>
      <c r="AM253" s="123"/>
      <c r="AN253" s="123"/>
      <c r="AO253" s="123"/>
      <c r="AP253" s="123"/>
      <c r="AQ253" s="123"/>
      <c r="AR253" s="123"/>
      <c r="AS253" s="123"/>
      <c r="AT253" s="123"/>
      <c r="AU253" s="123"/>
      <c r="AV253" s="123"/>
      <c r="AW253" s="123"/>
      <c r="AX253" s="123"/>
      <c r="AY253" s="123"/>
      <c r="AZ253" s="123"/>
      <c r="BA253" s="123"/>
      <c r="BB253" s="123"/>
      <c r="BC253" s="123"/>
      <c r="BD253" s="123"/>
      <c r="BE253" s="123"/>
      <c r="BF253" s="123"/>
      <c r="BG253" s="123"/>
      <c r="BH253" s="123"/>
      <c r="BI253" s="123"/>
    </row>
    <row r="254" spans="2:61" s="558" customFormat="1">
      <c r="C254" s="58"/>
      <c r="D254" s="1257" t="s">
        <v>2408</v>
      </c>
      <c r="E254" s="58">
        <v>6</v>
      </c>
      <c r="F254" s="58">
        <v>20</v>
      </c>
      <c r="G254" s="58">
        <v>7.5</v>
      </c>
      <c r="H254" s="974">
        <f t="shared" si="8"/>
        <v>1.25</v>
      </c>
      <c r="I254" s="308">
        <f t="shared" si="9"/>
        <v>150</v>
      </c>
      <c r="J254" s="123"/>
      <c r="K254" s="123"/>
      <c r="L254" s="123"/>
      <c r="M254" s="123"/>
      <c r="N254" s="123"/>
      <c r="O254" s="123"/>
      <c r="P254" s="123"/>
      <c r="Q254" s="123"/>
      <c r="R254" s="123"/>
      <c r="S254" s="123"/>
      <c r="T254" s="123"/>
      <c r="U254" s="123"/>
      <c r="V254" s="123"/>
      <c r="W254" s="123"/>
      <c r="X254" s="123"/>
      <c r="Y254" s="123"/>
      <c r="Z254" s="123"/>
      <c r="AA254" s="123"/>
      <c r="AB254" s="123"/>
      <c r="AC254" s="123"/>
      <c r="AD254" s="123"/>
      <c r="AE254" s="123"/>
      <c r="AF254" s="123"/>
      <c r="AG254" s="123"/>
      <c r="AH254" s="123"/>
      <c r="AI254" s="123"/>
      <c r="AJ254" s="123"/>
      <c r="AK254" s="123"/>
      <c r="AL254" s="123"/>
      <c r="AM254" s="123"/>
      <c r="AN254" s="123"/>
      <c r="AO254" s="123"/>
      <c r="AP254" s="123"/>
      <c r="AQ254" s="123"/>
      <c r="AR254" s="123"/>
      <c r="AS254" s="123"/>
      <c r="AT254" s="123"/>
      <c r="AU254" s="123"/>
      <c r="AV254" s="123"/>
      <c r="AW254" s="123"/>
      <c r="AX254" s="123"/>
      <c r="AY254" s="123"/>
      <c r="AZ254" s="123"/>
      <c r="BA254" s="123"/>
      <c r="BB254" s="123"/>
      <c r="BC254" s="123"/>
      <c r="BD254" s="123"/>
      <c r="BE254" s="123"/>
      <c r="BF254" s="123"/>
      <c r="BG254" s="123"/>
      <c r="BH254" s="123"/>
      <c r="BI254" s="123"/>
    </row>
    <row r="255" spans="2:61" hidden="1">
      <c r="B255"/>
      <c r="C255" s="1190">
        <v>13836</v>
      </c>
      <c r="D255" s="554" t="s">
        <v>2377</v>
      </c>
      <c r="E255" s="531" t="s">
        <v>65</v>
      </c>
      <c r="F255" s="531"/>
      <c r="G255" s="531" t="s">
        <v>65</v>
      </c>
      <c r="H255" s="963" t="e">
        <f t="shared" si="8"/>
        <v>#VALUE!</v>
      </c>
      <c r="I255" s="1180" t="e">
        <f t="shared" si="9"/>
        <v>#VALUE!</v>
      </c>
    </row>
    <row r="256" spans="2:61" hidden="1">
      <c r="B256"/>
      <c r="C256" s="1190">
        <v>14401</v>
      </c>
      <c r="D256" s="554" t="s">
        <v>2378</v>
      </c>
      <c r="E256" s="531"/>
      <c r="F256" s="531"/>
      <c r="G256" s="531"/>
      <c r="H256" s="963" t="e">
        <f t="shared" si="8"/>
        <v>#DIV/0!</v>
      </c>
      <c r="I256" s="1180">
        <f t="shared" si="9"/>
        <v>0</v>
      </c>
    </row>
    <row r="257" spans="2:61" hidden="1">
      <c r="B257"/>
      <c r="C257" s="1190">
        <v>14399</v>
      </c>
      <c r="D257" s="554" t="s">
        <v>2379</v>
      </c>
      <c r="E257" s="531"/>
      <c r="F257" s="531"/>
      <c r="G257" s="531"/>
      <c r="H257" s="963" t="e">
        <f t="shared" si="8"/>
        <v>#DIV/0!</v>
      </c>
      <c r="I257" s="1180">
        <f t="shared" si="9"/>
        <v>0</v>
      </c>
    </row>
    <row r="258" spans="2:61" hidden="1">
      <c r="B258"/>
      <c r="C258" s="1190">
        <v>14400</v>
      </c>
      <c r="D258" s="554" t="s">
        <v>2380</v>
      </c>
      <c r="E258" s="531"/>
      <c r="F258" s="531"/>
      <c r="G258" s="531"/>
      <c r="H258" s="963" t="e">
        <f t="shared" si="8"/>
        <v>#DIV/0!</v>
      </c>
      <c r="I258" s="1180">
        <f t="shared" si="9"/>
        <v>0</v>
      </c>
    </row>
    <row r="259" spans="2:61" hidden="1">
      <c r="B259"/>
      <c r="C259" s="1190">
        <v>13581</v>
      </c>
      <c r="D259" s="554" t="s">
        <v>2381</v>
      </c>
      <c r="E259" s="531"/>
      <c r="F259" s="531"/>
      <c r="G259" s="531"/>
      <c r="H259" s="963" t="e">
        <f t="shared" si="8"/>
        <v>#DIV/0!</v>
      </c>
      <c r="I259" s="1180">
        <f t="shared" si="9"/>
        <v>0</v>
      </c>
    </row>
    <row r="260" spans="2:61" s="558" customFormat="1">
      <c r="C260" s="58">
        <v>18714</v>
      </c>
      <c r="D260" s="1257" t="s">
        <v>2279</v>
      </c>
      <c r="E260" s="58">
        <v>24</v>
      </c>
      <c r="F260" s="58">
        <v>25</v>
      </c>
      <c r="G260" s="58">
        <v>12</v>
      </c>
      <c r="H260" s="974">
        <f t="shared" si="8"/>
        <v>0.5</v>
      </c>
      <c r="I260" s="308">
        <f t="shared" si="9"/>
        <v>300</v>
      </c>
      <c r="J260" s="123"/>
      <c r="K260" s="123"/>
      <c r="L260" s="123"/>
      <c r="M260" s="123"/>
      <c r="N260" s="123"/>
      <c r="O260" s="123"/>
      <c r="P260" s="123"/>
      <c r="Q260" s="123"/>
      <c r="R260" s="123"/>
      <c r="S260" s="123"/>
      <c r="T260" s="123"/>
      <c r="U260" s="123"/>
      <c r="V260" s="123"/>
      <c r="W260" s="123"/>
      <c r="X260" s="123"/>
      <c r="Y260" s="123"/>
      <c r="Z260" s="123"/>
      <c r="AA260" s="123"/>
      <c r="AB260" s="123"/>
      <c r="AC260" s="123"/>
      <c r="AD260" s="123"/>
      <c r="AE260" s="123"/>
      <c r="AF260" s="123"/>
      <c r="AG260" s="123"/>
      <c r="AH260" s="123"/>
      <c r="AI260" s="123"/>
      <c r="AJ260" s="123"/>
      <c r="AK260" s="123"/>
      <c r="AL260" s="123"/>
      <c r="AM260" s="123"/>
      <c r="AN260" s="123"/>
      <c r="AO260" s="123"/>
      <c r="AP260" s="123"/>
      <c r="AQ260" s="123"/>
      <c r="AR260" s="123"/>
      <c r="AS260" s="123"/>
      <c r="AT260" s="123"/>
      <c r="AU260" s="123"/>
      <c r="AV260" s="123"/>
      <c r="AW260" s="123"/>
      <c r="AX260" s="123"/>
      <c r="AY260" s="123"/>
      <c r="AZ260" s="123"/>
      <c r="BA260" s="123"/>
      <c r="BB260" s="123"/>
      <c r="BC260" s="123"/>
      <c r="BD260" s="123"/>
      <c r="BE260" s="123"/>
      <c r="BF260" s="123"/>
      <c r="BG260" s="123"/>
      <c r="BH260" s="123"/>
      <c r="BI260" s="123"/>
    </row>
    <row r="261" spans="2:61" hidden="1">
      <c r="B261"/>
      <c r="C261" s="1190">
        <v>20012</v>
      </c>
      <c r="D261" s="554" t="s">
        <v>2287</v>
      </c>
      <c r="E261" s="531"/>
      <c r="F261" s="531"/>
      <c r="G261" s="531"/>
      <c r="H261" s="963" t="e">
        <f t="shared" si="8"/>
        <v>#DIV/0!</v>
      </c>
      <c r="I261" s="1180">
        <f t="shared" si="9"/>
        <v>0</v>
      </c>
    </row>
    <row r="262" spans="2:61" s="558" customFormat="1">
      <c r="C262" s="58">
        <v>18707</v>
      </c>
      <c r="D262" s="1257" t="s">
        <v>2278</v>
      </c>
      <c r="E262" s="58">
        <v>12</v>
      </c>
      <c r="F262" s="58">
        <v>25</v>
      </c>
      <c r="G262" s="58">
        <v>7.7</v>
      </c>
      <c r="H262" s="974">
        <f t="shared" si="8"/>
        <v>0.64166666666666672</v>
      </c>
      <c r="I262" s="308">
        <f t="shared" si="9"/>
        <v>192.5</v>
      </c>
      <c r="J262" s="123"/>
      <c r="K262" s="123"/>
      <c r="L262" s="123"/>
      <c r="M262" s="123"/>
      <c r="N262" s="123"/>
      <c r="O262" s="123"/>
      <c r="P262" s="123"/>
      <c r="Q262" s="123"/>
      <c r="R262" s="123"/>
      <c r="S262" s="123"/>
      <c r="T262" s="123"/>
      <c r="U262" s="123"/>
      <c r="V262" s="123"/>
      <c r="W262" s="123"/>
      <c r="X262" s="123"/>
      <c r="Y262" s="123"/>
      <c r="Z262" s="123"/>
      <c r="AA262" s="123"/>
      <c r="AB262" s="123"/>
      <c r="AC262" s="123"/>
      <c r="AD262" s="123"/>
      <c r="AE262" s="123"/>
      <c r="AF262" s="123"/>
      <c r="AG262" s="123"/>
      <c r="AH262" s="123"/>
      <c r="AI262" s="123"/>
      <c r="AJ262" s="123"/>
      <c r="AK262" s="123"/>
      <c r="AL262" s="123"/>
      <c r="AM262" s="123"/>
      <c r="AN262" s="123"/>
      <c r="AO262" s="123"/>
      <c r="AP262" s="123"/>
      <c r="AQ262" s="123"/>
      <c r="AR262" s="123"/>
      <c r="AS262" s="123"/>
      <c r="AT262" s="123"/>
      <c r="AU262" s="123"/>
      <c r="AV262" s="123"/>
      <c r="AW262" s="123"/>
      <c r="AX262" s="123"/>
      <c r="AY262" s="123"/>
      <c r="AZ262" s="123"/>
      <c r="BA262" s="123"/>
      <c r="BB262" s="123"/>
      <c r="BC262" s="123"/>
      <c r="BD262" s="123"/>
      <c r="BE262" s="123"/>
      <c r="BF262" s="123"/>
      <c r="BG262" s="123"/>
      <c r="BH262" s="123"/>
      <c r="BI262" s="123"/>
    </row>
    <row r="263" spans="2:61" hidden="1">
      <c r="B263"/>
      <c r="C263" s="1190">
        <v>15426</v>
      </c>
      <c r="D263" s="554" t="s">
        <v>1887</v>
      </c>
      <c r="E263" s="531"/>
      <c r="F263" s="531"/>
      <c r="G263" s="531"/>
      <c r="H263" s="963" t="e">
        <f t="shared" si="8"/>
        <v>#DIV/0!</v>
      </c>
      <c r="I263" s="1180">
        <f t="shared" si="9"/>
        <v>0</v>
      </c>
    </row>
    <row r="264" spans="2:61" hidden="1">
      <c r="B264"/>
      <c r="C264" s="1190">
        <v>15430</v>
      </c>
      <c r="D264" s="554" t="s">
        <v>2280</v>
      </c>
      <c r="E264" s="531"/>
      <c r="F264" s="531"/>
      <c r="G264" s="531"/>
      <c r="H264" s="963" t="e">
        <f t="shared" si="8"/>
        <v>#DIV/0!</v>
      </c>
      <c r="I264" s="1180">
        <f t="shared" si="9"/>
        <v>0</v>
      </c>
    </row>
    <row r="265" spans="2:61" hidden="1">
      <c r="B265"/>
      <c r="C265" s="1190">
        <v>15428</v>
      </c>
      <c r="D265" s="554" t="s">
        <v>1888</v>
      </c>
      <c r="E265" s="531"/>
      <c r="F265" s="531"/>
      <c r="G265" s="531"/>
      <c r="H265" s="963" t="e">
        <f t="shared" si="8"/>
        <v>#DIV/0!</v>
      </c>
      <c r="I265" s="1180">
        <f t="shared" si="9"/>
        <v>0</v>
      </c>
    </row>
    <row r="266" spans="2:61" hidden="1">
      <c r="B266"/>
      <c r="C266" s="1190">
        <v>10416</v>
      </c>
      <c r="D266" s="554" t="s">
        <v>2382</v>
      </c>
      <c r="E266" s="531"/>
      <c r="F266" s="531"/>
      <c r="G266" s="531"/>
      <c r="H266" s="963" t="e">
        <f t="shared" si="8"/>
        <v>#DIV/0!</v>
      </c>
      <c r="I266" s="1180">
        <f t="shared" si="9"/>
        <v>0</v>
      </c>
    </row>
    <row r="267" spans="2:61" s="558" customFormat="1">
      <c r="C267" s="58">
        <v>9500</v>
      </c>
      <c r="D267" s="1257" t="s">
        <v>2274</v>
      </c>
      <c r="E267" s="58">
        <v>24</v>
      </c>
      <c r="F267" s="58">
        <v>25</v>
      </c>
      <c r="G267" s="58">
        <v>17</v>
      </c>
      <c r="H267" s="974">
        <f t="shared" si="8"/>
        <v>0.70833333333333337</v>
      </c>
      <c r="I267" s="308">
        <f t="shared" si="9"/>
        <v>425</v>
      </c>
      <c r="J267" s="123"/>
      <c r="K267" s="123"/>
      <c r="L267" s="123"/>
      <c r="M267" s="123"/>
      <c r="N267" s="123"/>
      <c r="O267" s="123"/>
      <c r="P267" s="123"/>
      <c r="Q267" s="123"/>
      <c r="R267" s="123"/>
      <c r="S267" s="123"/>
      <c r="T267" s="123"/>
      <c r="U267" s="123"/>
      <c r="V267" s="123"/>
      <c r="W267" s="123"/>
      <c r="X267" s="123"/>
      <c r="Y267" s="123"/>
      <c r="Z267" s="123"/>
      <c r="AA267" s="123"/>
      <c r="AB267" s="123"/>
      <c r="AC267" s="123"/>
      <c r="AD267" s="123"/>
      <c r="AE267" s="123"/>
      <c r="AF267" s="123"/>
      <c r="AG267" s="123"/>
      <c r="AH267" s="123"/>
      <c r="AI267" s="123"/>
      <c r="AJ267" s="123"/>
      <c r="AK267" s="123"/>
      <c r="AL267" s="123"/>
      <c r="AM267" s="123"/>
      <c r="AN267" s="123"/>
      <c r="AO267" s="123"/>
      <c r="AP267" s="123"/>
      <c r="AQ267" s="123"/>
      <c r="AR267" s="123"/>
      <c r="AS267" s="123"/>
      <c r="AT267" s="123"/>
      <c r="AU267" s="123"/>
      <c r="AV267" s="123"/>
      <c r="AW267" s="123"/>
      <c r="AX267" s="123"/>
      <c r="AY267" s="123"/>
      <c r="AZ267" s="123"/>
      <c r="BA267" s="123"/>
      <c r="BB267" s="123"/>
      <c r="BC267" s="123"/>
      <c r="BD267" s="123"/>
      <c r="BE267" s="123"/>
      <c r="BF267" s="123"/>
      <c r="BG267" s="123"/>
      <c r="BH267" s="123"/>
      <c r="BI267" s="123"/>
    </row>
    <row r="268" spans="2:61" s="558" customFormat="1">
      <c r="C268" s="58">
        <v>15767</v>
      </c>
      <c r="D268" s="1257" t="s">
        <v>1889</v>
      </c>
      <c r="E268" s="58">
        <v>24</v>
      </c>
      <c r="F268" s="58">
        <v>10</v>
      </c>
      <c r="G268" s="58">
        <v>12</v>
      </c>
      <c r="H268" s="974">
        <f t="shared" si="8"/>
        <v>0.5</v>
      </c>
      <c r="I268" s="308">
        <f t="shared" si="9"/>
        <v>120</v>
      </c>
      <c r="J268" s="123"/>
      <c r="K268" s="123"/>
      <c r="L268" s="123"/>
      <c r="M268" s="123"/>
      <c r="N268" s="123"/>
      <c r="O268" s="123"/>
      <c r="P268" s="123"/>
      <c r="Q268" s="123"/>
      <c r="R268" s="123"/>
      <c r="S268" s="123"/>
      <c r="T268" s="123"/>
      <c r="U268" s="123"/>
      <c r="V268" s="123"/>
      <c r="W268" s="123"/>
      <c r="X268" s="123"/>
      <c r="Y268" s="123"/>
      <c r="Z268" s="123"/>
      <c r="AA268" s="123"/>
      <c r="AB268" s="123"/>
      <c r="AC268" s="123"/>
      <c r="AD268" s="123"/>
      <c r="AE268" s="123"/>
      <c r="AF268" s="123"/>
      <c r="AG268" s="123"/>
      <c r="AH268" s="123"/>
      <c r="AI268" s="123"/>
      <c r="AJ268" s="123"/>
      <c r="AK268" s="123"/>
      <c r="AL268" s="123"/>
      <c r="AM268" s="123"/>
      <c r="AN268" s="123"/>
      <c r="AO268" s="123"/>
      <c r="AP268" s="123"/>
      <c r="AQ268" s="123"/>
      <c r="AR268" s="123"/>
      <c r="AS268" s="123"/>
      <c r="AT268" s="123"/>
      <c r="AU268" s="123"/>
      <c r="AV268" s="123"/>
      <c r="AW268" s="123"/>
      <c r="AX268" s="123"/>
      <c r="AY268" s="123"/>
      <c r="AZ268" s="123"/>
      <c r="BA268" s="123"/>
      <c r="BB268" s="123"/>
      <c r="BC268" s="123"/>
      <c r="BD268" s="123"/>
      <c r="BE268" s="123"/>
      <c r="BF268" s="123"/>
      <c r="BG268" s="123"/>
      <c r="BH268" s="123"/>
      <c r="BI268" s="123"/>
    </row>
    <row r="269" spans="2:61" s="404" customFormat="1">
      <c r="C269" s="1190">
        <v>16239</v>
      </c>
      <c r="D269" s="554" t="s">
        <v>1904</v>
      </c>
      <c r="E269" s="531">
        <v>24</v>
      </c>
      <c r="F269" s="531">
        <v>0</v>
      </c>
      <c r="G269" s="531">
        <v>12</v>
      </c>
      <c r="H269" s="963">
        <f t="shared" si="8"/>
        <v>0.5</v>
      </c>
      <c r="I269" s="1180">
        <f t="shared" si="9"/>
        <v>0</v>
      </c>
      <c r="J269" s="123"/>
      <c r="K269" s="123"/>
      <c r="L269" s="123"/>
      <c r="M269" s="123"/>
      <c r="N269" s="123"/>
      <c r="O269" s="123"/>
      <c r="P269" s="123"/>
      <c r="Q269" s="123"/>
      <c r="R269" s="123"/>
      <c r="S269" s="123"/>
      <c r="T269" s="123"/>
      <c r="U269" s="123"/>
      <c r="V269" s="123"/>
      <c r="W269" s="123"/>
      <c r="X269" s="123"/>
      <c r="Y269" s="123"/>
      <c r="Z269" s="123"/>
      <c r="AA269" s="123"/>
      <c r="AB269" s="123"/>
      <c r="AC269" s="123"/>
      <c r="AD269" s="123"/>
      <c r="AE269" s="123"/>
      <c r="AF269" s="123"/>
      <c r="AG269" s="123"/>
      <c r="AH269" s="123"/>
      <c r="AI269" s="123"/>
      <c r="AJ269" s="123"/>
      <c r="AK269" s="123"/>
      <c r="AL269" s="123"/>
      <c r="AM269" s="123"/>
      <c r="AN269" s="123"/>
      <c r="AO269" s="123"/>
      <c r="AP269" s="123"/>
      <c r="AQ269" s="123"/>
      <c r="AR269" s="123"/>
      <c r="AS269" s="123"/>
      <c r="AT269" s="123"/>
      <c r="AU269" s="123"/>
      <c r="AV269" s="123"/>
      <c r="AW269" s="123"/>
      <c r="AX269" s="123"/>
      <c r="AY269" s="123"/>
      <c r="AZ269" s="123"/>
      <c r="BA269" s="123"/>
      <c r="BB269" s="123"/>
      <c r="BC269" s="123"/>
      <c r="BD269" s="123"/>
      <c r="BE269" s="123"/>
      <c r="BF269" s="123"/>
      <c r="BG269" s="123"/>
      <c r="BH269" s="123"/>
      <c r="BI269" s="123"/>
    </row>
    <row r="270" spans="2:61" s="558" customFormat="1">
      <c r="C270" s="58">
        <v>9252</v>
      </c>
      <c r="D270" s="1257" t="s">
        <v>2285</v>
      </c>
      <c r="E270" s="58">
        <v>120</v>
      </c>
      <c r="F270" s="58">
        <v>1</v>
      </c>
      <c r="G270" s="58">
        <v>8.3000000000000007</v>
      </c>
      <c r="H270" s="974">
        <f t="shared" si="8"/>
        <v>6.9166666666666668E-2</v>
      </c>
      <c r="I270" s="308">
        <f t="shared" si="9"/>
        <v>8.3000000000000007</v>
      </c>
      <c r="J270" s="123"/>
      <c r="K270" s="123"/>
      <c r="L270" s="123"/>
      <c r="M270" s="123"/>
      <c r="N270" s="123"/>
      <c r="O270" s="123"/>
      <c r="P270" s="123"/>
      <c r="Q270" s="123"/>
      <c r="R270" s="123"/>
      <c r="S270" s="123"/>
      <c r="T270" s="123"/>
      <c r="U270" s="123"/>
      <c r="V270" s="123"/>
      <c r="W270" s="123"/>
      <c r="X270" s="123"/>
      <c r="Y270" s="123"/>
      <c r="Z270" s="123"/>
      <c r="AA270" s="123"/>
      <c r="AB270" s="123"/>
      <c r="AC270" s="123"/>
      <c r="AD270" s="123"/>
      <c r="AE270" s="123"/>
      <c r="AF270" s="123"/>
      <c r="AG270" s="123"/>
      <c r="AH270" s="123"/>
      <c r="AI270" s="123"/>
      <c r="AJ270" s="123"/>
      <c r="AK270" s="123"/>
      <c r="AL270" s="123"/>
      <c r="AM270" s="123"/>
      <c r="AN270" s="123"/>
      <c r="AO270" s="123"/>
      <c r="AP270" s="123"/>
      <c r="AQ270" s="123"/>
      <c r="AR270" s="123"/>
      <c r="AS270" s="123"/>
      <c r="AT270" s="123"/>
      <c r="AU270" s="123"/>
      <c r="AV270" s="123"/>
      <c r="AW270" s="123"/>
      <c r="AX270" s="123"/>
      <c r="AY270" s="123"/>
      <c r="AZ270" s="123"/>
      <c r="BA270" s="123"/>
      <c r="BB270" s="123"/>
      <c r="BC270" s="123"/>
      <c r="BD270" s="123"/>
      <c r="BE270" s="123"/>
      <c r="BF270" s="123"/>
      <c r="BG270" s="123"/>
      <c r="BH270" s="123"/>
      <c r="BI270" s="123"/>
    </row>
    <row r="271" spans="2:61" hidden="1">
      <c r="B271"/>
      <c r="C271" s="1190">
        <v>13577</v>
      </c>
      <c r="D271" s="554" t="s">
        <v>2275</v>
      </c>
      <c r="E271" s="531"/>
      <c r="F271" s="531"/>
      <c r="G271" s="531"/>
      <c r="H271" s="963" t="e">
        <f t="shared" si="8"/>
        <v>#DIV/0!</v>
      </c>
      <c r="I271" s="1180">
        <f t="shared" si="9"/>
        <v>0</v>
      </c>
    </row>
    <row r="272" spans="2:61" hidden="1">
      <c r="B272"/>
      <c r="C272" s="1190">
        <v>6901</v>
      </c>
      <c r="D272" s="554" t="s">
        <v>1374</v>
      </c>
      <c r="E272" s="531">
        <v>10</v>
      </c>
      <c r="F272" s="531">
        <v>200</v>
      </c>
      <c r="G272" s="531">
        <v>8.4</v>
      </c>
      <c r="H272" s="963">
        <f t="shared" si="8"/>
        <v>0.84000000000000008</v>
      </c>
      <c r="I272" s="1180">
        <f t="shared" si="9"/>
        <v>1680</v>
      </c>
    </row>
    <row r="273" spans="2:61" hidden="1">
      <c r="B273"/>
      <c r="E273" s="531"/>
      <c r="F273" s="531"/>
      <c r="G273" s="531"/>
      <c r="H273" s="963" t="e">
        <f t="shared" si="8"/>
        <v>#DIV/0!</v>
      </c>
      <c r="I273" s="1180">
        <f t="shared" si="9"/>
        <v>0</v>
      </c>
    </row>
    <row r="274" spans="2:61" hidden="1">
      <c r="B274"/>
      <c r="C274" s="1190">
        <v>9923</v>
      </c>
      <c r="D274" s="554" t="s">
        <v>1890</v>
      </c>
      <c r="E274" s="531"/>
      <c r="F274" s="531"/>
      <c r="G274" s="531"/>
      <c r="H274" s="963" t="e">
        <f t="shared" si="8"/>
        <v>#DIV/0!</v>
      </c>
      <c r="I274" s="1180">
        <f t="shared" si="9"/>
        <v>0</v>
      </c>
    </row>
    <row r="275" spans="2:61" hidden="1">
      <c r="B275"/>
      <c r="C275" s="1190">
        <v>17887</v>
      </c>
      <c r="D275" s="554" t="s">
        <v>1891</v>
      </c>
      <c r="E275" s="531"/>
      <c r="F275" s="531"/>
      <c r="G275" s="531"/>
      <c r="H275" s="963" t="e">
        <f t="shared" si="8"/>
        <v>#DIV/0!</v>
      </c>
      <c r="I275" s="1180">
        <f t="shared" si="9"/>
        <v>0</v>
      </c>
    </row>
    <row r="276" spans="2:61" hidden="1">
      <c r="B276"/>
      <c r="C276" s="1190">
        <v>11384</v>
      </c>
      <c r="D276" s="554" t="s">
        <v>1892</v>
      </c>
      <c r="E276" s="531"/>
      <c r="F276" s="531"/>
      <c r="G276" s="531"/>
      <c r="H276" s="963" t="e">
        <f t="shared" si="8"/>
        <v>#DIV/0!</v>
      </c>
      <c r="I276" s="1180">
        <f t="shared" si="9"/>
        <v>0</v>
      </c>
    </row>
    <row r="277" spans="2:61" hidden="1">
      <c r="B277"/>
      <c r="C277" s="1190">
        <v>10228</v>
      </c>
      <c r="D277" s="554" t="s">
        <v>1894</v>
      </c>
      <c r="E277" s="531"/>
      <c r="F277" s="531"/>
      <c r="G277" s="531"/>
      <c r="H277" s="963" t="e">
        <f t="shared" si="8"/>
        <v>#DIV/0!</v>
      </c>
      <c r="I277" s="1180">
        <f t="shared" si="9"/>
        <v>0</v>
      </c>
    </row>
    <row r="278" spans="2:61" hidden="1">
      <c r="B278"/>
      <c r="C278" s="1190">
        <v>15750</v>
      </c>
      <c r="D278" s="554" t="s">
        <v>2383</v>
      </c>
      <c r="E278" s="531"/>
      <c r="F278" s="531"/>
      <c r="G278" s="531"/>
      <c r="H278" s="963" t="e">
        <f t="shared" si="8"/>
        <v>#DIV/0!</v>
      </c>
      <c r="I278" s="1180">
        <f t="shared" si="9"/>
        <v>0</v>
      </c>
    </row>
    <row r="279" spans="2:61" hidden="1">
      <c r="B279"/>
      <c r="C279" s="1190">
        <v>8000</v>
      </c>
      <c r="D279" s="554" t="s">
        <v>2384</v>
      </c>
      <c r="E279" s="531"/>
      <c r="F279" s="531"/>
      <c r="G279" s="531"/>
      <c r="H279" s="963" t="e">
        <f t="shared" si="8"/>
        <v>#DIV/0!</v>
      </c>
      <c r="I279" s="1180">
        <f t="shared" si="9"/>
        <v>0</v>
      </c>
    </row>
    <row r="280" spans="2:61" hidden="1">
      <c r="B280"/>
      <c r="C280" s="1190">
        <v>20014</v>
      </c>
      <c r="D280" s="554" t="s">
        <v>2295</v>
      </c>
      <c r="E280" s="531"/>
      <c r="F280" s="531"/>
      <c r="G280" s="531"/>
      <c r="H280" s="963" t="e">
        <f t="shared" si="8"/>
        <v>#DIV/0!</v>
      </c>
      <c r="I280" s="1180">
        <f t="shared" si="9"/>
        <v>0</v>
      </c>
    </row>
    <row r="281" spans="2:61" s="558" customFormat="1">
      <c r="C281" s="58">
        <v>9755</v>
      </c>
      <c r="D281" s="1257" t="s">
        <v>1897</v>
      </c>
      <c r="E281" s="58">
        <v>24</v>
      </c>
      <c r="F281" s="58">
        <v>100</v>
      </c>
      <c r="G281" s="58">
        <v>14</v>
      </c>
      <c r="H281" s="974">
        <f t="shared" si="8"/>
        <v>0.58333333333333337</v>
      </c>
      <c r="I281" s="308">
        <f t="shared" si="9"/>
        <v>1400</v>
      </c>
      <c r="J281" s="123"/>
      <c r="K281" s="123"/>
      <c r="L281" s="123"/>
      <c r="M281" s="123"/>
      <c r="N281" s="123"/>
      <c r="O281" s="123"/>
      <c r="P281" s="123"/>
      <c r="Q281" s="123"/>
      <c r="R281" s="123"/>
      <c r="S281" s="123"/>
      <c r="T281" s="123"/>
      <c r="U281" s="123"/>
      <c r="V281" s="123"/>
      <c r="W281" s="123"/>
      <c r="X281" s="123"/>
      <c r="Y281" s="123"/>
      <c r="Z281" s="123"/>
      <c r="AA281" s="123"/>
      <c r="AB281" s="123"/>
      <c r="AC281" s="123"/>
      <c r="AD281" s="123"/>
      <c r="AE281" s="123"/>
      <c r="AF281" s="123"/>
      <c r="AG281" s="123"/>
      <c r="AH281" s="123"/>
      <c r="AI281" s="123"/>
      <c r="AJ281" s="123"/>
      <c r="AK281" s="123"/>
      <c r="AL281" s="123"/>
      <c r="AM281" s="123"/>
      <c r="AN281" s="123"/>
      <c r="AO281" s="123"/>
      <c r="AP281" s="123"/>
      <c r="AQ281" s="123"/>
      <c r="AR281" s="123"/>
      <c r="AS281" s="123"/>
      <c r="AT281" s="123"/>
      <c r="AU281" s="123"/>
      <c r="AV281" s="123"/>
      <c r="AW281" s="123"/>
      <c r="AX281" s="123"/>
      <c r="AY281" s="123"/>
      <c r="AZ281" s="123"/>
      <c r="BA281" s="123"/>
      <c r="BB281" s="123"/>
      <c r="BC281" s="123"/>
      <c r="BD281" s="123"/>
      <c r="BE281" s="123"/>
      <c r="BF281" s="123"/>
      <c r="BG281" s="123"/>
      <c r="BH281" s="123"/>
      <c r="BI281" s="123"/>
    </row>
    <row r="282" spans="2:61" hidden="1">
      <c r="B282"/>
      <c r="C282" s="1190">
        <v>10396</v>
      </c>
      <c r="D282" s="554" t="s">
        <v>1898</v>
      </c>
      <c r="E282" s="531"/>
      <c r="F282" s="531">
        <v>2</v>
      </c>
      <c r="G282" s="531"/>
      <c r="H282" s="963" t="e">
        <f t="shared" si="8"/>
        <v>#DIV/0!</v>
      </c>
      <c r="I282" s="1180">
        <f t="shared" si="9"/>
        <v>0</v>
      </c>
    </row>
    <row r="283" spans="2:61" hidden="1">
      <c r="B283"/>
      <c r="C283" s="1190">
        <v>5864</v>
      </c>
      <c r="D283" s="554" t="s">
        <v>2296</v>
      </c>
      <c r="E283" s="531"/>
      <c r="F283" s="531"/>
      <c r="G283" s="531"/>
      <c r="H283" s="963" t="e">
        <f t="shared" si="8"/>
        <v>#DIV/0!</v>
      </c>
      <c r="I283" s="1180">
        <f t="shared" si="9"/>
        <v>0</v>
      </c>
    </row>
    <row r="284" spans="2:61" hidden="1">
      <c r="B284"/>
      <c r="C284" s="1190">
        <v>13578</v>
      </c>
      <c r="D284" s="554" t="s">
        <v>2282</v>
      </c>
      <c r="E284" s="531"/>
      <c r="F284" s="531"/>
      <c r="G284" s="531"/>
      <c r="H284" s="963" t="e">
        <f t="shared" si="8"/>
        <v>#DIV/0!</v>
      </c>
      <c r="I284" s="1180">
        <f t="shared" si="9"/>
        <v>0</v>
      </c>
    </row>
    <row r="285" spans="2:61" hidden="1">
      <c r="B285"/>
      <c r="C285" s="1190">
        <v>2647</v>
      </c>
      <c r="D285" s="554" t="s">
        <v>1899</v>
      </c>
      <c r="E285" s="531" t="s">
        <v>65</v>
      </c>
      <c r="F285" s="531" t="s">
        <v>65</v>
      </c>
      <c r="G285" s="531" t="s">
        <v>65</v>
      </c>
      <c r="H285" s="963" t="e">
        <f t="shared" si="8"/>
        <v>#VALUE!</v>
      </c>
      <c r="I285" s="1180" t="e">
        <f t="shared" si="9"/>
        <v>#VALUE!</v>
      </c>
    </row>
    <row r="286" spans="2:61" hidden="1">
      <c r="B286"/>
      <c r="C286" s="1190">
        <v>20007</v>
      </c>
      <c r="D286" s="554" t="s">
        <v>2293</v>
      </c>
      <c r="E286" s="531"/>
      <c r="F286" s="531"/>
      <c r="G286" s="531"/>
      <c r="H286" s="963" t="e">
        <f t="shared" si="8"/>
        <v>#DIV/0!</v>
      </c>
      <c r="I286" s="1180">
        <f t="shared" si="9"/>
        <v>0</v>
      </c>
    </row>
    <row r="287" spans="2:61" hidden="1">
      <c r="B287"/>
      <c r="C287" s="1190">
        <v>20011</v>
      </c>
      <c r="D287" s="554" t="s">
        <v>2294</v>
      </c>
      <c r="E287" s="531"/>
      <c r="F287" s="531"/>
      <c r="G287" s="531"/>
      <c r="H287" s="963" t="e">
        <f t="shared" si="8"/>
        <v>#DIV/0!</v>
      </c>
      <c r="I287" s="1180">
        <f t="shared" si="9"/>
        <v>0</v>
      </c>
    </row>
    <row r="288" spans="2:61" hidden="1">
      <c r="B288"/>
      <c r="C288" s="1190">
        <v>14403</v>
      </c>
      <c r="D288" s="554" t="s">
        <v>2277</v>
      </c>
      <c r="E288" s="531"/>
      <c r="F288" s="531"/>
      <c r="G288" s="531"/>
      <c r="H288" s="963" t="e">
        <f t="shared" si="8"/>
        <v>#DIV/0!</v>
      </c>
      <c r="I288" s="1180">
        <f t="shared" si="9"/>
        <v>0</v>
      </c>
    </row>
    <row r="289" spans="2:61" hidden="1">
      <c r="B289"/>
      <c r="C289" s="1190">
        <v>20005</v>
      </c>
      <c r="D289" s="554" t="s">
        <v>2291</v>
      </c>
      <c r="E289" s="531"/>
      <c r="F289" s="531"/>
      <c r="G289" s="531"/>
      <c r="H289" s="963" t="e">
        <f t="shared" si="8"/>
        <v>#DIV/0!</v>
      </c>
      <c r="I289" s="1180">
        <f t="shared" si="9"/>
        <v>0</v>
      </c>
    </row>
    <row r="290" spans="2:61" hidden="1">
      <c r="B290"/>
      <c r="C290" s="1190">
        <v>20008</v>
      </c>
      <c r="D290" s="554" t="s">
        <v>2292</v>
      </c>
      <c r="E290" s="531"/>
      <c r="F290" s="531"/>
      <c r="G290" s="531"/>
      <c r="H290" s="963" t="e">
        <f t="shared" si="8"/>
        <v>#DIV/0!</v>
      </c>
      <c r="I290" s="1180">
        <f t="shared" si="9"/>
        <v>0</v>
      </c>
    </row>
    <row r="291" spans="2:61" hidden="1">
      <c r="B291"/>
      <c r="C291" s="1190">
        <v>20009</v>
      </c>
      <c r="D291" s="554" t="s">
        <v>2290</v>
      </c>
      <c r="E291" s="531"/>
      <c r="F291" s="531"/>
      <c r="G291" s="531"/>
      <c r="H291" s="963" t="e">
        <f t="shared" si="8"/>
        <v>#DIV/0!</v>
      </c>
      <c r="I291" s="1180">
        <f t="shared" si="9"/>
        <v>0</v>
      </c>
    </row>
    <row r="292" spans="2:61">
      <c r="B292"/>
      <c r="C292" s="1190">
        <v>13579</v>
      </c>
      <c r="D292" s="554" t="s">
        <v>2385</v>
      </c>
      <c r="E292" s="531">
        <v>48</v>
      </c>
      <c r="F292" s="531">
        <v>0</v>
      </c>
      <c r="G292" s="531">
        <v>17.5</v>
      </c>
      <c r="H292" s="963">
        <f t="shared" si="8"/>
        <v>0.36458333333333331</v>
      </c>
      <c r="I292" s="1180">
        <f t="shared" si="9"/>
        <v>0</v>
      </c>
    </row>
    <row r="293" spans="2:61" hidden="1">
      <c r="B293"/>
      <c r="C293" s="1190">
        <v>14481</v>
      </c>
      <c r="D293" s="554" t="s">
        <v>2386</v>
      </c>
      <c r="E293" s="531"/>
      <c r="F293" s="531"/>
      <c r="G293" s="531"/>
      <c r="H293" s="963" t="e">
        <f t="shared" si="8"/>
        <v>#DIV/0!</v>
      </c>
      <c r="I293" s="1180">
        <f t="shared" si="9"/>
        <v>0</v>
      </c>
    </row>
    <row r="294" spans="2:61" hidden="1">
      <c r="B294"/>
      <c r="C294" s="1190">
        <v>13964</v>
      </c>
      <c r="D294" s="554" t="s">
        <v>2387</v>
      </c>
      <c r="E294" s="531"/>
      <c r="F294" s="531"/>
      <c r="G294" s="531"/>
      <c r="H294" s="963" t="e">
        <f t="shared" si="8"/>
        <v>#DIV/0!</v>
      </c>
      <c r="I294" s="1180">
        <f t="shared" si="9"/>
        <v>0</v>
      </c>
    </row>
    <row r="295" spans="2:61" hidden="1">
      <c r="B295"/>
      <c r="C295" s="1190">
        <v>15000</v>
      </c>
      <c r="D295" s="554" t="s">
        <v>2388</v>
      </c>
      <c r="E295" s="531"/>
      <c r="F295" s="531"/>
      <c r="G295" s="531"/>
      <c r="H295" s="963" t="e">
        <f t="shared" si="8"/>
        <v>#DIV/0!</v>
      </c>
      <c r="I295" s="1180">
        <f t="shared" si="9"/>
        <v>0</v>
      </c>
    </row>
    <row r="296" spans="2:61" hidden="1">
      <c r="B296"/>
      <c r="C296" s="1190">
        <v>14999</v>
      </c>
      <c r="D296" s="554" t="s">
        <v>2276</v>
      </c>
      <c r="E296" s="531"/>
      <c r="F296" s="531"/>
      <c r="G296" s="531"/>
      <c r="H296" s="963" t="e">
        <f t="shared" si="8"/>
        <v>#DIV/0!</v>
      </c>
      <c r="I296" s="1180">
        <f t="shared" si="9"/>
        <v>0</v>
      </c>
    </row>
    <row r="297" spans="2:61" hidden="1">
      <c r="B297"/>
      <c r="C297" s="1190">
        <v>17889</v>
      </c>
      <c r="D297" s="554" t="s">
        <v>1509</v>
      </c>
      <c r="E297" s="531"/>
      <c r="F297" s="531"/>
      <c r="G297" s="531"/>
      <c r="H297" s="963" t="e">
        <f t="shared" si="8"/>
        <v>#DIV/0!</v>
      </c>
      <c r="I297" s="1180">
        <f t="shared" si="9"/>
        <v>0</v>
      </c>
    </row>
    <row r="298" spans="2:61" hidden="1">
      <c r="B298"/>
      <c r="C298" s="1190">
        <v>9771</v>
      </c>
      <c r="D298" s="554" t="s">
        <v>2406</v>
      </c>
      <c r="E298" s="531" t="s">
        <v>65</v>
      </c>
      <c r="F298" s="531" t="s">
        <v>65</v>
      </c>
      <c r="G298" s="531" t="s">
        <v>65</v>
      </c>
      <c r="H298" s="963" t="e">
        <f t="shared" si="8"/>
        <v>#VALUE!</v>
      </c>
      <c r="I298" s="1180" t="e">
        <f t="shared" si="9"/>
        <v>#VALUE!</v>
      </c>
    </row>
    <row r="299" spans="2:61" s="558" customFormat="1">
      <c r="C299" s="58">
        <v>13331</v>
      </c>
      <c r="D299" s="1257" t="s">
        <v>2389</v>
      </c>
      <c r="E299" s="58">
        <v>288</v>
      </c>
      <c r="F299" s="58">
        <v>1</v>
      </c>
      <c r="G299" s="58">
        <v>80</v>
      </c>
      <c r="H299" s="974">
        <f t="shared" si="8"/>
        <v>0.27777777777777779</v>
      </c>
      <c r="I299" s="308">
        <f t="shared" si="9"/>
        <v>80</v>
      </c>
      <c r="J299" s="123"/>
      <c r="K299" s="123"/>
      <c r="L299" s="123"/>
      <c r="M299" s="123"/>
      <c r="N299" s="123"/>
      <c r="O299" s="123"/>
      <c r="P299" s="123"/>
      <c r="Q299" s="123"/>
      <c r="R299" s="123"/>
      <c r="S299" s="123"/>
      <c r="T299" s="123"/>
      <c r="U299" s="123"/>
      <c r="V299" s="123"/>
      <c r="W299" s="123"/>
      <c r="X299" s="123"/>
      <c r="Y299" s="123"/>
      <c r="Z299" s="123"/>
      <c r="AA299" s="123"/>
      <c r="AB299" s="123"/>
      <c r="AC299" s="123"/>
      <c r="AD299" s="123"/>
      <c r="AE299" s="123"/>
      <c r="AF299" s="123"/>
      <c r="AG299" s="123"/>
      <c r="AH299" s="123"/>
      <c r="AI299" s="123"/>
      <c r="AJ299" s="123"/>
      <c r="AK299" s="123"/>
      <c r="AL299" s="123"/>
      <c r="AM299" s="123"/>
      <c r="AN299" s="123"/>
      <c r="AO299" s="123"/>
      <c r="AP299" s="123"/>
      <c r="AQ299" s="123"/>
      <c r="AR299" s="123"/>
      <c r="AS299" s="123"/>
      <c r="AT299" s="123"/>
      <c r="AU299" s="123"/>
      <c r="AV299" s="123"/>
      <c r="AW299" s="123"/>
      <c r="AX299" s="123"/>
      <c r="AY299" s="123"/>
      <c r="AZ299" s="123"/>
      <c r="BA299" s="123"/>
      <c r="BB299" s="123"/>
      <c r="BC299" s="123"/>
      <c r="BD299" s="123"/>
      <c r="BE299" s="123"/>
      <c r="BF299" s="123"/>
      <c r="BG299" s="123"/>
      <c r="BH299" s="123"/>
      <c r="BI299" s="123"/>
    </row>
    <row r="300" spans="2:61" s="558" customFormat="1">
      <c r="C300" s="58">
        <v>13329</v>
      </c>
      <c r="D300" s="1257" t="s">
        <v>2390</v>
      </c>
      <c r="E300" s="58">
        <v>288</v>
      </c>
      <c r="F300" s="58">
        <v>1</v>
      </c>
      <c r="G300" s="58">
        <v>80</v>
      </c>
      <c r="H300" s="974">
        <f t="shared" si="8"/>
        <v>0.27777777777777779</v>
      </c>
      <c r="I300" s="308">
        <f t="shared" si="9"/>
        <v>80</v>
      </c>
      <c r="J300" s="123"/>
      <c r="K300" s="123"/>
      <c r="L300" s="123"/>
      <c r="M300" s="123"/>
      <c r="N300" s="123"/>
      <c r="O300" s="123"/>
      <c r="P300" s="123"/>
      <c r="Q300" s="123"/>
      <c r="R300" s="123"/>
      <c r="S300" s="123"/>
      <c r="T300" s="123"/>
      <c r="U300" s="123"/>
      <c r="V300" s="123"/>
      <c r="W300" s="123"/>
      <c r="X300" s="123"/>
      <c r="Y300" s="123"/>
      <c r="Z300" s="123"/>
      <c r="AA300" s="123"/>
      <c r="AB300" s="123"/>
      <c r="AC300" s="123"/>
      <c r="AD300" s="123"/>
      <c r="AE300" s="123"/>
      <c r="AF300" s="123"/>
      <c r="AG300" s="123"/>
      <c r="AH300" s="123"/>
      <c r="AI300" s="123"/>
      <c r="AJ300" s="123"/>
      <c r="AK300" s="123"/>
      <c r="AL300" s="123"/>
      <c r="AM300" s="123"/>
      <c r="AN300" s="123"/>
      <c r="AO300" s="123"/>
      <c r="AP300" s="123"/>
      <c r="AQ300" s="123"/>
      <c r="AR300" s="123"/>
      <c r="AS300" s="123"/>
      <c r="AT300" s="123"/>
      <c r="AU300" s="123"/>
      <c r="AV300" s="123"/>
      <c r="AW300" s="123"/>
      <c r="AX300" s="123"/>
      <c r="AY300" s="123"/>
      <c r="AZ300" s="123"/>
      <c r="BA300" s="123"/>
      <c r="BB300" s="123"/>
      <c r="BC300" s="123"/>
      <c r="BD300" s="123"/>
      <c r="BE300" s="123"/>
      <c r="BF300" s="123"/>
      <c r="BG300" s="123"/>
      <c r="BH300" s="123"/>
      <c r="BI300" s="123"/>
    </row>
    <row r="301" spans="2:61">
      <c r="B301"/>
      <c r="C301" s="1190">
        <v>13330</v>
      </c>
      <c r="D301" s="554" t="s">
        <v>2407</v>
      </c>
      <c r="E301" s="531">
        <v>288</v>
      </c>
      <c r="F301" s="531">
        <v>0</v>
      </c>
      <c r="G301" s="531">
        <v>80</v>
      </c>
      <c r="H301" s="963">
        <f t="shared" si="8"/>
        <v>0.27777777777777779</v>
      </c>
      <c r="I301" s="1180">
        <f t="shared" si="9"/>
        <v>0</v>
      </c>
    </row>
    <row r="302" spans="2:61" s="558" customFormat="1">
      <c r="C302" s="58">
        <v>20013</v>
      </c>
      <c r="D302" s="1257" t="s">
        <v>2288</v>
      </c>
      <c r="E302" s="58">
        <v>65</v>
      </c>
      <c r="F302" s="58">
        <v>8</v>
      </c>
      <c r="G302" s="58">
        <v>36.9</v>
      </c>
      <c r="H302" s="974">
        <f t="shared" si="8"/>
        <v>0.56769230769230772</v>
      </c>
      <c r="I302" s="308">
        <f t="shared" si="9"/>
        <v>295.2</v>
      </c>
      <c r="J302" s="123"/>
      <c r="K302" s="123"/>
      <c r="L302" s="123"/>
      <c r="M302" s="123"/>
      <c r="N302" s="123"/>
      <c r="O302" s="123"/>
      <c r="P302" s="123"/>
      <c r="Q302" s="123"/>
      <c r="R302" s="123"/>
      <c r="S302" s="123"/>
      <c r="T302" s="123"/>
      <c r="U302" s="123"/>
      <c r="V302" s="123"/>
      <c r="W302" s="123"/>
      <c r="X302" s="123"/>
      <c r="Y302" s="123"/>
      <c r="Z302" s="123"/>
      <c r="AA302" s="123"/>
      <c r="AB302" s="123"/>
      <c r="AC302" s="123"/>
      <c r="AD302" s="123"/>
      <c r="AE302" s="123"/>
      <c r="AF302" s="123"/>
      <c r="AG302" s="123"/>
      <c r="AH302" s="123"/>
      <c r="AI302" s="123"/>
      <c r="AJ302" s="123"/>
      <c r="AK302" s="123"/>
      <c r="AL302" s="123"/>
      <c r="AM302" s="123"/>
      <c r="AN302" s="123"/>
      <c r="AO302" s="123"/>
      <c r="AP302" s="123"/>
      <c r="AQ302" s="123"/>
      <c r="AR302" s="123"/>
      <c r="AS302" s="123"/>
      <c r="AT302" s="123"/>
      <c r="AU302" s="123"/>
      <c r="AV302" s="123"/>
      <c r="AW302" s="123"/>
      <c r="AX302" s="123"/>
      <c r="AY302" s="123"/>
      <c r="AZ302" s="123"/>
      <c r="BA302" s="123"/>
      <c r="BB302" s="123"/>
      <c r="BC302" s="123"/>
      <c r="BD302" s="123"/>
      <c r="BE302" s="123"/>
      <c r="BF302" s="123"/>
      <c r="BG302" s="123"/>
      <c r="BH302" s="123"/>
      <c r="BI302" s="123"/>
    </row>
    <row r="303" spans="2:61" ht="15.75" customHeight="1" thickBot="1">
      <c r="B303"/>
      <c r="C303" s="1190">
        <v>13721</v>
      </c>
      <c r="D303" s="554" t="s">
        <v>2391</v>
      </c>
      <c r="E303" s="531">
        <v>0</v>
      </c>
      <c r="F303" s="531">
        <v>0</v>
      </c>
      <c r="G303" s="395">
        <v>0</v>
      </c>
      <c r="H303" s="975">
        <v>0</v>
      </c>
      <c r="I303" s="654">
        <v>0</v>
      </c>
    </row>
    <row r="304" spans="2:61" ht="15.75" thickBot="1">
      <c r="B304"/>
      <c r="G304" s="2320" t="s">
        <v>74</v>
      </c>
      <c r="H304" s="2321"/>
      <c r="I304" s="1112">
        <f>I243+I244+I246+I247+I248+I249+I250+I251+I252+I253+I254+I260+I262+I267+I268+I269+I270+I281+I292+I299+I300+I301+I302</f>
        <v>4579.7</v>
      </c>
    </row>
    <row r="305" spans="2:61">
      <c r="B305"/>
      <c r="H305" s="118"/>
      <c r="I305" s="25"/>
    </row>
    <row r="306" spans="2:61">
      <c r="B306"/>
      <c r="H306" s="118"/>
      <c r="I306" s="25"/>
    </row>
    <row r="307" spans="2:61">
      <c r="B307"/>
      <c r="H307" s="118"/>
      <c r="I307" s="25"/>
    </row>
    <row r="309" spans="2:61" ht="37.5" customHeight="1">
      <c r="C309" s="1190" t="s">
        <v>0</v>
      </c>
      <c r="D309" s="554" t="s">
        <v>65</v>
      </c>
      <c r="E309" s="489" t="s">
        <v>916</v>
      </c>
      <c r="F309" s="490" t="s">
        <v>68</v>
      </c>
      <c r="G309" s="489" t="s">
        <v>903</v>
      </c>
      <c r="H309" s="972" t="s">
        <v>559</v>
      </c>
      <c r="I309" s="489" t="s">
        <v>917</v>
      </c>
    </row>
    <row r="310" spans="2:61" s="404" customFormat="1" ht="17.25" hidden="1" customHeight="1">
      <c r="C310" s="1190"/>
      <c r="D310" s="554" t="s">
        <v>2487</v>
      </c>
      <c r="E310" s="310">
        <v>24</v>
      </c>
      <c r="F310" s="528">
        <v>0</v>
      </c>
      <c r="G310" s="310">
        <v>33.4</v>
      </c>
      <c r="H310" s="900">
        <f t="shared" ref="H310:H319" si="10">G310/E310</f>
        <v>1.3916666666666666</v>
      </c>
      <c r="I310" s="310">
        <f>F310*G310</f>
        <v>0</v>
      </c>
      <c r="J310" s="123"/>
      <c r="K310" s="123"/>
      <c r="L310" s="123"/>
      <c r="M310" s="123"/>
      <c r="N310" s="123"/>
      <c r="O310" s="123"/>
      <c r="P310" s="123"/>
      <c r="Q310" s="123"/>
      <c r="R310" s="123"/>
      <c r="S310" s="123"/>
      <c r="T310" s="123"/>
      <c r="U310" s="123"/>
      <c r="V310" s="123"/>
      <c r="W310" s="123"/>
      <c r="X310" s="123"/>
      <c r="Y310" s="123"/>
      <c r="Z310" s="123"/>
      <c r="AA310" s="123"/>
      <c r="AB310" s="123"/>
      <c r="AC310" s="123"/>
      <c r="AD310" s="123"/>
      <c r="AE310" s="123"/>
      <c r="AF310" s="123"/>
      <c r="AG310" s="123"/>
      <c r="AH310" s="123"/>
      <c r="AI310" s="123"/>
      <c r="AJ310" s="123"/>
      <c r="AK310" s="123"/>
      <c r="AL310" s="123"/>
      <c r="AM310" s="123"/>
      <c r="AN310" s="123"/>
      <c r="AO310" s="123"/>
      <c r="AP310" s="123"/>
      <c r="AQ310" s="123"/>
      <c r="AR310" s="123"/>
      <c r="AS310" s="123"/>
      <c r="AT310" s="123"/>
      <c r="AU310" s="123"/>
      <c r="AV310" s="123"/>
      <c r="AW310" s="123"/>
      <c r="AX310" s="123"/>
      <c r="AY310" s="123"/>
      <c r="AZ310" s="123"/>
      <c r="BA310" s="123"/>
      <c r="BB310" s="123"/>
      <c r="BC310" s="123"/>
      <c r="BD310" s="123"/>
      <c r="BE310" s="123"/>
      <c r="BF310" s="123"/>
      <c r="BG310" s="123"/>
      <c r="BH310" s="123"/>
      <c r="BI310" s="123"/>
    </row>
    <row r="311" spans="2:61" s="404" customFormat="1" ht="17.25" hidden="1" customHeight="1">
      <c r="C311" s="1190"/>
      <c r="D311" s="554"/>
      <c r="E311" s="310"/>
      <c r="F311" s="528"/>
      <c r="G311" s="310"/>
      <c r="H311" s="900" t="e">
        <f t="shared" si="10"/>
        <v>#DIV/0!</v>
      </c>
      <c r="I311" s="310">
        <f t="shared" ref="I311:I374" si="11">F311*G311</f>
        <v>0</v>
      </c>
      <c r="J311" s="123"/>
      <c r="K311" s="123"/>
      <c r="L311" s="123"/>
      <c r="M311" s="123"/>
      <c r="N311" s="123"/>
      <c r="O311" s="123"/>
      <c r="P311" s="123"/>
      <c r="Q311" s="123"/>
      <c r="R311" s="123"/>
      <c r="S311" s="123"/>
      <c r="T311" s="123"/>
      <c r="U311" s="123"/>
      <c r="V311" s="123"/>
      <c r="W311" s="123"/>
      <c r="X311" s="123"/>
      <c r="Y311" s="123"/>
      <c r="Z311" s="123"/>
      <c r="AA311" s="123"/>
      <c r="AB311" s="123"/>
      <c r="AC311" s="123"/>
      <c r="AD311" s="123"/>
      <c r="AE311" s="123"/>
      <c r="AF311" s="123"/>
      <c r="AG311" s="123"/>
      <c r="AH311" s="123"/>
      <c r="AI311" s="123"/>
      <c r="AJ311" s="123"/>
      <c r="AK311" s="123"/>
      <c r="AL311" s="123"/>
      <c r="AM311" s="123"/>
      <c r="AN311" s="123"/>
      <c r="AO311" s="123"/>
      <c r="AP311" s="123"/>
      <c r="AQ311" s="123"/>
      <c r="AR311" s="123"/>
      <c r="AS311" s="123"/>
      <c r="AT311" s="123"/>
      <c r="AU311" s="123"/>
      <c r="AV311" s="123"/>
      <c r="AW311" s="123"/>
      <c r="AX311" s="123"/>
      <c r="AY311" s="123"/>
      <c r="AZ311" s="123"/>
      <c r="BA311" s="123"/>
      <c r="BB311" s="123"/>
      <c r="BC311" s="123"/>
      <c r="BD311" s="123"/>
      <c r="BE311" s="123"/>
      <c r="BF311" s="123"/>
      <c r="BG311" s="123"/>
      <c r="BH311" s="123"/>
      <c r="BI311" s="123"/>
    </row>
    <row r="312" spans="2:61" hidden="1">
      <c r="C312" s="1190">
        <v>10427</v>
      </c>
      <c r="D312" s="332" t="s">
        <v>2479</v>
      </c>
      <c r="E312" s="560"/>
      <c r="F312" s="560"/>
      <c r="G312" s="560"/>
      <c r="H312" s="963" t="e">
        <f t="shared" si="10"/>
        <v>#DIV/0!</v>
      </c>
      <c r="I312" s="310">
        <f t="shared" si="11"/>
        <v>0</v>
      </c>
    </row>
    <row r="313" spans="2:61" hidden="1">
      <c r="C313" s="1190">
        <v>20006</v>
      </c>
      <c r="D313" s="332" t="s">
        <v>2480</v>
      </c>
      <c r="E313" s="560">
        <v>40</v>
      </c>
      <c r="F313" s="560">
        <v>0</v>
      </c>
      <c r="G313" s="560">
        <v>33.4</v>
      </c>
      <c r="H313" s="963">
        <f t="shared" si="10"/>
        <v>0.83499999999999996</v>
      </c>
      <c r="I313" s="310">
        <f t="shared" si="11"/>
        <v>0</v>
      </c>
    </row>
    <row r="314" spans="2:61" hidden="1">
      <c r="C314" s="1190">
        <v>20007</v>
      </c>
      <c r="D314" s="332" t="s">
        <v>2481</v>
      </c>
      <c r="E314" s="560"/>
      <c r="F314" s="560"/>
      <c r="G314" s="560"/>
      <c r="H314" s="963" t="e">
        <f t="shared" si="10"/>
        <v>#DIV/0!</v>
      </c>
      <c r="I314" s="310">
        <f t="shared" si="11"/>
        <v>0</v>
      </c>
    </row>
    <row r="315" spans="2:61" hidden="1">
      <c r="C315" s="1190">
        <v>20011</v>
      </c>
      <c r="D315" s="332" t="s">
        <v>2482</v>
      </c>
      <c r="E315" s="560"/>
      <c r="F315" s="560"/>
      <c r="G315" s="560"/>
      <c r="H315" s="963" t="e">
        <f t="shared" si="10"/>
        <v>#DIV/0!</v>
      </c>
      <c r="I315" s="310">
        <f t="shared" si="11"/>
        <v>0</v>
      </c>
    </row>
    <row r="316" spans="2:61" hidden="1">
      <c r="C316" s="1190">
        <v>14308</v>
      </c>
      <c r="D316" s="332" t="s">
        <v>2483</v>
      </c>
      <c r="E316" s="560">
        <v>50</v>
      </c>
      <c r="F316" s="560"/>
      <c r="G316" s="560">
        <v>2.4</v>
      </c>
      <c r="H316" s="963">
        <f t="shared" si="10"/>
        <v>4.8000000000000001E-2</v>
      </c>
      <c r="I316" s="310">
        <f t="shared" si="11"/>
        <v>0</v>
      </c>
    </row>
    <row r="317" spans="2:61" hidden="1">
      <c r="C317" s="1190">
        <v>20005</v>
      </c>
      <c r="D317" s="332" t="s">
        <v>2484</v>
      </c>
      <c r="E317" s="560">
        <v>48</v>
      </c>
      <c r="F317" s="560"/>
      <c r="G317" s="560">
        <v>27.7</v>
      </c>
      <c r="H317" s="963">
        <f t="shared" si="10"/>
        <v>0.57708333333333328</v>
      </c>
      <c r="I317" s="310">
        <f t="shared" si="11"/>
        <v>0</v>
      </c>
    </row>
    <row r="318" spans="2:61" hidden="1">
      <c r="C318" s="1190">
        <v>20008</v>
      </c>
      <c r="D318" s="332" t="s">
        <v>2485</v>
      </c>
      <c r="E318" s="560"/>
      <c r="F318" s="560"/>
      <c r="G318" s="560"/>
      <c r="H318" s="963" t="e">
        <f t="shared" si="10"/>
        <v>#DIV/0!</v>
      </c>
      <c r="I318" s="310">
        <f t="shared" si="11"/>
        <v>0</v>
      </c>
    </row>
    <row r="319" spans="2:61" hidden="1">
      <c r="C319" s="1190">
        <v>20009</v>
      </c>
      <c r="D319" s="332" t="s">
        <v>2486</v>
      </c>
      <c r="E319" s="560">
        <v>96</v>
      </c>
      <c r="F319" s="560"/>
      <c r="G319" s="560">
        <v>23.3</v>
      </c>
      <c r="H319" s="963">
        <f t="shared" si="10"/>
        <v>0.24270833333333333</v>
      </c>
      <c r="I319" s="310">
        <f t="shared" si="11"/>
        <v>0</v>
      </c>
    </row>
    <row r="320" spans="2:61" hidden="1">
      <c r="C320" s="1190">
        <v>13926</v>
      </c>
      <c r="D320" s="332" t="s">
        <v>1884</v>
      </c>
      <c r="E320" s="560"/>
      <c r="F320" s="560"/>
      <c r="G320" s="560"/>
      <c r="H320" s="963" t="e">
        <f>G320/E320</f>
        <v>#DIV/0!</v>
      </c>
      <c r="I320" s="310">
        <f t="shared" si="11"/>
        <v>0</v>
      </c>
    </row>
    <row r="321" spans="3:61" hidden="1">
      <c r="C321" s="1190">
        <v>9756</v>
      </c>
      <c r="D321" s="332" t="s">
        <v>2474</v>
      </c>
      <c r="E321" s="560"/>
      <c r="F321" s="560"/>
      <c r="G321" s="560"/>
      <c r="H321" s="963" t="e">
        <f>G321/E321</f>
        <v>#DIV/0!</v>
      </c>
      <c r="I321" s="310">
        <f t="shared" si="11"/>
        <v>0</v>
      </c>
    </row>
    <row r="322" spans="3:61" s="570" customFormat="1">
      <c r="C322" s="396">
        <v>15807</v>
      </c>
      <c r="D322" s="1258" t="s">
        <v>2400</v>
      </c>
      <c r="E322" s="396">
        <v>20</v>
      </c>
      <c r="F322" s="396">
        <v>30</v>
      </c>
      <c r="G322" s="396">
        <v>33.799999999999997</v>
      </c>
      <c r="H322" s="976">
        <f>G322/E322</f>
        <v>1.69</v>
      </c>
      <c r="I322" s="108">
        <f t="shared" si="11"/>
        <v>1013.9999999999999</v>
      </c>
      <c r="J322" s="123"/>
      <c r="K322" s="123"/>
      <c r="L322" s="123"/>
      <c r="M322" s="123"/>
      <c r="N322" s="123"/>
      <c r="O322" s="123"/>
      <c r="P322" s="123"/>
      <c r="Q322" s="123"/>
      <c r="R322" s="123"/>
      <c r="S322" s="123"/>
      <c r="T322" s="123"/>
      <c r="U322" s="123"/>
      <c r="V322" s="123"/>
      <c r="W322" s="123"/>
      <c r="X322" s="123"/>
      <c r="Y322" s="123"/>
      <c r="Z322" s="123"/>
      <c r="AA322" s="123"/>
      <c r="AB322" s="123"/>
      <c r="AC322" s="123"/>
      <c r="AD322" s="123"/>
      <c r="AE322" s="123"/>
      <c r="AF322" s="123"/>
      <c r="AG322" s="123"/>
      <c r="AH322" s="123"/>
      <c r="AI322" s="123"/>
      <c r="AJ322" s="123"/>
      <c r="AK322" s="123"/>
      <c r="AL322" s="123"/>
      <c r="AM322" s="123"/>
      <c r="AN322" s="123"/>
      <c r="AO322" s="123"/>
      <c r="AP322" s="123"/>
      <c r="AQ322" s="123"/>
      <c r="AR322" s="123"/>
      <c r="AS322" s="123"/>
      <c r="AT322" s="123"/>
      <c r="AU322" s="123"/>
      <c r="AV322" s="123"/>
      <c r="AW322" s="123"/>
      <c r="AX322" s="123"/>
      <c r="AY322" s="123"/>
      <c r="AZ322" s="123"/>
      <c r="BA322" s="123"/>
      <c r="BB322" s="123"/>
      <c r="BC322" s="123"/>
      <c r="BD322" s="123"/>
      <c r="BE322" s="123"/>
      <c r="BF322" s="123"/>
      <c r="BG322" s="123"/>
      <c r="BH322" s="123"/>
      <c r="BI322" s="123"/>
    </row>
    <row r="323" spans="3:61" hidden="1">
      <c r="C323" s="1190">
        <v>20003</v>
      </c>
      <c r="D323" s="332" t="s">
        <v>2298</v>
      </c>
      <c r="E323" s="560"/>
      <c r="F323" s="560"/>
      <c r="G323" s="560"/>
      <c r="H323" s="963" t="e">
        <f t="shared" ref="H323:H354" si="12">G323/E323</f>
        <v>#DIV/0!</v>
      </c>
      <c r="I323" s="310">
        <f t="shared" si="11"/>
        <v>0</v>
      </c>
    </row>
    <row r="324" spans="3:61" hidden="1">
      <c r="C324" s="1190">
        <v>4030</v>
      </c>
      <c r="D324" s="332" t="s">
        <v>1885</v>
      </c>
      <c r="E324" s="560"/>
      <c r="F324" s="560"/>
      <c r="G324" s="560"/>
      <c r="H324" s="963" t="e">
        <f t="shared" si="12"/>
        <v>#DIV/0!</v>
      </c>
      <c r="I324" s="310">
        <f t="shared" si="11"/>
        <v>0</v>
      </c>
    </row>
    <row r="325" spans="3:61" hidden="1">
      <c r="C325" s="1190">
        <v>5047</v>
      </c>
      <c r="D325" s="332" t="s">
        <v>2473</v>
      </c>
      <c r="E325" s="560"/>
      <c r="F325" s="560"/>
      <c r="G325" s="560"/>
      <c r="H325" s="963" t="e">
        <f t="shared" si="12"/>
        <v>#DIV/0!</v>
      </c>
      <c r="I325" s="310">
        <f t="shared" si="11"/>
        <v>0</v>
      </c>
    </row>
    <row r="326" spans="3:61" hidden="1">
      <c r="C326" s="1190">
        <v>10529</v>
      </c>
      <c r="D326" s="332" t="s">
        <v>2472</v>
      </c>
      <c r="E326" s="560"/>
      <c r="F326" s="560"/>
      <c r="G326" s="560"/>
      <c r="H326" s="963" t="e">
        <f t="shared" si="12"/>
        <v>#DIV/0!</v>
      </c>
      <c r="I326" s="310">
        <f t="shared" si="11"/>
        <v>0</v>
      </c>
    </row>
    <row r="327" spans="3:61" hidden="1">
      <c r="C327" s="1190">
        <v>8036</v>
      </c>
      <c r="D327" s="332" t="s">
        <v>2471</v>
      </c>
      <c r="E327" s="560"/>
      <c r="F327" s="560"/>
      <c r="G327" s="560"/>
      <c r="H327" s="963" t="e">
        <f t="shared" si="12"/>
        <v>#DIV/0!</v>
      </c>
      <c r="I327" s="310">
        <f t="shared" si="11"/>
        <v>0</v>
      </c>
    </row>
    <row r="328" spans="3:61" hidden="1">
      <c r="C328" s="1190">
        <v>8162</v>
      </c>
      <c r="D328" s="332" t="s">
        <v>897</v>
      </c>
      <c r="E328" s="560"/>
      <c r="F328" s="560"/>
      <c r="G328" s="560"/>
      <c r="H328" s="963" t="e">
        <f t="shared" si="12"/>
        <v>#DIV/0!</v>
      </c>
      <c r="I328" s="310">
        <f t="shared" si="11"/>
        <v>0</v>
      </c>
    </row>
    <row r="329" spans="3:61" hidden="1">
      <c r="C329" s="1190">
        <v>17888</v>
      </c>
      <c r="D329" s="332" t="s">
        <v>898</v>
      </c>
      <c r="E329" s="560"/>
      <c r="F329" s="560"/>
      <c r="G329" s="560"/>
      <c r="H329" s="963" t="e">
        <f t="shared" si="12"/>
        <v>#DIV/0!</v>
      </c>
      <c r="I329" s="310">
        <f t="shared" si="11"/>
        <v>0</v>
      </c>
    </row>
    <row r="330" spans="3:61" hidden="1">
      <c r="C330" s="1190">
        <v>9579</v>
      </c>
      <c r="D330" s="332" t="s">
        <v>899</v>
      </c>
      <c r="E330" s="560"/>
      <c r="F330" s="560"/>
      <c r="G330" s="560"/>
      <c r="H330" s="963" t="e">
        <f t="shared" si="12"/>
        <v>#DIV/0!</v>
      </c>
      <c r="I330" s="310">
        <f t="shared" si="11"/>
        <v>0</v>
      </c>
    </row>
    <row r="331" spans="3:61" hidden="1">
      <c r="C331" s="1190">
        <v>7960</v>
      </c>
      <c r="D331" s="332" t="s">
        <v>900</v>
      </c>
      <c r="E331" s="560"/>
      <c r="F331" s="560"/>
      <c r="G331" s="560"/>
      <c r="H331" s="963" t="e">
        <f t="shared" si="12"/>
        <v>#DIV/0!</v>
      </c>
      <c r="I331" s="310">
        <f t="shared" si="11"/>
        <v>0</v>
      </c>
    </row>
    <row r="332" spans="3:61" hidden="1">
      <c r="C332" s="1190">
        <v>950</v>
      </c>
      <c r="D332" s="332" t="s">
        <v>1508</v>
      </c>
      <c r="E332" s="560">
        <v>100</v>
      </c>
      <c r="F332" s="560"/>
      <c r="G332" s="560">
        <v>21.1</v>
      </c>
      <c r="H332" s="963">
        <f t="shared" si="12"/>
        <v>0.21100000000000002</v>
      </c>
      <c r="I332" s="310">
        <f t="shared" si="11"/>
        <v>0</v>
      </c>
    </row>
    <row r="333" spans="3:61" hidden="1">
      <c r="C333" s="1190">
        <v>20010</v>
      </c>
      <c r="D333" s="332" t="s">
        <v>2286</v>
      </c>
      <c r="E333" s="560">
        <v>100</v>
      </c>
      <c r="F333" s="560"/>
      <c r="G333" s="560">
        <v>69.5</v>
      </c>
      <c r="H333" s="963">
        <f t="shared" si="12"/>
        <v>0.69499999999999995</v>
      </c>
      <c r="I333" s="310">
        <f t="shared" si="11"/>
        <v>0</v>
      </c>
    </row>
    <row r="334" spans="3:61" s="570" customFormat="1">
      <c r="C334" s="396">
        <v>16237</v>
      </c>
      <c r="D334" s="1258" t="s">
        <v>1886</v>
      </c>
      <c r="E334" s="396">
        <v>15</v>
      </c>
      <c r="F334" s="396">
        <v>40</v>
      </c>
      <c r="G334" s="396">
        <v>13.5</v>
      </c>
      <c r="H334" s="976">
        <f t="shared" si="12"/>
        <v>0.9</v>
      </c>
      <c r="I334" s="108">
        <f t="shared" si="11"/>
        <v>540</v>
      </c>
      <c r="J334" s="123"/>
      <c r="K334" s="123"/>
      <c r="L334" s="123"/>
      <c r="M334" s="123"/>
      <c r="N334" s="123"/>
      <c r="O334" s="123"/>
      <c r="P334" s="123"/>
      <c r="Q334" s="123"/>
      <c r="R334" s="123"/>
      <c r="S334" s="123"/>
      <c r="T334" s="123"/>
      <c r="U334" s="123"/>
      <c r="V334" s="123"/>
      <c r="W334" s="123"/>
      <c r="X334" s="123"/>
      <c r="Y334" s="123"/>
      <c r="Z334" s="123"/>
      <c r="AA334" s="123"/>
      <c r="AB334" s="123"/>
      <c r="AC334" s="123"/>
      <c r="AD334" s="123"/>
      <c r="AE334" s="123"/>
      <c r="AF334" s="123"/>
      <c r="AG334" s="123"/>
      <c r="AH334" s="123"/>
      <c r="AI334" s="123"/>
      <c r="AJ334" s="123"/>
      <c r="AK334" s="123"/>
      <c r="AL334" s="123"/>
      <c r="AM334" s="123"/>
      <c r="AN334" s="123"/>
      <c r="AO334" s="123"/>
      <c r="AP334" s="123"/>
      <c r="AQ334" s="123"/>
      <c r="AR334" s="123"/>
      <c r="AS334" s="123"/>
      <c r="AT334" s="123"/>
      <c r="AU334" s="123"/>
      <c r="AV334" s="123"/>
      <c r="AW334" s="123"/>
      <c r="AX334" s="123"/>
      <c r="AY334" s="123"/>
      <c r="AZ334" s="123"/>
      <c r="BA334" s="123"/>
      <c r="BB334" s="123"/>
      <c r="BC334" s="123"/>
      <c r="BD334" s="123"/>
      <c r="BE334" s="123"/>
      <c r="BF334" s="123"/>
      <c r="BG334" s="123"/>
      <c r="BH334" s="123"/>
      <c r="BI334" s="123"/>
    </row>
    <row r="335" spans="3:61" hidden="1">
      <c r="C335" s="1190">
        <v>13717</v>
      </c>
      <c r="D335" s="332" t="s">
        <v>2470</v>
      </c>
      <c r="E335" s="560"/>
      <c r="F335" s="560"/>
      <c r="G335" s="560"/>
      <c r="H335" s="963" t="e">
        <f t="shared" si="12"/>
        <v>#DIV/0!</v>
      </c>
      <c r="I335" s="310">
        <f t="shared" si="11"/>
        <v>0</v>
      </c>
    </row>
    <row r="336" spans="3:61" hidden="1">
      <c r="C336" s="1190">
        <v>13716</v>
      </c>
      <c r="D336" s="332" t="s">
        <v>2469</v>
      </c>
      <c r="E336" s="560"/>
      <c r="F336" s="560"/>
      <c r="G336" s="560"/>
      <c r="H336" s="963" t="e">
        <f t="shared" si="12"/>
        <v>#DIV/0!</v>
      </c>
      <c r="I336" s="310">
        <f t="shared" si="11"/>
        <v>0</v>
      </c>
    </row>
    <row r="337" spans="3:9" hidden="1">
      <c r="C337" s="1190">
        <v>14998</v>
      </c>
      <c r="D337" s="332" t="s">
        <v>2468</v>
      </c>
      <c r="E337" s="560"/>
      <c r="F337" s="560"/>
      <c r="G337" s="560"/>
      <c r="H337" s="963" t="e">
        <f t="shared" si="12"/>
        <v>#DIV/0!</v>
      </c>
      <c r="I337" s="310">
        <f t="shared" si="11"/>
        <v>0</v>
      </c>
    </row>
    <row r="338" spans="3:9" hidden="1">
      <c r="C338" s="1190">
        <v>8256</v>
      </c>
      <c r="D338" s="332" t="s">
        <v>2467</v>
      </c>
      <c r="E338" s="560"/>
      <c r="F338" s="560"/>
      <c r="G338" s="560"/>
      <c r="H338" s="963" t="e">
        <f t="shared" si="12"/>
        <v>#DIV/0!</v>
      </c>
      <c r="I338" s="310">
        <f t="shared" si="11"/>
        <v>0</v>
      </c>
    </row>
    <row r="339" spans="3:9" hidden="1">
      <c r="C339" s="1190">
        <v>20764</v>
      </c>
      <c r="D339" s="332" t="s">
        <v>2466</v>
      </c>
      <c r="E339" s="560"/>
      <c r="F339" s="560"/>
      <c r="G339" s="560"/>
      <c r="H339" s="963" t="e">
        <f t="shared" si="12"/>
        <v>#DIV/0!</v>
      </c>
      <c r="I339" s="310">
        <f t="shared" si="11"/>
        <v>0</v>
      </c>
    </row>
    <row r="340" spans="3:9" hidden="1">
      <c r="C340" s="1190">
        <v>13570</v>
      </c>
      <c r="D340" s="332" t="s">
        <v>2465</v>
      </c>
      <c r="E340" s="560"/>
      <c r="F340" s="560"/>
      <c r="G340" s="560"/>
      <c r="H340" s="963" t="e">
        <f t="shared" si="12"/>
        <v>#DIV/0!</v>
      </c>
      <c r="I340" s="310">
        <f t="shared" si="11"/>
        <v>0</v>
      </c>
    </row>
    <row r="341" spans="3:9" hidden="1">
      <c r="C341" s="1190">
        <v>12392</v>
      </c>
      <c r="D341" s="332" t="s">
        <v>2464</v>
      </c>
      <c r="E341" s="560"/>
      <c r="F341" s="560"/>
      <c r="G341" s="560"/>
      <c r="H341" s="963" t="e">
        <f t="shared" si="12"/>
        <v>#DIV/0!</v>
      </c>
      <c r="I341" s="310">
        <f t="shared" si="11"/>
        <v>0</v>
      </c>
    </row>
    <row r="342" spans="3:9" hidden="1">
      <c r="C342" s="1190">
        <v>6706</v>
      </c>
      <c r="D342" s="332" t="s">
        <v>2463</v>
      </c>
      <c r="E342" s="560"/>
      <c r="F342" s="560"/>
      <c r="G342" s="560"/>
      <c r="H342" s="963" t="e">
        <f t="shared" si="12"/>
        <v>#DIV/0!</v>
      </c>
      <c r="I342" s="310">
        <f t="shared" si="11"/>
        <v>0</v>
      </c>
    </row>
    <row r="343" spans="3:9" hidden="1">
      <c r="C343" s="1190">
        <v>8016</v>
      </c>
      <c r="D343" s="332" t="s">
        <v>2393</v>
      </c>
      <c r="E343" s="560">
        <v>144</v>
      </c>
      <c r="F343" s="560">
        <v>0</v>
      </c>
      <c r="G343" s="560">
        <v>87.5</v>
      </c>
      <c r="H343" s="963">
        <f t="shared" si="12"/>
        <v>0.60763888888888884</v>
      </c>
      <c r="I343" s="310">
        <f t="shared" si="11"/>
        <v>0</v>
      </c>
    </row>
    <row r="344" spans="3:9" hidden="1">
      <c r="C344" s="1190">
        <v>8117</v>
      </c>
      <c r="D344" s="332" t="s">
        <v>2284</v>
      </c>
      <c r="E344" s="560">
        <v>96</v>
      </c>
      <c r="F344" s="560"/>
      <c r="G344" s="560">
        <v>51.2</v>
      </c>
      <c r="H344" s="963">
        <f t="shared" si="12"/>
        <v>0.53333333333333333</v>
      </c>
      <c r="I344" s="310">
        <f t="shared" si="11"/>
        <v>0</v>
      </c>
    </row>
    <row r="345" spans="3:9" hidden="1">
      <c r="C345" s="1190">
        <v>8017</v>
      </c>
      <c r="D345" s="332" t="s">
        <v>2283</v>
      </c>
      <c r="E345" s="560"/>
      <c r="F345" s="560"/>
      <c r="G345" s="560"/>
      <c r="H345" s="963" t="e">
        <f t="shared" si="12"/>
        <v>#DIV/0!</v>
      </c>
      <c r="I345" s="310">
        <f t="shared" si="11"/>
        <v>0</v>
      </c>
    </row>
    <row r="346" spans="3:9" hidden="1">
      <c r="C346" s="1190">
        <v>2026</v>
      </c>
      <c r="D346" s="332" t="s">
        <v>421</v>
      </c>
      <c r="E346" s="560"/>
      <c r="F346" s="560"/>
      <c r="G346" s="560"/>
      <c r="H346" s="963" t="e">
        <f t="shared" si="12"/>
        <v>#DIV/0!</v>
      </c>
      <c r="I346" s="310">
        <f t="shared" si="11"/>
        <v>0</v>
      </c>
    </row>
    <row r="347" spans="3:9" hidden="1">
      <c r="C347" s="1190">
        <v>13836</v>
      </c>
      <c r="D347" s="332" t="s">
        <v>2377</v>
      </c>
      <c r="E347" s="560"/>
      <c r="F347" s="560"/>
      <c r="G347" s="560"/>
      <c r="H347" s="963" t="e">
        <f t="shared" si="12"/>
        <v>#DIV/0!</v>
      </c>
      <c r="I347" s="310">
        <f t="shared" si="11"/>
        <v>0</v>
      </c>
    </row>
    <row r="348" spans="3:9" hidden="1">
      <c r="C348" s="1190">
        <v>14401</v>
      </c>
      <c r="D348" s="332" t="s">
        <v>2378</v>
      </c>
      <c r="E348" s="560"/>
      <c r="F348" s="560"/>
      <c r="G348" s="560"/>
      <c r="H348" s="963" t="e">
        <f t="shared" si="12"/>
        <v>#DIV/0!</v>
      </c>
      <c r="I348" s="310">
        <f t="shared" si="11"/>
        <v>0</v>
      </c>
    </row>
    <row r="349" spans="3:9" hidden="1">
      <c r="C349" s="1190">
        <v>14399</v>
      </c>
      <c r="D349" s="332" t="s">
        <v>2379</v>
      </c>
      <c r="E349" s="560"/>
      <c r="F349" s="560"/>
      <c r="G349" s="560"/>
      <c r="H349" s="963" t="e">
        <f t="shared" si="12"/>
        <v>#DIV/0!</v>
      </c>
      <c r="I349" s="310">
        <f t="shared" si="11"/>
        <v>0</v>
      </c>
    </row>
    <row r="350" spans="3:9" hidden="1">
      <c r="C350" s="1190">
        <v>14400</v>
      </c>
      <c r="D350" s="332" t="s">
        <v>2380</v>
      </c>
      <c r="E350" s="560"/>
      <c r="F350" s="560"/>
      <c r="G350" s="560"/>
      <c r="H350" s="963" t="e">
        <f t="shared" si="12"/>
        <v>#DIV/0!</v>
      </c>
      <c r="I350" s="310">
        <f t="shared" si="11"/>
        <v>0</v>
      </c>
    </row>
    <row r="351" spans="3:9" hidden="1">
      <c r="C351" s="1190">
        <v>13582</v>
      </c>
      <c r="D351" s="332" t="s">
        <v>2462</v>
      </c>
      <c r="E351" s="560"/>
      <c r="F351" s="560"/>
      <c r="G351" s="560"/>
      <c r="H351" s="963" t="e">
        <f t="shared" si="12"/>
        <v>#DIV/0!</v>
      </c>
      <c r="I351" s="310">
        <f t="shared" si="11"/>
        <v>0</v>
      </c>
    </row>
    <row r="352" spans="3:9" hidden="1">
      <c r="C352" s="1190">
        <v>13583</v>
      </c>
      <c r="D352" s="332" t="s">
        <v>2461</v>
      </c>
      <c r="E352" s="560"/>
      <c r="F352" s="560"/>
      <c r="G352" s="560"/>
      <c r="H352" s="963" t="e">
        <f t="shared" si="12"/>
        <v>#DIV/0!</v>
      </c>
      <c r="I352" s="310">
        <f t="shared" si="11"/>
        <v>0</v>
      </c>
    </row>
    <row r="353" spans="3:61" hidden="1">
      <c r="C353" s="1190">
        <v>13585</v>
      </c>
      <c r="D353" s="332" t="s">
        <v>2460</v>
      </c>
      <c r="E353" s="560"/>
      <c r="F353" s="560"/>
      <c r="G353" s="560"/>
      <c r="H353" s="963" t="e">
        <f t="shared" si="12"/>
        <v>#DIV/0!</v>
      </c>
      <c r="I353" s="310">
        <f t="shared" si="11"/>
        <v>0</v>
      </c>
    </row>
    <row r="354" spans="3:61" s="404" customFormat="1" hidden="1">
      <c r="C354" s="1190">
        <v>13584</v>
      </c>
      <c r="D354" s="332" t="s">
        <v>2459</v>
      </c>
      <c r="E354" s="560"/>
      <c r="F354" s="560"/>
      <c r="G354" s="560"/>
      <c r="H354" s="963" t="e">
        <f t="shared" si="12"/>
        <v>#DIV/0!</v>
      </c>
      <c r="I354" s="310">
        <f t="shared" si="11"/>
        <v>0</v>
      </c>
      <c r="J354" s="123"/>
      <c r="K354" s="123"/>
      <c r="L354" s="123"/>
      <c r="M354" s="123"/>
      <c r="N354" s="123"/>
      <c r="O354" s="123"/>
      <c r="P354" s="123"/>
      <c r="Q354" s="123"/>
      <c r="R354" s="123"/>
      <c r="S354" s="123"/>
      <c r="T354" s="123"/>
      <c r="U354" s="123"/>
      <c r="V354" s="123"/>
      <c r="W354" s="123"/>
      <c r="X354" s="123"/>
      <c r="Y354" s="123"/>
      <c r="Z354" s="123"/>
      <c r="AA354" s="123"/>
      <c r="AB354" s="123"/>
      <c r="AC354" s="123"/>
      <c r="AD354" s="123"/>
      <c r="AE354" s="123"/>
      <c r="AF354" s="123"/>
      <c r="AG354" s="123"/>
      <c r="AH354" s="123"/>
      <c r="AI354" s="123"/>
      <c r="AJ354" s="123"/>
      <c r="AK354" s="123"/>
      <c r="AL354" s="123"/>
      <c r="AM354" s="123"/>
      <c r="AN354" s="123"/>
      <c r="AO354" s="123"/>
      <c r="AP354" s="123"/>
      <c r="AQ354" s="123"/>
      <c r="AR354" s="123"/>
      <c r="AS354" s="123"/>
      <c r="AT354" s="123"/>
      <c r="AU354" s="123"/>
      <c r="AV354" s="123"/>
      <c r="AW354" s="123"/>
      <c r="AX354" s="123"/>
      <c r="AY354" s="123"/>
      <c r="AZ354" s="123"/>
      <c r="BA354" s="123"/>
      <c r="BB354" s="123"/>
      <c r="BC354" s="123"/>
      <c r="BD354" s="123"/>
      <c r="BE354" s="123"/>
      <c r="BF354" s="123"/>
      <c r="BG354" s="123"/>
      <c r="BH354" s="123"/>
      <c r="BI354" s="123"/>
    </row>
    <row r="355" spans="3:61" hidden="1">
      <c r="C355" s="1190">
        <v>13581</v>
      </c>
      <c r="D355" s="332" t="s">
        <v>2381</v>
      </c>
      <c r="E355" s="560"/>
      <c r="F355" s="560"/>
      <c r="G355" s="560"/>
      <c r="H355" s="963" t="e">
        <f t="shared" ref="H355:H386" si="13">G355/E355</f>
        <v>#DIV/0!</v>
      </c>
      <c r="I355" s="310">
        <f t="shared" si="11"/>
        <v>0</v>
      </c>
    </row>
    <row r="356" spans="3:61" s="570" customFormat="1">
      <c r="C356" s="396">
        <v>18714</v>
      </c>
      <c r="D356" s="1258" t="s">
        <v>2279</v>
      </c>
      <c r="E356" s="396">
        <v>24</v>
      </c>
      <c r="F356" s="396">
        <v>23</v>
      </c>
      <c r="G356" s="396">
        <v>12</v>
      </c>
      <c r="H356" s="976">
        <f t="shared" si="13"/>
        <v>0.5</v>
      </c>
      <c r="I356" s="108">
        <f t="shared" si="11"/>
        <v>276</v>
      </c>
      <c r="J356" s="123"/>
      <c r="K356" s="123"/>
      <c r="L356" s="123"/>
      <c r="M356" s="123"/>
      <c r="N356" s="123"/>
      <c r="O356" s="123"/>
      <c r="P356" s="123"/>
      <c r="Q356" s="123"/>
      <c r="R356" s="123"/>
      <c r="S356" s="123"/>
      <c r="T356" s="123"/>
      <c r="U356" s="123"/>
      <c r="V356" s="123"/>
      <c r="W356" s="123"/>
      <c r="X356" s="123"/>
      <c r="Y356" s="123"/>
      <c r="Z356" s="123"/>
      <c r="AA356" s="123"/>
      <c r="AB356" s="123"/>
      <c r="AC356" s="123"/>
      <c r="AD356" s="123"/>
      <c r="AE356" s="123"/>
      <c r="AF356" s="123"/>
      <c r="AG356" s="123"/>
      <c r="AH356" s="123"/>
      <c r="AI356" s="123"/>
      <c r="AJ356" s="123"/>
      <c r="AK356" s="123"/>
      <c r="AL356" s="123"/>
      <c r="AM356" s="123"/>
      <c r="AN356" s="123"/>
      <c r="AO356" s="123"/>
      <c r="AP356" s="123"/>
      <c r="AQ356" s="123"/>
      <c r="AR356" s="123"/>
      <c r="AS356" s="123"/>
      <c r="AT356" s="123"/>
      <c r="AU356" s="123"/>
      <c r="AV356" s="123"/>
      <c r="AW356" s="123"/>
      <c r="AX356" s="123"/>
      <c r="AY356" s="123"/>
      <c r="AZ356" s="123"/>
      <c r="BA356" s="123"/>
      <c r="BB356" s="123"/>
      <c r="BC356" s="123"/>
      <c r="BD356" s="123"/>
      <c r="BE356" s="123"/>
      <c r="BF356" s="123"/>
      <c r="BG356" s="123"/>
      <c r="BH356" s="123"/>
      <c r="BI356" s="123"/>
    </row>
    <row r="357" spans="3:61" s="570" customFormat="1">
      <c r="C357" s="396"/>
      <c r="D357" s="1258" t="s">
        <v>2300</v>
      </c>
      <c r="E357" s="396">
        <v>24</v>
      </c>
      <c r="F357" s="396">
        <v>20</v>
      </c>
      <c r="G357" s="396">
        <v>12.2</v>
      </c>
      <c r="H357" s="976">
        <f t="shared" si="13"/>
        <v>0.5083333333333333</v>
      </c>
      <c r="I357" s="108">
        <f t="shared" si="11"/>
        <v>244</v>
      </c>
      <c r="J357" s="123"/>
      <c r="K357" s="123"/>
      <c r="L357" s="123"/>
      <c r="M357" s="123"/>
      <c r="N357" s="123"/>
      <c r="O357" s="123"/>
      <c r="P357" s="123"/>
      <c r="Q357" s="123"/>
      <c r="R357" s="123"/>
      <c r="S357" s="123"/>
      <c r="T357" s="123"/>
      <c r="U357" s="123"/>
      <c r="V357" s="123"/>
      <c r="W357" s="123"/>
      <c r="X357" s="123"/>
      <c r="Y357" s="123"/>
      <c r="Z357" s="123"/>
      <c r="AA357" s="123"/>
      <c r="AB357" s="123"/>
      <c r="AC357" s="123"/>
      <c r="AD357" s="123"/>
      <c r="AE357" s="123"/>
      <c r="AF357" s="123"/>
      <c r="AG357" s="123"/>
      <c r="AH357" s="123"/>
      <c r="AI357" s="123"/>
      <c r="AJ357" s="123"/>
      <c r="AK357" s="123"/>
      <c r="AL357" s="123"/>
      <c r="AM357" s="123"/>
      <c r="AN357" s="123"/>
      <c r="AO357" s="123"/>
      <c r="AP357" s="123"/>
      <c r="AQ357" s="123"/>
      <c r="AR357" s="123"/>
      <c r="AS357" s="123"/>
      <c r="AT357" s="123"/>
      <c r="AU357" s="123"/>
      <c r="AV357" s="123"/>
      <c r="AW357" s="123"/>
      <c r="AX357" s="123"/>
      <c r="AY357" s="123"/>
      <c r="AZ357" s="123"/>
      <c r="BA357" s="123"/>
      <c r="BB357" s="123"/>
      <c r="BC357" s="123"/>
      <c r="BD357" s="123"/>
      <c r="BE357" s="123"/>
      <c r="BF357" s="123"/>
      <c r="BG357" s="123"/>
      <c r="BH357" s="123"/>
      <c r="BI357" s="123"/>
    </row>
    <row r="358" spans="3:61" hidden="1">
      <c r="C358" s="1190">
        <v>9499</v>
      </c>
      <c r="D358" s="332" t="s">
        <v>2458</v>
      </c>
      <c r="E358" s="560"/>
      <c r="F358" s="560"/>
      <c r="G358" s="560"/>
      <c r="H358" s="963" t="e">
        <f t="shared" si="13"/>
        <v>#DIV/0!</v>
      </c>
      <c r="I358" s="310">
        <f t="shared" si="11"/>
        <v>0</v>
      </c>
    </row>
    <row r="359" spans="3:61" hidden="1">
      <c r="C359" s="1190">
        <v>20012</v>
      </c>
      <c r="D359" s="332" t="s">
        <v>2287</v>
      </c>
      <c r="E359" s="560"/>
      <c r="F359" s="560"/>
      <c r="G359" s="560"/>
      <c r="H359" s="963" t="e">
        <f t="shared" si="13"/>
        <v>#DIV/0!</v>
      </c>
      <c r="I359" s="310">
        <f t="shared" si="11"/>
        <v>0</v>
      </c>
    </row>
    <row r="360" spans="3:61" s="570" customFormat="1">
      <c r="C360" s="396">
        <v>18707</v>
      </c>
      <c r="D360" s="1258" t="s">
        <v>2278</v>
      </c>
      <c r="E360" s="396">
        <v>12</v>
      </c>
      <c r="F360" s="396">
        <v>10</v>
      </c>
      <c r="G360" s="396">
        <v>7.7</v>
      </c>
      <c r="H360" s="976">
        <f t="shared" si="13"/>
        <v>0.64166666666666672</v>
      </c>
      <c r="I360" s="108">
        <f t="shared" si="11"/>
        <v>77</v>
      </c>
      <c r="J360" s="123"/>
      <c r="K360" s="123"/>
      <c r="L360" s="123"/>
      <c r="M360" s="123"/>
      <c r="N360" s="123"/>
      <c r="O360" s="123"/>
      <c r="P360" s="123"/>
      <c r="Q360" s="123"/>
      <c r="R360" s="123"/>
      <c r="S360" s="123"/>
      <c r="T360" s="123"/>
      <c r="U360" s="123"/>
      <c r="V360" s="123"/>
      <c r="W360" s="123"/>
      <c r="X360" s="123"/>
      <c r="Y360" s="123"/>
      <c r="Z360" s="123"/>
      <c r="AA360" s="123"/>
      <c r="AB360" s="123"/>
      <c r="AC360" s="123"/>
      <c r="AD360" s="123"/>
      <c r="AE360" s="123"/>
      <c r="AF360" s="123"/>
      <c r="AG360" s="123"/>
      <c r="AH360" s="123"/>
      <c r="AI360" s="123"/>
      <c r="AJ360" s="123"/>
      <c r="AK360" s="123"/>
      <c r="AL360" s="123"/>
      <c r="AM360" s="123"/>
      <c r="AN360" s="123"/>
      <c r="AO360" s="123"/>
      <c r="AP360" s="123"/>
      <c r="AQ360" s="123"/>
      <c r="AR360" s="123"/>
      <c r="AS360" s="123"/>
      <c r="AT360" s="123"/>
      <c r="AU360" s="123"/>
      <c r="AV360" s="123"/>
      <c r="AW360" s="123"/>
      <c r="AX360" s="123"/>
      <c r="AY360" s="123"/>
      <c r="AZ360" s="123"/>
      <c r="BA360" s="123"/>
      <c r="BB360" s="123"/>
      <c r="BC360" s="123"/>
      <c r="BD360" s="123"/>
      <c r="BE360" s="123"/>
      <c r="BF360" s="123"/>
      <c r="BG360" s="123"/>
      <c r="BH360" s="123"/>
      <c r="BI360" s="123"/>
    </row>
    <row r="361" spans="3:61" hidden="1">
      <c r="C361" s="1190">
        <v>15426</v>
      </c>
      <c r="D361" s="332" t="s">
        <v>1887</v>
      </c>
      <c r="E361" s="560"/>
      <c r="F361" s="560"/>
      <c r="G361" s="560"/>
      <c r="H361" s="963" t="e">
        <f t="shared" si="13"/>
        <v>#DIV/0!</v>
      </c>
      <c r="I361" s="310">
        <f t="shared" si="11"/>
        <v>0</v>
      </c>
    </row>
    <row r="362" spans="3:61" hidden="1">
      <c r="C362" s="1190">
        <v>15430</v>
      </c>
      <c r="D362" s="332" t="s">
        <v>2280</v>
      </c>
      <c r="E362" s="560"/>
      <c r="F362" s="560"/>
      <c r="G362" s="560"/>
      <c r="H362" s="963" t="e">
        <f t="shared" si="13"/>
        <v>#DIV/0!</v>
      </c>
      <c r="I362" s="310">
        <f t="shared" si="11"/>
        <v>0</v>
      </c>
    </row>
    <row r="363" spans="3:61" hidden="1">
      <c r="C363" s="1190">
        <v>15428</v>
      </c>
      <c r="D363" s="332" t="s">
        <v>1888</v>
      </c>
      <c r="E363" s="560"/>
      <c r="F363" s="560"/>
      <c r="G363" s="560"/>
      <c r="H363" s="963" t="e">
        <f t="shared" si="13"/>
        <v>#DIV/0!</v>
      </c>
      <c r="I363" s="310">
        <f t="shared" si="11"/>
        <v>0</v>
      </c>
    </row>
    <row r="364" spans="3:61" hidden="1">
      <c r="C364" s="1190">
        <v>10416</v>
      </c>
      <c r="D364" s="332" t="s">
        <v>2382</v>
      </c>
      <c r="E364" s="560"/>
      <c r="F364" s="560"/>
      <c r="G364" s="560"/>
      <c r="H364" s="963" t="e">
        <f t="shared" si="13"/>
        <v>#DIV/0!</v>
      </c>
      <c r="I364" s="310">
        <f t="shared" si="11"/>
        <v>0</v>
      </c>
    </row>
    <row r="365" spans="3:61" s="570" customFormat="1" ht="19.5" customHeight="1">
      <c r="C365" s="396">
        <v>9500</v>
      </c>
      <c r="D365" s="1258" t="s">
        <v>2274</v>
      </c>
      <c r="E365" s="396">
        <v>24</v>
      </c>
      <c r="F365" s="396">
        <v>25</v>
      </c>
      <c r="G365" s="396">
        <v>17</v>
      </c>
      <c r="H365" s="976">
        <f t="shared" si="13"/>
        <v>0.70833333333333337</v>
      </c>
      <c r="I365" s="108">
        <f t="shared" si="11"/>
        <v>425</v>
      </c>
      <c r="J365" s="123"/>
      <c r="K365" s="123"/>
      <c r="L365" s="123"/>
      <c r="M365" s="123"/>
      <c r="N365" s="123"/>
      <c r="O365" s="123"/>
      <c r="P365" s="123"/>
      <c r="Q365" s="123"/>
      <c r="R365" s="123"/>
      <c r="S365" s="123"/>
      <c r="T365" s="123"/>
      <c r="U365" s="123"/>
      <c r="V365" s="123"/>
      <c r="W365" s="123"/>
      <c r="X365" s="123"/>
      <c r="Y365" s="123"/>
      <c r="Z365" s="123"/>
      <c r="AA365" s="123"/>
      <c r="AB365" s="123"/>
      <c r="AC365" s="123"/>
      <c r="AD365" s="123"/>
      <c r="AE365" s="123"/>
      <c r="AF365" s="123"/>
      <c r="AG365" s="123"/>
      <c r="AH365" s="123"/>
      <c r="AI365" s="123"/>
      <c r="AJ365" s="123"/>
      <c r="AK365" s="123"/>
      <c r="AL365" s="123"/>
      <c r="AM365" s="123"/>
      <c r="AN365" s="123"/>
      <c r="AO365" s="123"/>
      <c r="AP365" s="123"/>
      <c r="AQ365" s="123"/>
      <c r="AR365" s="123"/>
      <c r="AS365" s="123"/>
      <c r="AT365" s="123"/>
      <c r="AU365" s="123"/>
      <c r="AV365" s="123"/>
      <c r="AW365" s="123"/>
      <c r="AX365" s="123"/>
      <c r="AY365" s="123"/>
      <c r="AZ365" s="123"/>
      <c r="BA365" s="123"/>
      <c r="BB365" s="123"/>
      <c r="BC365" s="123"/>
      <c r="BD365" s="123"/>
      <c r="BE365" s="123"/>
      <c r="BF365" s="123"/>
      <c r="BG365" s="123"/>
      <c r="BH365" s="123"/>
      <c r="BI365" s="123"/>
    </row>
    <row r="366" spans="3:61" hidden="1">
      <c r="C366" s="1190">
        <v>15767</v>
      </c>
      <c r="D366" s="332" t="s">
        <v>1889</v>
      </c>
      <c r="E366" s="560">
        <v>24</v>
      </c>
      <c r="F366" s="560">
        <v>0</v>
      </c>
      <c r="G366" s="560">
        <v>12</v>
      </c>
      <c r="H366" s="963">
        <f t="shared" si="13"/>
        <v>0.5</v>
      </c>
      <c r="I366" s="310">
        <f t="shared" si="11"/>
        <v>0</v>
      </c>
    </row>
    <row r="367" spans="3:61" s="570" customFormat="1">
      <c r="C367" s="396">
        <v>9252</v>
      </c>
      <c r="D367" s="1258" t="s">
        <v>2285</v>
      </c>
      <c r="E367" s="396">
        <v>120</v>
      </c>
      <c r="F367" s="396">
        <v>3</v>
      </c>
      <c r="G367" s="396">
        <v>8.3000000000000007</v>
      </c>
      <c r="H367" s="976">
        <f t="shared" si="13"/>
        <v>6.9166666666666668E-2</v>
      </c>
      <c r="I367" s="108">
        <f t="shared" si="11"/>
        <v>24.900000000000002</v>
      </c>
      <c r="J367" s="123"/>
      <c r="K367" s="123"/>
      <c r="L367" s="123"/>
      <c r="M367" s="123"/>
      <c r="N367" s="123"/>
      <c r="O367" s="123"/>
      <c r="P367" s="123"/>
      <c r="Q367" s="123"/>
      <c r="R367" s="123"/>
      <c r="S367" s="123"/>
      <c r="T367" s="123"/>
      <c r="U367" s="123"/>
      <c r="V367" s="123"/>
      <c r="W367" s="123"/>
      <c r="X367" s="123"/>
      <c r="Y367" s="123"/>
      <c r="Z367" s="123"/>
      <c r="AA367" s="123"/>
      <c r="AB367" s="123"/>
      <c r="AC367" s="123"/>
      <c r="AD367" s="123"/>
      <c r="AE367" s="123"/>
      <c r="AF367" s="123"/>
      <c r="AG367" s="123"/>
      <c r="AH367" s="123"/>
      <c r="AI367" s="123"/>
      <c r="AJ367" s="123"/>
      <c r="AK367" s="123"/>
      <c r="AL367" s="123"/>
      <c r="AM367" s="123"/>
      <c r="AN367" s="123"/>
      <c r="AO367" s="123"/>
      <c r="AP367" s="123"/>
      <c r="AQ367" s="123"/>
      <c r="AR367" s="123"/>
      <c r="AS367" s="123"/>
      <c r="AT367" s="123"/>
      <c r="AU367" s="123"/>
      <c r="AV367" s="123"/>
      <c r="AW367" s="123"/>
      <c r="AX367" s="123"/>
      <c r="AY367" s="123"/>
      <c r="AZ367" s="123"/>
      <c r="BA367" s="123"/>
      <c r="BB367" s="123"/>
      <c r="BC367" s="123"/>
      <c r="BD367" s="123"/>
      <c r="BE367" s="123"/>
      <c r="BF367" s="123"/>
      <c r="BG367" s="123"/>
      <c r="BH367" s="123"/>
      <c r="BI367" s="123"/>
    </row>
    <row r="368" spans="3:61" s="404" customFormat="1" hidden="1">
      <c r="C368" s="1190">
        <v>13577</v>
      </c>
      <c r="D368" s="332" t="s">
        <v>2275</v>
      </c>
      <c r="E368" s="560"/>
      <c r="F368" s="560"/>
      <c r="G368" s="560"/>
      <c r="H368" s="963" t="e">
        <f t="shared" si="13"/>
        <v>#DIV/0!</v>
      </c>
      <c r="I368" s="310">
        <f t="shared" si="11"/>
        <v>0</v>
      </c>
      <c r="J368" s="123"/>
      <c r="K368" s="123"/>
      <c r="L368" s="123"/>
      <c r="M368" s="123"/>
      <c r="N368" s="123"/>
      <c r="O368" s="123"/>
      <c r="P368" s="123"/>
      <c r="Q368" s="123"/>
      <c r="R368" s="123"/>
      <c r="S368" s="123"/>
      <c r="T368" s="123"/>
      <c r="U368" s="123"/>
      <c r="V368" s="123"/>
      <c r="W368" s="123"/>
      <c r="X368" s="123"/>
      <c r="Y368" s="123"/>
      <c r="Z368" s="123"/>
      <c r="AA368" s="123"/>
      <c r="AB368" s="123"/>
      <c r="AC368" s="123"/>
      <c r="AD368" s="123"/>
      <c r="AE368" s="123"/>
      <c r="AF368" s="123"/>
      <c r="AG368" s="123"/>
      <c r="AH368" s="123"/>
      <c r="AI368" s="123"/>
      <c r="AJ368" s="123"/>
      <c r="AK368" s="123"/>
      <c r="AL368" s="123"/>
      <c r="AM368" s="123"/>
      <c r="AN368" s="123"/>
      <c r="AO368" s="123"/>
      <c r="AP368" s="123"/>
      <c r="AQ368" s="123"/>
      <c r="AR368" s="123"/>
      <c r="AS368" s="123"/>
      <c r="AT368" s="123"/>
      <c r="AU368" s="123"/>
      <c r="AV368" s="123"/>
      <c r="AW368" s="123"/>
      <c r="AX368" s="123"/>
      <c r="AY368" s="123"/>
      <c r="AZ368" s="123"/>
      <c r="BA368" s="123"/>
      <c r="BB368" s="123"/>
      <c r="BC368" s="123"/>
      <c r="BD368" s="123"/>
      <c r="BE368" s="123"/>
      <c r="BF368" s="123"/>
      <c r="BG368" s="123"/>
      <c r="BH368" s="123"/>
      <c r="BI368" s="123"/>
    </row>
    <row r="369" spans="3:61" hidden="1">
      <c r="C369" s="1190">
        <v>6901</v>
      </c>
      <c r="D369" s="332" t="s">
        <v>1374</v>
      </c>
      <c r="E369" s="560"/>
      <c r="F369" s="560"/>
      <c r="G369" s="560"/>
      <c r="H369" s="963" t="e">
        <f t="shared" si="13"/>
        <v>#DIV/0!</v>
      </c>
      <c r="I369" s="310">
        <f t="shared" si="11"/>
        <v>0</v>
      </c>
    </row>
    <row r="370" spans="3:61" hidden="1">
      <c r="C370" s="1190">
        <v>8309</v>
      </c>
      <c r="D370" s="332" t="s">
        <v>2457</v>
      </c>
      <c r="E370" s="560"/>
      <c r="F370" s="560"/>
      <c r="G370" s="560"/>
      <c r="H370" s="963" t="e">
        <f t="shared" si="13"/>
        <v>#DIV/0!</v>
      </c>
      <c r="I370" s="310">
        <f t="shared" si="11"/>
        <v>0</v>
      </c>
    </row>
    <row r="371" spans="3:61" s="570" customFormat="1">
      <c r="C371" s="396">
        <v>16239</v>
      </c>
      <c r="D371" s="1258" t="s">
        <v>2281</v>
      </c>
      <c r="E371" s="396">
        <v>24</v>
      </c>
      <c r="F371" s="396">
        <v>25</v>
      </c>
      <c r="G371" s="396">
        <v>12</v>
      </c>
      <c r="H371" s="976">
        <f t="shared" si="13"/>
        <v>0.5</v>
      </c>
      <c r="I371" s="108">
        <f t="shared" si="11"/>
        <v>300</v>
      </c>
      <c r="J371" s="123"/>
      <c r="K371" s="123"/>
      <c r="L371" s="123"/>
      <c r="M371" s="123"/>
      <c r="N371" s="123"/>
      <c r="O371" s="123"/>
      <c r="P371" s="123"/>
      <c r="Q371" s="123"/>
      <c r="R371" s="123"/>
      <c r="S371" s="123"/>
      <c r="T371" s="123"/>
      <c r="U371" s="123"/>
      <c r="V371" s="123"/>
      <c r="W371" s="123"/>
      <c r="X371" s="123"/>
      <c r="Y371" s="123"/>
      <c r="Z371" s="123"/>
      <c r="AA371" s="123"/>
      <c r="AB371" s="123"/>
      <c r="AC371" s="123"/>
      <c r="AD371" s="123"/>
      <c r="AE371" s="123"/>
      <c r="AF371" s="123"/>
      <c r="AG371" s="123"/>
      <c r="AH371" s="123"/>
      <c r="AI371" s="123"/>
      <c r="AJ371" s="123"/>
      <c r="AK371" s="123"/>
      <c r="AL371" s="123"/>
      <c r="AM371" s="123"/>
      <c r="AN371" s="123"/>
      <c r="AO371" s="123"/>
      <c r="AP371" s="123"/>
      <c r="AQ371" s="123"/>
      <c r="AR371" s="123"/>
      <c r="AS371" s="123"/>
      <c r="AT371" s="123"/>
      <c r="AU371" s="123"/>
      <c r="AV371" s="123"/>
      <c r="AW371" s="123"/>
      <c r="AX371" s="123"/>
      <c r="AY371" s="123"/>
      <c r="AZ371" s="123"/>
      <c r="BA371" s="123"/>
      <c r="BB371" s="123"/>
      <c r="BC371" s="123"/>
      <c r="BD371" s="123"/>
      <c r="BE371" s="123"/>
      <c r="BF371" s="123"/>
      <c r="BG371" s="123"/>
      <c r="BH371" s="123"/>
      <c r="BI371" s="123"/>
    </row>
    <row r="372" spans="3:61" hidden="1">
      <c r="C372" s="1190">
        <v>9923</v>
      </c>
      <c r="D372" s="332" t="s">
        <v>1890</v>
      </c>
      <c r="E372" s="560">
        <v>72</v>
      </c>
      <c r="F372" s="560"/>
      <c r="G372" s="560">
        <v>21.6</v>
      </c>
      <c r="H372" s="963">
        <f t="shared" si="13"/>
        <v>0.30000000000000004</v>
      </c>
      <c r="I372" s="310">
        <f t="shared" si="11"/>
        <v>0</v>
      </c>
    </row>
    <row r="373" spans="3:61" hidden="1">
      <c r="C373" s="1190">
        <v>13568</v>
      </c>
      <c r="D373" s="332" t="s">
        <v>2456</v>
      </c>
      <c r="E373" s="560"/>
      <c r="F373" s="560"/>
      <c r="G373" s="560"/>
      <c r="H373" s="963" t="e">
        <f t="shared" si="13"/>
        <v>#DIV/0!</v>
      </c>
      <c r="I373" s="310">
        <f t="shared" si="11"/>
        <v>0</v>
      </c>
    </row>
    <row r="374" spans="3:61" hidden="1">
      <c r="C374" s="1190">
        <v>17887</v>
      </c>
      <c r="D374" s="332" t="s">
        <v>1891</v>
      </c>
      <c r="E374" s="560"/>
      <c r="F374" s="560"/>
      <c r="G374" s="560"/>
      <c r="H374" s="963" t="e">
        <f t="shared" si="13"/>
        <v>#DIV/0!</v>
      </c>
      <c r="I374" s="310">
        <f t="shared" si="11"/>
        <v>0</v>
      </c>
    </row>
    <row r="375" spans="3:61" hidden="1">
      <c r="C375" s="1190">
        <v>11384</v>
      </c>
      <c r="D375" s="332" t="s">
        <v>1892</v>
      </c>
      <c r="E375" s="560"/>
      <c r="F375" s="560"/>
      <c r="G375" s="560"/>
      <c r="H375" s="963" t="e">
        <f t="shared" si="13"/>
        <v>#DIV/0!</v>
      </c>
      <c r="I375" s="310">
        <f t="shared" ref="I375:I420" si="14">F375*G375</f>
        <v>0</v>
      </c>
    </row>
    <row r="376" spans="3:61" hidden="1">
      <c r="C376" s="1190">
        <v>13718</v>
      </c>
      <c r="D376" s="332" t="s">
        <v>1893</v>
      </c>
      <c r="E376" s="560"/>
      <c r="F376" s="560"/>
      <c r="G376" s="560"/>
      <c r="H376" s="963" t="e">
        <f t="shared" si="13"/>
        <v>#DIV/0!</v>
      </c>
      <c r="I376" s="310">
        <f t="shared" si="14"/>
        <v>0</v>
      </c>
    </row>
    <row r="377" spans="3:61" hidden="1">
      <c r="C377" s="1190">
        <v>10228</v>
      </c>
      <c r="D377" s="332" t="s">
        <v>1894</v>
      </c>
      <c r="E377" s="560"/>
      <c r="F377" s="560"/>
      <c r="G377" s="560"/>
      <c r="H377" s="963" t="e">
        <f t="shared" si="13"/>
        <v>#DIV/0!</v>
      </c>
      <c r="I377" s="310">
        <f t="shared" si="14"/>
        <v>0</v>
      </c>
    </row>
    <row r="378" spans="3:61" hidden="1">
      <c r="C378" s="1190">
        <v>10238</v>
      </c>
      <c r="D378" s="332" t="s">
        <v>1491</v>
      </c>
      <c r="E378" s="560"/>
      <c r="F378" s="560"/>
      <c r="G378" s="560"/>
      <c r="H378" s="963" t="e">
        <f t="shared" si="13"/>
        <v>#DIV/0!</v>
      </c>
      <c r="I378" s="310">
        <f t="shared" si="14"/>
        <v>0</v>
      </c>
    </row>
    <row r="379" spans="3:61" hidden="1">
      <c r="C379" s="1190">
        <v>15750</v>
      </c>
      <c r="D379" s="332" t="s">
        <v>2383</v>
      </c>
      <c r="E379" s="560"/>
      <c r="F379" s="560"/>
      <c r="G379" s="560"/>
      <c r="H379" s="963" t="e">
        <f t="shared" si="13"/>
        <v>#DIV/0!</v>
      </c>
      <c r="I379" s="310">
        <f t="shared" si="14"/>
        <v>0</v>
      </c>
    </row>
    <row r="380" spans="3:61" hidden="1">
      <c r="C380" s="1190">
        <v>8000</v>
      </c>
      <c r="D380" s="332" t="s">
        <v>2384</v>
      </c>
      <c r="E380" s="560"/>
      <c r="F380" s="560"/>
      <c r="G380" s="560"/>
      <c r="H380" s="963" t="e">
        <f t="shared" si="13"/>
        <v>#DIV/0!</v>
      </c>
      <c r="I380" s="310">
        <f t="shared" si="14"/>
        <v>0</v>
      </c>
    </row>
    <row r="381" spans="3:61" s="570" customFormat="1">
      <c r="C381" s="396">
        <v>20014</v>
      </c>
      <c r="D381" s="1258" t="s">
        <v>2475</v>
      </c>
      <c r="E381" s="396">
        <v>20</v>
      </c>
      <c r="F381" s="396">
        <v>5</v>
      </c>
      <c r="G381" s="396">
        <v>43</v>
      </c>
      <c r="H381" s="976">
        <f t="shared" si="13"/>
        <v>2.15</v>
      </c>
      <c r="I381" s="108">
        <f t="shared" si="14"/>
        <v>215</v>
      </c>
      <c r="J381" s="123"/>
      <c r="K381" s="123"/>
      <c r="L381" s="123"/>
      <c r="M381" s="123"/>
      <c r="N381" s="123"/>
      <c r="O381" s="123"/>
      <c r="P381" s="123"/>
      <c r="Q381" s="123"/>
      <c r="R381" s="123"/>
      <c r="S381" s="123"/>
      <c r="T381" s="123"/>
      <c r="U381" s="123"/>
      <c r="V381" s="123"/>
      <c r="W381" s="123"/>
      <c r="X381" s="123"/>
      <c r="Y381" s="123"/>
      <c r="Z381" s="123"/>
      <c r="AA381" s="123"/>
      <c r="AB381" s="123"/>
      <c r="AC381" s="123"/>
      <c r="AD381" s="123"/>
      <c r="AE381" s="123"/>
      <c r="AF381" s="123"/>
      <c r="AG381" s="123"/>
      <c r="AH381" s="123"/>
      <c r="AI381" s="123"/>
      <c r="AJ381" s="123"/>
      <c r="AK381" s="123"/>
      <c r="AL381" s="123"/>
      <c r="AM381" s="123"/>
      <c r="AN381" s="123"/>
      <c r="AO381" s="123"/>
      <c r="AP381" s="123"/>
      <c r="AQ381" s="123"/>
      <c r="AR381" s="123"/>
      <c r="AS381" s="123"/>
      <c r="AT381" s="123"/>
      <c r="AU381" s="123"/>
      <c r="AV381" s="123"/>
      <c r="AW381" s="123"/>
      <c r="AX381" s="123"/>
      <c r="AY381" s="123"/>
      <c r="AZ381" s="123"/>
      <c r="BA381" s="123"/>
      <c r="BB381" s="123"/>
      <c r="BC381" s="123"/>
      <c r="BD381" s="123"/>
      <c r="BE381" s="123"/>
      <c r="BF381" s="123"/>
      <c r="BG381" s="123"/>
      <c r="BH381" s="123"/>
      <c r="BI381" s="123"/>
    </row>
    <row r="382" spans="3:61" hidden="1">
      <c r="C382" s="1190">
        <v>13719</v>
      </c>
      <c r="D382" s="332" t="s">
        <v>1895</v>
      </c>
      <c r="E382" s="560"/>
      <c r="F382" s="560"/>
      <c r="G382" s="560"/>
      <c r="H382" s="963" t="e">
        <f t="shared" si="13"/>
        <v>#DIV/0!</v>
      </c>
      <c r="I382" s="310">
        <f t="shared" si="14"/>
        <v>0</v>
      </c>
    </row>
    <row r="383" spans="3:61" s="404" customFormat="1" hidden="1">
      <c r="C383" s="1190">
        <v>13720</v>
      </c>
      <c r="D383" s="332" t="s">
        <v>1896</v>
      </c>
      <c r="E383" s="560"/>
      <c r="F383" s="560"/>
      <c r="G383" s="560"/>
      <c r="H383" s="963" t="e">
        <f t="shared" si="13"/>
        <v>#DIV/0!</v>
      </c>
      <c r="I383" s="310">
        <f t="shared" si="14"/>
        <v>0</v>
      </c>
      <c r="J383" s="123"/>
      <c r="K383" s="123"/>
      <c r="L383" s="123"/>
      <c r="M383" s="123"/>
      <c r="N383" s="123"/>
      <c r="O383" s="123"/>
      <c r="P383" s="123"/>
      <c r="Q383" s="123"/>
      <c r="R383" s="123"/>
      <c r="S383" s="123"/>
      <c r="T383" s="123"/>
      <c r="U383" s="123"/>
      <c r="V383" s="123"/>
      <c r="W383" s="123"/>
      <c r="X383" s="123"/>
      <c r="Y383" s="123"/>
      <c r="Z383" s="123"/>
      <c r="AA383" s="123"/>
      <c r="AB383" s="123"/>
      <c r="AC383" s="123"/>
      <c r="AD383" s="123"/>
      <c r="AE383" s="123"/>
      <c r="AF383" s="123"/>
      <c r="AG383" s="123"/>
      <c r="AH383" s="123"/>
      <c r="AI383" s="123"/>
      <c r="AJ383" s="123"/>
      <c r="AK383" s="123"/>
      <c r="AL383" s="123"/>
      <c r="AM383" s="123"/>
      <c r="AN383" s="123"/>
      <c r="AO383" s="123"/>
      <c r="AP383" s="123"/>
      <c r="AQ383" s="123"/>
      <c r="AR383" s="123"/>
      <c r="AS383" s="123"/>
      <c r="AT383" s="123"/>
      <c r="AU383" s="123"/>
      <c r="AV383" s="123"/>
      <c r="AW383" s="123"/>
      <c r="AX383" s="123"/>
      <c r="AY383" s="123"/>
      <c r="AZ383" s="123"/>
      <c r="BA383" s="123"/>
      <c r="BB383" s="123"/>
      <c r="BC383" s="123"/>
      <c r="BD383" s="123"/>
      <c r="BE383" s="123"/>
      <c r="BF383" s="123"/>
      <c r="BG383" s="123"/>
      <c r="BH383" s="123"/>
      <c r="BI383" s="123"/>
    </row>
    <row r="384" spans="3:61" hidden="1">
      <c r="C384" s="1190">
        <v>9755</v>
      </c>
      <c r="D384" s="332" t="s">
        <v>1897</v>
      </c>
      <c r="E384" s="560">
        <v>24</v>
      </c>
      <c r="F384" s="560"/>
      <c r="G384" s="560">
        <v>13.5</v>
      </c>
      <c r="H384" s="963">
        <f t="shared" si="13"/>
        <v>0.5625</v>
      </c>
      <c r="I384" s="310">
        <f t="shared" si="14"/>
        <v>0</v>
      </c>
    </row>
    <row r="385" spans="3:61" ht="15" hidden="1" customHeight="1">
      <c r="C385" s="1190">
        <v>10396</v>
      </c>
      <c r="D385" s="332" t="s">
        <v>1898</v>
      </c>
      <c r="E385" s="560">
        <v>12</v>
      </c>
      <c r="F385" s="560">
        <v>0</v>
      </c>
      <c r="G385" s="560">
        <v>13.5</v>
      </c>
      <c r="H385" s="963">
        <f t="shared" si="13"/>
        <v>1.125</v>
      </c>
      <c r="I385" s="310">
        <f t="shared" si="14"/>
        <v>0</v>
      </c>
    </row>
    <row r="386" spans="3:61" hidden="1">
      <c r="C386" s="1190">
        <v>13580</v>
      </c>
      <c r="D386" s="332" t="s">
        <v>2398</v>
      </c>
      <c r="E386" s="560"/>
      <c r="F386" s="560"/>
      <c r="G386" s="560"/>
      <c r="H386" s="963" t="e">
        <f t="shared" si="13"/>
        <v>#DIV/0!</v>
      </c>
      <c r="I386" s="310">
        <f t="shared" si="14"/>
        <v>0</v>
      </c>
    </row>
    <row r="387" spans="3:61" s="570" customFormat="1">
      <c r="C387" s="396"/>
      <c r="D387" s="1258" t="s">
        <v>2489</v>
      </c>
      <c r="E387" s="396">
        <v>50</v>
      </c>
      <c r="F387" s="396">
        <v>10</v>
      </c>
      <c r="G387" s="396">
        <v>2.4</v>
      </c>
      <c r="H387" s="976">
        <f t="shared" ref="H387:H392" si="15">G387/E387</f>
        <v>4.8000000000000001E-2</v>
      </c>
      <c r="I387" s="108">
        <f t="shared" si="14"/>
        <v>24</v>
      </c>
      <c r="J387" s="123"/>
      <c r="K387" s="123"/>
      <c r="L387" s="123"/>
      <c r="M387" s="123"/>
      <c r="N387" s="123"/>
      <c r="O387" s="123"/>
      <c r="P387" s="123"/>
      <c r="Q387" s="123"/>
      <c r="R387" s="123"/>
      <c r="S387" s="123"/>
      <c r="T387" s="123"/>
      <c r="U387" s="123"/>
      <c r="V387" s="123"/>
      <c r="W387" s="123"/>
      <c r="X387" s="123"/>
      <c r="Y387" s="123"/>
      <c r="Z387" s="123"/>
      <c r="AA387" s="123"/>
      <c r="AB387" s="123"/>
      <c r="AC387" s="123"/>
      <c r="AD387" s="123"/>
      <c r="AE387" s="123"/>
      <c r="AF387" s="123"/>
      <c r="AG387" s="123"/>
      <c r="AH387" s="123"/>
      <c r="AI387" s="123"/>
      <c r="AJ387" s="123"/>
      <c r="AK387" s="123"/>
      <c r="AL387" s="123"/>
      <c r="AM387" s="123"/>
      <c r="AN387" s="123"/>
      <c r="AO387" s="123"/>
      <c r="AP387" s="123"/>
      <c r="AQ387" s="123"/>
      <c r="AR387" s="123"/>
      <c r="AS387" s="123"/>
      <c r="AT387" s="123"/>
      <c r="AU387" s="123"/>
      <c r="AV387" s="123"/>
      <c r="AW387" s="123"/>
      <c r="AX387" s="123"/>
      <c r="AY387" s="123"/>
      <c r="AZ387" s="123"/>
      <c r="BA387" s="123"/>
      <c r="BB387" s="123"/>
      <c r="BC387" s="123"/>
      <c r="BD387" s="123"/>
      <c r="BE387" s="123"/>
      <c r="BF387" s="123"/>
      <c r="BG387" s="123"/>
      <c r="BH387" s="123"/>
      <c r="BI387" s="123"/>
    </row>
    <row r="388" spans="3:61" s="570" customFormat="1">
      <c r="C388" s="396"/>
      <c r="D388" s="1258" t="s">
        <v>2490</v>
      </c>
      <c r="E388" s="396">
        <v>25</v>
      </c>
      <c r="F388" s="396">
        <v>2</v>
      </c>
      <c r="G388" s="396">
        <v>25.6</v>
      </c>
      <c r="H388" s="976">
        <f t="shared" si="15"/>
        <v>1.024</v>
      </c>
      <c r="I388" s="108">
        <f t="shared" si="14"/>
        <v>51.2</v>
      </c>
      <c r="J388" s="123"/>
      <c r="K388" s="123"/>
      <c r="L388" s="123"/>
      <c r="M388" s="123"/>
      <c r="N388" s="123"/>
      <c r="O388" s="123"/>
      <c r="P388" s="123"/>
      <c r="Q388" s="123"/>
      <c r="R388" s="123"/>
      <c r="S388" s="123"/>
      <c r="T388" s="123"/>
      <c r="U388" s="123"/>
      <c r="V388" s="123"/>
      <c r="W388" s="123"/>
      <c r="X388" s="123"/>
      <c r="Y388" s="123"/>
      <c r="Z388" s="123"/>
      <c r="AA388" s="123"/>
      <c r="AB388" s="123"/>
      <c r="AC388" s="123"/>
      <c r="AD388" s="123"/>
      <c r="AE388" s="123"/>
      <c r="AF388" s="123"/>
      <c r="AG388" s="123"/>
      <c r="AH388" s="123"/>
      <c r="AI388" s="123"/>
      <c r="AJ388" s="123"/>
      <c r="AK388" s="123"/>
      <c r="AL388" s="123"/>
      <c r="AM388" s="123"/>
      <c r="AN388" s="123"/>
      <c r="AO388" s="123"/>
      <c r="AP388" s="123"/>
      <c r="AQ388" s="123"/>
      <c r="AR388" s="123"/>
      <c r="AS388" s="123"/>
      <c r="AT388" s="123"/>
      <c r="AU388" s="123"/>
      <c r="AV388" s="123"/>
      <c r="AW388" s="123"/>
      <c r="AX388" s="123"/>
      <c r="AY388" s="123"/>
      <c r="AZ388" s="123"/>
      <c r="BA388" s="123"/>
      <c r="BB388" s="123"/>
      <c r="BC388" s="123"/>
      <c r="BD388" s="123"/>
      <c r="BE388" s="123"/>
      <c r="BF388" s="123"/>
      <c r="BG388" s="123"/>
      <c r="BH388" s="123"/>
      <c r="BI388" s="123"/>
    </row>
    <row r="389" spans="3:61" s="570" customFormat="1">
      <c r="C389" s="396"/>
      <c r="D389" s="1258" t="s">
        <v>2492</v>
      </c>
      <c r="E389" s="396">
        <v>20</v>
      </c>
      <c r="F389" s="396">
        <v>2</v>
      </c>
      <c r="G389" s="396">
        <v>22.5</v>
      </c>
      <c r="H389" s="976">
        <f t="shared" si="15"/>
        <v>1.125</v>
      </c>
      <c r="I389" s="108">
        <f t="shared" si="14"/>
        <v>45</v>
      </c>
      <c r="J389" s="123"/>
      <c r="K389" s="123"/>
      <c r="L389" s="123"/>
      <c r="M389" s="123"/>
      <c r="N389" s="123"/>
      <c r="O389" s="123"/>
      <c r="P389" s="123"/>
      <c r="Q389" s="123"/>
      <c r="R389" s="123"/>
      <c r="S389" s="123"/>
      <c r="T389" s="123"/>
      <c r="U389" s="123"/>
      <c r="V389" s="123"/>
      <c r="W389" s="123"/>
      <c r="X389" s="123"/>
      <c r="Y389" s="123"/>
      <c r="Z389" s="123"/>
      <c r="AA389" s="123"/>
      <c r="AB389" s="123"/>
      <c r="AC389" s="123"/>
      <c r="AD389" s="123"/>
      <c r="AE389" s="123"/>
      <c r="AF389" s="123"/>
      <c r="AG389" s="123"/>
      <c r="AH389" s="123"/>
      <c r="AI389" s="123"/>
      <c r="AJ389" s="123"/>
      <c r="AK389" s="123"/>
      <c r="AL389" s="123"/>
      <c r="AM389" s="123"/>
      <c r="AN389" s="123"/>
      <c r="AO389" s="123"/>
      <c r="AP389" s="123"/>
      <c r="AQ389" s="123"/>
      <c r="AR389" s="123"/>
      <c r="AS389" s="123"/>
      <c r="AT389" s="123"/>
      <c r="AU389" s="123"/>
      <c r="AV389" s="123"/>
      <c r="AW389" s="123"/>
      <c r="AX389" s="123"/>
      <c r="AY389" s="123"/>
      <c r="AZ389" s="123"/>
      <c r="BA389" s="123"/>
      <c r="BB389" s="123"/>
      <c r="BC389" s="123"/>
      <c r="BD389" s="123"/>
      <c r="BE389" s="123"/>
      <c r="BF389" s="123"/>
      <c r="BG389" s="123"/>
      <c r="BH389" s="123"/>
      <c r="BI389" s="123"/>
    </row>
    <row r="390" spans="3:61" s="570" customFormat="1" hidden="1">
      <c r="C390" s="396"/>
      <c r="D390" s="1258" t="s">
        <v>2491</v>
      </c>
      <c r="E390" s="396">
        <v>25</v>
      </c>
      <c r="F390" s="396">
        <v>0</v>
      </c>
      <c r="G390" s="396">
        <v>29.7</v>
      </c>
      <c r="H390" s="976">
        <f t="shared" si="15"/>
        <v>1.1879999999999999</v>
      </c>
      <c r="I390" s="108">
        <f t="shared" si="14"/>
        <v>0</v>
      </c>
      <c r="J390" s="123"/>
      <c r="K390" s="123"/>
      <c r="L390" s="123"/>
      <c r="M390" s="123"/>
      <c r="N390" s="123"/>
      <c r="O390" s="123"/>
      <c r="P390" s="123"/>
      <c r="Q390" s="123"/>
      <c r="R390" s="123"/>
      <c r="S390" s="123"/>
      <c r="T390" s="123"/>
      <c r="U390" s="123"/>
      <c r="V390" s="123"/>
      <c r="W390" s="123"/>
      <c r="X390" s="123"/>
      <c r="Y390" s="123"/>
      <c r="Z390" s="123"/>
      <c r="AA390" s="123"/>
      <c r="AB390" s="123"/>
      <c r="AC390" s="123"/>
      <c r="AD390" s="123"/>
      <c r="AE390" s="123"/>
      <c r="AF390" s="123"/>
      <c r="AG390" s="123"/>
      <c r="AH390" s="123"/>
      <c r="AI390" s="123"/>
      <c r="AJ390" s="123"/>
      <c r="AK390" s="123"/>
      <c r="AL390" s="123"/>
      <c r="AM390" s="123"/>
      <c r="AN390" s="123"/>
      <c r="AO390" s="123"/>
      <c r="AP390" s="123"/>
      <c r="AQ390" s="123"/>
      <c r="AR390" s="123"/>
      <c r="AS390" s="123"/>
      <c r="AT390" s="123"/>
      <c r="AU390" s="123"/>
      <c r="AV390" s="123"/>
      <c r="AW390" s="123"/>
      <c r="AX390" s="123"/>
      <c r="AY390" s="123"/>
      <c r="AZ390" s="123"/>
      <c r="BA390" s="123"/>
      <c r="BB390" s="123"/>
      <c r="BC390" s="123"/>
      <c r="BD390" s="123"/>
      <c r="BE390" s="123"/>
      <c r="BF390" s="123"/>
      <c r="BG390" s="123"/>
      <c r="BH390" s="123"/>
      <c r="BI390" s="123"/>
    </row>
    <row r="391" spans="3:61" s="570" customFormat="1">
      <c r="C391" s="396"/>
      <c r="D391" s="1258" t="s">
        <v>2493</v>
      </c>
      <c r="E391" s="396">
        <v>20</v>
      </c>
      <c r="F391" s="396">
        <v>2</v>
      </c>
      <c r="G391" s="396">
        <v>29.2</v>
      </c>
      <c r="H391" s="976">
        <f t="shared" si="15"/>
        <v>1.46</v>
      </c>
      <c r="I391" s="108">
        <f t="shared" si="14"/>
        <v>58.4</v>
      </c>
      <c r="J391" s="123"/>
      <c r="K391" s="123"/>
      <c r="L391" s="123"/>
      <c r="M391" s="123"/>
      <c r="N391" s="123"/>
      <c r="O391" s="123"/>
      <c r="P391" s="123"/>
      <c r="Q391" s="123"/>
      <c r="R391" s="123"/>
      <c r="S391" s="123"/>
      <c r="T391" s="123"/>
      <c r="U391" s="123"/>
      <c r="V391" s="123"/>
      <c r="W391" s="123"/>
      <c r="X391" s="123"/>
      <c r="Y391" s="123"/>
      <c r="Z391" s="123"/>
      <c r="AA391" s="123"/>
      <c r="AB391" s="123"/>
      <c r="AC391" s="123"/>
      <c r="AD391" s="123"/>
      <c r="AE391" s="123"/>
      <c r="AF391" s="123"/>
      <c r="AG391" s="123"/>
      <c r="AH391" s="123"/>
      <c r="AI391" s="123"/>
      <c r="AJ391" s="123"/>
      <c r="AK391" s="123"/>
      <c r="AL391" s="123"/>
      <c r="AM391" s="123"/>
      <c r="AN391" s="123"/>
      <c r="AO391" s="123"/>
      <c r="AP391" s="123"/>
      <c r="AQ391" s="123"/>
      <c r="AR391" s="123"/>
      <c r="AS391" s="123"/>
      <c r="AT391" s="123"/>
      <c r="AU391" s="123"/>
      <c r="AV391" s="123"/>
      <c r="AW391" s="123"/>
      <c r="AX391" s="123"/>
      <c r="AY391" s="123"/>
      <c r="AZ391" s="123"/>
      <c r="BA391" s="123"/>
      <c r="BB391" s="123"/>
      <c r="BC391" s="123"/>
      <c r="BD391" s="123"/>
      <c r="BE391" s="123"/>
      <c r="BF391" s="123"/>
      <c r="BG391" s="123"/>
      <c r="BH391" s="123"/>
      <c r="BI391" s="123"/>
    </row>
    <row r="392" spans="3:61" s="404" customFormat="1" hidden="1">
      <c r="C392" s="1190"/>
      <c r="D392" s="332"/>
      <c r="E392" s="560"/>
      <c r="F392" s="560"/>
      <c r="G392" s="560"/>
      <c r="H392" s="963" t="e">
        <f t="shared" si="15"/>
        <v>#DIV/0!</v>
      </c>
      <c r="I392" s="310">
        <f t="shared" si="14"/>
        <v>0</v>
      </c>
      <c r="J392" s="123"/>
      <c r="K392" s="123"/>
      <c r="L392" s="123"/>
      <c r="M392" s="123"/>
      <c r="N392" s="123"/>
      <c r="O392" s="123"/>
      <c r="P392" s="123"/>
      <c r="Q392" s="123"/>
      <c r="R392" s="123"/>
      <c r="S392" s="123"/>
      <c r="T392" s="123"/>
      <c r="U392" s="123"/>
      <c r="V392" s="123"/>
      <c r="W392" s="123"/>
      <c r="X392" s="123"/>
      <c r="Y392" s="123"/>
      <c r="Z392" s="123"/>
      <c r="AA392" s="123"/>
      <c r="AB392" s="123"/>
      <c r="AC392" s="123"/>
      <c r="AD392" s="123"/>
      <c r="AE392" s="123"/>
      <c r="AF392" s="123"/>
      <c r="AG392" s="123"/>
      <c r="AH392" s="123"/>
      <c r="AI392" s="123"/>
      <c r="AJ392" s="123"/>
      <c r="AK392" s="123"/>
      <c r="AL392" s="123"/>
      <c r="AM392" s="123"/>
      <c r="AN392" s="123"/>
      <c r="AO392" s="123"/>
      <c r="AP392" s="123"/>
      <c r="AQ392" s="123"/>
      <c r="AR392" s="123"/>
      <c r="AS392" s="123"/>
      <c r="AT392" s="123"/>
      <c r="AU392" s="123"/>
      <c r="AV392" s="123"/>
      <c r="AW392" s="123"/>
      <c r="AX392" s="123"/>
      <c r="AY392" s="123"/>
      <c r="AZ392" s="123"/>
      <c r="BA392" s="123"/>
      <c r="BB392" s="123"/>
      <c r="BC392" s="123"/>
      <c r="BD392" s="123"/>
      <c r="BE392" s="123"/>
      <c r="BF392" s="123"/>
      <c r="BG392" s="123"/>
      <c r="BH392" s="123"/>
      <c r="BI392" s="123"/>
    </row>
    <row r="393" spans="3:61" hidden="1">
      <c r="C393" s="1190">
        <v>5864</v>
      </c>
      <c r="D393" s="332" t="s">
        <v>2296</v>
      </c>
      <c r="E393" s="560"/>
      <c r="F393" s="560"/>
      <c r="G393" s="560"/>
      <c r="H393" s="963" t="e">
        <f t="shared" ref="H393:H417" si="16">G393/E393</f>
        <v>#DIV/0!</v>
      </c>
      <c r="I393" s="310">
        <f t="shared" si="14"/>
        <v>0</v>
      </c>
    </row>
    <row r="394" spans="3:61" hidden="1">
      <c r="C394" s="1190">
        <v>13569</v>
      </c>
      <c r="D394" s="332" t="s">
        <v>2455</v>
      </c>
      <c r="E394" s="560"/>
      <c r="F394" s="560"/>
      <c r="G394" s="560"/>
      <c r="H394" s="963" t="e">
        <f t="shared" si="16"/>
        <v>#DIV/0!</v>
      </c>
      <c r="I394" s="310">
        <f t="shared" si="14"/>
        <v>0</v>
      </c>
    </row>
    <row r="395" spans="3:61" hidden="1">
      <c r="C395" s="1190">
        <v>13578</v>
      </c>
      <c r="D395" s="332" t="s">
        <v>2282</v>
      </c>
      <c r="E395" s="560"/>
      <c r="F395" s="560"/>
      <c r="G395" s="560"/>
      <c r="H395" s="963" t="e">
        <f t="shared" si="16"/>
        <v>#DIV/0!</v>
      </c>
      <c r="I395" s="310">
        <f t="shared" si="14"/>
        <v>0</v>
      </c>
    </row>
    <row r="396" spans="3:61" s="570" customFormat="1" ht="13.5" customHeight="1">
      <c r="C396" s="396"/>
      <c r="D396" s="1258" t="s">
        <v>2476</v>
      </c>
      <c r="E396" s="396">
        <v>12</v>
      </c>
      <c r="F396" s="396">
        <v>10</v>
      </c>
      <c r="G396" s="396">
        <v>8.6</v>
      </c>
      <c r="H396" s="976">
        <f t="shared" si="16"/>
        <v>0.71666666666666667</v>
      </c>
      <c r="I396" s="108">
        <f t="shared" si="14"/>
        <v>86</v>
      </c>
      <c r="J396" s="123"/>
      <c r="K396" s="123"/>
      <c r="L396" s="123"/>
      <c r="M396" s="123"/>
      <c r="N396" s="123"/>
      <c r="O396" s="123"/>
      <c r="P396" s="123"/>
      <c r="Q396" s="123"/>
      <c r="R396" s="123"/>
      <c r="S396" s="123"/>
      <c r="T396" s="123"/>
      <c r="U396" s="123"/>
      <c r="V396" s="123"/>
      <c r="W396" s="123"/>
      <c r="X396" s="123"/>
      <c r="Y396" s="123"/>
      <c r="Z396" s="123"/>
      <c r="AA396" s="123"/>
      <c r="AB396" s="123"/>
      <c r="AC396" s="123"/>
      <c r="AD396" s="123"/>
      <c r="AE396" s="123"/>
      <c r="AF396" s="123"/>
      <c r="AG396" s="123"/>
      <c r="AH396" s="123"/>
      <c r="AI396" s="123"/>
      <c r="AJ396" s="123"/>
      <c r="AK396" s="123"/>
      <c r="AL396" s="123"/>
      <c r="AM396" s="123"/>
      <c r="AN396" s="123"/>
      <c r="AO396" s="123"/>
      <c r="AP396" s="123"/>
      <c r="AQ396" s="123"/>
      <c r="AR396" s="123"/>
      <c r="AS396" s="123"/>
      <c r="AT396" s="123"/>
      <c r="AU396" s="123"/>
      <c r="AV396" s="123"/>
      <c r="AW396" s="123"/>
      <c r="AX396" s="123"/>
      <c r="AY396" s="123"/>
      <c r="AZ396" s="123"/>
      <c r="BA396" s="123"/>
      <c r="BB396" s="123"/>
      <c r="BC396" s="123"/>
      <c r="BD396" s="123"/>
      <c r="BE396" s="123"/>
      <c r="BF396" s="123"/>
      <c r="BG396" s="123"/>
      <c r="BH396" s="123"/>
      <c r="BI396" s="123"/>
    </row>
    <row r="397" spans="3:61" s="570" customFormat="1">
      <c r="C397" s="396"/>
      <c r="D397" s="1258" t="s">
        <v>2477</v>
      </c>
      <c r="E397" s="396">
        <v>12</v>
      </c>
      <c r="F397" s="396">
        <v>10</v>
      </c>
      <c r="G397" s="396">
        <v>9.35</v>
      </c>
      <c r="H397" s="976">
        <f t="shared" si="16"/>
        <v>0.77916666666666667</v>
      </c>
      <c r="I397" s="108">
        <f t="shared" si="14"/>
        <v>93.5</v>
      </c>
      <c r="J397" s="123"/>
      <c r="K397" s="123"/>
      <c r="L397" s="123"/>
      <c r="M397" s="123"/>
      <c r="N397" s="123"/>
      <c r="O397" s="123"/>
      <c r="P397" s="123"/>
      <c r="Q397" s="123"/>
      <c r="R397" s="123"/>
      <c r="S397" s="123"/>
      <c r="T397" s="123"/>
      <c r="U397" s="123"/>
      <c r="V397" s="123"/>
      <c r="W397" s="123"/>
      <c r="X397" s="123"/>
      <c r="Y397" s="123"/>
      <c r="Z397" s="123"/>
      <c r="AA397" s="123"/>
      <c r="AB397" s="123"/>
      <c r="AC397" s="123"/>
      <c r="AD397" s="123"/>
      <c r="AE397" s="123"/>
      <c r="AF397" s="123"/>
      <c r="AG397" s="123"/>
      <c r="AH397" s="123"/>
      <c r="AI397" s="123"/>
      <c r="AJ397" s="123"/>
      <c r="AK397" s="123"/>
      <c r="AL397" s="123"/>
      <c r="AM397" s="123"/>
      <c r="AN397" s="123"/>
      <c r="AO397" s="123"/>
      <c r="AP397" s="123"/>
      <c r="AQ397" s="123"/>
      <c r="AR397" s="123"/>
      <c r="AS397" s="123"/>
      <c r="AT397" s="123"/>
      <c r="AU397" s="123"/>
      <c r="AV397" s="123"/>
      <c r="AW397" s="123"/>
      <c r="AX397" s="123"/>
      <c r="AY397" s="123"/>
      <c r="AZ397" s="123"/>
      <c r="BA397" s="123"/>
      <c r="BB397" s="123"/>
      <c r="BC397" s="123"/>
      <c r="BD397" s="123"/>
      <c r="BE397" s="123"/>
      <c r="BF397" s="123"/>
      <c r="BG397" s="123"/>
      <c r="BH397" s="123"/>
      <c r="BI397" s="123"/>
    </row>
    <row r="398" spans="3:61" hidden="1">
      <c r="C398" s="1190">
        <v>2647</v>
      </c>
      <c r="D398" s="332" t="s">
        <v>1899</v>
      </c>
      <c r="E398" s="560">
        <v>252</v>
      </c>
      <c r="F398" s="560">
        <v>0</v>
      </c>
      <c r="G398" s="560">
        <v>37.200000000000003</v>
      </c>
      <c r="H398" s="963">
        <f t="shared" si="16"/>
        <v>0.14761904761904762</v>
      </c>
      <c r="I398" s="310">
        <f t="shared" si="14"/>
        <v>0</v>
      </c>
    </row>
    <row r="399" spans="3:61" s="570" customFormat="1">
      <c r="C399" s="396">
        <v>7644</v>
      </c>
      <c r="D399" s="1258" t="s">
        <v>2454</v>
      </c>
      <c r="E399" s="396">
        <v>72</v>
      </c>
      <c r="F399" s="396">
        <v>4</v>
      </c>
      <c r="G399" s="396">
        <v>31.7</v>
      </c>
      <c r="H399" s="976">
        <f t="shared" si="16"/>
        <v>0.44027777777777777</v>
      </c>
      <c r="I399" s="108">
        <f t="shared" si="14"/>
        <v>126.8</v>
      </c>
      <c r="J399" s="123"/>
      <c r="K399" s="123"/>
      <c r="L399" s="123"/>
      <c r="M399" s="123"/>
      <c r="N399" s="123"/>
      <c r="O399" s="123"/>
      <c r="P399" s="123"/>
      <c r="Q399" s="123"/>
      <c r="R399" s="123"/>
      <c r="S399" s="123"/>
      <c r="T399" s="123"/>
      <c r="U399" s="123"/>
      <c r="V399" s="123"/>
      <c r="W399" s="123"/>
      <c r="X399" s="123"/>
      <c r="Y399" s="123"/>
      <c r="Z399" s="123"/>
      <c r="AA399" s="123"/>
      <c r="AB399" s="123"/>
      <c r="AC399" s="123"/>
      <c r="AD399" s="123"/>
      <c r="AE399" s="123"/>
      <c r="AF399" s="123"/>
      <c r="AG399" s="123"/>
      <c r="AH399" s="123"/>
      <c r="AI399" s="123"/>
      <c r="AJ399" s="123"/>
      <c r="AK399" s="123"/>
      <c r="AL399" s="123"/>
      <c r="AM399" s="123"/>
      <c r="AN399" s="123"/>
      <c r="AO399" s="123"/>
      <c r="AP399" s="123"/>
      <c r="AQ399" s="123"/>
      <c r="AR399" s="123"/>
      <c r="AS399" s="123"/>
      <c r="AT399" s="123"/>
      <c r="AU399" s="123"/>
      <c r="AV399" s="123"/>
      <c r="AW399" s="123"/>
      <c r="AX399" s="123"/>
      <c r="AY399" s="123"/>
      <c r="AZ399" s="123"/>
      <c r="BA399" s="123"/>
      <c r="BB399" s="123"/>
      <c r="BC399" s="123"/>
      <c r="BD399" s="123"/>
      <c r="BE399" s="123"/>
      <c r="BF399" s="123"/>
      <c r="BG399" s="123"/>
      <c r="BH399" s="123"/>
      <c r="BI399" s="123"/>
    </row>
    <row r="400" spans="3:61" hidden="1">
      <c r="C400" s="1190">
        <v>14402</v>
      </c>
      <c r="D400" s="332" t="s">
        <v>2453</v>
      </c>
      <c r="E400" s="560"/>
      <c r="F400" s="560"/>
      <c r="G400" s="560"/>
      <c r="H400" s="963" t="e">
        <f t="shared" si="16"/>
        <v>#DIV/0!</v>
      </c>
      <c r="I400" s="310">
        <f t="shared" si="14"/>
        <v>0</v>
      </c>
    </row>
    <row r="401" spans="3:61" hidden="1">
      <c r="C401" s="1190">
        <v>14403</v>
      </c>
      <c r="D401" s="332" t="s">
        <v>2277</v>
      </c>
      <c r="E401" s="560"/>
      <c r="F401" s="560"/>
      <c r="G401" s="560"/>
      <c r="H401" s="963" t="e">
        <f t="shared" si="16"/>
        <v>#DIV/0!</v>
      </c>
      <c r="I401" s="310">
        <f t="shared" si="14"/>
        <v>0</v>
      </c>
    </row>
    <row r="402" spans="3:61" hidden="1">
      <c r="C402" s="1190">
        <v>13579</v>
      </c>
      <c r="D402" s="332" t="s">
        <v>2385</v>
      </c>
      <c r="E402" s="560"/>
      <c r="F402" s="560"/>
      <c r="G402" s="560"/>
      <c r="H402" s="963" t="e">
        <f t="shared" si="16"/>
        <v>#DIV/0!</v>
      </c>
      <c r="I402" s="310">
        <f t="shared" si="14"/>
        <v>0</v>
      </c>
    </row>
    <row r="403" spans="3:61" hidden="1">
      <c r="C403" s="1190">
        <v>14481</v>
      </c>
      <c r="D403" s="332" t="s">
        <v>2386</v>
      </c>
      <c r="E403" s="560"/>
      <c r="F403" s="560"/>
      <c r="G403" s="560"/>
      <c r="H403" s="963" t="e">
        <f t="shared" si="16"/>
        <v>#DIV/0!</v>
      </c>
      <c r="I403" s="310">
        <f t="shared" si="14"/>
        <v>0</v>
      </c>
    </row>
    <row r="404" spans="3:61" hidden="1">
      <c r="C404" s="1190">
        <v>13964</v>
      </c>
      <c r="D404" s="332" t="s">
        <v>2387</v>
      </c>
      <c r="E404" s="560"/>
      <c r="F404" s="560"/>
      <c r="G404" s="560"/>
      <c r="H404" s="963" t="e">
        <f t="shared" si="16"/>
        <v>#DIV/0!</v>
      </c>
      <c r="I404" s="310">
        <f t="shared" si="14"/>
        <v>0</v>
      </c>
    </row>
    <row r="405" spans="3:61" hidden="1">
      <c r="C405" s="1190">
        <v>14479</v>
      </c>
      <c r="D405" s="332" t="s">
        <v>2452</v>
      </c>
      <c r="E405" s="560"/>
      <c r="F405" s="560"/>
      <c r="G405" s="560"/>
      <c r="H405" s="963" t="e">
        <f t="shared" si="16"/>
        <v>#DIV/0!</v>
      </c>
      <c r="I405" s="310">
        <f t="shared" si="14"/>
        <v>0</v>
      </c>
    </row>
    <row r="406" spans="3:61" hidden="1">
      <c r="C406" s="1190">
        <v>15000</v>
      </c>
      <c r="D406" s="332" t="s">
        <v>2388</v>
      </c>
      <c r="E406" s="560"/>
      <c r="F406" s="560"/>
      <c r="G406" s="560"/>
      <c r="H406" s="963" t="e">
        <f t="shared" si="16"/>
        <v>#DIV/0!</v>
      </c>
      <c r="I406" s="310">
        <f t="shared" si="14"/>
        <v>0</v>
      </c>
    </row>
    <row r="407" spans="3:61" hidden="1">
      <c r="C407" s="1190">
        <v>14999</v>
      </c>
      <c r="D407" s="332" t="s">
        <v>2276</v>
      </c>
      <c r="E407" s="560"/>
      <c r="F407" s="560"/>
      <c r="G407" s="560"/>
      <c r="H407" s="963" t="e">
        <f t="shared" si="16"/>
        <v>#DIV/0!</v>
      </c>
      <c r="I407" s="310">
        <f t="shared" si="14"/>
        <v>0</v>
      </c>
    </row>
    <row r="408" spans="3:61" s="404" customFormat="1" hidden="1">
      <c r="C408" s="1190">
        <v>14480</v>
      </c>
      <c r="D408" s="332" t="s">
        <v>2451</v>
      </c>
      <c r="E408" s="560"/>
      <c r="F408" s="560"/>
      <c r="G408" s="560"/>
      <c r="H408" s="963" t="e">
        <f t="shared" si="16"/>
        <v>#DIV/0!</v>
      </c>
      <c r="I408" s="310">
        <f t="shared" si="14"/>
        <v>0</v>
      </c>
      <c r="J408" s="123"/>
      <c r="K408" s="123"/>
      <c r="L408" s="123"/>
      <c r="M408" s="123"/>
      <c r="N408" s="123"/>
      <c r="O408" s="123"/>
      <c r="P408" s="123"/>
      <c r="Q408" s="123"/>
      <c r="R408" s="123"/>
      <c r="S408" s="123"/>
      <c r="T408" s="123"/>
      <c r="U408" s="123"/>
      <c r="V408" s="123"/>
      <c r="W408" s="123"/>
      <c r="X408" s="123"/>
      <c r="Y408" s="123"/>
      <c r="Z408" s="123"/>
      <c r="AA408" s="123"/>
      <c r="AB408" s="123"/>
      <c r="AC408" s="123"/>
      <c r="AD408" s="123"/>
      <c r="AE408" s="123"/>
      <c r="AF408" s="123"/>
      <c r="AG408" s="123"/>
      <c r="AH408" s="123"/>
      <c r="AI408" s="123"/>
      <c r="AJ408" s="123"/>
      <c r="AK408" s="123"/>
      <c r="AL408" s="123"/>
      <c r="AM408" s="123"/>
      <c r="AN408" s="123"/>
      <c r="AO408" s="123"/>
      <c r="AP408" s="123"/>
      <c r="AQ408" s="123"/>
      <c r="AR408" s="123"/>
      <c r="AS408" s="123"/>
      <c r="AT408" s="123"/>
      <c r="AU408" s="123"/>
      <c r="AV408" s="123"/>
      <c r="AW408" s="123"/>
      <c r="AX408" s="123"/>
      <c r="AY408" s="123"/>
      <c r="AZ408" s="123"/>
      <c r="BA408" s="123"/>
      <c r="BB408" s="123"/>
      <c r="BC408" s="123"/>
      <c r="BD408" s="123"/>
      <c r="BE408" s="123"/>
      <c r="BF408" s="123"/>
      <c r="BG408" s="123"/>
      <c r="BH408" s="123"/>
      <c r="BI408" s="123"/>
    </row>
    <row r="409" spans="3:61" hidden="1">
      <c r="C409" s="1190">
        <v>17889</v>
      </c>
      <c r="D409" s="332" t="s">
        <v>1509</v>
      </c>
      <c r="E409" s="560"/>
      <c r="F409" s="560"/>
      <c r="G409" s="560"/>
      <c r="H409" s="963" t="e">
        <f t="shared" si="16"/>
        <v>#DIV/0!</v>
      </c>
      <c r="I409" s="310">
        <f t="shared" si="14"/>
        <v>0</v>
      </c>
    </row>
    <row r="410" spans="3:61" hidden="1">
      <c r="C410" s="1190">
        <v>7101</v>
      </c>
      <c r="D410" s="332" t="s">
        <v>2450</v>
      </c>
      <c r="E410" s="560"/>
      <c r="F410" s="560"/>
      <c r="G410" s="560"/>
      <c r="H410" s="963" t="e">
        <f t="shared" si="16"/>
        <v>#DIV/0!</v>
      </c>
      <c r="I410" s="310">
        <f t="shared" si="14"/>
        <v>0</v>
      </c>
    </row>
    <row r="411" spans="3:61" hidden="1">
      <c r="C411" s="1190">
        <v>9771</v>
      </c>
      <c r="D411" s="332" t="s">
        <v>2449</v>
      </c>
      <c r="E411" s="560"/>
      <c r="F411" s="560"/>
      <c r="G411" s="560"/>
      <c r="H411" s="963" t="e">
        <f t="shared" si="16"/>
        <v>#DIV/0!</v>
      </c>
      <c r="I411" s="310">
        <f t="shared" si="14"/>
        <v>0</v>
      </c>
    </row>
    <row r="412" spans="3:61" hidden="1">
      <c r="C412" s="1190">
        <v>9772</v>
      </c>
      <c r="D412" s="332" t="s">
        <v>2448</v>
      </c>
      <c r="E412" s="560"/>
      <c r="F412" s="560"/>
      <c r="G412" s="560"/>
      <c r="H412" s="963" t="e">
        <f t="shared" si="16"/>
        <v>#DIV/0!</v>
      </c>
      <c r="I412" s="310">
        <f t="shared" si="14"/>
        <v>0</v>
      </c>
    </row>
    <row r="413" spans="3:61" hidden="1">
      <c r="C413" s="1190">
        <v>13331</v>
      </c>
      <c r="D413" s="332" t="s">
        <v>2389</v>
      </c>
      <c r="E413" s="560"/>
      <c r="F413" s="560"/>
      <c r="G413" s="560"/>
      <c r="H413" s="963" t="e">
        <f t="shared" si="16"/>
        <v>#DIV/0!</v>
      </c>
      <c r="I413" s="310">
        <f t="shared" si="14"/>
        <v>0</v>
      </c>
    </row>
    <row r="414" spans="3:61" hidden="1">
      <c r="C414" s="1190">
        <v>13329</v>
      </c>
      <c r="D414" s="332" t="s">
        <v>2390</v>
      </c>
      <c r="E414" s="560"/>
      <c r="F414" s="560"/>
      <c r="G414" s="560"/>
      <c r="H414" s="963" t="e">
        <f t="shared" si="16"/>
        <v>#DIV/0!</v>
      </c>
      <c r="I414" s="310">
        <f t="shared" si="14"/>
        <v>0</v>
      </c>
    </row>
    <row r="415" spans="3:61" hidden="1">
      <c r="C415" s="1190">
        <v>13330</v>
      </c>
      <c r="D415" s="332" t="s">
        <v>2447</v>
      </c>
      <c r="E415" s="560"/>
      <c r="F415" s="560"/>
      <c r="G415" s="560"/>
      <c r="H415" s="963" t="e">
        <f t="shared" si="16"/>
        <v>#DIV/0!</v>
      </c>
      <c r="I415" s="310">
        <f t="shared" si="14"/>
        <v>0</v>
      </c>
    </row>
    <row r="416" spans="3:61" s="570" customFormat="1">
      <c r="C416" s="396">
        <v>20013</v>
      </c>
      <c r="D416" s="1258" t="s">
        <v>2478</v>
      </c>
      <c r="E416" s="396">
        <v>80</v>
      </c>
      <c r="F416" s="396">
        <v>10</v>
      </c>
      <c r="G416" s="396">
        <v>36.9</v>
      </c>
      <c r="H416" s="976">
        <f t="shared" si="16"/>
        <v>0.46124999999999999</v>
      </c>
      <c r="I416" s="108">
        <f t="shared" si="14"/>
        <v>369</v>
      </c>
      <c r="J416" s="123"/>
      <c r="K416" s="123"/>
      <c r="L416" s="123"/>
      <c r="M416" s="123"/>
      <c r="N416" s="123"/>
      <c r="O416" s="123"/>
      <c r="P416" s="123"/>
      <c r="Q416" s="123"/>
      <c r="R416" s="123"/>
      <c r="S416" s="123"/>
      <c r="T416" s="123"/>
      <c r="U416" s="123"/>
      <c r="V416" s="123"/>
      <c r="W416" s="123"/>
      <c r="X416" s="123"/>
      <c r="Y416" s="123"/>
      <c r="Z416" s="123"/>
      <c r="AA416" s="123"/>
      <c r="AB416" s="123"/>
      <c r="AC416" s="123"/>
      <c r="AD416" s="123"/>
      <c r="AE416" s="123"/>
      <c r="AF416" s="123"/>
      <c r="AG416" s="123"/>
      <c r="AH416" s="123"/>
      <c r="AI416" s="123"/>
      <c r="AJ416" s="123"/>
      <c r="AK416" s="123"/>
      <c r="AL416" s="123"/>
      <c r="AM416" s="123"/>
      <c r="AN416" s="123"/>
      <c r="AO416" s="123"/>
      <c r="AP416" s="123"/>
      <c r="AQ416" s="123"/>
      <c r="AR416" s="123"/>
      <c r="AS416" s="123"/>
      <c r="AT416" s="123"/>
      <c r="AU416" s="123"/>
      <c r="AV416" s="123"/>
      <c r="AW416" s="123"/>
      <c r="AX416" s="123"/>
      <c r="AY416" s="123"/>
      <c r="AZ416" s="123"/>
      <c r="BA416" s="123"/>
      <c r="BB416" s="123"/>
      <c r="BC416" s="123"/>
      <c r="BD416" s="123"/>
      <c r="BE416" s="123"/>
      <c r="BF416" s="123"/>
      <c r="BG416" s="123"/>
      <c r="BH416" s="123"/>
      <c r="BI416" s="123"/>
    </row>
    <row r="417" spans="3:61" hidden="1">
      <c r="C417" s="1190">
        <v>13721</v>
      </c>
      <c r="D417" s="332" t="s">
        <v>2391</v>
      </c>
      <c r="E417" s="560"/>
      <c r="F417" s="560"/>
      <c r="G417" s="560"/>
      <c r="H417" s="963" t="e">
        <f t="shared" si="16"/>
        <v>#DIV/0!</v>
      </c>
      <c r="I417" s="310">
        <f t="shared" si="14"/>
        <v>0</v>
      </c>
    </row>
    <row r="418" spans="3:61" hidden="1">
      <c r="C418" s="1190"/>
      <c r="D418" s="332" t="s">
        <v>2488</v>
      </c>
      <c r="E418" s="560"/>
      <c r="F418" s="560"/>
      <c r="G418" s="560"/>
      <c r="H418" s="963" t="e">
        <f>G418/E418</f>
        <v>#DIV/0!</v>
      </c>
      <c r="I418" s="310">
        <f t="shared" si="14"/>
        <v>0</v>
      </c>
    </row>
    <row r="419" spans="3:61" s="570" customFormat="1">
      <c r="C419" s="396"/>
      <c r="D419" s="1258" t="s">
        <v>2303</v>
      </c>
      <c r="E419" s="396">
        <v>48</v>
      </c>
      <c r="F419" s="396">
        <v>5</v>
      </c>
      <c r="G419" s="396">
        <v>19.5</v>
      </c>
      <c r="H419" s="976">
        <f>G419/E419</f>
        <v>0.40625</v>
      </c>
      <c r="I419" s="108">
        <f t="shared" si="14"/>
        <v>97.5</v>
      </c>
      <c r="J419" s="123"/>
      <c r="K419" s="123"/>
      <c r="L419" s="123"/>
      <c r="M419" s="123"/>
      <c r="N419" s="123"/>
      <c r="O419" s="123"/>
      <c r="P419" s="123"/>
      <c r="Q419" s="123"/>
      <c r="R419" s="123"/>
      <c r="S419" s="123"/>
      <c r="T419" s="123"/>
      <c r="U419" s="123"/>
      <c r="V419" s="123"/>
      <c r="W419" s="123"/>
      <c r="X419" s="123"/>
      <c r="Y419" s="123"/>
      <c r="Z419" s="123"/>
      <c r="AA419" s="123"/>
      <c r="AB419" s="123"/>
      <c r="AC419" s="123"/>
      <c r="AD419" s="123"/>
      <c r="AE419" s="123"/>
      <c r="AF419" s="123"/>
      <c r="AG419" s="123"/>
      <c r="AH419" s="123"/>
      <c r="AI419" s="123"/>
      <c r="AJ419" s="123"/>
      <c r="AK419" s="123"/>
      <c r="AL419" s="123"/>
      <c r="AM419" s="123"/>
      <c r="AN419" s="123"/>
      <c r="AO419" s="123"/>
      <c r="AP419" s="123"/>
      <c r="AQ419" s="123"/>
      <c r="AR419" s="123"/>
      <c r="AS419" s="123"/>
      <c r="AT419" s="123"/>
      <c r="AU419" s="123"/>
      <c r="AV419" s="123"/>
      <c r="AW419" s="123"/>
      <c r="AX419" s="123"/>
      <c r="AY419" s="123"/>
      <c r="AZ419" s="123"/>
      <c r="BA419" s="123"/>
      <c r="BB419" s="123"/>
      <c r="BC419" s="123"/>
      <c r="BD419" s="123"/>
      <c r="BE419" s="123"/>
      <c r="BF419" s="123"/>
      <c r="BG419" s="123"/>
      <c r="BH419" s="123"/>
      <c r="BI419" s="123"/>
    </row>
    <row r="420" spans="3:61" s="570" customFormat="1">
      <c r="C420" s="396"/>
      <c r="D420" s="1258" t="s">
        <v>2302</v>
      </c>
      <c r="E420" s="396">
        <v>48</v>
      </c>
      <c r="F420" s="396">
        <v>5</v>
      </c>
      <c r="G420" s="396">
        <v>19.5</v>
      </c>
      <c r="H420" s="976">
        <f>G420/E420</f>
        <v>0.40625</v>
      </c>
      <c r="I420" s="108">
        <f t="shared" si="14"/>
        <v>97.5</v>
      </c>
      <c r="J420" s="123"/>
      <c r="K420" s="123"/>
      <c r="L420" s="123"/>
      <c r="M420" s="123"/>
      <c r="N420" s="123"/>
      <c r="O420" s="123"/>
      <c r="P420" s="123"/>
      <c r="Q420" s="123"/>
      <c r="R420" s="123"/>
      <c r="S420" s="123"/>
      <c r="T420" s="123"/>
      <c r="U420" s="123"/>
      <c r="V420" s="123"/>
      <c r="W420" s="123"/>
      <c r="X420" s="123"/>
      <c r="Y420" s="123"/>
      <c r="Z420" s="123"/>
      <c r="AA420" s="123"/>
      <c r="AB420" s="123"/>
      <c r="AC420" s="123"/>
      <c r="AD420" s="123"/>
      <c r="AE420" s="123"/>
      <c r="AF420" s="123"/>
      <c r="AG420" s="123"/>
      <c r="AH420" s="123"/>
      <c r="AI420" s="123"/>
      <c r="AJ420" s="123"/>
      <c r="AK420" s="123"/>
      <c r="AL420" s="123"/>
      <c r="AM420" s="123"/>
      <c r="AN420" s="123"/>
      <c r="AO420" s="123"/>
      <c r="AP420" s="123"/>
      <c r="AQ420" s="123"/>
      <c r="AR420" s="123"/>
      <c r="AS420" s="123"/>
      <c r="AT420" s="123"/>
      <c r="AU420" s="123"/>
      <c r="AV420" s="123"/>
      <c r="AW420" s="123"/>
      <c r="AX420" s="123"/>
      <c r="AY420" s="123"/>
      <c r="AZ420" s="123"/>
      <c r="BA420" s="123"/>
      <c r="BB420" s="123"/>
      <c r="BC420" s="123"/>
      <c r="BD420" s="123"/>
      <c r="BE420" s="123"/>
      <c r="BF420" s="123"/>
      <c r="BG420" s="123"/>
      <c r="BH420" s="123"/>
      <c r="BI420" s="123"/>
    </row>
    <row r="421" spans="3:61" ht="15.75" thickBot="1">
      <c r="D421" s="14" t="s">
        <v>65</v>
      </c>
      <c r="G421" s="2318" t="s">
        <v>74</v>
      </c>
      <c r="H421" s="2319"/>
      <c r="I421" s="1051">
        <f>SUM(I310:I420)</f>
        <v>4164.8</v>
      </c>
    </row>
    <row r="424" spans="3:61" ht="40.5" customHeight="1">
      <c r="C424" s="1190" t="s">
        <v>0</v>
      </c>
      <c r="D424" s="332" t="s">
        <v>65</v>
      </c>
      <c r="E424" s="489" t="s">
        <v>916</v>
      </c>
      <c r="F424" s="490" t="s">
        <v>68</v>
      </c>
      <c r="G424" s="489" t="s">
        <v>903</v>
      </c>
      <c r="H424" s="972" t="s">
        <v>559</v>
      </c>
      <c r="I424" s="489" t="s">
        <v>917</v>
      </c>
    </row>
    <row r="425" spans="3:61" hidden="1">
      <c r="C425" s="1190">
        <v>13926</v>
      </c>
      <c r="D425" s="332" t="s">
        <v>1884</v>
      </c>
      <c r="E425" s="590"/>
      <c r="F425" s="590"/>
      <c r="G425" s="590"/>
      <c r="H425" s="963" t="e">
        <f>G425/E425</f>
        <v>#DIV/0!</v>
      </c>
      <c r="I425" s="1180">
        <f>G425*F425</f>
        <v>0</v>
      </c>
    </row>
    <row r="426" spans="3:61" hidden="1">
      <c r="C426" s="1190">
        <v>9756</v>
      </c>
      <c r="D426" s="332" t="s">
        <v>2474</v>
      </c>
      <c r="E426" s="590"/>
      <c r="F426" s="590"/>
      <c r="G426" s="590"/>
      <c r="H426" s="963" t="e">
        <f t="shared" ref="H426:H489" si="17">G426/E426</f>
        <v>#DIV/0!</v>
      </c>
      <c r="I426" s="1180">
        <f t="shared" ref="I426:I488" si="18">G426*F426</f>
        <v>0</v>
      </c>
    </row>
    <row r="427" spans="3:61" hidden="1">
      <c r="C427" s="1190">
        <v>9734</v>
      </c>
      <c r="D427" s="332" t="s">
        <v>2794</v>
      </c>
      <c r="E427" s="590"/>
      <c r="F427" s="590"/>
      <c r="G427" s="590"/>
      <c r="H427" s="963" t="e">
        <f t="shared" si="17"/>
        <v>#DIV/0!</v>
      </c>
      <c r="I427" s="1180">
        <f t="shared" si="18"/>
        <v>0</v>
      </c>
    </row>
    <row r="428" spans="3:61" s="123" customFormat="1">
      <c r="C428" s="1185">
        <v>15807</v>
      </c>
      <c r="D428" s="1252" t="s">
        <v>2795</v>
      </c>
      <c r="E428" s="641">
        <v>20</v>
      </c>
      <c r="F428" s="641">
        <v>20</v>
      </c>
      <c r="G428" s="641">
        <v>33.799999999999997</v>
      </c>
      <c r="H428" s="977">
        <f t="shared" si="17"/>
        <v>1.69</v>
      </c>
      <c r="I428" s="528">
        <f t="shared" si="18"/>
        <v>676</v>
      </c>
    </row>
    <row r="429" spans="3:61" s="123" customFormat="1" hidden="1">
      <c r="C429" s="1185">
        <v>20003</v>
      </c>
      <c r="D429" s="1252" t="s">
        <v>2298</v>
      </c>
      <c r="E429" s="641"/>
      <c r="F429" s="641"/>
      <c r="G429" s="641"/>
      <c r="H429" s="977" t="e">
        <f t="shared" si="17"/>
        <v>#DIV/0!</v>
      </c>
      <c r="I429" s="528">
        <f t="shared" si="18"/>
        <v>0</v>
      </c>
    </row>
    <row r="430" spans="3:61" s="123" customFormat="1" hidden="1">
      <c r="C430" s="1185">
        <v>4030</v>
      </c>
      <c r="D430" s="1252" t="s">
        <v>1885</v>
      </c>
      <c r="E430" s="641"/>
      <c r="F430" s="641"/>
      <c r="G430" s="641"/>
      <c r="H430" s="977" t="e">
        <f t="shared" si="17"/>
        <v>#DIV/0!</v>
      </c>
      <c r="I430" s="528">
        <f t="shared" si="18"/>
        <v>0</v>
      </c>
    </row>
    <row r="431" spans="3:61" s="123" customFormat="1" hidden="1">
      <c r="C431" s="1185">
        <v>5047</v>
      </c>
      <c r="D431" s="1252" t="s">
        <v>2473</v>
      </c>
      <c r="E431" s="641"/>
      <c r="F431" s="641"/>
      <c r="G431" s="641"/>
      <c r="H431" s="977" t="e">
        <f t="shared" si="17"/>
        <v>#DIV/0!</v>
      </c>
      <c r="I431" s="528">
        <f t="shared" si="18"/>
        <v>0</v>
      </c>
    </row>
    <row r="432" spans="3:61" s="123" customFormat="1" hidden="1">
      <c r="C432" s="1185">
        <v>10529</v>
      </c>
      <c r="D432" s="1252" t="s">
        <v>2472</v>
      </c>
      <c r="E432" s="641"/>
      <c r="F432" s="641"/>
      <c r="G432" s="641"/>
      <c r="H432" s="977" t="e">
        <f t="shared" si="17"/>
        <v>#DIV/0!</v>
      </c>
      <c r="I432" s="528">
        <f t="shared" si="18"/>
        <v>0</v>
      </c>
    </row>
    <row r="433" spans="3:9" s="123" customFormat="1" hidden="1">
      <c r="C433" s="1185">
        <v>8036</v>
      </c>
      <c r="D433" s="1252" t="s">
        <v>2471</v>
      </c>
      <c r="E433" s="641"/>
      <c r="F433" s="641"/>
      <c r="G433" s="641"/>
      <c r="H433" s="977" t="e">
        <f t="shared" si="17"/>
        <v>#DIV/0!</v>
      </c>
      <c r="I433" s="528">
        <f t="shared" si="18"/>
        <v>0</v>
      </c>
    </row>
    <row r="434" spans="3:9" s="123" customFormat="1" hidden="1">
      <c r="C434" s="1185">
        <v>8162</v>
      </c>
      <c r="D434" s="1252" t="s">
        <v>897</v>
      </c>
      <c r="E434" s="641"/>
      <c r="F434" s="641"/>
      <c r="G434" s="641"/>
      <c r="H434" s="977" t="e">
        <f t="shared" si="17"/>
        <v>#DIV/0!</v>
      </c>
      <c r="I434" s="528">
        <f t="shared" si="18"/>
        <v>0</v>
      </c>
    </row>
    <row r="435" spans="3:9" s="123" customFormat="1" hidden="1">
      <c r="C435" s="1185">
        <v>17888</v>
      </c>
      <c r="D435" s="1252" t="s">
        <v>898</v>
      </c>
      <c r="E435" s="641"/>
      <c r="F435" s="641"/>
      <c r="G435" s="641"/>
      <c r="H435" s="977" t="e">
        <f t="shared" si="17"/>
        <v>#DIV/0!</v>
      </c>
      <c r="I435" s="528">
        <f t="shared" si="18"/>
        <v>0</v>
      </c>
    </row>
    <row r="436" spans="3:9" s="123" customFormat="1" hidden="1">
      <c r="C436" s="1185">
        <v>9579</v>
      </c>
      <c r="D436" s="1252" t="s">
        <v>899</v>
      </c>
      <c r="E436" s="641"/>
      <c r="F436" s="641"/>
      <c r="G436" s="641"/>
      <c r="H436" s="977" t="e">
        <f t="shared" si="17"/>
        <v>#DIV/0!</v>
      </c>
      <c r="I436" s="528">
        <f t="shared" si="18"/>
        <v>0</v>
      </c>
    </row>
    <row r="437" spans="3:9" s="123" customFormat="1" hidden="1">
      <c r="C437" s="1185">
        <v>7960</v>
      </c>
      <c r="D437" s="1252" t="s">
        <v>900</v>
      </c>
      <c r="E437" s="641"/>
      <c r="F437" s="641"/>
      <c r="G437" s="641"/>
      <c r="H437" s="977" t="e">
        <f t="shared" si="17"/>
        <v>#DIV/0!</v>
      </c>
      <c r="I437" s="528">
        <f t="shared" si="18"/>
        <v>0</v>
      </c>
    </row>
    <row r="438" spans="3:9" s="123" customFormat="1" hidden="1">
      <c r="C438" s="1185">
        <v>950</v>
      </c>
      <c r="D438" s="1252" t="s">
        <v>1508</v>
      </c>
      <c r="E438" s="641">
        <v>100</v>
      </c>
      <c r="F438" s="641"/>
      <c r="G438" s="641">
        <v>21.1</v>
      </c>
      <c r="H438" s="977">
        <f t="shared" si="17"/>
        <v>0.21100000000000002</v>
      </c>
      <c r="I438" s="528">
        <f t="shared" si="18"/>
        <v>0</v>
      </c>
    </row>
    <row r="439" spans="3:9" s="123" customFormat="1" hidden="1">
      <c r="C439" s="1185">
        <v>20010</v>
      </c>
      <c r="D439" s="1252" t="s">
        <v>2286</v>
      </c>
      <c r="E439" s="641"/>
      <c r="F439" s="641"/>
      <c r="G439" s="641"/>
      <c r="H439" s="977" t="e">
        <f t="shared" si="17"/>
        <v>#DIV/0!</v>
      </c>
      <c r="I439" s="528">
        <f t="shared" si="18"/>
        <v>0</v>
      </c>
    </row>
    <row r="440" spans="3:9" s="123" customFormat="1" ht="12.75" hidden="1" customHeight="1">
      <c r="C440" s="1185">
        <v>16237</v>
      </c>
      <c r="D440" s="1252" t="s">
        <v>1886</v>
      </c>
      <c r="E440" s="641">
        <v>15</v>
      </c>
      <c r="F440" s="641"/>
      <c r="G440" s="641">
        <v>13.5</v>
      </c>
      <c r="H440" s="977">
        <f t="shared" si="17"/>
        <v>0.9</v>
      </c>
      <c r="I440" s="528">
        <f t="shared" si="18"/>
        <v>0</v>
      </c>
    </row>
    <row r="441" spans="3:9" s="123" customFormat="1" hidden="1">
      <c r="C441" s="1185">
        <v>13717</v>
      </c>
      <c r="D441" s="1252" t="s">
        <v>2470</v>
      </c>
      <c r="E441" s="641"/>
      <c r="F441" s="641"/>
      <c r="G441" s="641"/>
      <c r="H441" s="977" t="e">
        <f t="shared" si="17"/>
        <v>#DIV/0!</v>
      </c>
      <c r="I441" s="528">
        <f t="shared" si="18"/>
        <v>0</v>
      </c>
    </row>
    <row r="442" spans="3:9" s="123" customFormat="1" hidden="1">
      <c r="C442" s="1185">
        <v>13716</v>
      </c>
      <c r="D442" s="1252" t="s">
        <v>2796</v>
      </c>
      <c r="E442" s="641">
        <v>12</v>
      </c>
      <c r="F442" s="641">
        <v>0</v>
      </c>
      <c r="G442" s="641">
        <v>12.09</v>
      </c>
      <c r="H442" s="977">
        <f t="shared" si="17"/>
        <v>1.0075000000000001</v>
      </c>
      <c r="I442" s="528">
        <f t="shared" si="18"/>
        <v>0</v>
      </c>
    </row>
    <row r="443" spans="3:9" s="123" customFormat="1" hidden="1">
      <c r="C443" s="1185">
        <v>14998</v>
      </c>
      <c r="D443" s="1252" t="s">
        <v>2468</v>
      </c>
      <c r="E443" s="641"/>
      <c r="F443" s="641"/>
      <c r="G443" s="641"/>
      <c r="H443" s="977" t="e">
        <f t="shared" si="17"/>
        <v>#DIV/0!</v>
      </c>
      <c r="I443" s="528">
        <f t="shared" si="18"/>
        <v>0</v>
      </c>
    </row>
    <row r="444" spans="3:9" s="123" customFormat="1" hidden="1">
      <c r="C444" s="1185">
        <v>8256</v>
      </c>
      <c r="D444" s="1252" t="s">
        <v>2467</v>
      </c>
      <c r="E444" s="641"/>
      <c r="F444" s="641"/>
      <c r="G444" s="641"/>
      <c r="H444" s="977" t="e">
        <f t="shared" si="17"/>
        <v>#DIV/0!</v>
      </c>
      <c r="I444" s="528">
        <f t="shared" si="18"/>
        <v>0</v>
      </c>
    </row>
    <row r="445" spans="3:9" s="123" customFormat="1" hidden="1">
      <c r="C445" s="1185">
        <v>20764</v>
      </c>
      <c r="D445" s="1252" t="s">
        <v>2466</v>
      </c>
      <c r="E445" s="641"/>
      <c r="F445" s="641"/>
      <c r="G445" s="641"/>
      <c r="H445" s="977" t="e">
        <f t="shared" si="17"/>
        <v>#DIV/0!</v>
      </c>
      <c r="I445" s="528">
        <f t="shared" si="18"/>
        <v>0</v>
      </c>
    </row>
    <row r="446" spans="3:9" s="123" customFormat="1" hidden="1">
      <c r="C446" s="1185">
        <v>13570</v>
      </c>
      <c r="D446" s="1252" t="s">
        <v>2465</v>
      </c>
      <c r="E446" s="641"/>
      <c r="F446" s="641"/>
      <c r="G446" s="641"/>
      <c r="H446" s="977" t="e">
        <f t="shared" si="17"/>
        <v>#DIV/0!</v>
      </c>
      <c r="I446" s="528">
        <f t="shared" si="18"/>
        <v>0</v>
      </c>
    </row>
    <row r="447" spans="3:9" s="123" customFormat="1" hidden="1">
      <c r="C447" s="1185">
        <v>12392</v>
      </c>
      <c r="D447" s="1252" t="s">
        <v>2464</v>
      </c>
      <c r="E447" s="641"/>
      <c r="F447" s="641"/>
      <c r="G447" s="641"/>
      <c r="H447" s="977" t="e">
        <f t="shared" si="17"/>
        <v>#DIV/0!</v>
      </c>
      <c r="I447" s="528">
        <f t="shared" si="18"/>
        <v>0</v>
      </c>
    </row>
    <row r="448" spans="3:9" s="123" customFormat="1" hidden="1">
      <c r="C448" s="1185">
        <v>10427</v>
      </c>
      <c r="D448" s="1252" t="s">
        <v>2297</v>
      </c>
      <c r="E448" s="641"/>
      <c r="F448" s="641"/>
      <c r="G448" s="641"/>
      <c r="H448" s="977" t="e">
        <f t="shared" si="17"/>
        <v>#DIV/0!</v>
      </c>
      <c r="I448" s="528">
        <f t="shared" si="18"/>
        <v>0</v>
      </c>
    </row>
    <row r="449" spans="3:9" s="123" customFormat="1" hidden="1">
      <c r="C449" s="1185">
        <v>6706</v>
      </c>
      <c r="D449" s="1252" t="s">
        <v>2463</v>
      </c>
      <c r="E449" s="641"/>
      <c r="F449" s="641"/>
      <c r="G449" s="641"/>
      <c r="H449" s="977" t="e">
        <f t="shared" si="17"/>
        <v>#DIV/0!</v>
      </c>
      <c r="I449" s="528">
        <f t="shared" si="18"/>
        <v>0</v>
      </c>
    </row>
    <row r="450" spans="3:9" s="123" customFormat="1" hidden="1">
      <c r="C450" s="1185">
        <v>20006</v>
      </c>
      <c r="D450" s="1252" t="s">
        <v>2289</v>
      </c>
      <c r="E450" s="641"/>
      <c r="F450" s="641"/>
      <c r="G450" s="641"/>
      <c r="H450" s="977" t="e">
        <f t="shared" si="17"/>
        <v>#DIV/0!</v>
      </c>
      <c r="I450" s="528">
        <f t="shared" si="18"/>
        <v>0</v>
      </c>
    </row>
    <row r="451" spans="3:9" s="123" customFormat="1" hidden="1">
      <c r="C451" s="1185">
        <v>8016</v>
      </c>
      <c r="D451" s="1252" t="s">
        <v>2393</v>
      </c>
      <c r="E451" s="641"/>
      <c r="F451" s="641"/>
      <c r="G451" s="641"/>
      <c r="H451" s="977" t="e">
        <f t="shared" si="17"/>
        <v>#DIV/0!</v>
      </c>
      <c r="I451" s="528">
        <f t="shared" si="18"/>
        <v>0</v>
      </c>
    </row>
    <row r="452" spans="3:9" s="123" customFormat="1" hidden="1">
      <c r="C452" s="1185">
        <v>8117</v>
      </c>
      <c r="D452" s="1252" t="s">
        <v>2284</v>
      </c>
      <c r="E452" s="641">
        <v>96</v>
      </c>
      <c r="F452" s="641"/>
      <c r="G452" s="641">
        <v>51.2</v>
      </c>
      <c r="H452" s="977">
        <f t="shared" si="17"/>
        <v>0.53333333333333333</v>
      </c>
      <c r="I452" s="528">
        <f t="shared" si="18"/>
        <v>0</v>
      </c>
    </row>
    <row r="453" spans="3:9" s="123" customFormat="1" hidden="1">
      <c r="C453" s="1185">
        <v>8017</v>
      </c>
      <c r="D453" s="1252" t="s">
        <v>2283</v>
      </c>
      <c r="E453" s="641"/>
      <c r="F453" s="641"/>
      <c r="G453" s="641"/>
      <c r="H453" s="977" t="e">
        <f t="shared" si="17"/>
        <v>#DIV/0!</v>
      </c>
      <c r="I453" s="528">
        <f t="shared" si="18"/>
        <v>0</v>
      </c>
    </row>
    <row r="454" spans="3:9" s="123" customFormat="1" hidden="1">
      <c r="C454" s="1185">
        <v>2026</v>
      </c>
      <c r="D454" s="1252" t="s">
        <v>421</v>
      </c>
      <c r="E454" s="641">
        <v>144</v>
      </c>
      <c r="F454" s="641"/>
      <c r="G454" s="641">
        <v>87.5</v>
      </c>
      <c r="H454" s="977">
        <f t="shared" si="17"/>
        <v>0.60763888888888884</v>
      </c>
      <c r="I454" s="528">
        <f t="shared" si="18"/>
        <v>0</v>
      </c>
    </row>
    <row r="455" spans="3:9" s="123" customFormat="1" hidden="1">
      <c r="C455" s="1185">
        <v>13836</v>
      </c>
      <c r="D455" s="1252" t="s">
        <v>2377</v>
      </c>
      <c r="E455" s="641">
        <v>6</v>
      </c>
      <c r="F455" s="641"/>
      <c r="G455" s="641">
        <v>7.5</v>
      </c>
      <c r="H455" s="977">
        <f t="shared" si="17"/>
        <v>1.25</v>
      </c>
      <c r="I455" s="528">
        <f t="shared" si="18"/>
        <v>0</v>
      </c>
    </row>
    <row r="456" spans="3:9" s="123" customFormat="1" hidden="1">
      <c r="C456" s="1185">
        <v>14401</v>
      </c>
      <c r="D456" s="1252" t="s">
        <v>2378</v>
      </c>
      <c r="E456" s="641">
        <v>6</v>
      </c>
      <c r="F456" s="641"/>
      <c r="G456" s="641">
        <v>7.5</v>
      </c>
      <c r="H456" s="977">
        <f t="shared" si="17"/>
        <v>1.25</v>
      </c>
      <c r="I456" s="528">
        <f t="shared" si="18"/>
        <v>0</v>
      </c>
    </row>
    <row r="457" spans="3:9" s="123" customFormat="1" hidden="1">
      <c r="C457" s="1185">
        <v>14399</v>
      </c>
      <c r="D457" s="1252" t="s">
        <v>2379</v>
      </c>
      <c r="E457" s="641">
        <v>6</v>
      </c>
      <c r="F457" s="641"/>
      <c r="G457" s="641">
        <v>7.5</v>
      </c>
      <c r="H457" s="977">
        <f t="shared" si="17"/>
        <v>1.25</v>
      </c>
      <c r="I457" s="528">
        <f t="shared" si="18"/>
        <v>0</v>
      </c>
    </row>
    <row r="458" spans="3:9" s="123" customFormat="1" hidden="1">
      <c r="C458" s="1185">
        <v>14400</v>
      </c>
      <c r="D458" s="1252" t="s">
        <v>2380</v>
      </c>
      <c r="E458" s="641">
        <v>6</v>
      </c>
      <c r="F458" s="641"/>
      <c r="G458" s="641">
        <v>7.5</v>
      </c>
      <c r="H458" s="977">
        <f t="shared" si="17"/>
        <v>1.25</v>
      </c>
      <c r="I458" s="528">
        <f t="shared" si="18"/>
        <v>0</v>
      </c>
    </row>
    <row r="459" spans="3:9" s="123" customFormat="1" hidden="1">
      <c r="C459" s="1185">
        <v>13582</v>
      </c>
      <c r="D459" s="1252" t="s">
        <v>2462</v>
      </c>
      <c r="E459" s="641">
        <v>6</v>
      </c>
      <c r="F459" s="641"/>
      <c r="G459" s="641">
        <v>7.5</v>
      </c>
      <c r="H459" s="977">
        <f t="shared" si="17"/>
        <v>1.25</v>
      </c>
      <c r="I459" s="528">
        <f t="shared" si="18"/>
        <v>0</v>
      </c>
    </row>
    <row r="460" spans="3:9" s="123" customFormat="1" hidden="1">
      <c r="C460" s="1185">
        <v>13583</v>
      </c>
      <c r="D460" s="1252" t="s">
        <v>2461</v>
      </c>
      <c r="E460" s="641">
        <v>6</v>
      </c>
      <c r="F460" s="641"/>
      <c r="G460" s="641">
        <v>7.5</v>
      </c>
      <c r="H460" s="977">
        <f t="shared" si="17"/>
        <v>1.25</v>
      </c>
      <c r="I460" s="528">
        <f t="shared" si="18"/>
        <v>0</v>
      </c>
    </row>
    <row r="461" spans="3:9" s="123" customFormat="1" hidden="1">
      <c r="C461" s="1185">
        <v>13585</v>
      </c>
      <c r="D461" s="1252" t="s">
        <v>2460</v>
      </c>
      <c r="E461" s="641">
        <v>6</v>
      </c>
      <c r="F461" s="641"/>
      <c r="G461" s="641">
        <v>7.5</v>
      </c>
      <c r="H461" s="977">
        <f t="shared" si="17"/>
        <v>1.25</v>
      </c>
      <c r="I461" s="528">
        <f t="shared" si="18"/>
        <v>0</v>
      </c>
    </row>
    <row r="462" spans="3:9" s="123" customFormat="1" hidden="1">
      <c r="C462" s="1185">
        <v>13584</v>
      </c>
      <c r="D462" s="1252" t="s">
        <v>2459</v>
      </c>
      <c r="E462" s="641">
        <v>6</v>
      </c>
      <c r="F462" s="641"/>
      <c r="G462" s="641">
        <v>7.5</v>
      </c>
      <c r="H462" s="977">
        <f t="shared" si="17"/>
        <v>1.25</v>
      </c>
      <c r="I462" s="528">
        <f t="shared" si="18"/>
        <v>0</v>
      </c>
    </row>
    <row r="463" spans="3:9" s="123" customFormat="1" hidden="1">
      <c r="C463" s="1185">
        <v>13581</v>
      </c>
      <c r="D463" s="1252" t="s">
        <v>2381</v>
      </c>
      <c r="E463" s="641">
        <v>6</v>
      </c>
      <c r="F463" s="641"/>
      <c r="G463" s="641">
        <v>7.5</v>
      </c>
      <c r="H463" s="977">
        <f t="shared" si="17"/>
        <v>1.25</v>
      </c>
      <c r="I463" s="528">
        <f t="shared" si="18"/>
        <v>0</v>
      </c>
    </row>
    <row r="464" spans="3:9" s="123" customFormat="1" hidden="1">
      <c r="C464" s="1185">
        <v>18707</v>
      </c>
      <c r="D464" s="1252" t="s">
        <v>2797</v>
      </c>
      <c r="E464" s="641">
        <v>12</v>
      </c>
      <c r="F464" s="641">
        <v>0</v>
      </c>
      <c r="G464" s="641">
        <v>7.7</v>
      </c>
      <c r="H464" s="977">
        <f t="shared" si="17"/>
        <v>0.64166666666666672</v>
      </c>
      <c r="I464" s="528">
        <f t="shared" si="18"/>
        <v>0</v>
      </c>
    </row>
    <row r="465" spans="3:11" s="123" customFormat="1" hidden="1">
      <c r="C465" s="1185">
        <v>18714</v>
      </c>
      <c r="D465" s="1252" t="s">
        <v>2279</v>
      </c>
      <c r="E465" s="641"/>
      <c r="F465" s="641"/>
      <c r="G465" s="641"/>
      <c r="H465" s="977" t="e">
        <f t="shared" si="17"/>
        <v>#DIV/0!</v>
      </c>
      <c r="I465" s="528">
        <f t="shared" si="18"/>
        <v>0</v>
      </c>
    </row>
    <row r="466" spans="3:11" s="123" customFormat="1">
      <c r="C466" s="1185">
        <v>16239</v>
      </c>
      <c r="D466" s="1252" t="s">
        <v>2798</v>
      </c>
      <c r="E466" s="641">
        <v>24</v>
      </c>
      <c r="F466" s="641">
        <v>20</v>
      </c>
      <c r="G466" s="641">
        <v>12</v>
      </c>
      <c r="H466" s="977">
        <f t="shared" si="17"/>
        <v>0.5</v>
      </c>
      <c r="I466" s="528">
        <f t="shared" si="18"/>
        <v>240</v>
      </c>
      <c r="K466" s="123">
        <v>15.96</v>
      </c>
    </row>
    <row r="467" spans="3:11" s="123" customFormat="1" hidden="1">
      <c r="C467" s="1185">
        <v>14766</v>
      </c>
      <c r="D467" s="1252" t="s">
        <v>2799</v>
      </c>
      <c r="E467" s="641">
        <v>24</v>
      </c>
      <c r="F467" s="641">
        <v>0</v>
      </c>
      <c r="G467" s="641">
        <v>12.2</v>
      </c>
      <c r="H467" s="977">
        <f t="shared" si="17"/>
        <v>0.5083333333333333</v>
      </c>
      <c r="I467" s="528">
        <f t="shared" si="18"/>
        <v>0</v>
      </c>
      <c r="K467" s="123">
        <v>4.4400000000000004</v>
      </c>
    </row>
    <row r="468" spans="3:11" s="123" customFormat="1" ht="14.25" hidden="1" customHeight="1">
      <c r="C468" s="1185">
        <v>9499</v>
      </c>
      <c r="D468" s="1252" t="s">
        <v>2458</v>
      </c>
      <c r="E468" s="641"/>
      <c r="F468" s="641"/>
      <c r="G468" s="641"/>
      <c r="H468" s="977" t="e">
        <f t="shared" si="17"/>
        <v>#DIV/0!</v>
      </c>
      <c r="I468" s="528">
        <f t="shared" si="18"/>
        <v>0</v>
      </c>
    </row>
    <row r="469" spans="3:11" s="123" customFormat="1" hidden="1">
      <c r="C469" s="1185">
        <v>20012</v>
      </c>
      <c r="D469" s="1252" t="s">
        <v>2287</v>
      </c>
      <c r="E469" s="641"/>
      <c r="F469" s="641"/>
      <c r="G469" s="641"/>
      <c r="H469" s="977" t="e">
        <f t="shared" si="17"/>
        <v>#DIV/0!</v>
      </c>
      <c r="I469" s="528">
        <f t="shared" si="18"/>
        <v>0</v>
      </c>
    </row>
    <row r="470" spans="3:11" s="123" customFormat="1" hidden="1">
      <c r="C470" s="1185">
        <v>15426</v>
      </c>
      <c r="D470" s="1252" t="s">
        <v>1887</v>
      </c>
      <c r="E470" s="641"/>
      <c r="F470" s="641"/>
      <c r="G470" s="641"/>
      <c r="H470" s="977" t="e">
        <f t="shared" si="17"/>
        <v>#DIV/0!</v>
      </c>
      <c r="I470" s="528">
        <f t="shared" si="18"/>
        <v>0</v>
      </c>
    </row>
    <row r="471" spans="3:11" s="123" customFormat="1" hidden="1">
      <c r="C471" s="1185">
        <v>15430</v>
      </c>
      <c r="D471" s="1252" t="s">
        <v>2280</v>
      </c>
      <c r="E471" s="641"/>
      <c r="F471" s="641"/>
      <c r="G471" s="641"/>
      <c r="H471" s="977" t="e">
        <f t="shared" si="17"/>
        <v>#DIV/0!</v>
      </c>
      <c r="I471" s="528">
        <f t="shared" si="18"/>
        <v>0</v>
      </c>
    </row>
    <row r="472" spans="3:11" s="123" customFormat="1" hidden="1">
      <c r="C472" s="1185">
        <v>15428</v>
      </c>
      <c r="D472" s="1252" t="s">
        <v>1888</v>
      </c>
      <c r="E472" s="641"/>
      <c r="F472" s="641"/>
      <c r="G472" s="641"/>
      <c r="H472" s="977" t="e">
        <f t="shared" si="17"/>
        <v>#DIV/0!</v>
      </c>
      <c r="I472" s="528">
        <f t="shared" si="18"/>
        <v>0</v>
      </c>
    </row>
    <row r="473" spans="3:11" s="123" customFormat="1" hidden="1">
      <c r="C473" s="1185">
        <v>10416</v>
      </c>
      <c r="D473" s="1252" t="s">
        <v>2382</v>
      </c>
      <c r="E473" s="641"/>
      <c r="F473" s="641"/>
      <c r="G473" s="641"/>
      <c r="H473" s="977" t="e">
        <f t="shared" si="17"/>
        <v>#DIV/0!</v>
      </c>
      <c r="I473" s="528">
        <f t="shared" si="18"/>
        <v>0</v>
      </c>
    </row>
    <row r="474" spans="3:11" s="123" customFormat="1" hidden="1">
      <c r="C474" s="1185">
        <v>15767</v>
      </c>
      <c r="D474" s="1252" t="s">
        <v>1889</v>
      </c>
      <c r="E474" s="641"/>
      <c r="F474" s="641"/>
      <c r="G474" s="641"/>
      <c r="H474" s="977" t="e">
        <f t="shared" si="17"/>
        <v>#DIV/0!</v>
      </c>
      <c r="I474" s="528">
        <f t="shared" si="18"/>
        <v>0</v>
      </c>
    </row>
    <row r="475" spans="3:11" s="123" customFormat="1">
      <c r="C475" s="1185">
        <v>9500</v>
      </c>
      <c r="D475" s="1252" t="s">
        <v>2800</v>
      </c>
      <c r="E475" s="641">
        <v>24</v>
      </c>
      <c r="F475" s="641">
        <v>10</v>
      </c>
      <c r="G475" s="641">
        <v>17</v>
      </c>
      <c r="H475" s="977">
        <f t="shared" si="17"/>
        <v>0.70833333333333337</v>
      </c>
      <c r="I475" s="528">
        <f t="shared" si="18"/>
        <v>170</v>
      </c>
      <c r="J475" s="123">
        <f>24.6/20</f>
        <v>1.23</v>
      </c>
      <c r="K475" s="649">
        <f>+K466/K467</f>
        <v>3.5945945945945943</v>
      </c>
    </row>
    <row r="476" spans="3:11" s="123" customFormat="1">
      <c r="C476" s="1185">
        <v>9252</v>
      </c>
      <c r="D476" s="1252" t="s">
        <v>2285</v>
      </c>
      <c r="E476" s="641">
        <v>120</v>
      </c>
      <c r="F476" s="641">
        <v>100</v>
      </c>
      <c r="G476" s="641">
        <v>8.3000000000000007</v>
      </c>
      <c r="H476" s="977">
        <f t="shared" si="17"/>
        <v>6.9166666666666668E-2</v>
      </c>
      <c r="I476" s="528">
        <f t="shared" si="18"/>
        <v>830.00000000000011</v>
      </c>
      <c r="J476" s="123">
        <f>11.6/20</f>
        <v>0.57999999999999996</v>
      </c>
    </row>
    <row r="477" spans="3:11" s="123" customFormat="1" hidden="1">
      <c r="C477" s="1185">
        <v>13577</v>
      </c>
      <c r="D477" s="1252" t="s">
        <v>2275</v>
      </c>
      <c r="E477" s="641"/>
      <c r="F477" s="641"/>
      <c r="G477" s="641"/>
      <c r="H477" s="977" t="e">
        <f t="shared" si="17"/>
        <v>#DIV/0!</v>
      </c>
      <c r="I477" s="528">
        <f t="shared" si="18"/>
        <v>0</v>
      </c>
    </row>
    <row r="478" spans="3:11" s="123" customFormat="1" hidden="1">
      <c r="C478" s="1185">
        <v>6901</v>
      </c>
      <c r="D478" s="1252" t="s">
        <v>1374</v>
      </c>
      <c r="E478" s="641">
        <v>10</v>
      </c>
      <c r="F478" s="641"/>
      <c r="G478" s="641">
        <v>8.6</v>
      </c>
      <c r="H478" s="977">
        <f t="shared" si="17"/>
        <v>0.86</v>
      </c>
      <c r="I478" s="528">
        <f t="shared" si="18"/>
        <v>0</v>
      </c>
    </row>
    <row r="479" spans="3:11" s="123" customFormat="1" hidden="1">
      <c r="C479" s="1185">
        <v>8309</v>
      </c>
      <c r="D479" s="1252" t="s">
        <v>2457</v>
      </c>
      <c r="E479" s="641"/>
      <c r="F479" s="641"/>
      <c r="G479" s="641"/>
      <c r="H479" s="977" t="e">
        <f t="shared" si="17"/>
        <v>#DIV/0!</v>
      </c>
      <c r="I479" s="528">
        <f t="shared" si="18"/>
        <v>0</v>
      </c>
    </row>
    <row r="480" spans="3:11" s="123" customFormat="1" hidden="1">
      <c r="C480" s="1185">
        <v>9923</v>
      </c>
      <c r="D480" s="1252" t="s">
        <v>1890</v>
      </c>
      <c r="E480" s="641">
        <v>72</v>
      </c>
      <c r="F480" s="641"/>
      <c r="G480" s="641">
        <v>21.6</v>
      </c>
      <c r="H480" s="977">
        <f t="shared" si="17"/>
        <v>0.30000000000000004</v>
      </c>
      <c r="I480" s="528">
        <f t="shared" si="18"/>
        <v>0</v>
      </c>
    </row>
    <row r="481" spans="3:10" s="123" customFormat="1" hidden="1">
      <c r="C481" s="1185">
        <v>13568</v>
      </c>
      <c r="D481" s="1252" t="s">
        <v>2456</v>
      </c>
      <c r="E481" s="641"/>
      <c r="F481" s="641"/>
      <c r="G481" s="641"/>
      <c r="H481" s="977" t="e">
        <f t="shared" si="17"/>
        <v>#DIV/0!</v>
      </c>
      <c r="I481" s="528">
        <f t="shared" si="18"/>
        <v>0</v>
      </c>
    </row>
    <row r="482" spans="3:10" s="123" customFormat="1" hidden="1">
      <c r="C482" s="1185">
        <v>17887</v>
      </c>
      <c r="D482" s="1252" t="s">
        <v>1891</v>
      </c>
      <c r="E482" s="641"/>
      <c r="F482" s="641"/>
      <c r="G482" s="641"/>
      <c r="H482" s="977" t="e">
        <f t="shared" si="17"/>
        <v>#DIV/0!</v>
      </c>
      <c r="I482" s="528">
        <f t="shared" si="18"/>
        <v>0</v>
      </c>
    </row>
    <row r="483" spans="3:10" s="123" customFormat="1" hidden="1">
      <c r="C483" s="1185">
        <v>11384</v>
      </c>
      <c r="D483" s="1252" t="s">
        <v>1892</v>
      </c>
      <c r="E483" s="641"/>
      <c r="F483" s="641"/>
      <c r="G483" s="641"/>
      <c r="H483" s="977" t="e">
        <f t="shared" si="17"/>
        <v>#DIV/0!</v>
      </c>
      <c r="I483" s="528">
        <f t="shared" si="18"/>
        <v>0</v>
      </c>
    </row>
    <row r="484" spans="3:10" s="123" customFormat="1" hidden="1">
      <c r="C484" s="1185">
        <v>13718</v>
      </c>
      <c r="D484" s="1252" t="s">
        <v>1893</v>
      </c>
      <c r="E484" s="641"/>
      <c r="F484" s="641"/>
      <c r="G484" s="641"/>
      <c r="H484" s="977" t="e">
        <f t="shared" si="17"/>
        <v>#DIV/0!</v>
      </c>
      <c r="I484" s="528">
        <f t="shared" si="18"/>
        <v>0</v>
      </c>
    </row>
    <row r="485" spans="3:10" s="123" customFormat="1" hidden="1">
      <c r="C485" s="1185">
        <v>10228</v>
      </c>
      <c r="D485" s="1252" t="s">
        <v>1894</v>
      </c>
      <c r="E485" s="641"/>
      <c r="F485" s="641"/>
      <c r="G485" s="641"/>
      <c r="H485" s="977" t="e">
        <f t="shared" si="17"/>
        <v>#DIV/0!</v>
      </c>
      <c r="I485" s="528">
        <f t="shared" si="18"/>
        <v>0</v>
      </c>
    </row>
    <row r="486" spans="3:10" s="123" customFormat="1" hidden="1">
      <c r="C486" s="1185">
        <v>10238</v>
      </c>
      <c r="D486" s="1252" t="s">
        <v>1491</v>
      </c>
      <c r="E486" s="641"/>
      <c r="F486" s="641"/>
      <c r="G486" s="641"/>
      <c r="H486" s="977" t="e">
        <f t="shared" si="17"/>
        <v>#DIV/0!</v>
      </c>
      <c r="I486" s="528">
        <f t="shared" si="18"/>
        <v>0</v>
      </c>
    </row>
    <row r="487" spans="3:10" s="123" customFormat="1">
      <c r="C487" s="1185">
        <v>15750</v>
      </c>
      <c r="D487" s="1252" t="s">
        <v>2383</v>
      </c>
      <c r="E487" s="641">
        <v>20</v>
      </c>
      <c r="F487" s="641">
        <v>5</v>
      </c>
      <c r="G487" s="641">
        <v>43</v>
      </c>
      <c r="H487" s="977">
        <f t="shared" si="17"/>
        <v>2.15</v>
      </c>
      <c r="I487" s="528">
        <f t="shared" si="18"/>
        <v>215</v>
      </c>
      <c r="J487" s="123">
        <f>1.23/8</f>
        <v>0.15375</v>
      </c>
    </row>
    <row r="488" spans="3:10" s="123" customFormat="1" hidden="1">
      <c r="C488" s="1185">
        <v>8000</v>
      </c>
      <c r="D488" s="1252" t="s">
        <v>2384</v>
      </c>
      <c r="E488" s="641"/>
      <c r="F488" s="641"/>
      <c r="G488" s="641"/>
      <c r="H488" s="977" t="e">
        <f t="shared" si="17"/>
        <v>#DIV/0!</v>
      </c>
      <c r="I488" s="528">
        <f t="shared" si="18"/>
        <v>0</v>
      </c>
    </row>
    <row r="489" spans="3:10" s="123" customFormat="1" hidden="1">
      <c r="C489" s="1185">
        <v>20014</v>
      </c>
      <c r="D489" s="1252" t="s">
        <v>2295</v>
      </c>
      <c r="E489" s="641"/>
      <c r="F489" s="641"/>
      <c r="G489" s="641"/>
      <c r="H489" s="977" t="e">
        <f t="shared" si="17"/>
        <v>#DIV/0!</v>
      </c>
      <c r="I489" s="528">
        <f t="shared" ref="I489:I535" si="19">G489*F489</f>
        <v>0</v>
      </c>
    </row>
    <row r="490" spans="3:10" s="123" customFormat="1" hidden="1">
      <c r="C490" s="1185">
        <v>13719</v>
      </c>
      <c r="D490" s="1252" t="s">
        <v>1895</v>
      </c>
      <c r="E490" s="641"/>
      <c r="F490" s="641"/>
      <c r="G490" s="641"/>
      <c r="H490" s="977" t="e">
        <f t="shared" ref="H490:H535" si="20">G490/E490</f>
        <v>#DIV/0!</v>
      </c>
      <c r="I490" s="528">
        <f t="shared" si="19"/>
        <v>0</v>
      </c>
    </row>
    <row r="491" spans="3:10" s="123" customFormat="1" hidden="1">
      <c r="C491" s="1185">
        <v>13720</v>
      </c>
      <c r="D491" s="1252" t="s">
        <v>1896</v>
      </c>
      <c r="E491" s="641"/>
      <c r="F491" s="641"/>
      <c r="G491" s="641"/>
      <c r="H491" s="977" t="e">
        <f t="shared" si="20"/>
        <v>#DIV/0!</v>
      </c>
      <c r="I491" s="528">
        <f t="shared" si="19"/>
        <v>0</v>
      </c>
    </row>
    <row r="492" spans="3:10" s="123" customFormat="1" hidden="1">
      <c r="C492" s="1185">
        <v>9755</v>
      </c>
      <c r="D492" s="1252" t="s">
        <v>1897</v>
      </c>
      <c r="E492" s="641">
        <v>24</v>
      </c>
      <c r="F492" s="641">
        <v>0</v>
      </c>
      <c r="G492" s="641">
        <v>13.5</v>
      </c>
      <c r="H492" s="977">
        <f t="shared" si="20"/>
        <v>0.5625</v>
      </c>
      <c r="I492" s="528">
        <f t="shared" si="19"/>
        <v>0</v>
      </c>
      <c r="J492" s="123">
        <v>10</v>
      </c>
    </row>
    <row r="493" spans="3:10" s="123" customFormat="1" hidden="1">
      <c r="C493" s="1185">
        <v>10396</v>
      </c>
      <c r="D493" s="1252" t="s">
        <v>1898</v>
      </c>
      <c r="E493" s="641"/>
      <c r="F493" s="641"/>
      <c r="G493" s="641"/>
      <c r="H493" s="977" t="e">
        <f t="shared" si="20"/>
        <v>#DIV/0!</v>
      </c>
      <c r="I493" s="528">
        <f t="shared" si="19"/>
        <v>0</v>
      </c>
    </row>
    <row r="494" spans="3:10" s="123" customFormat="1" hidden="1">
      <c r="C494" s="1185">
        <v>13580</v>
      </c>
      <c r="D494" s="1252" t="s">
        <v>2398</v>
      </c>
      <c r="E494" s="641"/>
      <c r="F494" s="641"/>
      <c r="G494" s="641"/>
      <c r="H494" s="977" t="e">
        <f t="shared" si="20"/>
        <v>#DIV/0!</v>
      </c>
      <c r="I494" s="528">
        <f t="shared" si="19"/>
        <v>0</v>
      </c>
    </row>
    <row r="495" spans="3:10" s="123" customFormat="1" hidden="1">
      <c r="C495" s="1185">
        <v>14308</v>
      </c>
      <c r="D495" s="1252" t="s">
        <v>2801</v>
      </c>
      <c r="E495" s="641"/>
      <c r="F495" s="641"/>
      <c r="G495" s="641"/>
      <c r="H495" s="977" t="e">
        <f t="shared" si="20"/>
        <v>#DIV/0!</v>
      </c>
      <c r="I495" s="528">
        <f t="shared" si="19"/>
        <v>0</v>
      </c>
    </row>
    <row r="496" spans="3:10" s="123" customFormat="1" hidden="1">
      <c r="C496" s="1185">
        <v>5864</v>
      </c>
      <c r="D496" s="1252" t="s">
        <v>2296</v>
      </c>
      <c r="E496" s="641"/>
      <c r="F496" s="641"/>
      <c r="G496" s="641"/>
      <c r="H496" s="977" t="e">
        <f t="shared" si="20"/>
        <v>#DIV/0!</v>
      </c>
      <c r="I496" s="528">
        <f t="shared" si="19"/>
        <v>0</v>
      </c>
    </row>
    <row r="497" spans="3:10" s="123" customFormat="1" hidden="1">
      <c r="C497" s="1185">
        <v>13569</v>
      </c>
      <c r="D497" s="1252" t="s">
        <v>2455</v>
      </c>
      <c r="E497" s="641"/>
      <c r="F497" s="641"/>
      <c r="G497" s="641"/>
      <c r="H497" s="977" t="e">
        <f t="shared" si="20"/>
        <v>#DIV/0!</v>
      </c>
      <c r="I497" s="528">
        <f t="shared" si="19"/>
        <v>0</v>
      </c>
    </row>
    <row r="498" spans="3:10" s="123" customFormat="1" hidden="1">
      <c r="C498" s="1185">
        <v>13578</v>
      </c>
      <c r="D498" s="1252" t="s">
        <v>2282</v>
      </c>
      <c r="E498" s="641"/>
      <c r="F498" s="641"/>
      <c r="G498" s="641"/>
      <c r="H498" s="977" t="e">
        <f t="shared" si="20"/>
        <v>#DIV/0!</v>
      </c>
      <c r="I498" s="528">
        <f t="shared" si="19"/>
        <v>0</v>
      </c>
    </row>
    <row r="499" spans="3:10" s="123" customFormat="1" ht="17.25" hidden="1" customHeight="1">
      <c r="C499" s="1185">
        <v>18135</v>
      </c>
      <c r="D499" s="1252" t="s">
        <v>2802</v>
      </c>
      <c r="E499" s="641">
        <v>12</v>
      </c>
      <c r="F499" s="641">
        <v>0</v>
      </c>
      <c r="G499" s="641">
        <v>8.6</v>
      </c>
      <c r="H499" s="977">
        <f t="shared" si="20"/>
        <v>0.71666666666666667</v>
      </c>
      <c r="I499" s="528">
        <f t="shared" si="19"/>
        <v>0</v>
      </c>
      <c r="J499" s="123">
        <f>+J487*J492</f>
        <v>1.5375000000000001</v>
      </c>
    </row>
    <row r="500" spans="3:10" s="123" customFormat="1" hidden="1">
      <c r="C500" s="1185">
        <v>20803</v>
      </c>
      <c r="D500" s="1252" t="s">
        <v>2477</v>
      </c>
      <c r="E500" s="641">
        <v>12</v>
      </c>
      <c r="F500" s="641"/>
      <c r="G500" s="641">
        <v>9.35</v>
      </c>
      <c r="H500" s="977">
        <f t="shared" si="20"/>
        <v>0.77916666666666667</v>
      </c>
      <c r="I500" s="528">
        <f t="shared" si="19"/>
        <v>0</v>
      </c>
    </row>
    <row r="501" spans="3:10" s="123" customFormat="1" hidden="1">
      <c r="C501" s="1185">
        <v>2647</v>
      </c>
      <c r="D501" s="1252" t="s">
        <v>1899</v>
      </c>
      <c r="E501" s="641"/>
      <c r="F501" s="641"/>
      <c r="G501" s="641"/>
      <c r="H501" s="977" t="e">
        <f t="shared" si="20"/>
        <v>#DIV/0!</v>
      </c>
      <c r="I501" s="528">
        <f t="shared" si="19"/>
        <v>0</v>
      </c>
    </row>
    <row r="502" spans="3:10" s="123" customFormat="1" hidden="1">
      <c r="C502" s="1185">
        <v>20007</v>
      </c>
      <c r="D502" s="1252" t="s">
        <v>2293</v>
      </c>
      <c r="E502" s="641"/>
      <c r="F502" s="641"/>
      <c r="G502" s="641"/>
      <c r="H502" s="977" t="e">
        <f t="shared" si="20"/>
        <v>#DIV/0!</v>
      </c>
      <c r="I502" s="528">
        <f t="shared" si="19"/>
        <v>0</v>
      </c>
    </row>
    <row r="503" spans="3:10" s="123" customFormat="1" hidden="1">
      <c r="C503" s="1185">
        <v>7644</v>
      </c>
      <c r="D503" s="1252" t="s">
        <v>2454</v>
      </c>
      <c r="E503" s="641">
        <v>72</v>
      </c>
      <c r="F503" s="641"/>
      <c r="G503" s="641">
        <v>31.7</v>
      </c>
      <c r="H503" s="977">
        <f t="shared" si="20"/>
        <v>0.44027777777777777</v>
      </c>
      <c r="I503" s="528">
        <f t="shared" si="19"/>
        <v>0</v>
      </c>
    </row>
    <row r="504" spans="3:10" s="123" customFormat="1" ht="13.5" hidden="1" customHeight="1">
      <c r="C504" s="1185">
        <v>20011</v>
      </c>
      <c r="D504" s="1252" t="s">
        <v>2294</v>
      </c>
      <c r="E504" s="641"/>
      <c r="F504" s="641"/>
      <c r="G504" s="641"/>
      <c r="H504" s="977" t="e">
        <f t="shared" si="20"/>
        <v>#DIV/0!</v>
      </c>
      <c r="I504" s="528">
        <f t="shared" si="19"/>
        <v>0</v>
      </c>
    </row>
    <row r="505" spans="3:10" s="123" customFormat="1" hidden="1">
      <c r="C505" s="1185">
        <v>14402</v>
      </c>
      <c r="D505" s="1252" t="s">
        <v>2453</v>
      </c>
      <c r="E505" s="641"/>
      <c r="F505" s="641"/>
      <c r="G505" s="641"/>
      <c r="H505" s="977" t="e">
        <f t="shared" si="20"/>
        <v>#DIV/0!</v>
      </c>
      <c r="I505" s="528">
        <f t="shared" si="19"/>
        <v>0</v>
      </c>
    </row>
    <row r="506" spans="3:10" s="123" customFormat="1" hidden="1">
      <c r="C506" s="1185">
        <v>14403</v>
      </c>
      <c r="D506" s="1252" t="s">
        <v>2277</v>
      </c>
      <c r="E506" s="641"/>
      <c r="F506" s="641"/>
      <c r="G506" s="641"/>
      <c r="H506" s="977" t="e">
        <f t="shared" si="20"/>
        <v>#DIV/0!</v>
      </c>
      <c r="I506" s="528">
        <f t="shared" si="19"/>
        <v>0</v>
      </c>
    </row>
    <row r="507" spans="3:10" s="123" customFormat="1" hidden="1">
      <c r="C507" s="1185">
        <v>20005</v>
      </c>
      <c r="D507" s="1252" t="s">
        <v>2291</v>
      </c>
      <c r="E507" s="641"/>
      <c r="F507" s="641"/>
      <c r="G507" s="641"/>
      <c r="H507" s="977" t="e">
        <f t="shared" si="20"/>
        <v>#DIV/0!</v>
      </c>
      <c r="I507" s="528">
        <f t="shared" si="19"/>
        <v>0</v>
      </c>
    </row>
    <row r="508" spans="3:10" s="123" customFormat="1" hidden="1">
      <c r="C508" s="1185">
        <v>20008</v>
      </c>
      <c r="D508" s="1252" t="s">
        <v>2292</v>
      </c>
      <c r="E508" s="641"/>
      <c r="F508" s="641"/>
      <c r="G508" s="641"/>
      <c r="H508" s="977" t="e">
        <f t="shared" si="20"/>
        <v>#DIV/0!</v>
      </c>
      <c r="I508" s="528">
        <f t="shared" si="19"/>
        <v>0</v>
      </c>
    </row>
    <row r="509" spans="3:10" s="123" customFormat="1" hidden="1">
      <c r="C509" s="1185">
        <v>20009</v>
      </c>
      <c r="D509" s="1252" t="s">
        <v>2290</v>
      </c>
      <c r="E509" s="641"/>
      <c r="F509" s="641"/>
      <c r="G509" s="641"/>
      <c r="H509" s="977" t="e">
        <f t="shared" si="20"/>
        <v>#DIV/0!</v>
      </c>
      <c r="I509" s="528">
        <f t="shared" si="19"/>
        <v>0</v>
      </c>
    </row>
    <row r="510" spans="3:10" s="123" customFormat="1" hidden="1">
      <c r="C510" s="1185">
        <v>13579</v>
      </c>
      <c r="D510" s="1252" t="s">
        <v>2385</v>
      </c>
      <c r="E510" s="641"/>
      <c r="F510" s="641"/>
      <c r="G510" s="641"/>
      <c r="H510" s="977" t="e">
        <f t="shared" si="20"/>
        <v>#DIV/0!</v>
      </c>
      <c r="I510" s="528">
        <f t="shared" si="19"/>
        <v>0</v>
      </c>
    </row>
    <row r="511" spans="3:10" s="123" customFormat="1" hidden="1">
      <c r="C511" s="1185">
        <v>14481</v>
      </c>
      <c r="D511" s="1252" t="s">
        <v>2807</v>
      </c>
      <c r="E511" s="641">
        <v>0</v>
      </c>
      <c r="F511" s="641"/>
      <c r="G511" s="641">
        <v>0</v>
      </c>
      <c r="H511" s="977" t="e">
        <f t="shared" si="20"/>
        <v>#DIV/0!</v>
      </c>
      <c r="I511" s="528">
        <f t="shared" si="19"/>
        <v>0</v>
      </c>
    </row>
    <row r="512" spans="3:10" s="123" customFormat="1" hidden="1">
      <c r="C512" s="1185">
        <v>13964</v>
      </c>
      <c r="D512" s="1252" t="s">
        <v>2387</v>
      </c>
      <c r="E512" s="641"/>
      <c r="F512" s="641"/>
      <c r="G512" s="641"/>
      <c r="H512" s="977" t="e">
        <f t="shared" si="20"/>
        <v>#DIV/0!</v>
      </c>
      <c r="I512" s="528">
        <f t="shared" si="19"/>
        <v>0</v>
      </c>
    </row>
    <row r="513" spans="3:9" s="123" customFormat="1" hidden="1">
      <c r="C513" s="1185">
        <v>14479</v>
      </c>
      <c r="D513" s="1252" t="s">
        <v>2452</v>
      </c>
      <c r="E513" s="641"/>
      <c r="F513" s="641"/>
      <c r="G513" s="641"/>
      <c r="H513" s="977" t="e">
        <f t="shared" si="20"/>
        <v>#DIV/0!</v>
      </c>
      <c r="I513" s="528">
        <f t="shared" si="19"/>
        <v>0</v>
      </c>
    </row>
    <row r="514" spans="3:9" s="123" customFormat="1" hidden="1">
      <c r="C514" s="1185">
        <v>15000</v>
      </c>
      <c r="D514" s="1252" t="s">
        <v>2388</v>
      </c>
      <c r="E514" s="641"/>
      <c r="F514" s="641"/>
      <c r="G514" s="641"/>
      <c r="H514" s="977" t="e">
        <f t="shared" si="20"/>
        <v>#DIV/0!</v>
      </c>
      <c r="I514" s="528">
        <f t="shared" si="19"/>
        <v>0</v>
      </c>
    </row>
    <row r="515" spans="3:9" s="123" customFormat="1" hidden="1">
      <c r="C515" s="1185">
        <v>14999</v>
      </c>
      <c r="D515" s="1252" t="s">
        <v>2276</v>
      </c>
      <c r="E515" s="641"/>
      <c r="F515" s="641"/>
      <c r="G515" s="641"/>
      <c r="H515" s="977" t="e">
        <f t="shared" si="20"/>
        <v>#DIV/0!</v>
      </c>
      <c r="I515" s="528">
        <f t="shared" si="19"/>
        <v>0</v>
      </c>
    </row>
    <row r="516" spans="3:9" s="123" customFormat="1" hidden="1">
      <c r="C516" s="1185">
        <v>14480</v>
      </c>
      <c r="D516" s="1252" t="s">
        <v>2451</v>
      </c>
      <c r="E516" s="641"/>
      <c r="F516" s="641"/>
      <c r="G516" s="641"/>
      <c r="H516" s="977" t="e">
        <f t="shared" si="20"/>
        <v>#DIV/0!</v>
      </c>
      <c r="I516" s="528">
        <f t="shared" si="19"/>
        <v>0</v>
      </c>
    </row>
    <row r="517" spans="3:9" s="123" customFormat="1">
      <c r="C517" s="1185">
        <v>20801</v>
      </c>
      <c r="D517" s="1252" t="s">
        <v>2803</v>
      </c>
      <c r="E517" s="641">
        <v>48</v>
      </c>
      <c r="F517" s="641">
        <v>20</v>
      </c>
      <c r="G517" s="641">
        <v>19.5</v>
      </c>
      <c r="H517" s="977">
        <f t="shared" si="20"/>
        <v>0.40625</v>
      </c>
      <c r="I517" s="528">
        <f t="shared" si="19"/>
        <v>390</v>
      </c>
    </row>
    <row r="518" spans="3:9" s="123" customFormat="1">
      <c r="C518" s="1185">
        <v>20802</v>
      </c>
      <c r="D518" s="1252" t="s">
        <v>2804</v>
      </c>
      <c r="E518" s="641">
        <v>48</v>
      </c>
      <c r="F518" s="641">
        <v>10</v>
      </c>
      <c r="G518" s="641">
        <v>19.5</v>
      </c>
      <c r="H518" s="977">
        <f t="shared" si="20"/>
        <v>0.40625</v>
      </c>
      <c r="I518" s="528">
        <f t="shared" si="19"/>
        <v>195</v>
      </c>
    </row>
    <row r="519" spans="3:9" s="123" customFormat="1">
      <c r="C519" s="1185">
        <v>17889</v>
      </c>
      <c r="D519" s="1252" t="s">
        <v>1509</v>
      </c>
      <c r="E519" s="641">
        <v>48</v>
      </c>
      <c r="F519" s="641">
        <v>30</v>
      </c>
      <c r="G519" s="641">
        <v>18.899999999999999</v>
      </c>
      <c r="H519" s="977">
        <f t="shared" si="20"/>
        <v>0.39374999999999999</v>
      </c>
      <c r="I519" s="528">
        <f t="shared" si="19"/>
        <v>567</v>
      </c>
    </row>
    <row r="520" spans="3:9" s="123" customFormat="1" hidden="1">
      <c r="C520" s="1185"/>
      <c r="D520" s="1252" t="s">
        <v>2813</v>
      </c>
      <c r="E520" s="641">
        <v>252</v>
      </c>
      <c r="F520" s="641">
        <v>0</v>
      </c>
      <c r="G520" s="641">
        <v>37.200000000000003</v>
      </c>
      <c r="H520" s="977" t="s">
        <v>65</v>
      </c>
      <c r="I520" s="528">
        <f t="shared" si="19"/>
        <v>0</v>
      </c>
    </row>
    <row r="521" spans="3:9" s="123" customFormat="1" ht="13.5" customHeight="1">
      <c r="C521" s="1185"/>
      <c r="D521" s="1252" t="s">
        <v>2808</v>
      </c>
      <c r="E521" s="641">
        <v>24</v>
      </c>
      <c r="F521" s="641">
        <v>3</v>
      </c>
      <c r="G521" s="641">
        <v>33.5</v>
      </c>
      <c r="H521" s="977">
        <f t="shared" si="20"/>
        <v>1.3958333333333333</v>
      </c>
      <c r="I521" s="528">
        <f t="shared" si="19"/>
        <v>100.5</v>
      </c>
    </row>
    <row r="522" spans="3:9" s="123" customFormat="1">
      <c r="C522" s="1185"/>
      <c r="D522" s="1252" t="s">
        <v>2809</v>
      </c>
      <c r="E522" s="641">
        <v>24</v>
      </c>
      <c r="F522" s="641">
        <v>3</v>
      </c>
      <c r="G522" s="641">
        <v>33.5</v>
      </c>
      <c r="H522" s="977">
        <f t="shared" si="20"/>
        <v>1.3958333333333333</v>
      </c>
      <c r="I522" s="528">
        <f t="shared" si="19"/>
        <v>100.5</v>
      </c>
    </row>
    <row r="523" spans="3:9" s="123" customFormat="1">
      <c r="C523" s="1185"/>
      <c r="D523" s="1252" t="s">
        <v>2810</v>
      </c>
      <c r="E523" s="641">
        <v>24</v>
      </c>
      <c r="F523" s="641">
        <v>3</v>
      </c>
      <c r="G523" s="641">
        <v>33.5</v>
      </c>
      <c r="H523" s="977">
        <f t="shared" si="20"/>
        <v>1.3958333333333333</v>
      </c>
      <c r="I523" s="528">
        <f t="shared" si="19"/>
        <v>100.5</v>
      </c>
    </row>
    <row r="524" spans="3:9" s="123" customFormat="1" hidden="1">
      <c r="C524" s="1185">
        <v>7101</v>
      </c>
      <c r="D524" s="1252" t="s">
        <v>2450</v>
      </c>
      <c r="E524" s="641"/>
      <c r="F524" s="641"/>
      <c r="G524" s="641"/>
      <c r="H524" s="977" t="e">
        <f t="shared" si="20"/>
        <v>#DIV/0!</v>
      </c>
      <c r="I524" s="528">
        <f t="shared" si="19"/>
        <v>0</v>
      </c>
    </row>
    <row r="525" spans="3:9" s="123" customFormat="1" hidden="1">
      <c r="C525" s="1185">
        <v>9771</v>
      </c>
      <c r="D525" s="1252" t="s">
        <v>2449</v>
      </c>
      <c r="E525" s="641"/>
      <c r="F525" s="641"/>
      <c r="G525" s="641"/>
      <c r="H525" s="977" t="e">
        <f t="shared" si="20"/>
        <v>#DIV/0!</v>
      </c>
      <c r="I525" s="528">
        <f t="shared" si="19"/>
        <v>0</v>
      </c>
    </row>
    <row r="526" spans="3:9" s="123" customFormat="1" hidden="1">
      <c r="C526" s="1185">
        <v>9772</v>
      </c>
      <c r="D526" s="1252" t="s">
        <v>2448</v>
      </c>
      <c r="E526" s="641"/>
      <c r="F526" s="641"/>
      <c r="G526" s="641"/>
      <c r="H526" s="977" t="e">
        <f t="shared" si="20"/>
        <v>#DIV/0!</v>
      </c>
      <c r="I526" s="528">
        <f t="shared" si="19"/>
        <v>0</v>
      </c>
    </row>
    <row r="527" spans="3:9" s="123" customFormat="1" hidden="1">
      <c r="C527" s="1185">
        <v>13331</v>
      </c>
      <c r="D527" s="1252" t="s">
        <v>2389</v>
      </c>
      <c r="E527" s="641"/>
      <c r="F527" s="641"/>
      <c r="G527" s="641"/>
      <c r="H527" s="977" t="e">
        <f t="shared" si="20"/>
        <v>#DIV/0!</v>
      </c>
      <c r="I527" s="528">
        <f t="shared" si="19"/>
        <v>0</v>
      </c>
    </row>
    <row r="528" spans="3:9" s="123" customFormat="1" hidden="1">
      <c r="C528" s="1185">
        <v>13329</v>
      </c>
      <c r="D528" s="1252" t="s">
        <v>2390</v>
      </c>
      <c r="E528" s="641"/>
      <c r="F528" s="641"/>
      <c r="G528" s="641"/>
      <c r="H528" s="977" t="e">
        <f t="shared" si="20"/>
        <v>#DIV/0!</v>
      </c>
      <c r="I528" s="528">
        <f t="shared" si="19"/>
        <v>0</v>
      </c>
    </row>
    <row r="529" spans="3:61" s="123" customFormat="1" hidden="1">
      <c r="C529" s="1185">
        <v>13330</v>
      </c>
      <c r="D529" s="1252" t="s">
        <v>2447</v>
      </c>
      <c r="E529" s="641"/>
      <c r="F529" s="641"/>
      <c r="G529" s="641"/>
      <c r="H529" s="977" t="e">
        <f t="shared" si="20"/>
        <v>#DIV/0!</v>
      </c>
      <c r="I529" s="528">
        <f t="shared" si="19"/>
        <v>0</v>
      </c>
    </row>
    <row r="530" spans="3:61" s="123" customFormat="1">
      <c r="C530" s="1185">
        <v>20805</v>
      </c>
      <c r="D530" s="1252" t="s">
        <v>2805</v>
      </c>
      <c r="E530" s="641">
        <v>20</v>
      </c>
      <c r="F530" s="641">
        <v>2</v>
      </c>
      <c r="G530" s="641">
        <v>29.2</v>
      </c>
      <c r="H530" s="977">
        <f t="shared" si="20"/>
        <v>1.46</v>
      </c>
      <c r="I530" s="528">
        <f t="shared" si="19"/>
        <v>58.4</v>
      </c>
    </row>
    <row r="531" spans="3:61" s="123" customFormat="1" hidden="1">
      <c r="C531" s="1185">
        <v>20804</v>
      </c>
      <c r="D531" s="1252" t="s">
        <v>2806</v>
      </c>
      <c r="E531" s="641">
        <v>20</v>
      </c>
      <c r="F531" s="641">
        <v>0</v>
      </c>
      <c r="G531" s="641">
        <v>22.5</v>
      </c>
      <c r="H531" s="977">
        <f t="shared" si="20"/>
        <v>1.125</v>
      </c>
      <c r="I531" s="528">
        <f t="shared" si="19"/>
        <v>0</v>
      </c>
    </row>
    <row r="532" spans="3:61" s="123" customFormat="1" hidden="1">
      <c r="C532" s="1185">
        <v>9209</v>
      </c>
      <c r="D532" s="1252" t="s">
        <v>2811</v>
      </c>
      <c r="E532" s="641">
        <v>25</v>
      </c>
      <c r="F532" s="641">
        <v>0</v>
      </c>
      <c r="G532" s="641">
        <v>25.6</v>
      </c>
      <c r="H532" s="977">
        <f t="shared" si="20"/>
        <v>1.024</v>
      </c>
      <c r="I532" s="528">
        <f t="shared" si="19"/>
        <v>0</v>
      </c>
    </row>
    <row r="533" spans="3:61" s="123" customFormat="1" ht="15.75" thickBot="1">
      <c r="C533" s="1185"/>
      <c r="D533" s="1252" t="s">
        <v>2812</v>
      </c>
      <c r="E533" s="641">
        <v>20</v>
      </c>
      <c r="F533" s="641">
        <v>5</v>
      </c>
      <c r="G533" s="641">
        <v>27</v>
      </c>
      <c r="H533" s="977">
        <f t="shared" si="20"/>
        <v>1.35</v>
      </c>
      <c r="I533" s="528">
        <f t="shared" si="19"/>
        <v>135</v>
      </c>
    </row>
    <row r="534" spans="3:61" ht="15.75" hidden="1" thickBot="1">
      <c r="C534" s="1190">
        <v>20013</v>
      </c>
      <c r="D534" s="332" t="s">
        <v>2288</v>
      </c>
      <c r="E534" s="590"/>
      <c r="F534" s="590"/>
      <c r="G534" s="590"/>
      <c r="H534" s="963" t="e">
        <f t="shared" si="20"/>
        <v>#DIV/0!</v>
      </c>
      <c r="I534" s="1180">
        <f t="shared" si="19"/>
        <v>0</v>
      </c>
    </row>
    <row r="535" spans="3:61" ht="15.75" hidden="1" thickBot="1">
      <c r="C535" s="1190">
        <v>13721</v>
      </c>
      <c r="D535" s="332" t="s">
        <v>2391</v>
      </c>
      <c r="E535" s="590"/>
      <c r="F535" s="590"/>
      <c r="G535" s="395"/>
      <c r="H535" s="963" t="e">
        <f t="shared" si="20"/>
        <v>#DIV/0!</v>
      </c>
      <c r="I535" s="438">
        <f t="shared" si="19"/>
        <v>0</v>
      </c>
    </row>
    <row r="536" spans="3:61" ht="15.75" thickBot="1">
      <c r="G536" s="2326" t="s">
        <v>74</v>
      </c>
      <c r="H536" s="2327"/>
      <c r="I536" s="1092">
        <f>SUM(I425:I535)</f>
        <v>3777.9</v>
      </c>
    </row>
    <row r="539" spans="3:61" ht="33.75" customHeight="1">
      <c r="C539" s="1185" t="s">
        <v>0</v>
      </c>
      <c r="D539" s="1252" t="s">
        <v>1</v>
      </c>
      <c r="E539" s="310" t="s">
        <v>916</v>
      </c>
      <c r="F539" s="528" t="s">
        <v>68</v>
      </c>
      <c r="G539" s="310" t="s">
        <v>903</v>
      </c>
      <c r="H539" s="900" t="s">
        <v>559</v>
      </c>
      <c r="I539" s="310" t="s">
        <v>917</v>
      </c>
    </row>
    <row r="540" spans="3:61" s="710" customFormat="1" ht="18.75" hidden="1" customHeight="1">
      <c r="C540" s="1185"/>
      <c r="D540" s="1252" t="s">
        <v>3169</v>
      </c>
      <c r="E540" s="310">
        <v>24</v>
      </c>
      <c r="F540" s="528">
        <v>0</v>
      </c>
      <c r="G540" s="310">
        <v>8</v>
      </c>
      <c r="H540" s="900">
        <f t="shared" ref="H540:H548" si="21">G540/E540</f>
        <v>0.33333333333333331</v>
      </c>
      <c r="I540" s="310">
        <f t="shared" ref="I540:I603" si="22">F540*G540</f>
        <v>0</v>
      </c>
      <c r="J540" s="123"/>
      <c r="K540" s="123"/>
      <c r="L540" s="123"/>
      <c r="M540" s="123"/>
      <c r="N540" s="123"/>
      <c r="O540" s="123"/>
      <c r="P540" s="123"/>
      <c r="Q540" s="123"/>
      <c r="R540" s="123"/>
      <c r="S540" s="123"/>
      <c r="T540" s="123"/>
      <c r="U540" s="123"/>
      <c r="V540" s="123"/>
      <c r="W540" s="123"/>
      <c r="X540" s="123"/>
      <c r="Y540" s="123"/>
      <c r="Z540" s="123"/>
      <c r="AA540" s="123"/>
      <c r="AB540" s="123"/>
      <c r="AC540" s="123"/>
      <c r="AD540" s="123"/>
      <c r="AE540" s="123"/>
      <c r="AF540" s="123"/>
      <c r="AG540" s="123"/>
      <c r="AH540" s="123"/>
      <c r="AI540" s="123"/>
      <c r="AJ540" s="123"/>
      <c r="AK540" s="123"/>
      <c r="AL540" s="123"/>
      <c r="AM540" s="123"/>
      <c r="AN540" s="123"/>
      <c r="AO540" s="123"/>
      <c r="AP540" s="123"/>
      <c r="AQ540" s="123"/>
      <c r="AR540" s="123"/>
      <c r="AS540" s="123"/>
      <c r="AT540" s="123"/>
      <c r="AU540" s="123"/>
      <c r="AV540" s="123"/>
      <c r="AW540" s="123"/>
      <c r="AX540" s="123"/>
      <c r="AY540" s="123"/>
      <c r="AZ540" s="123"/>
      <c r="BA540" s="123"/>
      <c r="BB540" s="123"/>
      <c r="BC540" s="123"/>
      <c r="BD540" s="123"/>
      <c r="BE540" s="123"/>
      <c r="BF540" s="123"/>
      <c r="BG540" s="123"/>
      <c r="BH540" s="123"/>
      <c r="BI540" s="123"/>
    </row>
    <row r="541" spans="3:61" hidden="1">
      <c r="C541" s="1185">
        <v>13926</v>
      </c>
      <c r="D541" s="1252" t="s">
        <v>1884</v>
      </c>
      <c r="E541" s="703"/>
      <c r="F541" s="703"/>
      <c r="G541" s="703"/>
      <c r="H541" s="900" t="e">
        <f t="shared" si="21"/>
        <v>#DIV/0!</v>
      </c>
      <c r="I541" s="310">
        <f t="shared" si="22"/>
        <v>0</v>
      </c>
    </row>
    <row r="542" spans="3:61" hidden="1">
      <c r="C542" s="1185">
        <v>9756</v>
      </c>
      <c r="D542" s="1252" t="s">
        <v>2474</v>
      </c>
      <c r="E542" s="703"/>
      <c r="F542" s="703"/>
      <c r="G542" s="703"/>
      <c r="H542" s="900" t="e">
        <f t="shared" si="21"/>
        <v>#DIV/0!</v>
      </c>
      <c r="I542" s="310">
        <f t="shared" si="22"/>
        <v>0</v>
      </c>
    </row>
    <row r="543" spans="3:61" hidden="1">
      <c r="C543" s="1185">
        <v>9734</v>
      </c>
      <c r="D543" s="1252" t="s">
        <v>2794</v>
      </c>
      <c r="E543" s="703"/>
      <c r="F543" s="703"/>
      <c r="G543" s="703"/>
      <c r="H543" s="900" t="e">
        <f t="shared" si="21"/>
        <v>#DIV/0!</v>
      </c>
      <c r="I543" s="310">
        <f t="shared" si="22"/>
        <v>0</v>
      </c>
    </row>
    <row r="544" spans="3:61" hidden="1">
      <c r="C544" s="1185">
        <v>15807</v>
      </c>
      <c r="D544" s="1252" t="s">
        <v>2795</v>
      </c>
      <c r="E544" s="703"/>
      <c r="F544" s="703"/>
      <c r="G544" s="703"/>
      <c r="H544" s="900" t="e">
        <f t="shared" si="21"/>
        <v>#DIV/0!</v>
      </c>
      <c r="I544" s="310">
        <f t="shared" si="22"/>
        <v>0</v>
      </c>
    </row>
    <row r="545" spans="3:61" hidden="1">
      <c r="C545" s="1185">
        <v>20003</v>
      </c>
      <c r="D545" s="1252" t="s">
        <v>2298</v>
      </c>
      <c r="E545" s="703"/>
      <c r="F545" s="703"/>
      <c r="G545" s="703"/>
      <c r="H545" s="900" t="e">
        <f t="shared" si="21"/>
        <v>#DIV/0!</v>
      </c>
      <c r="I545" s="310">
        <f t="shared" si="22"/>
        <v>0</v>
      </c>
    </row>
    <row r="546" spans="3:61" s="570" customFormat="1">
      <c r="C546" s="1185">
        <v>4030</v>
      </c>
      <c r="D546" s="1252" t="s">
        <v>1885</v>
      </c>
      <c r="E546" s="703">
        <v>1000</v>
      </c>
      <c r="F546" s="703">
        <v>40</v>
      </c>
      <c r="G546" s="703">
        <v>3.8</v>
      </c>
      <c r="H546" s="900">
        <f t="shared" si="21"/>
        <v>3.8E-3</v>
      </c>
      <c r="I546" s="310">
        <f t="shared" si="22"/>
        <v>152</v>
      </c>
      <c r="J546" s="123"/>
      <c r="K546" s="123"/>
      <c r="L546" s="123"/>
      <c r="M546" s="123"/>
      <c r="N546" s="123"/>
      <c r="O546" s="123"/>
      <c r="P546" s="123"/>
      <c r="Q546" s="123"/>
      <c r="R546" s="123"/>
      <c r="S546" s="123"/>
      <c r="T546" s="123"/>
      <c r="U546" s="123"/>
      <c r="V546" s="123"/>
      <c r="W546" s="123"/>
      <c r="X546" s="123"/>
      <c r="Y546" s="123"/>
      <c r="Z546" s="123"/>
      <c r="AA546" s="123"/>
      <c r="AB546" s="123"/>
      <c r="AC546" s="123"/>
      <c r="AD546" s="123"/>
      <c r="AE546" s="123"/>
      <c r="AF546" s="123"/>
      <c r="AG546" s="123"/>
      <c r="AH546" s="123"/>
      <c r="AI546" s="123"/>
      <c r="AJ546" s="123"/>
      <c r="AK546" s="123"/>
      <c r="AL546" s="123"/>
      <c r="AM546" s="123"/>
      <c r="AN546" s="123"/>
      <c r="AO546" s="123"/>
      <c r="AP546" s="123"/>
      <c r="AQ546" s="123"/>
      <c r="AR546" s="123"/>
      <c r="AS546" s="123"/>
      <c r="AT546" s="123"/>
      <c r="AU546" s="123"/>
      <c r="AV546" s="123"/>
      <c r="AW546" s="123"/>
      <c r="AX546" s="123"/>
      <c r="AY546" s="123"/>
      <c r="AZ546" s="123"/>
      <c r="BA546" s="123"/>
      <c r="BB546" s="123"/>
      <c r="BC546" s="123"/>
      <c r="BD546" s="123"/>
      <c r="BE546" s="123"/>
      <c r="BF546" s="123"/>
      <c r="BG546" s="123"/>
      <c r="BH546" s="123"/>
      <c r="BI546" s="123"/>
    </row>
    <row r="547" spans="3:61" hidden="1">
      <c r="C547" s="1185">
        <v>5047</v>
      </c>
      <c r="D547" s="1252" t="s">
        <v>2473</v>
      </c>
      <c r="E547" s="703"/>
      <c r="F547" s="703"/>
      <c r="G547" s="703"/>
      <c r="H547" s="900" t="e">
        <f t="shared" si="21"/>
        <v>#DIV/0!</v>
      </c>
      <c r="I547" s="310">
        <f t="shared" si="22"/>
        <v>0</v>
      </c>
    </row>
    <row r="548" spans="3:61" hidden="1">
      <c r="C548" s="1185">
        <v>10529</v>
      </c>
      <c r="D548" s="1252" t="s">
        <v>2472</v>
      </c>
      <c r="E548" s="703"/>
      <c r="F548" s="703"/>
      <c r="G548" s="703"/>
      <c r="H548" s="900" t="e">
        <f t="shared" si="21"/>
        <v>#DIV/0!</v>
      </c>
      <c r="I548" s="310">
        <f t="shared" si="22"/>
        <v>0</v>
      </c>
    </row>
    <row r="549" spans="3:61" hidden="1">
      <c r="C549" s="1185">
        <v>8036</v>
      </c>
      <c r="D549" s="1252" t="s">
        <v>2471</v>
      </c>
      <c r="E549" s="703"/>
      <c r="F549" s="703"/>
      <c r="G549" s="703"/>
      <c r="H549" s="900" t="e">
        <f t="shared" ref="H549:H603" si="23">G549/E549</f>
        <v>#DIV/0!</v>
      </c>
      <c r="I549" s="310">
        <f t="shared" si="22"/>
        <v>0</v>
      </c>
    </row>
    <row r="550" spans="3:61" hidden="1">
      <c r="C550" s="1185">
        <v>8162</v>
      </c>
      <c r="D550" s="1252" t="s">
        <v>897</v>
      </c>
      <c r="E550" s="703"/>
      <c r="F550" s="703"/>
      <c r="G550" s="703"/>
      <c r="H550" s="900" t="e">
        <f t="shared" si="23"/>
        <v>#DIV/0!</v>
      </c>
      <c r="I550" s="310">
        <f t="shared" si="22"/>
        <v>0</v>
      </c>
    </row>
    <row r="551" spans="3:61" hidden="1">
      <c r="C551" s="1185">
        <v>17888</v>
      </c>
      <c r="D551" s="1252" t="s">
        <v>898</v>
      </c>
      <c r="E551" s="703"/>
      <c r="F551" s="703"/>
      <c r="G551" s="703"/>
      <c r="H551" s="900" t="e">
        <f t="shared" si="23"/>
        <v>#DIV/0!</v>
      </c>
      <c r="I551" s="310">
        <f t="shared" si="22"/>
        <v>0</v>
      </c>
    </row>
    <row r="552" spans="3:61" hidden="1">
      <c r="C552" s="1185">
        <v>9579</v>
      </c>
      <c r="D552" s="1252" t="s">
        <v>899</v>
      </c>
      <c r="E552" s="703"/>
      <c r="F552" s="703"/>
      <c r="G552" s="703"/>
      <c r="H552" s="900" t="e">
        <f t="shared" si="23"/>
        <v>#DIV/0!</v>
      </c>
      <c r="I552" s="310">
        <f t="shared" si="22"/>
        <v>0</v>
      </c>
    </row>
    <row r="553" spans="3:61" hidden="1">
      <c r="C553" s="1185">
        <v>7960</v>
      </c>
      <c r="D553" s="1252" t="s">
        <v>900</v>
      </c>
      <c r="E553" s="703"/>
      <c r="F553" s="703"/>
      <c r="G553" s="703"/>
      <c r="H553" s="900" t="e">
        <f t="shared" si="23"/>
        <v>#DIV/0!</v>
      </c>
      <c r="I553" s="310">
        <f t="shared" si="22"/>
        <v>0</v>
      </c>
    </row>
    <row r="554" spans="3:61" s="570" customFormat="1">
      <c r="C554" s="1185">
        <v>950</v>
      </c>
      <c r="D554" s="1252" t="s">
        <v>1508</v>
      </c>
      <c r="E554" s="703">
        <v>100</v>
      </c>
      <c r="F554" s="703">
        <v>5</v>
      </c>
      <c r="G554" s="703">
        <v>21.1</v>
      </c>
      <c r="H554" s="900">
        <f t="shared" si="23"/>
        <v>0.21100000000000002</v>
      </c>
      <c r="I554" s="310">
        <f t="shared" si="22"/>
        <v>105.5</v>
      </c>
      <c r="J554" s="123"/>
      <c r="K554" s="123"/>
      <c r="L554" s="123"/>
      <c r="M554" s="123"/>
      <c r="N554" s="123"/>
      <c r="O554" s="123"/>
      <c r="P554" s="123"/>
      <c r="Q554" s="123"/>
      <c r="R554" s="123"/>
      <c r="S554" s="123"/>
      <c r="T554" s="123"/>
      <c r="U554" s="123"/>
      <c r="V554" s="123"/>
      <c r="W554" s="123"/>
      <c r="X554" s="123"/>
      <c r="Y554" s="123"/>
      <c r="Z554" s="123"/>
      <c r="AA554" s="123"/>
      <c r="AB554" s="123"/>
      <c r="AC554" s="123"/>
      <c r="AD554" s="123"/>
      <c r="AE554" s="123"/>
      <c r="AF554" s="123"/>
      <c r="AG554" s="123"/>
      <c r="AH554" s="123"/>
      <c r="AI554" s="123"/>
      <c r="AJ554" s="123"/>
      <c r="AK554" s="123"/>
      <c r="AL554" s="123"/>
      <c r="AM554" s="123"/>
      <c r="AN554" s="123"/>
      <c r="AO554" s="123"/>
      <c r="AP554" s="123"/>
      <c r="AQ554" s="123"/>
      <c r="AR554" s="123"/>
      <c r="AS554" s="123"/>
      <c r="AT554" s="123"/>
      <c r="AU554" s="123"/>
      <c r="AV554" s="123"/>
      <c r="AW554" s="123"/>
      <c r="AX554" s="123"/>
      <c r="AY554" s="123"/>
      <c r="AZ554" s="123"/>
      <c r="BA554" s="123"/>
      <c r="BB554" s="123"/>
      <c r="BC554" s="123"/>
      <c r="BD554" s="123"/>
      <c r="BE554" s="123"/>
      <c r="BF554" s="123"/>
      <c r="BG554" s="123"/>
      <c r="BH554" s="123"/>
      <c r="BI554" s="123"/>
    </row>
    <row r="555" spans="3:61" s="710" customFormat="1" hidden="1">
      <c r="C555" s="1185">
        <v>20010</v>
      </c>
      <c r="D555" s="1252" t="s">
        <v>3170</v>
      </c>
      <c r="E555" s="703">
        <v>100</v>
      </c>
      <c r="F555" s="703">
        <v>1</v>
      </c>
      <c r="G555" s="703">
        <v>105.9</v>
      </c>
      <c r="H555" s="900">
        <f t="shared" si="23"/>
        <v>1.0590000000000002</v>
      </c>
      <c r="I555" s="310">
        <f t="shared" si="22"/>
        <v>105.9</v>
      </c>
      <c r="J555" s="123"/>
      <c r="K555" s="123"/>
      <c r="L555" s="123"/>
      <c r="M555" s="123"/>
      <c r="N555" s="123"/>
      <c r="O555" s="123"/>
      <c r="P555" s="123"/>
      <c r="Q555" s="123"/>
      <c r="R555" s="123"/>
      <c r="S555" s="123"/>
      <c r="T555" s="123"/>
      <c r="U555" s="123"/>
      <c r="V555" s="123"/>
      <c r="W555" s="123"/>
      <c r="X555" s="123"/>
      <c r="Y555" s="123"/>
      <c r="Z555" s="123"/>
      <c r="AA555" s="123"/>
      <c r="AB555" s="123"/>
      <c r="AC555" s="123"/>
      <c r="AD555" s="123"/>
      <c r="AE555" s="123"/>
      <c r="AF555" s="123"/>
      <c r="AG555" s="123"/>
      <c r="AH555" s="123"/>
      <c r="AI555" s="123"/>
      <c r="AJ555" s="123"/>
      <c r="AK555" s="123"/>
      <c r="AL555" s="123"/>
      <c r="AM555" s="123"/>
      <c r="AN555" s="123"/>
      <c r="AO555" s="123"/>
      <c r="AP555" s="123"/>
      <c r="AQ555" s="123"/>
      <c r="AR555" s="123"/>
      <c r="AS555" s="123"/>
      <c r="AT555" s="123"/>
      <c r="AU555" s="123"/>
      <c r="AV555" s="123"/>
      <c r="AW555" s="123"/>
      <c r="AX555" s="123"/>
      <c r="AY555" s="123"/>
      <c r="AZ555" s="123"/>
      <c r="BA555" s="123"/>
      <c r="BB555" s="123"/>
      <c r="BC555" s="123"/>
      <c r="BD555" s="123"/>
      <c r="BE555" s="123"/>
      <c r="BF555" s="123"/>
      <c r="BG555" s="123"/>
      <c r="BH555" s="123"/>
      <c r="BI555" s="123"/>
    </row>
    <row r="556" spans="3:61" hidden="1">
      <c r="C556" s="1185">
        <v>16237</v>
      </c>
      <c r="D556" s="1252" t="s">
        <v>1886</v>
      </c>
      <c r="E556" s="703"/>
      <c r="F556" s="703"/>
      <c r="G556" s="703"/>
      <c r="H556" s="900" t="e">
        <f t="shared" si="23"/>
        <v>#DIV/0!</v>
      </c>
      <c r="I556" s="310">
        <f t="shared" si="22"/>
        <v>0</v>
      </c>
    </row>
    <row r="557" spans="3:61" hidden="1">
      <c r="C557" s="1185">
        <v>13717</v>
      </c>
      <c r="D557" s="1252" t="s">
        <v>2470</v>
      </c>
      <c r="E557" s="703">
        <v>12</v>
      </c>
      <c r="F557" s="703">
        <v>0</v>
      </c>
      <c r="G557" s="703">
        <v>12.9</v>
      </c>
      <c r="H557" s="900">
        <f t="shared" si="23"/>
        <v>1.075</v>
      </c>
      <c r="I557" s="310">
        <f t="shared" si="22"/>
        <v>0</v>
      </c>
    </row>
    <row r="558" spans="3:61" hidden="1">
      <c r="C558" s="1185">
        <v>13716</v>
      </c>
      <c r="D558" s="1252" t="s">
        <v>2796</v>
      </c>
      <c r="E558" s="703"/>
      <c r="F558" s="703"/>
      <c r="G558" s="703"/>
      <c r="H558" s="900" t="e">
        <f t="shared" si="23"/>
        <v>#DIV/0!</v>
      </c>
      <c r="I558" s="310">
        <f t="shared" si="22"/>
        <v>0</v>
      </c>
    </row>
    <row r="559" spans="3:61" hidden="1">
      <c r="C559" s="1185">
        <v>14998</v>
      </c>
      <c r="D559" s="1252" t="s">
        <v>2468</v>
      </c>
      <c r="E559" s="703"/>
      <c r="F559" s="703"/>
      <c r="G559" s="703"/>
      <c r="H559" s="900" t="e">
        <f t="shared" si="23"/>
        <v>#DIV/0!</v>
      </c>
      <c r="I559" s="310">
        <f t="shared" si="22"/>
        <v>0</v>
      </c>
    </row>
    <row r="560" spans="3:61" hidden="1">
      <c r="C560" s="1185">
        <v>8256</v>
      </c>
      <c r="D560" s="1252" t="s">
        <v>2467</v>
      </c>
      <c r="E560" s="703"/>
      <c r="F560" s="703"/>
      <c r="G560" s="703"/>
      <c r="H560" s="900" t="e">
        <f t="shared" si="23"/>
        <v>#DIV/0!</v>
      </c>
      <c r="I560" s="310">
        <f t="shared" si="22"/>
        <v>0</v>
      </c>
    </row>
    <row r="561" spans="3:9" hidden="1">
      <c r="C561" s="1185">
        <v>20764</v>
      </c>
      <c r="D561" s="1252" t="s">
        <v>2466</v>
      </c>
      <c r="E561" s="703"/>
      <c r="F561" s="703"/>
      <c r="G561" s="703"/>
      <c r="H561" s="900" t="e">
        <f t="shared" si="23"/>
        <v>#DIV/0!</v>
      </c>
      <c r="I561" s="310">
        <f t="shared" si="22"/>
        <v>0</v>
      </c>
    </row>
    <row r="562" spans="3:9" hidden="1">
      <c r="C562" s="1185">
        <v>13570</v>
      </c>
      <c r="D562" s="1252" t="s">
        <v>2465</v>
      </c>
      <c r="E562" s="703"/>
      <c r="F562" s="703"/>
      <c r="G562" s="703"/>
      <c r="H562" s="900" t="e">
        <f t="shared" si="23"/>
        <v>#DIV/0!</v>
      </c>
      <c r="I562" s="310">
        <f t="shared" si="22"/>
        <v>0</v>
      </c>
    </row>
    <row r="563" spans="3:9" hidden="1">
      <c r="C563" s="1185">
        <v>12392</v>
      </c>
      <c r="D563" s="1252" t="s">
        <v>2464</v>
      </c>
      <c r="E563" s="703"/>
      <c r="F563" s="703"/>
      <c r="G563" s="703"/>
      <c r="H563" s="900" t="e">
        <f t="shared" si="23"/>
        <v>#DIV/0!</v>
      </c>
      <c r="I563" s="310">
        <f t="shared" si="22"/>
        <v>0</v>
      </c>
    </row>
    <row r="564" spans="3:9" hidden="1">
      <c r="C564" s="1185">
        <v>10427</v>
      </c>
      <c r="D564" s="1252" t="s">
        <v>2297</v>
      </c>
      <c r="E564" s="703"/>
      <c r="F564" s="703"/>
      <c r="G564" s="703"/>
      <c r="H564" s="900" t="e">
        <f t="shared" si="23"/>
        <v>#DIV/0!</v>
      </c>
      <c r="I564" s="310">
        <f t="shared" si="22"/>
        <v>0</v>
      </c>
    </row>
    <row r="565" spans="3:9" hidden="1">
      <c r="C565" s="1185">
        <v>6706</v>
      </c>
      <c r="D565" s="1252" t="s">
        <v>2463</v>
      </c>
      <c r="E565" s="703"/>
      <c r="F565" s="703"/>
      <c r="G565" s="703"/>
      <c r="H565" s="900" t="e">
        <f t="shared" si="23"/>
        <v>#DIV/0!</v>
      </c>
      <c r="I565" s="310">
        <f t="shared" si="22"/>
        <v>0</v>
      </c>
    </row>
    <row r="566" spans="3:9" hidden="1">
      <c r="C566" s="1185">
        <v>20006</v>
      </c>
      <c r="D566" s="1252" t="s">
        <v>2289</v>
      </c>
      <c r="E566" s="703"/>
      <c r="F566" s="703"/>
      <c r="G566" s="703"/>
      <c r="H566" s="900" t="e">
        <f t="shared" si="23"/>
        <v>#DIV/0!</v>
      </c>
      <c r="I566" s="310">
        <f t="shared" si="22"/>
        <v>0</v>
      </c>
    </row>
    <row r="567" spans="3:9" hidden="1">
      <c r="C567" s="1185">
        <v>8016</v>
      </c>
      <c r="D567" s="1252" t="s">
        <v>2393</v>
      </c>
      <c r="E567" s="703"/>
      <c r="F567" s="703"/>
      <c r="G567" s="703"/>
      <c r="H567" s="900" t="e">
        <f t="shared" si="23"/>
        <v>#DIV/0!</v>
      </c>
      <c r="I567" s="310">
        <f t="shared" si="22"/>
        <v>0</v>
      </c>
    </row>
    <row r="568" spans="3:9" hidden="1">
      <c r="C568" s="1185">
        <v>8117</v>
      </c>
      <c r="D568" s="1252" t="s">
        <v>2284</v>
      </c>
      <c r="E568" s="703"/>
      <c r="F568" s="703"/>
      <c r="G568" s="703"/>
      <c r="H568" s="900" t="e">
        <f t="shared" si="23"/>
        <v>#DIV/0!</v>
      </c>
      <c r="I568" s="310">
        <f t="shared" si="22"/>
        <v>0</v>
      </c>
    </row>
    <row r="569" spans="3:9" hidden="1">
      <c r="C569" s="1185">
        <v>8017</v>
      </c>
      <c r="D569" s="1252" t="s">
        <v>2283</v>
      </c>
      <c r="E569" s="703"/>
      <c r="F569" s="703"/>
      <c r="G569" s="703"/>
      <c r="H569" s="900" t="e">
        <f t="shared" si="23"/>
        <v>#DIV/0!</v>
      </c>
      <c r="I569" s="310">
        <f t="shared" si="22"/>
        <v>0</v>
      </c>
    </row>
    <row r="570" spans="3:9" hidden="1">
      <c r="C570" s="1185">
        <v>2026</v>
      </c>
      <c r="D570" s="1252" t="s">
        <v>421</v>
      </c>
      <c r="E570" s="703"/>
      <c r="F570" s="703"/>
      <c r="G570" s="703"/>
      <c r="H570" s="900" t="e">
        <f t="shared" si="23"/>
        <v>#DIV/0!</v>
      </c>
      <c r="I570" s="310">
        <f t="shared" si="22"/>
        <v>0</v>
      </c>
    </row>
    <row r="571" spans="3:9" hidden="1">
      <c r="C571" s="1185">
        <v>13836</v>
      </c>
      <c r="D571" s="1252" t="s">
        <v>2377</v>
      </c>
      <c r="E571" s="703"/>
      <c r="F571" s="703"/>
      <c r="G571" s="703"/>
      <c r="H571" s="900" t="e">
        <f t="shared" si="23"/>
        <v>#DIV/0!</v>
      </c>
      <c r="I571" s="310">
        <f t="shared" si="22"/>
        <v>0</v>
      </c>
    </row>
    <row r="572" spans="3:9" hidden="1">
      <c r="C572" s="1185">
        <v>14401</v>
      </c>
      <c r="D572" s="1252" t="s">
        <v>2378</v>
      </c>
      <c r="E572" s="703"/>
      <c r="F572" s="703"/>
      <c r="G572" s="703"/>
      <c r="H572" s="900" t="e">
        <f t="shared" si="23"/>
        <v>#DIV/0!</v>
      </c>
      <c r="I572" s="310">
        <f t="shared" si="22"/>
        <v>0</v>
      </c>
    </row>
    <row r="573" spans="3:9" hidden="1">
      <c r="C573" s="1185">
        <v>14399</v>
      </c>
      <c r="D573" s="1252" t="s">
        <v>2379</v>
      </c>
      <c r="E573" s="703"/>
      <c r="F573" s="703"/>
      <c r="G573" s="703"/>
      <c r="H573" s="900" t="e">
        <f t="shared" si="23"/>
        <v>#DIV/0!</v>
      </c>
      <c r="I573" s="310">
        <f t="shared" si="22"/>
        <v>0</v>
      </c>
    </row>
    <row r="574" spans="3:9" hidden="1">
      <c r="C574" s="1185">
        <v>14400</v>
      </c>
      <c r="D574" s="1252" t="s">
        <v>2380</v>
      </c>
      <c r="E574" s="703"/>
      <c r="F574" s="703"/>
      <c r="G574" s="703"/>
      <c r="H574" s="900" t="e">
        <f t="shared" si="23"/>
        <v>#DIV/0!</v>
      </c>
      <c r="I574" s="310">
        <f t="shared" si="22"/>
        <v>0</v>
      </c>
    </row>
    <row r="575" spans="3:9" hidden="1">
      <c r="C575" s="1185">
        <v>13582</v>
      </c>
      <c r="D575" s="1252" t="s">
        <v>2462</v>
      </c>
      <c r="E575" s="703"/>
      <c r="F575" s="703"/>
      <c r="G575" s="703"/>
      <c r="H575" s="900" t="e">
        <f t="shared" si="23"/>
        <v>#DIV/0!</v>
      </c>
      <c r="I575" s="310">
        <f t="shared" si="22"/>
        <v>0</v>
      </c>
    </row>
    <row r="576" spans="3:9" hidden="1">
      <c r="C576" s="1185">
        <v>13583</v>
      </c>
      <c r="D576" s="1252" t="s">
        <v>2461</v>
      </c>
      <c r="E576" s="703"/>
      <c r="F576" s="703"/>
      <c r="G576" s="703"/>
      <c r="H576" s="900" t="e">
        <f t="shared" si="23"/>
        <v>#DIV/0!</v>
      </c>
      <c r="I576" s="310">
        <f t="shared" si="22"/>
        <v>0</v>
      </c>
    </row>
    <row r="577" spans="3:61" hidden="1">
      <c r="C577" s="1185">
        <v>13585</v>
      </c>
      <c r="D577" s="1252" t="s">
        <v>2460</v>
      </c>
      <c r="E577" s="703"/>
      <c r="F577" s="703"/>
      <c r="G577" s="703"/>
      <c r="H577" s="900" t="e">
        <f t="shared" si="23"/>
        <v>#DIV/0!</v>
      </c>
      <c r="I577" s="310">
        <f t="shared" si="22"/>
        <v>0</v>
      </c>
    </row>
    <row r="578" spans="3:61" hidden="1">
      <c r="C578" s="1185">
        <v>13584</v>
      </c>
      <c r="D578" s="1252" t="s">
        <v>2459</v>
      </c>
      <c r="E578" s="703"/>
      <c r="F578" s="703"/>
      <c r="G578" s="703"/>
      <c r="H578" s="900" t="e">
        <f t="shared" si="23"/>
        <v>#DIV/0!</v>
      </c>
      <c r="I578" s="310">
        <f t="shared" si="22"/>
        <v>0</v>
      </c>
    </row>
    <row r="579" spans="3:61" hidden="1">
      <c r="C579" s="1185">
        <v>13581</v>
      </c>
      <c r="D579" s="1252" t="s">
        <v>2381</v>
      </c>
      <c r="E579" s="703"/>
      <c r="F579" s="703"/>
      <c r="G579" s="703"/>
      <c r="H579" s="900" t="e">
        <f t="shared" si="23"/>
        <v>#DIV/0!</v>
      </c>
      <c r="I579" s="310">
        <f t="shared" si="22"/>
        <v>0</v>
      </c>
    </row>
    <row r="580" spans="3:61" s="570" customFormat="1">
      <c r="C580" s="1185">
        <v>18707</v>
      </c>
      <c r="D580" s="1252" t="s">
        <v>2797</v>
      </c>
      <c r="E580" s="703">
        <v>12</v>
      </c>
      <c r="F580" s="703">
        <v>20</v>
      </c>
      <c r="G580" s="703">
        <v>7.7</v>
      </c>
      <c r="H580" s="900">
        <f t="shared" si="23"/>
        <v>0.64166666666666672</v>
      </c>
      <c r="I580" s="310">
        <f t="shared" si="22"/>
        <v>154</v>
      </c>
      <c r="J580" s="123"/>
      <c r="K580" s="123"/>
      <c r="L580" s="123"/>
      <c r="M580" s="123"/>
      <c r="N580" s="123"/>
      <c r="O580" s="123"/>
      <c r="P580" s="123"/>
      <c r="Q580" s="123"/>
      <c r="R580" s="123"/>
      <c r="S580" s="123"/>
      <c r="T580" s="123"/>
      <c r="U580" s="123"/>
      <c r="V580" s="123"/>
      <c r="W580" s="123"/>
      <c r="X580" s="123"/>
      <c r="Y580" s="123"/>
      <c r="Z580" s="123"/>
      <c r="AA580" s="123"/>
      <c r="AB580" s="123"/>
      <c r="AC580" s="123"/>
      <c r="AD580" s="123"/>
      <c r="AE580" s="123"/>
      <c r="AF580" s="123"/>
      <c r="AG580" s="123"/>
      <c r="AH580" s="123"/>
      <c r="AI580" s="123"/>
      <c r="AJ580" s="123"/>
      <c r="AK580" s="123"/>
      <c r="AL580" s="123"/>
      <c r="AM580" s="123"/>
      <c r="AN580" s="123"/>
      <c r="AO580" s="123"/>
      <c r="AP580" s="123"/>
      <c r="AQ580" s="123"/>
      <c r="AR580" s="123"/>
      <c r="AS580" s="123"/>
      <c r="AT580" s="123"/>
      <c r="AU580" s="123"/>
      <c r="AV580" s="123"/>
      <c r="AW580" s="123"/>
      <c r="AX580" s="123"/>
      <c r="AY580" s="123"/>
      <c r="AZ580" s="123"/>
      <c r="BA580" s="123"/>
      <c r="BB580" s="123"/>
      <c r="BC580" s="123"/>
      <c r="BD580" s="123"/>
      <c r="BE580" s="123"/>
      <c r="BF580" s="123"/>
      <c r="BG580" s="123"/>
      <c r="BH580" s="123"/>
      <c r="BI580" s="123"/>
    </row>
    <row r="581" spans="3:61" hidden="1">
      <c r="C581" s="1185">
        <v>18714</v>
      </c>
      <c r="D581" s="1252" t="s">
        <v>2279</v>
      </c>
      <c r="E581" s="703"/>
      <c r="F581" s="703"/>
      <c r="G581" s="703"/>
      <c r="H581" s="900" t="e">
        <f t="shared" si="23"/>
        <v>#DIV/0!</v>
      </c>
      <c r="I581" s="310">
        <f t="shared" si="22"/>
        <v>0</v>
      </c>
    </row>
    <row r="582" spans="3:61" hidden="1">
      <c r="C582" s="1185">
        <v>16239</v>
      </c>
      <c r="D582" s="1252" t="s">
        <v>2798</v>
      </c>
      <c r="E582" s="703">
        <v>24</v>
      </c>
      <c r="F582" s="703">
        <v>0</v>
      </c>
      <c r="G582" s="703">
        <v>12</v>
      </c>
      <c r="H582" s="900">
        <f t="shared" si="23"/>
        <v>0.5</v>
      </c>
      <c r="I582" s="310">
        <f t="shared" si="22"/>
        <v>0</v>
      </c>
    </row>
    <row r="583" spans="3:61" hidden="1">
      <c r="C583" s="1185">
        <v>14766</v>
      </c>
      <c r="D583" s="1252" t="s">
        <v>2799</v>
      </c>
      <c r="E583" s="703"/>
      <c r="F583" s="703"/>
      <c r="G583" s="703"/>
      <c r="H583" s="900" t="e">
        <f t="shared" si="23"/>
        <v>#DIV/0!</v>
      </c>
      <c r="I583" s="310">
        <f t="shared" si="22"/>
        <v>0</v>
      </c>
    </row>
    <row r="584" spans="3:61" hidden="1">
      <c r="C584" s="1185">
        <v>9499</v>
      </c>
      <c r="D584" s="1252" t="s">
        <v>2458</v>
      </c>
      <c r="E584" s="703"/>
      <c r="F584" s="703"/>
      <c r="G584" s="703"/>
      <c r="H584" s="900" t="e">
        <f t="shared" si="23"/>
        <v>#DIV/0!</v>
      </c>
      <c r="I584" s="310">
        <f t="shared" si="22"/>
        <v>0</v>
      </c>
    </row>
    <row r="585" spans="3:61" hidden="1">
      <c r="C585" s="1185">
        <v>20012</v>
      </c>
      <c r="D585" s="1252" t="s">
        <v>2287</v>
      </c>
      <c r="E585" s="703"/>
      <c r="F585" s="703"/>
      <c r="G585" s="703"/>
      <c r="H585" s="900" t="e">
        <f t="shared" si="23"/>
        <v>#DIV/0!</v>
      </c>
      <c r="I585" s="310">
        <f t="shared" si="22"/>
        <v>0</v>
      </c>
    </row>
    <row r="586" spans="3:61" hidden="1">
      <c r="C586" s="1185">
        <v>15426</v>
      </c>
      <c r="D586" s="1252" t="s">
        <v>1887</v>
      </c>
      <c r="E586" s="703"/>
      <c r="F586" s="703"/>
      <c r="G586" s="703"/>
      <c r="H586" s="900" t="e">
        <f t="shared" si="23"/>
        <v>#DIV/0!</v>
      </c>
      <c r="I586" s="310">
        <f t="shared" si="22"/>
        <v>0</v>
      </c>
    </row>
    <row r="587" spans="3:61" hidden="1">
      <c r="C587" s="1185">
        <v>15430</v>
      </c>
      <c r="D587" s="1252" t="s">
        <v>2280</v>
      </c>
      <c r="E587" s="703"/>
      <c r="F587" s="703"/>
      <c r="G587" s="703"/>
      <c r="H587" s="900" t="e">
        <f t="shared" si="23"/>
        <v>#DIV/0!</v>
      </c>
      <c r="I587" s="310">
        <f t="shared" si="22"/>
        <v>0</v>
      </c>
    </row>
    <row r="588" spans="3:61" hidden="1">
      <c r="C588" s="1185">
        <v>15428</v>
      </c>
      <c r="D588" s="1252" t="s">
        <v>1888</v>
      </c>
      <c r="E588" s="703"/>
      <c r="F588" s="703"/>
      <c r="G588" s="703"/>
      <c r="H588" s="900" t="e">
        <f t="shared" si="23"/>
        <v>#DIV/0!</v>
      </c>
      <c r="I588" s="310">
        <f t="shared" si="22"/>
        <v>0</v>
      </c>
    </row>
    <row r="589" spans="3:61" hidden="1">
      <c r="C589" s="1185">
        <v>10416</v>
      </c>
      <c r="D589" s="1252" t="s">
        <v>2382</v>
      </c>
      <c r="E589" s="703"/>
      <c r="F589" s="703"/>
      <c r="G589" s="703"/>
      <c r="H589" s="900" t="e">
        <f t="shared" si="23"/>
        <v>#DIV/0!</v>
      </c>
      <c r="I589" s="310">
        <f t="shared" si="22"/>
        <v>0</v>
      </c>
    </row>
    <row r="590" spans="3:61" hidden="1">
      <c r="C590" s="1185">
        <v>15767</v>
      </c>
      <c r="D590" s="1252" t="s">
        <v>1889</v>
      </c>
      <c r="E590" s="703"/>
      <c r="F590" s="703"/>
      <c r="G590" s="703"/>
      <c r="H590" s="900" t="e">
        <f t="shared" si="23"/>
        <v>#DIV/0!</v>
      </c>
      <c r="I590" s="310">
        <f t="shared" si="22"/>
        <v>0</v>
      </c>
    </row>
    <row r="591" spans="3:61" hidden="1">
      <c r="C591" s="1185">
        <v>9500</v>
      </c>
      <c r="D591" s="1252" t="s">
        <v>2800</v>
      </c>
      <c r="E591" s="703">
        <v>24</v>
      </c>
      <c r="F591" s="703">
        <v>0</v>
      </c>
      <c r="G591" s="703">
        <v>17</v>
      </c>
      <c r="H591" s="900">
        <f t="shared" si="23"/>
        <v>0.70833333333333337</v>
      </c>
      <c r="I591" s="310">
        <f t="shared" si="22"/>
        <v>0</v>
      </c>
    </row>
    <row r="592" spans="3:61" s="570" customFormat="1">
      <c r="C592" s="1185"/>
      <c r="D592" s="1252" t="s">
        <v>3171</v>
      </c>
      <c r="E592" s="703">
        <v>26</v>
      </c>
      <c r="F592" s="703">
        <v>20</v>
      </c>
      <c r="G592" s="703">
        <v>15.1</v>
      </c>
      <c r="H592" s="900">
        <f t="shared" si="23"/>
        <v>0.5807692307692307</v>
      </c>
      <c r="I592" s="310">
        <f t="shared" si="22"/>
        <v>302</v>
      </c>
      <c r="J592" s="123"/>
      <c r="K592" s="123"/>
      <c r="L592" s="123"/>
      <c r="M592" s="123"/>
      <c r="N592" s="123"/>
      <c r="O592" s="123"/>
      <c r="P592" s="123"/>
      <c r="Q592" s="123"/>
      <c r="R592" s="123"/>
      <c r="S592" s="123"/>
      <c r="T592" s="123"/>
      <c r="U592" s="123"/>
      <c r="V592" s="123"/>
      <c r="W592" s="123"/>
      <c r="X592" s="123"/>
      <c r="Y592" s="123"/>
      <c r="Z592" s="123"/>
      <c r="AA592" s="123"/>
      <c r="AB592" s="123"/>
      <c r="AC592" s="123"/>
      <c r="AD592" s="123"/>
      <c r="AE592" s="123"/>
      <c r="AF592" s="123"/>
      <c r="AG592" s="123"/>
      <c r="AH592" s="123"/>
      <c r="AI592" s="123"/>
      <c r="AJ592" s="123"/>
      <c r="AK592" s="123"/>
      <c r="AL592" s="123"/>
      <c r="AM592" s="123"/>
      <c r="AN592" s="123"/>
      <c r="AO592" s="123"/>
      <c r="AP592" s="123"/>
      <c r="AQ592" s="123"/>
      <c r="AR592" s="123"/>
      <c r="AS592" s="123"/>
      <c r="AT592" s="123"/>
      <c r="AU592" s="123"/>
      <c r="AV592" s="123"/>
      <c r="AW592" s="123"/>
      <c r="AX592" s="123"/>
      <c r="AY592" s="123"/>
      <c r="AZ592" s="123"/>
      <c r="BA592" s="123"/>
      <c r="BB592" s="123"/>
      <c r="BC592" s="123"/>
      <c r="BD592" s="123"/>
      <c r="BE592" s="123"/>
      <c r="BF592" s="123"/>
      <c r="BG592" s="123"/>
      <c r="BH592" s="123"/>
      <c r="BI592" s="123"/>
    </row>
    <row r="593" spans="3:61" s="570" customFormat="1">
      <c r="C593" s="1185"/>
      <c r="D593" s="1252" t="s">
        <v>3172</v>
      </c>
      <c r="E593" s="703">
        <v>26</v>
      </c>
      <c r="F593" s="703">
        <v>20</v>
      </c>
      <c r="G593" s="703">
        <v>15.1</v>
      </c>
      <c r="H593" s="900">
        <f t="shared" si="23"/>
        <v>0.5807692307692307</v>
      </c>
      <c r="I593" s="310">
        <f t="shared" si="22"/>
        <v>302</v>
      </c>
      <c r="J593" s="123"/>
      <c r="K593" s="123"/>
      <c r="L593" s="123"/>
      <c r="M593" s="123"/>
      <c r="N593" s="123"/>
      <c r="O593" s="123"/>
      <c r="P593" s="123"/>
      <c r="Q593" s="123"/>
      <c r="R593" s="123"/>
      <c r="S593" s="123"/>
      <c r="T593" s="123"/>
      <c r="U593" s="123"/>
      <c r="V593" s="123"/>
      <c r="W593" s="123"/>
      <c r="X593" s="123"/>
      <c r="Y593" s="123"/>
      <c r="Z593" s="123"/>
      <c r="AA593" s="123"/>
      <c r="AB593" s="123"/>
      <c r="AC593" s="123"/>
      <c r="AD593" s="123"/>
      <c r="AE593" s="123"/>
      <c r="AF593" s="123"/>
      <c r="AG593" s="123"/>
      <c r="AH593" s="123"/>
      <c r="AI593" s="123"/>
      <c r="AJ593" s="123"/>
      <c r="AK593" s="123"/>
      <c r="AL593" s="123"/>
      <c r="AM593" s="123"/>
      <c r="AN593" s="123"/>
      <c r="AO593" s="123"/>
      <c r="AP593" s="123"/>
      <c r="AQ593" s="123"/>
      <c r="AR593" s="123"/>
      <c r="AS593" s="123"/>
      <c r="AT593" s="123"/>
      <c r="AU593" s="123"/>
      <c r="AV593" s="123"/>
      <c r="AW593" s="123"/>
      <c r="AX593" s="123"/>
      <c r="AY593" s="123"/>
      <c r="AZ593" s="123"/>
      <c r="BA593" s="123"/>
      <c r="BB593" s="123"/>
      <c r="BC593" s="123"/>
      <c r="BD593" s="123"/>
      <c r="BE593" s="123"/>
      <c r="BF593" s="123"/>
      <c r="BG593" s="123"/>
      <c r="BH593" s="123"/>
      <c r="BI593" s="123"/>
    </row>
    <row r="594" spans="3:61" s="404" customFormat="1" hidden="1">
      <c r="C594" s="1185"/>
      <c r="D594" s="1252"/>
      <c r="E594" s="703"/>
      <c r="F594" s="703"/>
      <c r="G594" s="703"/>
      <c r="H594" s="900" t="e">
        <f t="shared" si="23"/>
        <v>#DIV/0!</v>
      </c>
      <c r="I594" s="310">
        <f t="shared" si="22"/>
        <v>0</v>
      </c>
      <c r="J594" s="123"/>
      <c r="K594" s="123"/>
      <c r="L594" s="123"/>
      <c r="M594" s="123"/>
      <c r="N594" s="123"/>
      <c r="O594" s="123"/>
      <c r="P594" s="123"/>
      <c r="Q594" s="123"/>
      <c r="R594" s="123"/>
      <c r="S594" s="123"/>
      <c r="T594" s="123"/>
      <c r="U594" s="123"/>
      <c r="V594" s="123"/>
      <c r="W594" s="123"/>
      <c r="X594" s="123"/>
      <c r="Y594" s="123"/>
      <c r="Z594" s="123"/>
      <c r="AA594" s="123"/>
      <c r="AB594" s="123"/>
      <c r="AC594" s="123"/>
      <c r="AD594" s="123"/>
      <c r="AE594" s="123"/>
      <c r="AF594" s="123"/>
      <c r="AG594" s="123"/>
      <c r="AH594" s="123"/>
      <c r="AI594" s="123"/>
      <c r="AJ594" s="123"/>
      <c r="AK594" s="123"/>
      <c r="AL594" s="123"/>
      <c r="AM594" s="123"/>
      <c r="AN594" s="123"/>
      <c r="AO594" s="123"/>
      <c r="AP594" s="123"/>
      <c r="AQ594" s="123"/>
      <c r="AR594" s="123"/>
      <c r="AS594" s="123"/>
      <c r="AT594" s="123"/>
      <c r="AU594" s="123"/>
      <c r="AV594" s="123"/>
      <c r="AW594" s="123"/>
      <c r="AX594" s="123"/>
      <c r="AY594" s="123"/>
      <c r="AZ594" s="123"/>
      <c r="BA594" s="123"/>
      <c r="BB594" s="123"/>
      <c r="BC594" s="123"/>
      <c r="BD594" s="123"/>
      <c r="BE594" s="123"/>
      <c r="BF594" s="123"/>
      <c r="BG594" s="123"/>
      <c r="BH594" s="123"/>
      <c r="BI594" s="123"/>
    </row>
    <row r="595" spans="3:61" s="404" customFormat="1" hidden="1">
      <c r="C595" s="1185"/>
      <c r="D595" s="1252"/>
      <c r="E595" s="703"/>
      <c r="F595" s="703"/>
      <c r="G595" s="703"/>
      <c r="H595" s="900" t="e">
        <f t="shared" si="23"/>
        <v>#DIV/0!</v>
      </c>
      <c r="I595" s="310">
        <f t="shared" si="22"/>
        <v>0</v>
      </c>
      <c r="J595" s="123"/>
      <c r="K595" s="123"/>
      <c r="L595" s="123"/>
      <c r="M595" s="123"/>
      <c r="N595" s="123"/>
      <c r="O595" s="123"/>
      <c r="P595" s="123"/>
      <c r="Q595" s="123"/>
      <c r="R595" s="123"/>
      <c r="S595" s="123"/>
      <c r="T595" s="123"/>
      <c r="U595" s="123"/>
      <c r="V595" s="123"/>
      <c r="W595" s="123"/>
      <c r="X595" s="123"/>
      <c r="Y595" s="123"/>
      <c r="Z595" s="123"/>
      <c r="AA595" s="123"/>
      <c r="AB595" s="123"/>
      <c r="AC595" s="123"/>
      <c r="AD595" s="123"/>
      <c r="AE595" s="123"/>
      <c r="AF595" s="123"/>
      <c r="AG595" s="123"/>
      <c r="AH595" s="123"/>
      <c r="AI595" s="123"/>
      <c r="AJ595" s="123"/>
      <c r="AK595" s="123"/>
      <c r="AL595" s="123"/>
      <c r="AM595" s="123"/>
      <c r="AN595" s="123"/>
      <c r="AO595" s="123"/>
      <c r="AP595" s="123"/>
      <c r="AQ595" s="123"/>
      <c r="AR595" s="123"/>
      <c r="AS595" s="123"/>
      <c r="AT595" s="123"/>
      <c r="AU595" s="123"/>
      <c r="AV595" s="123"/>
      <c r="AW595" s="123"/>
      <c r="AX595" s="123"/>
      <c r="AY595" s="123"/>
      <c r="AZ595" s="123"/>
      <c r="BA595" s="123"/>
      <c r="BB595" s="123"/>
      <c r="BC595" s="123"/>
      <c r="BD595" s="123"/>
      <c r="BE595" s="123"/>
      <c r="BF595" s="123"/>
      <c r="BG595" s="123"/>
      <c r="BH595" s="123"/>
      <c r="BI595" s="123"/>
    </row>
    <row r="596" spans="3:61" hidden="1">
      <c r="C596" s="1185">
        <v>15750</v>
      </c>
      <c r="D596" s="1252" t="s">
        <v>3164</v>
      </c>
      <c r="E596" s="703"/>
      <c r="F596" s="703"/>
      <c r="G596" s="703"/>
      <c r="H596" s="900" t="e">
        <f t="shared" si="23"/>
        <v>#DIV/0!</v>
      </c>
      <c r="I596" s="310">
        <f t="shared" si="22"/>
        <v>0</v>
      </c>
    </row>
    <row r="597" spans="3:61" s="570" customFormat="1">
      <c r="C597" s="1185">
        <v>9252</v>
      </c>
      <c r="D597" s="1252" t="s">
        <v>2285</v>
      </c>
      <c r="E597" s="703">
        <v>120</v>
      </c>
      <c r="F597" s="703">
        <v>100</v>
      </c>
      <c r="G597" s="703">
        <v>8.3000000000000007</v>
      </c>
      <c r="H597" s="900">
        <f t="shared" si="23"/>
        <v>6.9166666666666668E-2</v>
      </c>
      <c r="I597" s="310">
        <f t="shared" si="22"/>
        <v>830.00000000000011</v>
      </c>
      <c r="J597" s="123"/>
      <c r="K597" s="123"/>
      <c r="L597" s="123"/>
      <c r="M597" s="123"/>
      <c r="N597" s="123"/>
      <c r="O597" s="123"/>
      <c r="P597" s="123"/>
      <c r="Q597" s="123"/>
      <c r="R597" s="123"/>
      <c r="S597" s="123"/>
      <c r="T597" s="123"/>
      <c r="U597" s="123"/>
      <c r="V597" s="123"/>
      <c r="W597" s="123"/>
      <c r="X597" s="123"/>
      <c r="Y597" s="123"/>
      <c r="Z597" s="123"/>
      <c r="AA597" s="123"/>
      <c r="AB597" s="123"/>
      <c r="AC597" s="123"/>
      <c r="AD597" s="123"/>
      <c r="AE597" s="123"/>
      <c r="AF597" s="123"/>
      <c r="AG597" s="123"/>
      <c r="AH597" s="123"/>
      <c r="AI597" s="123"/>
      <c r="AJ597" s="123"/>
      <c r="AK597" s="123"/>
      <c r="AL597" s="123"/>
      <c r="AM597" s="123"/>
      <c r="AN597" s="123"/>
      <c r="AO597" s="123"/>
      <c r="AP597" s="123"/>
      <c r="AQ597" s="123"/>
      <c r="AR597" s="123"/>
      <c r="AS597" s="123"/>
      <c r="AT597" s="123"/>
      <c r="AU597" s="123"/>
      <c r="AV597" s="123"/>
      <c r="AW597" s="123"/>
      <c r="AX597" s="123"/>
      <c r="AY597" s="123"/>
      <c r="AZ597" s="123"/>
      <c r="BA597" s="123"/>
      <c r="BB597" s="123"/>
      <c r="BC597" s="123"/>
      <c r="BD597" s="123"/>
      <c r="BE597" s="123"/>
      <c r="BF597" s="123"/>
      <c r="BG597" s="123"/>
      <c r="BH597" s="123"/>
      <c r="BI597" s="123"/>
    </row>
    <row r="598" spans="3:61" hidden="1">
      <c r="C598" s="1185">
        <v>13577</v>
      </c>
      <c r="D598" s="1252" t="s">
        <v>2275</v>
      </c>
      <c r="E598" s="703"/>
      <c r="F598" s="703"/>
      <c r="G598" s="703"/>
      <c r="H598" s="900" t="e">
        <f t="shared" si="23"/>
        <v>#DIV/0!</v>
      </c>
      <c r="I598" s="310">
        <f t="shared" si="22"/>
        <v>0</v>
      </c>
    </row>
    <row r="599" spans="3:61" hidden="1">
      <c r="C599" s="1185">
        <v>6901</v>
      </c>
      <c r="D599" s="1252" t="s">
        <v>1374</v>
      </c>
      <c r="E599" s="703"/>
      <c r="F599" s="703"/>
      <c r="G599" s="703"/>
      <c r="H599" s="900" t="e">
        <f t="shared" si="23"/>
        <v>#DIV/0!</v>
      </c>
      <c r="I599" s="310">
        <f t="shared" si="22"/>
        <v>0</v>
      </c>
    </row>
    <row r="600" spans="3:61" ht="1.5" customHeight="1">
      <c r="C600" s="1185">
        <v>8309</v>
      </c>
      <c r="D600" s="1252" t="s">
        <v>2457</v>
      </c>
      <c r="E600" s="703"/>
      <c r="F600" s="703"/>
      <c r="G600" s="703"/>
      <c r="H600" s="900" t="e">
        <f t="shared" si="23"/>
        <v>#DIV/0!</v>
      </c>
      <c r="I600" s="310">
        <f t="shared" si="22"/>
        <v>0</v>
      </c>
    </row>
    <row r="601" spans="3:61" s="570" customFormat="1">
      <c r="C601" s="1185">
        <v>9923</v>
      </c>
      <c r="D601" s="1252" t="s">
        <v>1890</v>
      </c>
      <c r="E601" s="703">
        <v>72</v>
      </c>
      <c r="F601" s="703">
        <v>35</v>
      </c>
      <c r="G601" s="703">
        <v>21.6</v>
      </c>
      <c r="H601" s="900">
        <f t="shared" si="23"/>
        <v>0.30000000000000004</v>
      </c>
      <c r="I601" s="310">
        <f t="shared" si="22"/>
        <v>756</v>
      </c>
      <c r="J601" s="123"/>
      <c r="K601" s="123"/>
      <c r="L601" s="123"/>
      <c r="M601" s="123"/>
      <c r="N601" s="123"/>
      <c r="O601" s="123"/>
      <c r="P601" s="123"/>
      <c r="Q601" s="123"/>
      <c r="R601" s="123"/>
      <c r="S601" s="123"/>
      <c r="T601" s="123"/>
      <c r="U601" s="123"/>
      <c r="V601" s="123"/>
      <c r="W601" s="123"/>
      <c r="X601" s="123"/>
      <c r="Y601" s="123"/>
      <c r="Z601" s="123"/>
      <c r="AA601" s="123"/>
      <c r="AB601" s="123"/>
      <c r="AC601" s="123"/>
      <c r="AD601" s="123"/>
      <c r="AE601" s="123"/>
      <c r="AF601" s="123"/>
      <c r="AG601" s="123"/>
      <c r="AH601" s="123"/>
      <c r="AI601" s="123"/>
      <c r="AJ601" s="123"/>
      <c r="AK601" s="123"/>
      <c r="AL601" s="123"/>
      <c r="AM601" s="123"/>
      <c r="AN601" s="123"/>
      <c r="AO601" s="123"/>
      <c r="AP601" s="123"/>
      <c r="AQ601" s="123"/>
      <c r="AR601" s="123"/>
      <c r="AS601" s="123"/>
      <c r="AT601" s="123"/>
      <c r="AU601" s="123"/>
      <c r="AV601" s="123"/>
      <c r="AW601" s="123"/>
      <c r="AX601" s="123"/>
      <c r="AY601" s="123"/>
      <c r="AZ601" s="123"/>
      <c r="BA601" s="123"/>
      <c r="BB601" s="123"/>
      <c r="BC601" s="123"/>
      <c r="BD601" s="123"/>
      <c r="BE601" s="123"/>
      <c r="BF601" s="123"/>
      <c r="BG601" s="123"/>
      <c r="BH601" s="123"/>
      <c r="BI601" s="123"/>
    </row>
    <row r="602" spans="3:61" s="570" customFormat="1" hidden="1">
      <c r="C602" s="1185">
        <v>13568</v>
      </c>
      <c r="D602" s="1252" t="s">
        <v>2456</v>
      </c>
      <c r="E602" s="703"/>
      <c r="F602" s="703"/>
      <c r="G602" s="703"/>
      <c r="H602" s="900" t="e">
        <f t="shared" si="23"/>
        <v>#DIV/0!</v>
      </c>
      <c r="I602" s="310">
        <f t="shared" si="22"/>
        <v>0</v>
      </c>
      <c r="J602" s="123"/>
      <c r="K602" s="123"/>
      <c r="L602" s="123"/>
      <c r="M602" s="123"/>
      <c r="N602" s="123"/>
      <c r="O602" s="123"/>
      <c r="P602" s="123"/>
      <c r="Q602" s="123"/>
      <c r="R602" s="123"/>
      <c r="S602" s="123"/>
      <c r="T602" s="123"/>
      <c r="U602" s="123"/>
      <c r="V602" s="123"/>
      <c r="W602" s="123"/>
      <c r="X602" s="123"/>
      <c r="Y602" s="123"/>
      <c r="Z602" s="123"/>
      <c r="AA602" s="123"/>
      <c r="AB602" s="123"/>
      <c r="AC602" s="123"/>
      <c r="AD602" s="123"/>
      <c r="AE602" s="123"/>
      <c r="AF602" s="123"/>
      <c r="AG602" s="123"/>
      <c r="AH602" s="123"/>
      <c r="AI602" s="123"/>
      <c r="AJ602" s="123"/>
      <c r="AK602" s="123"/>
      <c r="AL602" s="123"/>
      <c r="AM602" s="123"/>
      <c r="AN602" s="123"/>
      <c r="AO602" s="123"/>
      <c r="AP602" s="123"/>
      <c r="AQ602" s="123"/>
      <c r="AR602" s="123"/>
      <c r="AS602" s="123"/>
      <c r="AT602" s="123"/>
      <c r="AU602" s="123"/>
      <c r="AV602" s="123"/>
      <c r="AW602" s="123"/>
      <c r="AX602" s="123"/>
      <c r="AY602" s="123"/>
      <c r="AZ602" s="123"/>
      <c r="BA602" s="123"/>
      <c r="BB602" s="123"/>
      <c r="BC602" s="123"/>
      <c r="BD602" s="123"/>
      <c r="BE602" s="123"/>
      <c r="BF602" s="123"/>
      <c r="BG602" s="123"/>
      <c r="BH602" s="123"/>
      <c r="BI602" s="123"/>
    </row>
    <row r="603" spans="3:61" s="570" customFormat="1" hidden="1">
      <c r="C603" s="1185">
        <v>17887</v>
      </c>
      <c r="D603" s="1252" t="s">
        <v>1891</v>
      </c>
      <c r="E603" s="703"/>
      <c r="F603" s="703"/>
      <c r="G603" s="703"/>
      <c r="H603" s="900" t="e">
        <f t="shared" si="23"/>
        <v>#DIV/0!</v>
      </c>
      <c r="I603" s="310">
        <f t="shared" si="22"/>
        <v>0</v>
      </c>
      <c r="J603" s="123"/>
      <c r="K603" s="123"/>
      <c r="L603" s="123"/>
      <c r="M603" s="123"/>
      <c r="N603" s="123"/>
      <c r="O603" s="123"/>
      <c r="P603" s="123"/>
      <c r="Q603" s="123"/>
      <c r="R603" s="123"/>
      <c r="S603" s="123"/>
      <c r="T603" s="123"/>
      <c r="U603" s="123"/>
      <c r="V603" s="123"/>
      <c r="W603" s="123"/>
      <c r="X603" s="123"/>
      <c r="Y603" s="123"/>
      <c r="Z603" s="123"/>
      <c r="AA603" s="123"/>
      <c r="AB603" s="123"/>
      <c r="AC603" s="123"/>
      <c r="AD603" s="123"/>
      <c r="AE603" s="123"/>
      <c r="AF603" s="123"/>
      <c r="AG603" s="123"/>
      <c r="AH603" s="123"/>
      <c r="AI603" s="123"/>
      <c r="AJ603" s="123"/>
      <c r="AK603" s="123"/>
      <c r="AL603" s="123"/>
      <c r="AM603" s="123"/>
      <c r="AN603" s="123"/>
      <c r="AO603" s="123"/>
      <c r="AP603" s="123"/>
      <c r="AQ603" s="123"/>
      <c r="AR603" s="123"/>
      <c r="AS603" s="123"/>
      <c r="AT603" s="123"/>
      <c r="AU603" s="123"/>
      <c r="AV603" s="123"/>
      <c r="AW603" s="123"/>
      <c r="AX603" s="123"/>
      <c r="AY603" s="123"/>
      <c r="AZ603" s="123"/>
      <c r="BA603" s="123"/>
      <c r="BB603" s="123"/>
      <c r="BC603" s="123"/>
      <c r="BD603" s="123"/>
      <c r="BE603" s="123"/>
      <c r="BF603" s="123"/>
      <c r="BG603" s="123"/>
      <c r="BH603" s="123"/>
      <c r="BI603" s="123"/>
    </row>
    <row r="604" spans="3:61" s="570" customFormat="1" hidden="1">
      <c r="C604" s="1185">
        <v>11384</v>
      </c>
      <c r="D604" s="1252" t="s">
        <v>1892</v>
      </c>
      <c r="E604" s="703"/>
      <c r="F604" s="703"/>
      <c r="G604" s="703"/>
      <c r="H604" s="900" t="e">
        <f t="shared" ref="H604:H674" si="24">G604/E604</f>
        <v>#DIV/0!</v>
      </c>
      <c r="I604" s="310">
        <f t="shared" ref="I604:I667" si="25">F604*G604</f>
        <v>0</v>
      </c>
      <c r="J604" s="123"/>
      <c r="K604" s="123"/>
      <c r="L604" s="123"/>
      <c r="M604" s="123"/>
      <c r="N604" s="123"/>
      <c r="O604" s="123"/>
      <c r="P604" s="123"/>
      <c r="Q604" s="123"/>
      <c r="R604" s="123"/>
      <c r="S604" s="123"/>
      <c r="T604" s="123"/>
      <c r="U604" s="123"/>
      <c r="V604" s="123"/>
      <c r="W604" s="123"/>
      <c r="X604" s="123"/>
      <c r="Y604" s="123"/>
      <c r="Z604" s="123"/>
      <c r="AA604" s="123"/>
      <c r="AB604" s="123"/>
      <c r="AC604" s="123"/>
      <c r="AD604" s="123"/>
      <c r="AE604" s="123"/>
      <c r="AF604" s="123"/>
      <c r="AG604" s="123"/>
      <c r="AH604" s="123"/>
      <c r="AI604" s="123"/>
      <c r="AJ604" s="123"/>
      <c r="AK604" s="123"/>
      <c r="AL604" s="123"/>
      <c r="AM604" s="123"/>
      <c r="AN604" s="123"/>
      <c r="AO604" s="123"/>
      <c r="AP604" s="123"/>
      <c r="AQ604" s="123"/>
      <c r="AR604" s="123"/>
      <c r="AS604" s="123"/>
      <c r="AT604" s="123"/>
      <c r="AU604" s="123"/>
      <c r="AV604" s="123"/>
      <c r="AW604" s="123"/>
      <c r="AX604" s="123"/>
      <c r="AY604" s="123"/>
      <c r="AZ604" s="123"/>
      <c r="BA604" s="123"/>
      <c r="BB604" s="123"/>
      <c r="BC604" s="123"/>
      <c r="BD604" s="123"/>
      <c r="BE604" s="123"/>
      <c r="BF604" s="123"/>
      <c r="BG604" s="123"/>
      <c r="BH604" s="123"/>
      <c r="BI604" s="123"/>
    </row>
    <row r="605" spans="3:61" s="570" customFormat="1" hidden="1">
      <c r="C605" s="1185">
        <v>13718</v>
      </c>
      <c r="D605" s="1252" t="s">
        <v>1893</v>
      </c>
      <c r="E605" s="703"/>
      <c r="F605" s="703"/>
      <c r="G605" s="703"/>
      <c r="H605" s="900" t="e">
        <f t="shared" si="24"/>
        <v>#DIV/0!</v>
      </c>
      <c r="I605" s="310">
        <f t="shared" si="25"/>
        <v>0</v>
      </c>
      <c r="J605" s="123"/>
      <c r="K605" s="123"/>
      <c r="L605" s="123"/>
      <c r="M605" s="123"/>
      <c r="N605" s="123"/>
      <c r="O605" s="123"/>
      <c r="P605" s="123"/>
      <c r="Q605" s="123"/>
      <c r="R605" s="123"/>
      <c r="S605" s="123"/>
      <c r="T605" s="123"/>
      <c r="U605" s="123"/>
      <c r="V605" s="123"/>
      <c r="W605" s="123"/>
      <c r="X605" s="123"/>
      <c r="Y605" s="123"/>
      <c r="Z605" s="123"/>
      <c r="AA605" s="123"/>
      <c r="AB605" s="123"/>
      <c r="AC605" s="123"/>
      <c r="AD605" s="123"/>
      <c r="AE605" s="123"/>
      <c r="AF605" s="123"/>
      <c r="AG605" s="123"/>
      <c r="AH605" s="123"/>
      <c r="AI605" s="123"/>
      <c r="AJ605" s="123"/>
      <c r="AK605" s="123"/>
      <c r="AL605" s="123"/>
      <c r="AM605" s="123"/>
      <c r="AN605" s="123"/>
      <c r="AO605" s="123"/>
      <c r="AP605" s="123"/>
      <c r="AQ605" s="123"/>
      <c r="AR605" s="123"/>
      <c r="AS605" s="123"/>
      <c r="AT605" s="123"/>
      <c r="AU605" s="123"/>
      <c r="AV605" s="123"/>
      <c r="AW605" s="123"/>
      <c r="AX605" s="123"/>
      <c r="AY605" s="123"/>
      <c r="AZ605" s="123"/>
      <c r="BA605" s="123"/>
      <c r="BB605" s="123"/>
      <c r="BC605" s="123"/>
      <c r="BD605" s="123"/>
      <c r="BE605" s="123"/>
      <c r="BF605" s="123"/>
      <c r="BG605" s="123"/>
      <c r="BH605" s="123"/>
      <c r="BI605" s="123"/>
    </row>
    <row r="606" spans="3:61" s="570" customFormat="1" hidden="1">
      <c r="C606" s="1185">
        <v>10228</v>
      </c>
      <c r="D606" s="1252" t="s">
        <v>1894</v>
      </c>
      <c r="E606" s="703"/>
      <c r="F606" s="703"/>
      <c r="G606" s="703"/>
      <c r="H606" s="900" t="e">
        <f t="shared" si="24"/>
        <v>#DIV/0!</v>
      </c>
      <c r="I606" s="310">
        <f t="shared" si="25"/>
        <v>0</v>
      </c>
      <c r="J606" s="123"/>
      <c r="K606" s="123"/>
      <c r="L606" s="123"/>
      <c r="M606" s="123"/>
      <c r="N606" s="123"/>
      <c r="O606" s="123"/>
      <c r="P606" s="123"/>
      <c r="Q606" s="123"/>
      <c r="R606" s="123"/>
      <c r="S606" s="123"/>
      <c r="T606" s="123"/>
      <c r="U606" s="123"/>
      <c r="V606" s="123"/>
      <c r="W606" s="123"/>
      <c r="X606" s="123"/>
      <c r="Y606" s="123"/>
      <c r="Z606" s="123"/>
      <c r="AA606" s="123"/>
      <c r="AB606" s="123"/>
      <c r="AC606" s="123"/>
      <c r="AD606" s="123"/>
      <c r="AE606" s="123"/>
      <c r="AF606" s="123"/>
      <c r="AG606" s="123"/>
      <c r="AH606" s="123"/>
      <c r="AI606" s="123"/>
      <c r="AJ606" s="123"/>
      <c r="AK606" s="123"/>
      <c r="AL606" s="123"/>
      <c r="AM606" s="123"/>
      <c r="AN606" s="123"/>
      <c r="AO606" s="123"/>
      <c r="AP606" s="123"/>
      <c r="AQ606" s="123"/>
      <c r="AR606" s="123"/>
      <c r="AS606" s="123"/>
      <c r="AT606" s="123"/>
      <c r="AU606" s="123"/>
      <c r="AV606" s="123"/>
      <c r="AW606" s="123"/>
      <c r="AX606" s="123"/>
      <c r="AY606" s="123"/>
      <c r="AZ606" s="123"/>
      <c r="BA606" s="123"/>
      <c r="BB606" s="123"/>
      <c r="BC606" s="123"/>
      <c r="BD606" s="123"/>
      <c r="BE606" s="123"/>
      <c r="BF606" s="123"/>
      <c r="BG606" s="123"/>
      <c r="BH606" s="123"/>
      <c r="BI606" s="123"/>
    </row>
    <row r="607" spans="3:61" s="570" customFormat="1" hidden="1">
      <c r="C607" s="1185">
        <v>10238</v>
      </c>
      <c r="D607" s="1252" t="s">
        <v>1491</v>
      </c>
      <c r="E607" s="703"/>
      <c r="F607" s="703"/>
      <c r="G607" s="703"/>
      <c r="H607" s="900" t="e">
        <f t="shared" si="24"/>
        <v>#DIV/0!</v>
      </c>
      <c r="I607" s="310">
        <f t="shared" si="25"/>
        <v>0</v>
      </c>
      <c r="J607" s="123"/>
      <c r="K607" s="123"/>
      <c r="L607" s="123"/>
      <c r="M607" s="123"/>
      <c r="N607" s="123"/>
      <c r="O607" s="123"/>
      <c r="P607" s="123"/>
      <c r="Q607" s="123"/>
      <c r="R607" s="123"/>
      <c r="S607" s="123"/>
      <c r="T607" s="123"/>
      <c r="U607" s="123"/>
      <c r="V607" s="123"/>
      <c r="W607" s="123"/>
      <c r="X607" s="123"/>
      <c r="Y607" s="123"/>
      <c r="Z607" s="123"/>
      <c r="AA607" s="123"/>
      <c r="AB607" s="123"/>
      <c r="AC607" s="123"/>
      <c r="AD607" s="123"/>
      <c r="AE607" s="123"/>
      <c r="AF607" s="123"/>
      <c r="AG607" s="123"/>
      <c r="AH607" s="123"/>
      <c r="AI607" s="123"/>
      <c r="AJ607" s="123"/>
      <c r="AK607" s="123"/>
      <c r="AL607" s="123"/>
      <c r="AM607" s="123"/>
      <c r="AN607" s="123"/>
      <c r="AO607" s="123"/>
      <c r="AP607" s="123"/>
      <c r="AQ607" s="123"/>
      <c r="AR607" s="123"/>
      <c r="AS607" s="123"/>
      <c r="AT607" s="123"/>
      <c r="AU607" s="123"/>
      <c r="AV607" s="123"/>
      <c r="AW607" s="123"/>
      <c r="AX607" s="123"/>
      <c r="AY607" s="123"/>
      <c r="AZ607" s="123"/>
      <c r="BA607" s="123"/>
      <c r="BB607" s="123"/>
      <c r="BC607" s="123"/>
      <c r="BD607" s="123"/>
      <c r="BE607" s="123"/>
      <c r="BF607" s="123"/>
      <c r="BG607" s="123"/>
      <c r="BH607" s="123"/>
      <c r="BI607" s="123"/>
    </row>
    <row r="608" spans="3:61" s="570" customFormat="1" hidden="1">
      <c r="C608" s="1185">
        <v>8000</v>
      </c>
      <c r="D608" s="1252" t="s">
        <v>2384</v>
      </c>
      <c r="E608" s="703"/>
      <c r="F608" s="703"/>
      <c r="G608" s="703"/>
      <c r="H608" s="900" t="e">
        <f t="shared" si="24"/>
        <v>#DIV/0!</v>
      </c>
      <c r="I608" s="310">
        <f t="shared" si="25"/>
        <v>0</v>
      </c>
      <c r="J608" s="123"/>
      <c r="K608" s="123"/>
      <c r="L608" s="123"/>
      <c r="M608" s="123"/>
      <c r="N608" s="123"/>
      <c r="O608" s="123"/>
      <c r="P608" s="123"/>
      <c r="Q608" s="123"/>
      <c r="R608" s="123"/>
      <c r="S608" s="123"/>
      <c r="T608" s="123"/>
      <c r="U608" s="123"/>
      <c r="V608" s="123"/>
      <c r="W608" s="123"/>
      <c r="X608" s="123"/>
      <c r="Y608" s="123"/>
      <c r="Z608" s="123"/>
      <c r="AA608" s="123"/>
      <c r="AB608" s="123"/>
      <c r="AC608" s="123"/>
      <c r="AD608" s="123"/>
      <c r="AE608" s="123"/>
      <c r="AF608" s="123"/>
      <c r="AG608" s="123"/>
      <c r="AH608" s="123"/>
      <c r="AI608" s="123"/>
      <c r="AJ608" s="123"/>
      <c r="AK608" s="123"/>
      <c r="AL608" s="123"/>
      <c r="AM608" s="123"/>
      <c r="AN608" s="123"/>
      <c r="AO608" s="123"/>
      <c r="AP608" s="123"/>
      <c r="AQ608" s="123"/>
      <c r="AR608" s="123"/>
      <c r="AS608" s="123"/>
      <c r="AT608" s="123"/>
      <c r="AU608" s="123"/>
      <c r="AV608" s="123"/>
      <c r="AW608" s="123"/>
      <c r="AX608" s="123"/>
      <c r="AY608" s="123"/>
      <c r="AZ608" s="123"/>
      <c r="BA608" s="123"/>
      <c r="BB608" s="123"/>
      <c r="BC608" s="123"/>
      <c r="BD608" s="123"/>
      <c r="BE608" s="123"/>
      <c r="BF608" s="123"/>
      <c r="BG608" s="123"/>
      <c r="BH608" s="123"/>
      <c r="BI608" s="123"/>
    </row>
    <row r="609" spans="3:61" s="570" customFormat="1">
      <c r="C609" s="1185">
        <v>20014</v>
      </c>
      <c r="D609" s="1252" t="s">
        <v>2295</v>
      </c>
      <c r="E609" s="703">
        <v>20</v>
      </c>
      <c r="F609" s="703">
        <v>50</v>
      </c>
      <c r="G609" s="703">
        <v>43</v>
      </c>
      <c r="H609" s="900">
        <f t="shared" si="24"/>
        <v>2.15</v>
      </c>
      <c r="I609" s="310">
        <f t="shared" si="25"/>
        <v>2150</v>
      </c>
      <c r="J609" s="123"/>
      <c r="K609" s="123"/>
      <c r="L609" s="123"/>
      <c r="M609" s="123"/>
      <c r="N609" s="123"/>
      <c r="O609" s="123"/>
      <c r="P609" s="123"/>
      <c r="Q609" s="123"/>
      <c r="R609" s="123"/>
      <c r="S609" s="123"/>
      <c r="T609" s="123"/>
      <c r="U609" s="123"/>
      <c r="V609" s="123"/>
      <c r="W609" s="123"/>
      <c r="X609" s="123"/>
      <c r="Y609" s="123"/>
      <c r="Z609" s="123"/>
      <c r="AA609" s="123"/>
      <c r="AB609" s="123"/>
      <c r="AC609" s="123"/>
      <c r="AD609" s="123"/>
      <c r="AE609" s="123"/>
      <c r="AF609" s="123"/>
      <c r="AG609" s="123"/>
      <c r="AH609" s="123"/>
      <c r="AI609" s="123"/>
      <c r="AJ609" s="123"/>
      <c r="AK609" s="123"/>
      <c r="AL609" s="123"/>
      <c r="AM609" s="123"/>
      <c r="AN609" s="123"/>
      <c r="AO609" s="123"/>
      <c r="AP609" s="123"/>
      <c r="AQ609" s="123"/>
      <c r="AR609" s="123"/>
      <c r="AS609" s="123"/>
      <c r="AT609" s="123"/>
      <c r="AU609" s="123"/>
      <c r="AV609" s="123"/>
      <c r="AW609" s="123"/>
      <c r="AX609" s="123"/>
      <c r="AY609" s="123"/>
      <c r="AZ609" s="123"/>
      <c r="BA609" s="123"/>
      <c r="BB609" s="123"/>
      <c r="BC609" s="123"/>
      <c r="BD609" s="123"/>
      <c r="BE609" s="123"/>
      <c r="BF609" s="123"/>
      <c r="BG609" s="123"/>
      <c r="BH609" s="123"/>
      <c r="BI609" s="123"/>
    </row>
    <row r="610" spans="3:61" s="570" customFormat="1" hidden="1">
      <c r="C610" s="1185">
        <v>13719</v>
      </c>
      <c r="D610" s="1252" t="s">
        <v>1895</v>
      </c>
      <c r="E610" s="703"/>
      <c r="F610" s="703"/>
      <c r="G610" s="703"/>
      <c r="H610" s="900" t="e">
        <f t="shared" si="24"/>
        <v>#DIV/0!</v>
      </c>
      <c r="I610" s="310">
        <f t="shared" si="25"/>
        <v>0</v>
      </c>
      <c r="J610" s="123"/>
      <c r="K610" s="123"/>
      <c r="L610" s="123"/>
      <c r="M610" s="123"/>
      <c r="N610" s="123"/>
      <c r="O610" s="123"/>
      <c r="P610" s="123"/>
      <c r="Q610" s="123"/>
      <c r="R610" s="123"/>
      <c r="S610" s="123"/>
      <c r="T610" s="123"/>
      <c r="U610" s="123"/>
      <c r="V610" s="123"/>
      <c r="W610" s="123"/>
      <c r="X610" s="123"/>
      <c r="Y610" s="123"/>
      <c r="Z610" s="123"/>
      <c r="AA610" s="123"/>
      <c r="AB610" s="123"/>
      <c r="AC610" s="123"/>
      <c r="AD610" s="123"/>
      <c r="AE610" s="123"/>
      <c r="AF610" s="123"/>
      <c r="AG610" s="123"/>
      <c r="AH610" s="123"/>
      <c r="AI610" s="123"/>
      <c r="AJ610" s="123"/>
      <c r="AK610" s="123"/>
      <c r="AL610" s="123"/>
      <c r="AM610" s="123"/>
      <c r="AN610" s="123"/>
      <c r="AO610" s="123"/>
      <c r="AP610" s="123"/>
      <c r="AQ610" s="123"/>
      <c r="AR610" s="123"/>
      <c r="AS610" s="123"/>
      <c r="AT610" s="123"/>
      <c r="AU610" s="123"/>
      <c r="AV610" s="123"/>
      <c r="AW610" s="123"/>
      <c r="AX610" s="123"/>
      <c r="AY610" s="123"/>
      <c r="AZ610" s="123"/>
      <c r="BA610" s="123"/>
      <c r="BB610" s="123"/>
      <c r="BC610" s="123"/>
      <c r="BD610" s="123"/>
      <c r="BE610" s="123"/>
      <c r="BF610" s="123"/>
      <c r="BG610" s="123"/>
      <c r="BH610" s="123"/>
      <c r="BI610" s="123"/>
    </row>
    <row r="611" spans="3:61" s="570" customFormat="1" hidden="1">
      <c r="C611" s="1185">
        <v>13720</v>
      </c>
      <c r="D611" s="1252" t="s">
        <v>1896</v>
      </c>
      <c r="E611" s="703"/>
      <c r="F611" s="703"/>
      <c r="G611" s="703"/>
      <c r="H611" s="900" t="e">
        <f t="shared" si="24"/>
        <v>#DIV/0!</v>
      </c>
      <c r="I611" s="310">
        <f t="shared" si="25"/>
        <v>0</v>
      </c>
      <c r="J611" s="123"/>
      <c r="K611" s="123"/>
      <c r="L611" s="123"/>
      <c r="M611" s="123"/>
      <c r="N611" s="123"/>
      <c r="O611" s="123"/>
      <c r="P611" s="123"/>
      <c r="Q611" s="123"/>
      <c r="R611" s="123"/>
      <c r="S611" s="123"/>
      <c r="T611" s="123"/>
      <c r="U611" s="123"/>
      <c r="V611" s="123"/>
      <c r="W611" s="123"/>
      <c r="X611" s="123"/>
      <c r="Y611" s="123"/>
      <c r="Z611" s="123"/>
      <c r="AA611" s="123"/>
      <c r="AB611" s="123"/>
      <c r="AC611" s="123"/>
      <c r="AD611" s="123"/>
      <c r="AE611" s="123"/>
      <c r="AF611" s="123"/>
      <c r="AG611" s="123"/>
      <c r="AH611" s="123"/>
      <c r="AI611" s="123"/>
      <c r="AJ611" s="123"/>
      <c r="AK611" s="123"/>
      <c r="AL611" s="123"/>
      <c r="AM611" s="123"/>
      <c r="AN611" s="123"/>
      <c r="AO611" s="123"/>
      <c r="AP611" s="123"/>
      <c r="AQ611" s="123"/>
      <c r="AR611" s="123"/>
      <c r="AS611" s="123"/>
      <c r="AT611" s="123"/>
      <c r="AU611" s="123"/>
      <c r="AV611" s="123"/>
      <c r="AW611" s="123"/>
      <c r="AX611" s="123"/>
      <c r="AY611" s="123"/>
      <c r="AZ611" s="123"/>
      <c r="BA611" s="123"/>
      <c r="BB611" s="123"/>
      <c r="BC611" s="123"/>
      <c r="BD611" s="123"/>
      <c r="BE611" s="123"/>
      <c r="BF611" s="123"/>
      <c r="BG611" s="123"/>
      <c r="BH611" s="123"/>
      <c r="BI611" s="123"/>
    </row>
    <row r="612" spans="3:61" s="570" customFormat="1" hidden="1">
      <c r="C612" s="1185">
        <v>9755</v>
      </c>
      <c r="D612" s="1252" t="s">
        <v>1897</v>
      </c>
      <c r="E612" s="703"/>
      <c r="F612" s="703"/>
      <c r="G612" s="703"/>
      <c r="H612" s="900" t="e">
        <f t="shared" si="24"/>
        <v>#DIV/0!</v>
      </c>
      <c r="I612" s="310">
        <f t="shared" si="25"/>
        <v>0</v>
      </c>
      <c r="J612" s="123"/>
      <c r="K612" s="123"/>
      <c r="L612" s="123"/>
      <c r="M612" s="123"/>
      <c r="N612" s="123"/>
      <c r="O612" s="123"/>
      <c r="P612" s="123"/>
      <c r="Q612" s="123"/>
      <c r="R612" s="123"/>
      <c r="S612" s="123"/>
      <c r="T612" s="123"/>
      <c r="U612" s="123"/>
      <c r="V612" s="123"/>
      <c r="W612" s="123"/>
      <c r="X612" s="123"/>
      <c r="Y612" s="123"/>
      <c r="Z612" s="123"/>
      <c r="AA612" s="123"/>
      <c r="AB612" s="123"/>
      <c r="AC612" s="123"/>
      <c r="AD612" s="123"/>
      <c r="AE612" s="123"/>
      <c r="AF612" s="123"/>
      <c r="AG612" s="123"/>
      <c r="AH612" s="123"/>
      <c r="AI612" s="123"/>
      <c r="AJ612" s="123"/>
      <c r="AK612" s="123"/>
      <c r="AL612" s="123"/>
      <c r="AM612" s="123"/>
      <c r="AN612" s="123"/>
      <c r="AO612" s="123"/>
      <c r="AP612" s="123"/>
      <c r="AQ612" s="123"/>
      <c r="AR612" s="123"/>
      <c r="AS612" s="123"/>
      <c r="AT612" s="123"/>
      <c r="AU612" s="123"/>
      <c r="AV612" s="123"/>
      <c r="AW612" s="123"/>
      <c r="AX612" s="123"/>
      <c r="AY612" s="123"/>
      <c r="AZ612" s="123"/>
      <c r="BA612" s="123"/>
      <c r="BB612" s="123"/>
      <c r="BC612" s="123"/>
      <c r="BD612" s="123"/>
      <c r="BE612" s="123"/>
      <c r="BF612" s="123"/>
      <c r="BG612" s="123"/>
      <c r="BH612" s="123"/>
      <c r="BI612" s="123"/>
    </row>
    <row r="613" spans="3:61" s="570" customFormat="1" hidden="1">
      <c r="C613" s="1185">
        <v>10396</v>
      </c>
      <c r="D613" s="1252" t="s">
        <v>1898</v>
      </c>
      <c r="E613" s="703"/>
      <c r="F613" s="703"/>
      <c r="G613" s="703"/>
      <c r="H613" s="900" t="e">
        <f t="shared" si="24"/>
        <v>#DIV/0!</v>
      </c>
      <c r="I613" s="310">
        <f t="shared" si="25"/>
        <v>0</v>
      </c>
      <c r="J613" s="123"/>
      <c r="K613" s="123"/>
      <c r="L613" s="123"/>
      <c r="M613" s="123"/>
      <c r="N613" s="123"/>
      <c r="O613" s="123"/>
      <c r="P613" s="123"/>
      <c r="Q613" s="123"/>
      <c r="R613" s="123"/>
      <c r="S613" s="123"/>
      <c r="T613" s="123"/>
      <c r="U613" s="123"/>
      <c r="V613" s="123"/>
      <c r="W613" s="123"/>
      <c r="X613" s="123"/>
      <c r="Y613" s="123"/>
      <c r="Z613" s="123"/>
      <c r="AA613" s="123"/>
      <c r="AB613" s="123"/>
      <c r="AC613" s="123"/>
      <c r="AD613" s="123"/>
      <c r="AE613" s="123"/>
      <c r="AF613" s="123"/>
      <c r="AG613" s="123"/>
      <c r="AH613" s="123"/>
      <c r="AI613" s="123"/>
      <c r="AJ613" s="123"/>
      <c r="AK613" s="123"/>
      <c r="AL613" s="123"/>
      <c r="AM613" s="123"/>
      <c r="AN613" s="123"/>
      <c r="AO613" s="123"/>
      <c r="AP613" s="123"/>
      <c r="AQ613" s="123"/>
      <c r="AR613" s="123"/>
      <c r="AS613" s="123"/>
      <c r="AT613" s="123"/>
      <c r="AU613" s="123"/>
      <c r="AV613" s="123"/>
      <c r="AW613" s="123"/>
      <c r="AX613" s="123"/>
      <c r="AY613" s="123"/>
      <c r="AZ613" s="123"/>
      <c r="BA613" s="123"/>
      <c r="BB613" s="123"/>
      <c r="BC613" s="123"/>
      <c r="BD613" s="123"/>
      <c r="BE613" s="123"/>
      <c r="BF613" s="123"/>
      <c r="BG613" s="123"/>
      <c r="BH613" s="123"/>
      <c r="BI613" s="123"/>
    </row>
    <row r="614" spans="3:61" s="570" customFormat="1" hidden="1">
      <c r="C614" s="1185">
        <v>13580</v>
      </c>
      <c r="D614" s="1252" t="s">
        <v>2398</v>
      </c>
      <c r="E614" s="703"/>
      <c r="F614" s="703"/>
      <c r="G614" s="703"/>
      <c r="H614" s="900" t="e">
        <f t="shared" si="24"/>
        <v>#DIV/0!</v>
      </c>
      <c r="I614" s="310">
        <f t="shared" si="25"/>
        <v>0</v>
      </c>
      <c r="J614" s="123"/>
      <c r="K614" s="123"/>
      <c r="L614" s="123"/>
      <c r="M614" s="123"/>
      <c r="N614" s="123"/>
      <c r="O614" s="123"/>
      <c r="P614" s="123"/>
      <c r="Q614" s="123"/>
      <c r="R614" s="123"/>
      <c r="S614" s="123"/>
      <c r="T614" s="123"/>
      <c r="U614" s="123"/>
      <c r="V614" s="123"/>
      <c r="W614" s="123"/>
      <c r="X614" s="123"/>
      <c r="Y614" s="123"/>
      <c r="Z614" s="123"/>
      <c r="AA614" s="123"/>
      <c r="AB614" s="123"/>
      <c r="AC614" s="123"/>
      <c r="AD614" s="123"/>
      <c r="AE614" s="123"/>
      <c r="AF614" s="123"/>
      <c r="AG614" s="123"/>
      <c r="AH614" s="123"/>
      <c r="AI614" s="123"/>
      <c r="AJ614" s="123"/>
      <c r="AK614" s="123"/>
      <c r="AL614" s="123"/>
      <c r="AM614" s="123"/>
      <c r="AN614" s="123"/>
      <c r="AO614" s="123"/>
      <c r="AP614" s="123"/>
      <c r="AQ614" s="123"/>
      <c r="AR614" s="123"/>
      <c r="AS614" s="123"/>
      <c r="AT614" s="123"/>
      <c r="AU614" s="123"/>
      <c r="AV614" s="123"/>
      <c r="AW614" s="123"/>
      <c r="AX614" s="123"/>
      <c r="AY614" s="123"/>
      <c r="AZ614" s="123"/>
      <c r="BA614" s="123"/>
      <c r="BB614" s="123"/>
      <c r="BC614" s="123"/>
      <c r="BD614" s="123"/>
      <c r="BE614" s="123"/>
      <c r="BF614" s="123"/>
      <c r="BG614" s="123"/>
      <c r="BH614" s="123"/>
      <c r="BI614" s="123"/>
    </row>
    <row r="615" spans="3:61" s="570" customFormat="1" hidden="1">
      <c r="C615" s="1185">
        <v>14308</v>
      </c>
      <c r="D615" s="1252" t="s">
        <v>2801</v>
      </c>
      <c r="E615" s="703"/>
      <c r="F615" s="703"/>
      <c r="G615" s="703"/>
      <c r="H615" s="900" t="e">
        <f t="shared" si="24"/>
        <v>#DIV/0!</v>
      </c>
      <c r="I615" s="310">
        <f t="shared" si="25"/>
        <v>0</v>
      </c>
      <c r="J615" s="123"/>
      <c r="K615" s="123"/>
      <c r="L615" s="123"/>
      <c r="M615" s="123"/>
      <c r="N615" s="123"/>
      <c r="O615" s="123"/>
      <c r="P615" s="123"/>
      <c r="Q615" s="123"/>
      <c r="R615" s="123"/>
      <c r="S615" s="123"/>
      <c r="T615" s="123"/>
      <c r="U615" s="123"/>
      <c r="V615" s="123"/>
      <c r="W615" s="123"/>
      <c r="X615" s="123"/>
      <c r="Y615" s="123"/>
      <c r="Z615" s="123"/>
      <c r="AA615" s="123"/>
      <c r="AB615" s="123"/>
      <c r="AC615" s="123"/>
      <c r="AD615" s="123"/>
      <c r="AE615" s="123"/>
      <c r="AF615" s="123"/>
      <c r="AG615" s="123"/>
      <c r="AH615" s="123"/>
      <c r="AI615" s="123"/>
      <c r="AJ615" s="123"/>
      <c r="AK615" s="123"/>
      <c r="AL615" s="123"/>
      <c r="AM615" s="123"/>
      <c r="AN615" s="123"/>
      <c r="AO615" s="123"/>
      <c r="AP615" s="123"/>
      <c r="AQ615" s="123"/>
      <c r="AR615" s="123"/>
      <c r="AS615" s="123"/>
      <c r="AT615" s="123"/>
      <c r="AU615" s="123"/>
      <c r="AV615" s="123"/>
      <c r="AW615" s="123"/>
      <c r="AX615" s="123"/>
      <c r="AY615" s="123"/>
      <c r="AZ615" s="123"/>
      <c r="BA615" s="123"/>
      <c r="BB615" s="123"/>
      <c r="BC615" s="123"/>
      <c r="BD615" s="123"/>
      <c r="BE615" s="123"/>
      <c r="BF615" s="123"/>
      <c r="BG615" s="123"/>
      <c r="BH615" s="123"/>
      <c r="BI615" s="123"/>
    </row>
    <row r="616" spans="3:61" s="570" customFormat="1" hidden="1">
      <c r="C616" s="1185">
        <v>5864</v>
      </c>
      <c r="D616" s="1252" t="s">
        <v>2296</v>
      </c>
      <c r="E616" s="703"/>
      <c r="F616" s="703"/>
      <c r="G616" s="703"/>
      <c r="H616" s="900" t="e">
        <f t="shared" si="24"/>
        <v>#DIV/0!</v>
      </c>
      <c r="I616" s="310">
        <f t="shared" si="25"/>
        <v>0</v>
      </c>
      <c r="J616" s="123"/>
      <c r="K616" s="123"/>
      <c r="L616" s="123"/>
      <c r="M616" s="123"/>
      <c r="N616" s="123"/>
      <c r="O616" s="123"/>
      <c r="P616" s="123"/>
      <c r="Q616" s="123"/>
      <c r="R616" s="123"/>
      <c r="S616" s="123"/>
      <c r="T616" s="123"/>
      <c r="U616" s="123"/>
      <c r="V616" s="123"/>
      <c r="W616" s="123"/>
      <c r="X616" s="123"/>
      <c r="Y616" s="123"/>
      <c r="Z616" s="123"/>
      <c r="AA616" s="123"/>
      <c r="AB616" s="123"/>
      <c r="AC616" s="123"/>
      <c r="AD616" s="123"/>
      <c r="AE616" s="123"/>
      <c r="AF616" s="123"/>
      <c r="AG616" s="123"/>
      <c r="AH616" s="123"/>
      <c r="AI616" s="123"/>
      <c r="AJ616" s="123"/>
      <c r="AK616" s="123"/>
      <c r="AL616" s="123"/>
      <c r="AM616" s="123"/>
      <c r="AN616" s="123"/>
      <c r="AO616" s="123"/>
      <c r="AP616" s="123"/>
      <c r="AQ616" s="123"/>
      <c r="AR616" s="123"/>
      <c r="AS616" s="123"/>
      <c r="AT616" s="123"/>
      <c r="AU616" s="123"/>
      <c r="AV616" s="123"/>
      <c r="AW616" s="123"/>
      <c r="AX616" s="123"/>
      <c r="AY616" s="123"/>
      <c r="AZ616" s="123"/>
      <c r="BA616" s="123"/>
      <c r="BB616" s="123"/>
      <c r="BC616" s="123"/>
      <c r="BD616" s="123"/>
      <c r="BE616" s="123"/>
      <c r="BF616" s="123"/>
      <c r="BG616" s="123"/>
      <c r="BH616" s="123"/>
      <c r="BI616" s="123"/>
    </row>
    <row r="617" spans="3:61" s="570" customFormat="1" hidden="1">
      <c r="C617" s="1185">
        <v>13569</v>
      </c>
      <c r="D617" s="1252" t="s">
        <v>2455</v>
      </c>
      <c r="E617" s="703"/>
      <c r="F617" s="703"/>
      <c r="G617" s="703"/>
      <c r="H617" s="900" t="e">
        <f t="shared" si="24"/>
        <v>#DIV/0!</v>
      </c>
      <c r="I617" s="310">
        <f t="shared" si="25"/>
        <v>0</v>
      </c>
      <c r="J617" s="123"/>
      <c r="K617" s="123"/>
      <c r="L617" s="123"/>
      <c r="M617" s="123"/>
      <c r="N617" s="123"/>
      <c r="O617" s="123"/>
      <c r="P617" s="123"/>
      <c r="Q617" s="123"/>
      <c r="R617" s="123"/>
      <c r="S617" s="123"/>
      <c r="T617" s="123"/>
      <c r="U617" s="123"/>
      <c r="V617" s="123"/>
      <c r="W617" s="123"/>
      <c r="X617" s="123"/>
      <c r="Y617" s="123"/>
      <c r="Z617" s="123"/>
      <c r="AA617" s="123"/>
      <c r="AB617" s="123"/>
      <c r="AC617" s="123"/>
      <c r="AD617" s="123"/>
      <c r="AE617" s="123"/>
      <c r="AF617" s="123"/>
      <c r="AG617" s="123"/>
      <c r="AH617" s="123"/>
      <c r="AI617" s="123"/>
      <c r="AJ617" s="123"/>
      <c r="AK617" s="123"/>
      <c r="AL617" s="123"/>
      <c r="AM617" s="123"/>
      <c r="AN617" s="123"/>
      <c r="AO617" s="123"/>
      <c r="AP617" s="123"/>
      <c r="AQ617" s="123"/>
      <c r="AR617" s="123"/>
      <c r="AS617" s="123"/>
      <c r="AT617" s="123"/>
      <c r="AU617" s="123"/>
      <c r="AV617" s="123"/>
      <c r="AW617" s="123"/>
      <c r="AX617" s="123"/>
      <c r="AY617" s="123"/>
      <c r="AZ617" s="123"/>
      <c r="BA617" s="123"/>
      <c r="BB617" s="123"/>
      <c r="BC617" s="123"/>
      <c r="BD617" s="123"/>
      <c r="BE617" s="123"/>
      <c r="BF617" s="123"/>
      <c r="BG617" s="123"/>
      <c r="BH617" s="123"/>
      <c r="BI617" s="123"/>
    </row>
    <row r="618" spans="3:61" s="570" customFormat="1" hidden="1">
      <c r="C618" s="1185">
        <v>13578</v>
      </c>
      <c r="D618" s="1252" t="s">
        <v>2282</v>
      </c>
      <c r="E618" s="703"/>
      <c r="F618" s="703"/>
      <c r="G618" s="703"/>
      <c r="H618" s="900" t="e">
        <f t="shared" si="24"/>
        <v>#DIV/0!</v>
      </c>
      <c r="I618" s="310">
        <f t="shared" si="25"/>
        <v>0</v>
      </c>
      <c r="J618" s="123"/>
      <c r="K618" s="123"/>
      <c r="L618" s="123"/>
      <c r="M618" s="123"/>
      <c r="N618" s="123"/>
      <c r="O618" s="123"/>
      <c r="P618" s="123"/>
      <c r="Q618" s="123"/>
      <c r="R618" s="123"/>
      <c r="S618" s="123"/>
      <c r="T618" s="123"/>
      <c r="U618" s="123"/>
      <c r="V618" s="123"/>
      <c r="W618" s="123"/>
      <c r="X618" s="123"/>
      <c r="Y618" s="123"/>
      <c r="Z618" s="123"/>
      <c r="AA618" s="123"/>
      <c r="AB618" s="123"/>
      <c r="AC618" s="123"/>
      <c r="AD618" s="123"/>
      <c r="AE618" s="123"/>
      <c r="AF618" s="123"/>
      <c r="AG618" s="123"/>
      <c r="AH618" s="123"/>
      <c r="AI618" s="123"/>
      <c r="AJ618" s="123"/>
      <c r="AK618" s="123"/>
      <c r="AL618" s="123"/>
      <c r="AM618" s="123"/>
      <c r="AN618" s="123"/>
      <c r="AO618" s="123"/>
      <c r="AP618" s="123"/>
      <c r="AQ618" s="123"/>
      <c r="AR618" s="123"/>
      <c r="AS618" s="123"/>
      <c r="AT618" s="123"/>
      <c r="AU618" s="123"/>
      <c r="AV618" s="123"/>
      <c r="AW618" s="123"/>
      <c r="AX618" s="123"/>
      <c r="AY618" s="123"/>
      <c r="AZ618" s="123"/>
      <c r="BA618" s="123"/>
      <c r="BB618" s="123"/>
      <c r="BC618" s="123"/>
      <c r="BD618" s="123"/>
      <c r="BE618" s="123"/>
      <c r="BF618" s="123"/>
      <c r="BG618" s="123"/>
      <c r="BH618" s="123"/>
      <c r="BI618" s="123"/>
    </row>
    <row r="619" spans="3:61" s="570" customFormat="1" hidden="1">
      <c r="C619" s="1185">
        <v>20892</v>
      </c>
      <c r="D619" s="1252" t="s">
        <v>3165</v>
      </c>
      <c r="E619" s="703"/>
      <c r="F619" s="703"/>
      <c r="G619" s="703"/>
      <c r="H619" s="900" t="e">
        <f t="shared" si="24"/>
        <v>#DIV/0!</v>
      </c>
      <c r="I619" s="310">
        <f t="shared" si="25"/>
        <v>0</v>
      </c>
      <c r="J619" s="123"/>
      <c r="K619" s="123"/>
      <c r="L619" s="123"/>
      <c r="M619" s="123"/>
      <c r="N619" s="123"/>
      <c r="O619" s="123"/>
      <c r="P619" s="123"/>
      <c r="Q619" s="123"/>
      <c r="R619" s="123"/>
      <c r="S619" s="123"/>
      <c r="T619" s="123"/>
      <c r="U619" s="123"/>
      <c r="V619" s="123"/>
      <c r="W619" s="123"/>
      <c r="X619" s="123"/>
      <c r="Y619" s="123"/>
      <c r="Z619" s="123"/>
      <c r="AA619" s="123"/>
      <c r="AB619" s="123"/>
      <c r="AC619" s="123"/>
      <c r="AD619" s="123"/>
      <c r="AE619" s="123"/>
      <c r="AF619" s="123"/>
      <c r="AG619" s="123"/>
      <c r="AH619" s="123"/>
      <c r="AI619" s="123"/>
      <c r="AJ619" s="123"/>
      <c r="AK619" s="123"/>
      <c r="AL619" s="123"/>
      <c r="AM619" s="123"/>
      <c r="AN619" s="123"/>
      <c r="AO619" s="123"/>
      <c r="AP619" s="123"/>
      <c r="AQ619" s="123"/>
      <c r="AR619" s="123"/>
      <c r="AS619" s="123"/>
      <c r="AT619" s="123"/>
      <c r="AU619" s="123"/>
      <c r="AV619" s="123"/>
      <c r="AW619" s="123"/>
      <c r="AX619" s="123"/>
      <c r="AY619" s="123"/>
      <c r="AZ619" s="123"/>
      <c r="BA619" s="123"/>
      <c r="BB619" s="123"/>
      <c r="BC619" s="123"/>
      <c r="BD619" s="123"/>
      <c r="BE619" s="123"/>
      <c r="BF619" s="123"/>
      <c r="BG619" s="123"/>
      <c r="BH619" s="123"/>
      <c r="BI619" s="123"/>
    </row>
    <row r="620" spans="3:61" s="570" customFormat="1" hidden="1">
      <c r="C620" s="1185">
        <v>20893</v>
      </c>
      <c r="D620" s="1252" t="s">
        <v>3166</v>
      </c>
      <c r="E620" s="703"/>
      <c r="F620" s="703"/>
      <c r="G620" s="703"/>
      <c r="H620" s="900" t="e">
        <f t="shared" si="24"/>
        <v>#DIV/0!</v>
      </c>
      <c r="I620" s="310">
        <f t="shared" si="25"/>
        <v>0</v>
      </c>
      <c r="J620" s="123"/>
      <c r="K620" s="123"/>
      <c r="L620" s="123"/>
      <c r="M620" s="123"/>
      <c r="N620" s="123"/>
      <c r="O620" s="123"/>
      <c r="P620" s="123"/>
      <c r="Q620" s="123"/>
      <c r="R620" s="123"/>
      <c r="S620" s="123"/>
      <c r="T620" s="123"/>
      <c r="U620" s="123"/>
      <c r="V620" s="123"/>
      <c r="W620" s="123"/>
      <c r="X620" s="123"/>
      <c r="Y620" s="123"/>
      <c r="Z620" s="123"/>
      <c r="AA620" s="123"/>
      <c r="AB620" s="123"/>
      <c r="AC620" s="123"/>
      <c r="AD620" s="123"/>
      <c r="AE620" s="123"/>
      <c r="AF620" s="123"/>
      <c r="AG620" s="123"/>
      <c r="AH620" s="123"/>
      <c r="AI620" s="123"/>
      <c r="AJ620" s="123"/>
      <c r="AK620" s="123"/>
      <c r="AL620" s="123"/>
      <c r="AM620" s="123"/>
      <c r="AN620" s="123"/>
      <c r="AO620" s="123"/>
      <c r="AP620" s="123"/>
      <c r="AQ620" s="123"/>
      <c r="AR620" s="123"/>
      <c r="AS620" s="123"/>
      <c r="AT620" s="123"/>
      <c r="AU620" s="123"/>
      <c r="AV620" s="123"/>
      <c r="AW620" s="123"/>
      <c r="AX620" s="123"/>
      <c r="AY620" s="123"/>
      <c r="AZ620" s="123"/>
      <c r="BA620" s="123"/>
      <c r="BB620" s="123"/>
      <c r="BC620" s="123"/>
      <c r="BD620" s="123"/>
      <c r="BE620" s="123"/>
      <c r="BF620" s="123"/>
      <c r="BG620" s="123"/>
      <c r="BH620" s="123"/>
      <c r="BI620" s="123"/>
    </row>
    <row r="621" spans="3:61" s="570" customFormat="1" hidden="1">
      <c r="C621" s="1185">
        <v>20894</v>
      </c>
      <c r="D621" s="1252" t="s">
        <v>3167</v>
      </c>
      <c r="E621" s="703"/>
      <c r="F621" s="703"/>
      <c r="G621" s="703"/>
      <c r="H621" s="900" t="e">
        <f t="shared" si="24"/>
        <v>#DIV/0!</v>
      </c>
      <c r="I621" s="310">
        <f t="shared" si="25"/>
        <v>0</v>
      </c>
      <c r="J621" s="123"/>
      <c r="K621" s="123"/>
      <c r="L621" s="123"/>
      <c r="M621" s="123"/>
      <c r="N621" s="123"/>
      <c r="O621" s="123"/>
      <c r="P621" s="123"/>
      <c r="Q621" s="123"/>
      <c r="R621" s="123"/>
      <c r="S621" s="123"/>
      <c r="T621" s="123"/>
      <c r="U621" s="123"/>
      <c r="V621" s="123"/>
      <c r="W621" s="123"/>
      <c r="X621" s="123"/>
      <c r="Y621" s="123"/>
      <c r="Z621" s="123"/>
      <c r="AA621" s="123"/>
      <c r="AB621" s="123"/>
      <c r="AC621" s="123"/>
      <c r="AD621" s="123"/>
      <c r="AE621" s="123"/>
      <c r="AF621" s="123"/>
      <c r="AG621" s="123"/>
      <c r="AH621" s="123"/>
      <c r="AI621" s="123"/>
      <c r="AJ621" s="123"/>
      <c r="AK621" s="123"/>
      <c r="AL621" s="123"/>
      <c r="AM621" s="123"/>
      <c r="AN621" s="123"/>
      <c r="AO621" s="123"/>
      <c r="AP621" s="123"/>
      <c r="AQ621" s="123"/>
      <c r="AR621" s="123"/>
      <c r="AS621" s="123"/>
      <c r="AT621" s="123"/>
      <c r="AU621" s="123"/>
      <c r="AV621" s="123"/>
      <c r="AW621" s="123"/>
      <c r="AX621" s="123"/>
      <c r="AY621" s="123"/>
      <c r="AZ621" s="123"/>
      <c r="BA621" s="123"/>
      <c r="BB621" s="123"/>
      <c r="BC621" s="123"/>
      <c r="BD621" s="123"/>
      <c r="BE621" s="123"/>
      <c r="BF621" s="123"/>
      <c r="BG621" s="123"/>
      <c r="BH621" s="123"/>
      <c r="BI621" s="123"/>
    </row>
    <row r="622" spans="3:61" s="570" customFormat="1">
      <c r="C622" s="1185">
        <v>18135</v>
      </c>
      <c r="D622" s="1252" t="s">
        <v>2802</v>
      </c>
      <c r="E622" s="703">
        <v>12</v>
      </c>
      <c r="F622" s="703">
        <v>30</v>
      </c>
      <c r="G622" s="703">
        <v>8.1</v>
      </c>
      <c r="H622" s="900">
        <f t="shared" si="24"/>
        <v>0.67499999999999993</v>
      </c>
      <c r="I622" s="310">
        <f t="shared" si="25"/>
        <v>243</v>
      </c>
      <c r="J622" s="123"/>
      <c r="K622" s="123"/>
      <c r="L622" s="123"/>
      <c r="M622" s="123"/>
      <c r="N622" s="123"/>
      <c r="O622" s="123"/>
      <c r="P622" s="123"/>
      <c r="Q622" s="123"/>
      <c r="R622" s="123"/>
      <c r="S622" s="123"/>
      <c r="T622" s="123"/>
      <c r="U622" s="123"/>
      <c r="V622" s="123"/>
      <c r="W622" s="123"/>
      <c r="X622" s="123"/>
      <c r="Y622" s="123"/>
      <c r="Z622" s="123"/>
      <c r="AA622" s="123"/>
      <c r="AB622" s="123"/>
      <c r="AC622" s="123"/>
      <c r="AD622" s="123"/>
      <c r="AE622" s="123"/>
      <c r="AF622" s="123"/>
      <c r="AG622" s="123"/>
      <c r="AH622" s="123"/>
      <c r="AI622" s="123"/>
      <c r="AJ622" s="123"/>
      <c r="AK622" s="123"/>
      <c r="AL622" s="123"/>
      <c r="AM622" s="123"/>
      <c r="AN622" s="123"/>
      <c r="AO622" s="123"/>
      <c r="AP622" s="123"/>
      <c r="AQ622" s="123"/>
      <c r="AR622" s="123"/>
      <c r="AS622" s="123"/>
      <c r="AT622" s="123"/>
      <c r="AU622" s="123"/>
      <c r="AV622" s="123"/>
      <c r="AW622" s="123"/>
      <c r="AX622" s="123"/>
      <c r="AY622" s="123"/>
      <c r="AZ622" s="123"/>
      <c r="BA622" s="123"/>
      <c r="BB622" s="123"/>
      <c r="BC622" s="123"/>
      <c r="BD622" s="123"/>
      <c r="BE622" s="123"/>
      <c r="BF622" s="123"/>
      <c r="BG622" s="123"/>
      <c r="BH622" s="123"/>
      <c r="BI622" s="123"/>
    </row>
    <row r="623" spans="3:61" s="570" customFormat="1">
      <c r="C623" s="1185">
        <v>20803</v>
      </c>
      <c r="D623" s="1252" t="s">
        <v>3173</v>
      </c>
      <c r="E623" s="703">
        <v>12</v>
      </c>
      <c r="F623" s="703">
        <v>30</v>
      </c>
      <c r="G623" s="703">
        <v>9.35</v>
      </c>
      <c r="H623" s="900">
        <f t="shared" si="24"/>
        <v>0.77916666666666667</v>
      </c>
      <c r="I623" s="310">
        <f t="shared" si="25"/>
        <v>280.5</v>
      </c>
      <c r="J623" s="123"/>
      <c r="K623" s="123"/>
      <c r="L623" s="123"/>
      <c r="M623" s="123"/>
      <c r="N623" s="123"/>
      <c r="O623" s="123"/>
      <c r="P623" s="123"/>
      <c r="Q623" s="123"/>
      <c r="R623" s="123"/>
      <c r="S623" s="123"/>
      <c r="T623" s="123"/>
      <c r="U623" s="123"/>
      <c r="V623" s="123"/>
      <c r="W623" s="123"/>
      <c r="X623" s="123"/>
      <c r="Y623" s="123"/>
      <c r="Z623" s="123"/>
      <c r="AA623" s="123"/>
      <c r="AB623" s="123"/>
      <c r="AC623" s="123"/>
      <c r="AD623" s="123"/>
      <c r="AE623" s="123"/>
      <c r="AF623" s="123"/>
      <c r="AG623" s="123"/>
      <c r="AH623" s="123"/>
      <c r="AI623" s="123"/>
      <c r="AJ623" s="123"/>
      <c r="AK623" s="123"/>
      <c r="AL623" s="123"/>
      <c r="AM623" s="123"/>
      <c r="AN623" s="123"/>
      <c r="AO623" s="123"/>
      <c r="AP623" s="123"/>
      <c r="AQ623" s="123"/>
      <c r="AR623" s="123"/>
      <c r="AS623" s="123"/>
      <c r="AT623" s="123"/>
      <c r="AU623" s="123"/>
      <c r="AV623" s="123"/>
      <c r="AW623" s="123"/>
      <c r="AX623" s="123"/>
      <c r="AY623" s="123"/>
      <c r="AZ623" s="123"/>
      <c r="BA623" s="123"/>
      <c r="BB623" s="123"/>
      <c r="BC623" s="123"/>
      <c r="BD623" s="123"/>
      <c r="BE623" s="123"/>
      <c r="BF623" s="123"/>
      <c r="BG623" s="123"/>
      <c r="BH623" s="123"/>
      <c r="BI623" s="123"/>
    </row>
    <row r="624" spans="3:61" s="570" customFormat="1">
      <c r="C624" s="1185">
        <v>2647</v>
      </c>
      <c r="D624" s="1252" t="s">
        <v>1899</v>
      </c>
      <c r="E624" s="703"/>
      <c r="F624" s="703"/>
      <c r="G624" s="703"/>
      <c r="H624" s="900" t="e">
        <f t="shared" si="24"/>
        <v>#DIV/0!</v>
      </c>
      <c r="I624" s="310">
        <f t="shared" si="25"/>
        <v>0</v>
      </c>
      <c r="J624" s="123"/>
      <c r="K624" s="123"/>
      <c r="L624" s="123"/>
      <c r="M624" s="123"/>
      <c r="N624" s="123"/>
      <c r="O624" s="123"/>
      <c r="P624" s="123"/>
      <c r="Q624" s="123"/>
      <c r="R624" s="123"/>
      <c r="S624" s="123"/>
      <c r="T624" s="123"/>
      <c r="U624" s="123"/>
      <c r="V624" s="123"/>
      <c r="W624" s="123"/>
      <c r="X624" s="123"/>
      <c r="Y624" s="123"/>
      <c r="Z624" s="123"/>
      <c r="AA624" s="123"/>
      <c r="AB624" s="123"/>
      <c r="AC624" s="123"/>
      <c r="AD624" s="123"/>
      <c r="AE624" s="123"/>
      <c r="AF624" s="123"/>
      <c r="AG624" s="123"/>
      <c r="AH624" s="123"/>
      <c r="AI624" s="123"/>
      <c r="AJ624" s="123"/>
      <c r="AK624" s="123"/>
      <c r="AL624" s="123"/>
      <c r="AM624" s="123"/>
      <c r="AN624" s="123"/>
      <c r="AO624" s="123"/>
      <c r="AP624" s="123"/>
      <c r="AQ624" s="123"/>
      <c r="AR624" s="123"/>
      <c r="AS624" s="123"/>
      <c r="AT624" s="123"/>
      <c r="AU624" s="123"/>
      <c r="AV624" s="123"/>
      <c r="AW624" s="123"/>
      <c r="AX624" s="123"/>
      <c r="AY624" s="123"/>
      <c r="AZ624" s="123"/>
      <c r="BA624" s="123"/>
      <c r="BB624" s="123"/>
      <c r="BC624" s="123"/>
      <c r="BD624" s="123"/>
      <c r="BE624" s="123"/>
      <c r="BF624" s="123"/>
      <c r="BG624" s="123"/>
      <c r="BH624" s="123"/>
      <c r="BI624" s="123"/>
    </row>
    <row r="625" spans="3:61" s="570" customFormat="1">
      <c r="C625" s="1185">
        <v>20007</v>
      </c>
      <c r="D625" s="1252" t="s">
        <v>2293</v>
      </c>
      <c r="E625" s="703"/>
      <c r="F625" s="703"/>
      <c r="G625" s="703"/>
      <c r="H625" s="900" t="e">
        <f t="shared" si="24"/>
        <v>#DIV/0!</v>
      </c>
      <c r="I625" s="310">
        <f t="shared" si="25"/>
        <v>0</v>
      </c>
      <c r="J625" s="123"/>
      <c r="K625" s="123"/>
      <c r="L625" s="123"/>
      <c r="M625" s="123"/>
      <c r="N625" s="123"/>
      <c r="O625" s="123"/>
      <c r="P625" s="123"/>
      <c r="Q625" s="123"/>
      <c r="R625" s="123"/>
      <c r="S625" s="123"/>
      <c r="T625" s="123"/>
      <c r="U625" s="123"/>
      <c r="V625" s="123"/>
      <c r="W625" s="123"/>
      <c r="X625" s="123"/>
      <c r="Y625" s="123"/>
      <c r="Z625" s="123"/>
      <c r="AA625" s="123"/>
      <c r="AB625" s="123"/>
      <c r="AC625" s="123"/>
      <c r="AD625" s="123"/>
      <c r="AE625" s="123"/>
      <c r="AF625" s="123"/>
      <c r="AG625" s="123"/>
      <c r="AH625" s="123"/>
      <c r="AI625" s="123"/>
      <c r="AJ625" s="123"/>
      <c r="AK625" s="123"/>
      <c r="AL625" s="123"/>
      <c r="AM625" s="123"/>
      <c r="AN625" s="123"/>
      <c r="AO625" s="123"/>
      <c r="AP625" s="123"/>
      <c r="AQ625" s="123"/>
      <c r="AR625" s="123"/>
      <c r="AS625" s="123"/>
      <c r="AT625" s="123"/>
      <c r="AU625" s="123"/>
      <c r="AV625" s="123"/>
      <c r="AW625" s="123"/>
      <c r="AX625" s="123"/>
      <c r="AY625" s="123"/>
      <c r="AZ625" s="123"/>
      <c r="BA625" s="123"/>
      <c r="BB625" s="123"/>
      <c r="BC625" s="123"/>
      <c r="BD625" s="123"/>
      <c r="BE625" s="123"/>
      <c r="BF625" s="123"/>
      <c r="BG625" s="123"/>
      <c r="BH625" s="123"/>
      <c r="BI625" s="123"/>
    </row>
    <row r="626" spans="3:61" s="570" customFormat="1">
      <c r="C626" s="1185">
        <v>7644</v>
      </c>
      <c r="D626" s="1252" t="s">
        <v>2454</v>
      </c>
      <c r="E626" s="703"/>
      <c r="F626" s="703"/>
      <c r="G626" s="703"/>
      <c r="H626" s="900" t="e">
        <f t="shared" si="24"/>
        <v>#DIV/0!</v>
      </c>
      <c r="I626" s="310">
        <f t="shared" si="25"/>
        <v>0</v>
      </c>
      <c r="J626" s="123"/>
      <c r="K626" s="123"/>
      <c r="L626" s="123"/>
      <c r="M626" s="123"/>
      <c r="N626" s="123"/>
      <c r="O626" s="123"/>
      <c r="P626" s="123"/>
      <c r="Q626" s="123"/>
      <c r="R626" s="123"/>
      <c r="S626" s="123"/>
      <c r="T626" s="123"/>
      <c r="U626" s="123"/>
      <c r="V626" s="123"/>
      <c r="W626" s="123"/>
      <c r="X626" s="123"/>
      <c r="Y626" s="123"/>
      <c r="Z626" s="123"/>
      <c r="AA626" s="123"/>
      <c r="AB626" s="123"/>
      <c r="AC626" s="123"/>
      <c r="AD626" s="123"/>
      <c r="AE626" s="123"/>
      <c r="AF626" s="123"/>
      <c r="AG626" s="123"/>
      <c r="AH626" s="123"/>
      <c r="AI626" s="123"/>
      <c r="AJ626" s="123"/>
      <c r="AK626" s="123"/>
      <c r="AL626" s="123"/>
      <c r="AM626" s="123"/>
      <c r="AN626" s="123"/>
      <c r="AO626" s="123"/>
      <c r="AP626" s="123"/>
      <c r="AQ626" s="123"/>
      <c r="AR626" s="123"/>
      <c r="AS626" s="123"/>
      <c r="AT626" s="123"/>
      <c r="AU626" s="123"/>
      <c r="AV626" s="123"/>
      <c r="AW626" s="123"/>
      <c r="AX626" s="123"/>
      <c r="AY626" s="123"/>
      <c r="AZ626" s="123"/>
      <c r="BA626" s="123"/>
      <c r="BB626" s="123"/>
      <c r="BC626" s="123"/>
      <c r="BD626" s="123"/>
      <c r="BE626" s="123"/>
      <c r="BF626" s="123"/>
      <c r="BG626" s="123"/>
      <c r="BH626" s="123"/>
      <c r="BI626" s="123"/>
    </row>
    <row r="627" spans="3:61" s="570" customFormat="1">
      <c r="C627" s="1185">
        <v>20011</v>
      </c>
      <c r="D627" s="1252" t="s">
        <v>2294</v>
      </c>
      <c r="E627" s="703"/>
      <c r="F627" s="703"/>
      <c r="G627" s="703"/>
      <c r="H627" s="900" t="e">
        <f t="shared" si="24"/>
        <v>#DIV/0!</v>
      </c>
      <c r="I627" s="310">
        <f t="shared" si="25"/>
        <v>0</v>
      </c>
      <c r="J627" s="123"/>
      <c r="K627" s="123"/>
      <c r="L627" s="123"/>
      <c r="M627" s="123"/>
      <c r="N627" s="123"/>
      <c r="O627" s="123"/>
      <c r="P627" s="123"/>
      <c r="Q627" s="123"/>
      <c r="R627" s="123"/>
      <c r="S627" s="123"/>
      <c r="T627" s="123"/>
      <c r="U627" s="123"/>
      <c r="V627" s="123"/>
      <c r="W627" s="123"/>
      <c r="X627" s="123"/>
      <c r="Y627" s="123"/>
      <c r="Z627" s="123"/>
      <c r="AA627" s="123"/>
      <c r="AB627" s="123"/>
      <c r="AC627" s="123"/>
      <c r="AD627" s="123"/>
      <c r="AE627" s="123"/>
      <c r="AF627" s="123"/>
      <c r="AG627" s="123"/>
      <c r="AH627" s="123"/>
      <c r="AI627" s="123"/>
      <c r="AJ627" s="123"/>
      <c r="AK627" s="123"/>
      <c r="AL627" s="123"/>
      <c r="AM627" s="123"/>
      <c r="AN627" s="123"/>
      <c r="AO627" s="123"/>
      <c r="AP627" s="123"/>
      <c r="AQ627" s="123"/>
      <c r="AR627" s="123"/>
      <c r="AS627" s="123"/>
      <c r="AT627" s="123"/>
      <c r="AU627" s="123"/>
      <c r="AV627" s="123"/>
      <c r="AW627" s="123"/>
      <c r="AX627" s="123"/>
      <c r="AY627" s="123"/>
      <c r="AZ627" s="123"/>
      <c r="BA627" s="123"/>
      <c r="BB627" s="123"/>
      <c r="BC627" s="123"/>
      <c r="BD627" s="123"/>
      <c r="BE627" s="123"/>
      <c r="BF627" s="123"/>
      <c r="BG627" s="123"/>
      <c r="BH627" s="123"/>
      <c r="BI627" s="123"/>
    </row>
    <row r="628" spans="3:61" s="570" customFormat="1">
      <c r="C628" s="1185">
        <v>14402</v>
      </c>
      <c r="D628" s="1252" t="s">
        <v>2453</v>
      </c>
      <c r="E628" s="703"/>
      <c r="F628" s="703"/>
      <c r="G628" s="703"/>
      <c r="H628" s="900" t="e">
        <f t="shared" si="24"/>
        <v>#DIV/0!</v>
      </c>
      <c r="I628" s="310">
        <f t="shared" si="25"/>
        <v>0</v>
      </c>
      <c r="J628" s="123"/>
      <c r="K628" s="123"/>
      <c r="L628" s="123"/>
      <c r="M628" s="123"/>
      <c r="N628" s="123"/>
      <c r="O628" s="123"/>
      <c r="P628" s="123"/>
      <c r="Q628" s="123"/>
      <c r="R628" s="123"/>
      <c r="S628" s="123"/>
      <c r="T628" s="123"/>
      <c r="U628" s="123"/>
      <c r="V628" s="123"/>
      <c r="W628" s="123"/>
      <c r="X628" s="123"/>
      <c r="Y628" s="123"/>
      <c r="Z628" s="123"/>
      <c r="AA628" s="123"/>
      <c r="AB628" s="123"/>
      <c r="AC628" s="123"/>
      <c r="AD628" s="123"/>
      <c r="AE628" s="123"/>
      <c r="AF628" s="123"/>
      <c r="AG628" s="123"/>
      <c r="AH628" s="123"/>
      <c r="AI628" s="123"/>
      <c r="AJ628" s="123"/>
      <c r="AK628" s="123"/>
      <c r="AL628" s="123"/>
      <c r="AM628" s="123"/>
      <c r="AN628" s="123"/>
      <c r="AO628" s="123"/>
      <c r="AP628" s="123"/>
      <c r="AQ628" s="123"/>
      <c r="AR628" s="123"/>
      <c r="AS628" s="123"/>
      <c r="AT628" s="123"/>
      <c r="AU628" s="123"/>
      <c r="AV628" s="123"/>
      <c r="AW628" s="123"/>
      <c r="AX628" s="123"/>
      <c r="AY628" s="123"/>
      <c r="AZ628" s="123"/>
      <c r="BA628" s="123"/>
      <c r="BB628" s="123"/>
      <c r="BC628" s="123"/>
      <c r="BD628" s="123"/>
      <c r="BE628" s="123"/>
      <c r="BF628" s="123"/>
      <c r="BG628" s="123"/>
      <c r="BH628" s="123"/>
      <c r="BI628" s="123"/>
    </row>
    <row r="629" spans="3:61" s="570" customFormat="1">
      <c r="C629" s="1185">
        <v>14403</v>
      </c>
      <c r="D629" s="1252" t="s">
        <v>2277</v>
      </c>
      <c r="E629" s="703"/>
      <c r="F629" s="703"/>
      <c r="G629" s="703"/>
      <c r="H629" s="900" t="e">
        <f t="shared" si="24"/>
        <v>#DIV/0!</v>
      </c>
      <c r="I629" s="310">
        <f t="shared" si="25"/>
        <v>0</v>
      </c>
      <c r="J629" s="123"/>
      <c r="K629" s="123"/>
      <c r="L629" s="123"/>
      <c r="M629" s="123"/>
      <c r="N629" s="123"/>
      <c r="O629" s="123"/>
      <c r="P629" s="123"/>
      <c r="Q629" s="123"/>
      <c r="R629" s="123"/>
      <c r="S629" s="123"/>
      <c r="T629" s="123"/>
      <c r="U629" s="123"/>
      <c r="V629" s="123"/>
      <c r="W629" s="123"/>
      <c r="X629" s="123"/>
      <c r="Y629" s="123"/>
      <c r="Z629" s="123"/>
      <c r="AA629" s="123"/>
      <c r="AB629" s="123"/>
      <c r="AC629" s="123"/>
      <c r="AD629" s="123"/>
      <c r="AE629" s="123"/>
      <c r="AF629" s="123"/>
      <c r="AG629" s="123"/>
      <c r="AH629" s="123"/>
      <c r="AI629" s="123"/>
      <c r="AJ629" s="123"/>
      <c r="AK629" s="123"/>
      <c r="AL629" s="123"/>
      <c r="AM629" s="123"/>
      <c r="AN629" s="123"/>
      <c r="AO629" s="123"/>
      <c r="AP629" s="123"/>
      <c r="AQ629" s="123"/>
      <c r="AR629" s="123"/>
      <c r="AS629" s="123"/>
      <c r="AT629" s="123"/>
      <c r="AU629" s="123"/>
      <c r="AV629" s="123"/>
      <c r="AW629" s="123"/>
      <c r="AX629" s="123"/>
      <c r="AY629" s="123"/>
      <c r="AZ629" s="123"/>
      <c r="BA629" s="123"/>
      <c r="BB629" s="123"/>
      <c r="BC629" s="123"/>
      <c r="BD629" s="123"/>
      <c r="BE629" s="123"/>
      <c r="BF629" s="123"/>
      <c r="BG629" s="123"/>
      <c r="BH629" s="123"/>
      <c r="BI629" s="123"/>
    </row>
    <row r="630" spans="3:61" s="570" customFormat="1">
      <c r="C630" s="1185">
        <v>20005</v>
      </c>
      <c r="D630" s="1252" t="s">
        <v>2291</v>
      </c>
      <c r="E630" s="703"/>
      <c r="F630" s="703"/>
      <c r="G630" s="703"/>
      <c r="H630" s="900" t="e">
        <f t="shared" si="24"/>
        <v>#DIV/0!</v>
      </c>
      <c r="I630" s="310">
        <f t="shared" si="25"/>
        <v>0</v>
      </c>
      <c r="J630" s="123"/>
      <c r="K630" s="123"/>
      <c r="L630" s="123"/>
      <c r="M630" s="123"/>
      <c r="N630" s="123"/>
      <c r="O630" s="123"/>
      <c r="P630" s="123"/>
      <c r="Q630" s="123"/>
      <c r="R630" s="123"/>
      <c r="S630" s="123"/>
      <c r="T630" s="123"/>
      <c r="U630" s="123"/>
      <c r="V630" s="123"/>
      <c r="W630" s="123"/>
      <c r="X630" s="123"/>
      <c r="Y630" s="123"/>
      <c r="Z630" s="123"/>
      <c r="AA630" s="123"/>
      <c r="AB630" s="123"/>
      <c r="AC630" s="123"/>
      <c r="AD630" s="123"/>
      <c r="AE630" s="123"/>
      <c r="AF630" s="123"/>
      <c r="AG630" s="123"/>
      <c r="AH630" s="123"/>
      <c r="AI630" s="123"/>
      <c r="AJ630" s="123"/>
      <c r="AK630" s="123"/>
      <c r="AL630" s="123"/>
      <c r="AM630" s="123"/>
      <c r="AN630" s="123"/>
      <c r="AO630" s="123"/>
      <c r="AP630" s="123"/>
      <c r="AQ630" s="123"/>
      <c r="AR630" s="123"/>
      <c r="AS630" s="123"/>
      <c r="AT630" s="123"/>
      <c r="AU630" s="123"/>
      <c r="AV630" s="123"/>
      <c r="AW630" s="123"/>
      <c r="AX630" s="123"/>
      <c r="AY630" s="123"/>
      <c r="AZ630" s="123"/>
      <c r="BA630" s="123"/>
      <c r="BB630" s="123"/>
      <c r="BC630" s="123"/>
      <c r="BD630" s="123"/>
      <c r="BE630" s="123"/>
      <c r="BF630" s="123"/>
      <c r="BG630" s="123"/>
      <c r="BH630" s="123"/>
      <c r="BI630" s="123"/>
    </row>
    <row r="631" spans="3:61" s="570" customFormat="1">
      <c r="C631" s="1185">
        <v>20008</v>
      </c>
      <c r="D631" s="1252" t="s">
        <v>2292</v>
      </c>
      <c r="E631" s="703"/>
      <c r="F631" s="703"/>
      <c r="G631" s="703"/>
      <c r="H631" s="900" t="e">
        <f t="shared" si="24"/>
        <v>#DIV/0!</v>
      </c>
      <c r="I631" s="310">
        <f t="shared" si="25"/>
        <v>0</v>
      </c>
      <c r="J631" s="123"/>
      <c r="K631" s="123"/>
      <c r="L631" s="123"/>
      <c r="M631" s="123"/>
      <c r="N631" s="123"/>
      <c r="O631" s="123"/>
      <c r="P631" s="123"/>
      <c r="Q631" s="123"/>
      <c r="R631" s="123"/>
      <c r="S631" s="123"/>
      <c r="T631" s="123"/>
      <c r="U631" s="123"/>
      <c r="V631" s="123"/>
      <c r="W631" s="123"/>
      <c r="X631" s="123"/>
      <c r="Y631" s="123"/>
      <c r="Z631" s="123"/>
      <c r="AA631" s="123"/>
      <c r="AB631" s="123"/>
      <c r="AC631" s="123"/>
      <c r="AD631" s="123"/>
      <c r="AE631" s="123"/>
      <c r="AF631" s="123"/>
      <c r="AG631" s="123"/>
      <c r="AH631" s="123"/>
      <c r="AI631" s="123"/>
      <c r="AJ631" s="123"/>
      <c r="AK631" s="123"/>
      <c r="AL631" s="123"/>
      <c r="AM631" s="123"/>
      <c r="AN631" s="123"/>
      <c r="AO631" s="123"/>
      <c r="AP631" s="123"/>
      <c r="AQ631" s="123"/>
      <c r="AR631" s="123"/>
      <c r="AS631" s="123"/>
      <c r="AT631" s="123"/>
      <c r="AU631" s="123"/>
      <c r="AV631" s="123"/>
      <c r="AW631" s="123"/>
      <c r="AX631" s="123"/>
      <c r="AY631" s="123"/>
      <c r="AZ631" s="123"/>
      <c r="BA631" s="123"/>
      <c r="BB631" s="123"/>
      <c r="BC631" s="123"/>
      <c r="BD631" s="123"/>
      <c r="BE631" s="123"/>
      <c r="BF631" s="123"/>
      <c r="BG631" s="123"/>
      <c r="BH631" s="123"/>
      <c r="BI631" s="123"/>
    </row>
    <row r="632" spans="3:61" s="570" customFormat="1">
      <c r="C632" s="1185">
        <v>20009</v>
      </c>
      <c r="D632" s="1252" t="s">
        <v>2290</v>
      </c>
      <c r="E632" s="703"/>
      <c r="F632" s="703"/>
      <c r="G632" s="703"/>
      <c r="H632" s="900" t="e">
        <f t="shared" si="24"/>
        <v>#DIV/0!</v>
      </c>
      <c r="I632" s="310">
        <f t="shared" si="25"/>
        <v>0</v>
      </c>
      <c r="J632" s="123"/>
      <c r="K632" s="123"/>
      <c r="L632" s="123"/>
      <c r="M632" s="123"/>
      <c r="N632" s="123"/>
      <c r="O632" s="123"/>
      <c r="P632" s="123"/>
      <c r="Q632" s="123"/>
      <c r="R632" s="123"/>
      <c r="S632" s="123"/>
      <c r="T632" s="123"/>
      <c r="U632" s="123"/>
      <c r="V632" s="123"/>
      <c r="W632" s="123"/>
      <c r="X632" s="123"/>
      <c r="Y632" s="123"/>
      <c r="Z632" s="123"/>
      <c r="AA632" s="123"/>
      <c r="AB632" s="123"/>
      <c r="AC632" s="123"/>
      <c r="AD632" s="123"/>
      <c r="AE632" s="123"/>
      <c r="AF632" s="123"/>
      <c r="AG632" s="123"/>
      <c r="AH632" s="123"/>
      <c r="AI632" s="123"/>
      <c r="AJ632" s="123"/>
      <c r="AK632" s="123"/>
      <c r="AL632" s="123"/>
      <c r="AM632" s="123"/>
      <c r="AN632" s="123"/>
      <c r="AO632" s="123"/>
      <c r="AP632" s="123"/>
      <c r="AQ632" s="123"/>
      <c r="AR632" s="123"/>
      <c r="AS632" s="123"/>
      <c r="AT632" s="123"/>
      <c r="AU632" s="123"/>
      <c r="AV632" s="123"/>
      <c r="AW632" s="123"/>
      <c r="AX632" s="123"/>
      <c r="AY632" s="123"/>
      <c r="AZ632" s="123"/>
      <c r="BA632" s="123"/>
      <c r="BB632" s="123"/>
      <c r="BC632" s="123"/>
      <c r="BD632" s="123"/>
      <c r="BE632" s="123"/>
      <c r="BF632" s="123"/>
      <c r="BG632" s="123"/>
      <c r="BH632" s="123"/>
      <c r="BI632" s="123"/>
    </row>
    <row r="633" spans="3:61" s="570" customFormat="1">
      <c r="C633" s="1185">
        <v>13579</v>
      </c>
      <c r="D633" s="1252" t="s">
        <v>2385</v>
      </c>
      <c r="E633" s="703"/>
      <c r="F633" s="703"/>
      <c r="G633" s="703"/>
      <c r="H633" s="900" t="e">
        <f t="shared" si="24"/>
        <v>#DIV/0!</v>
      </c>
      <c r="I633" s="310">
        <f t="shared" si="25"/>
        <v>0</v>
      </c>
      <c r="J633" s="123"/>
      <c r="K633" s="123"/>
      <c r="L633" s="123"/>
      <c r="M633" s="123"/>
      <c r="N633" s="123"/>
      <c r="O633" s="123"/>
      <c r="P633" s="123"/>
      <c r="Q633" s="123"/>
      <c r="R633" s="123"/>
      <c r="S633" s="123"/>
      <c r="T633" s="123"/>
      <c r="U633" s="123"/>
      <c r="V633" s="123"/>
      <c r="W633" s="123"/>
      <c r="X633" s="123"/>
      <c r="Y633" s="123"/>
      <c r="Z633" s="123"/>
      <c r="AA633" s="123"/>
      <c r="AB633" s="123"/>
      <c r="AC633" s="123"/>
      <c r="AD633" s="123"/>
      <c r="AE633" s="123"/>
      <c r="AF633" s="123"/>
      <c r="AG633" s="123"/>
      <c r="AH633" s="123"/>
      <c r="AI633" s="123"/>
      <c r="AJ633" s="123"/>
      <c r="AK633" s="123"/>
      <c r="AL633" s="123"/>
      <c r="AM633" s="123"/>
      <c r="AN633" s="123"/>
      <c r="AO633" s="123"/>
      <c r="AP633" s="123"/>
      <c r="AQ633" s="123"/>
      <c r="AR633" s="123"/>
      <c r="AS633" s="123"/>
      <c r="AT633" s="123"/>
      <c r="AU633" s="123"/>
      <c r="AV633" s="123"/>
      <c r="AW633" s="123"/>
      <c r="AX633" s="123"/>
      <c r="AY633" s="123"/>
      <c r="AZ633" s="123"/>
      <c r="BA633" s="123"/>
      <c r="BB633" s="123"/>
      <c r="BC633" s="123"/>
      <c r="BD633" s="123"/>
      <c r="BE633" s="123"/>
      <c r="BF633" s="123"/>
      <c r="BG633" s="123"/>
      <c r="BH633" s="123"/>
      <c r="BI633" s="123"/>
    </row>
    <row r="634" spans="3:61" s="570" customFormat="1">
      <c r="C634" s="1185">
        <v>14481</v>
      </c>
      <c r="D634" s="1252" t="s">
        <v>2386</v>
      </c>
      <c r="E634" s="703"/>
      <c r="F634" s="703"/>
      <c r="G634" s="703"/>
      <c r="H634" s="900" t="e">
        <f t="shared" si="24"/>
        <v>#DIV/0!</v>
      </c>
      <c r="I634" s="310">
        <f t="shared" si="25"/>
        <v>0</v>
      </c>
      <c r="J634" s="123"/>
      <c r="K634" s="123"/>
      <c r="L634" s="123"/>
      <c r="M634" s="123"/>
      <c r="N634" s="123"/>
      <c r="O634" s="123"/>
      <c r="P634" s="123"/>
      <c r="Q634" s="123"/>
      <c r="R634" s="123"/>
      <c r="S634" s="123"/>
      <c r="T634" s="123"/>
      <c r="U634" s="123"/>
      <c r="V634" s="123"/>
      <c r="W634" s="123"/>
      <c r="X634" s="123"/>
      <c r="Y634" s="123"/>
      <c r="Z634" s="123"/>
      <c r="AA634" s="123"/>
      <c r="AB634" s="123"/>
      <c r="AC634" s="123"/>
      <c r="AD634" s="123"/>
      <c r="AE634" s="123"/>
      <c r="AF634" s="123"/>
      <c r="AG634" s="123"/>
      <c r="AH634" s="123"/>
      <c r="AI634" s="123"/>
      <c r="AJ634" s="123"/>
      <c r="AK634" s="123"/>
      <c r="AL634" s="123"/>
      <c r="AM634" s="123"/>
      <c r="AN634" s="123"/>
      <c r="AO634" s="123"/>
      <c r="AP634" s="123"/>
      <c r="AQ634" s="123"/>
      <c r="AR634" s="123"/>
      <c r="AS634" s="123"/>
      <c r="AT634" s="123"/>
      <c r="AU634" s="123"/>
      <c r="AV634" s="123"/>
      <c r="AW634" s="123"/>
      <c r="AX634" s="123"/>
      <c r="AY634" s="123"/>
      <c r="AZ634" s="123"/>
      <c r="BA634" s="123"/>
      <c r="BB634" s="123"/>
      <c r="BC634" s="123"/>
      <c r="BD634" s="123"/>
      <c r="BE634" s="123"/>
      <c r="BF634" s="123"/>
      <c r="BG634" s="123"/>
      <c r="BH634" s="123"/>
      <c r="BI634" s="123"/>
    </row>
    <row r="635" spans="3:61" s="570" customFormat="1">
      <c r="C635" s="1185">
        <v>13964</v>
      </c>
      <c r="D635" s="1252" t="s">
        <v>2387</v>
      </c>
      <c r="E635" s="703"/>
      <c r="F635" s="703"/>
      <c r="G635" s="703"/>
      <c r="H635" s="900" t="e">
        <f t="shared" si="24"/>
        <v>#DIV/0!</v>
      </c>
      <c r="I635" s="310">
        <f t="shared" si="25"/>
        <v>0</v>
      </c>
      <c r="J635" s="123"/>
      <c r="K635" s="123"/>
      <c r="L635" s="123"/>
      <c r="M635" s="123"/>
      <c r="N635" s="123"/>
      <c r="O635" s="123"/>
      <c r="P635" s="123"/>
      <c r="Q635" s="123"/>
      <c r="R635" s="123"/>
      <c r="S635" s="123"/>
      <c r="T635" s="123"/>
      <c r="U635" s="123"/>
      <c r="V635" s="123"/>
      <c r="W635" s="123"/>
      <c r="X635" s="123"/>
      <c r="Y635" s="123"/>
      <c r="Z635" s="123"/>
      <c r="AA635" s="123"/>
      <c r="AB635" s="123"/>
      <c r="AC635" s="123"/>
      <c r="AD635" s="123"/>
      <c r="AE635" s="123"/>
      <c r="AF635" s="123"/>
      <c r="AG635" s="123"/>
      <c r="AH635" s="123"/>
      <c r="AI635" s="123"/>
      <c r="AJ635" s="123"/>
      <c r="AK635" s="123"/>
      <c r="AL635" s="123"/>
      <c r="AM635" s="123"/>
      <c r="AN635" s="123"/>
      <c r="AO635" s="123"/>
      <c r="AP635" s="123"/>
      <c r="AQ635" s="123"/>
      <c r="AR635" s="123"/>
      <c r="AS635" s="123"/>
      <c r="AT635" s="123"/>
      <c r="AU635" s="123"/>
      <c r="AV635" s="123"/>
      <c r="AW635" s="123"/>
      <c r="AX635" s="123"/>
      <c r="AY635" s="123"/>
      <c r="AZ635" s="123"/>
      <c r="BA635" s="123"/>
      <c r="BB635" s="123"/>
      <c r="BC635" s="123"/>
      <c r="BD635" s="123"/>
      <c r="BE635" s="123"/>
      <c r="BF635" s="123"/>
      <c r="BG635" s="123"/>
      <c r="BH635" s="123"/>
      <c r="BI635" s="123"/>
    </row>
    <row r="636" spans="3:61" s="570" customFormat="1">
      <c r="C636" s="1185">
        <v>14479</v>
      </c>
      <c r="D636" s="1252" t="s">
        <v>2452</v>
      </c>
      <c r="E636" s="703"/>
      <c r="F636" s="703"/>
      <c r="G636" s="703"/>
      <c r="H636" s="900" t="e">
        <f t="shared" si="24"/>
        <v>#DIV/0!</v>
      </c>
      <c r="I636" s="310">
        <f t="shared" si="25"/>
        <v>0</v>
      </c>
      <c r="J636" s="123"/>
      <c r="K636" s="123"/>
      <c r="L636" s="123"/>
      <c r="M636" s="123"/>
      <c r="N636" s="123"/>
      <c r="O636" s="123"/>
      <c r="P636" s="123"/>
      <c r="Q636" s="123"/>
      <c r="R636" s="123"/>
      <c r="S636" s="123"/>
      <c r="T636" s="123"/>
      <c r="U636" s="123"/>
      <c r="V636" s="123"/>
      <c r="W636" s="123"/>
      <c r="X636" s="123"/>
      <c r="Y636" s="123"/>
      <c r="Z636" s="123"/>
      <c r="AA636" s="123"/>
      <c r="AB636" s="123"/>
      <c r="AC636" s="123"/>
      <c r="AD636" s="123"/>
      <c r="AE636" s="123"/>
      <c r="AF636" s="123"/>
      <c r="AG636" s="123"/>
      <c r="AH636" s="123"/>
      <c r="AI636" s="123"/>
      <c r="AJ636" s="123"/>
      <c r="AK636" s="123"/>
      <c r="AL636" s="123"/>
      <c r="AM636" s="123"/>
      <c r="AN636" s="123"/>
      <c r="AO636" s="123"/>
      <c r="AP636" s="123"/>
      <c r="AQ636" s="123"/>
      <c r="AR636" s="123"/>
      <c r="AS636" s="123"/>
      <c r="AT636" s="123"/>
      <c r="AU636" s="123"/>
      <c r="AV636" s="123"/>
      <c r="AW636" s="123"/>
      <c r="AX636" s="123"/>
      <c r="AY636" s="123"/>
      <c r="AZ636" s="123"/>
      <c r="BA636" s="123"/>
      <c r="BB636" s="123"/>
      <c r="BC636" s="123"/>
      <c r="BD636" s="123"/>
      <c r="BE636" s="123"/>
      <c r="BF636" s="123"/>
      <c r="BG636" s="123"/>
      <c r="BH636" s="123"/>
      <c r="BI636" s="123"/>
    </row>
    <row r="637" spans="3:61" s="570" customFormat="1">
      <c r="C637" s="1185">
        <v>15000</v>
      </c>
      <c r="D637" s="1252" t="s">
        <v>2388</v>
      </c>
      <c r="E637" s="703"/>
      <c r="F637" s="703"/>
      <c r="G637" s="703"/>
      <c r="H637" s="900" t="e">
        <f t="shared" si="24"/>
        <v>#DIV/0!</v>
      </c>
      <c r="I637" s="310">
        <f t="shared" si="25"/>
        <v>0</v>
      </c>
      <c r="J637" s="123"/>
      <c r="K637" s="123"/>
      <c r="L637" s="123"/>
      <c r="M637" s="123"/>
      <c r="N637" s="123"/>
      <c r="O637" s="123"/>
      <c r="P637" s="123"/>
      <c r="Q637" s="123"/>
      <c r="R637" s="123"/>
      <c r="S637" s="123"/>
      <c r="T637" s="123"/>
      <c r="U637" s="123"/>
      <c r="V637" s="123"/>
      <c r="W637" s="123"/>
      <c r="X637" s="123"/>
      <c r="Y637" s="123"/>
      <c r="Z637" s="123"/>
      <c r="AA637" s="123"/>
      <c r="AB637" s="123"/>
      <c r="AC637" s="123"/>
      <c r="AD637" s="123"/>
      <c r="AE637" s="123"/>
      <c r="AF637" s="123"/>
      <c r="AG637" s="123"/>
      <c r="AH637" s="123"/>
      <c r="AI637" s="123"/>
      <c r="AJ637" s="123"/>
      <c r="AK637" s="123"/>
      <c r="AL637" s="123"/>
      <c r="AM637" s="123"/>
      <c r="AN637" s="123"/>
      <c r="AO637" s="123"/>
      <c r="AP637" s="123"/>
      <c r="AQ637" s="123"/>
      <c r="AR637" s="123"/>
      <c r="AS637" s="123"/>
      <c r="AT637" s="123"/>
      <c r="AU637" s="123"/>
      <c r="AV637" s="123"/>
      <c r="AW637" s="123"/>
      <c r="AX637" s="123"/>
      <c r="AY637" s="123"/>
      <c r="AZ637" s="123"/>
      <c r="BA637" s="123"/>
      <c r="BB637" s="123"/>
      <c r="BC637" s="123"/>
      <c r="BD637" s="123"/>
      <c r="BE637" s="123"/>
      <c r="BF637" s="123"/>
      <c r="BG637" s="123"/>
      <c r="BH637" s="123"/>
      <c r="BI637" s="123"/>
    </row>
    <row r="638" spans="3:61" s="570" customFormat="1">
      <c r="C638" s="1185">
        <v>14999</v>
      </c>
      <c r="D638" s="1252" t="s">
        <v>2276</v>
      </c>
      <c r="E638" s="703"/>
      <c r="F638" s="703"/>
      <c r="G638" s="703"/>
      <c r="H638" s="900" t="e">
        <f t="shared" si="24"/>
        <v>#DIV/0!</v>
      </c>
      <c r="I638" s="310">
        <f t="shared" si="25"/>
        <v>0</v>
      </c>
      <c r="J638" s="123"/>
      <c r="K638" s="123"/>
      <c r="L638" s="123"/>
      <c r="M638" s="123"/>
      <c r="N638" s="123"/>
      <c r="O638" s="123"/>
      <c r="P638" s="123"/>
      <c r="Q638" s="123"/>
      <c r="R638" s="123"/>
      <c r="S638" s="123"/>
      <c r="T638" s="123"/>
      <c r="U638" s="123"/>
      <c r="V638" s="123"/>
      <c r="W638" s="123"/>
      <c r="X638" s="123"/>
      <c r="Y638" s="123"/>
      <c r="Z638" s="123"/>
      <c r="AA638" s="123"/>
      <c r="AB638" s="123"/>
      <c r="AC638" s="123"/>
      <c r="AD638" s="123"/>
      <c r="AE638" s="123"/>
      <c r="AF638" s="123"/>
      <c r="AG638" s="123"/>
      <c r="AH638" s="123"/>
      <c r="AI638" s="123"/>
      <c r="AJ638" s="123"/>
      <c r="AK638" s="123"/>
      <c r="AL638" s="123"/>
      <c r="AM638" s="123"/>
      <c r="AN638" s="123"/>
      <c r="AO638" s="123"/>
      <c r="AP638" s="123"/>
      <c r="AQ638" s="123"/>
      <c r="AR638" s="123"/>
      <c r="AS638" s="123"/>
      <c r="AT638" s="123"/>
      <c r="AU638" s="123"/>
      <c r="AV638" s="123"/>
      <c r="AW638" s="123"/>
      <c r="AX638" s="123"/>
      <c r="AY638" s="123"/>
      <c r="AZ638" s="123"/>
      <c r="BA638" s="123"/>
      <c r="BB638" s="123"/>
      <c r="BC638" s="123"/>
      <c r="BD638" s="123"/>
      <c r="BE638" s="123"/>
      <c r="BF638" s="123"/>
      <c r="BG638" s="123"/>
      <c r="BH638" s="123"/>
      <c r="BI638" s="123"/>
    </row>
    <row r="639" spans="3:61" s="570" customFormat="1">
      <c r="C639" s="1185">
        <v>14480</v>
      </c>
      <c r="D639" s="1252" t="s">
        <v>2451</v>
      </c>
      <c r="E639" s="703"/>
      <c r="F639" s="703"/>
      <c r="G639" s="703"/>
      <c r="H639" s="900" t="e">
        <f t="shared" si="24"/>
        <v>#DIV/0!</v>
      </c>
      <c r="I639" s="310">
        <f t="shared" si="25"/>
        <v>0</v>
      </c>
      <c r="J639" s="123"/>
      <c r="K639" s="123"/>
      <c r="L639" s="123"/>
      <c r="M639" s="123"/>
      <c r="N639" s="123"/>
      <c r="O639" s="123"/>
      <c r="P639" s="123"/>
      <c r="Q639" s="123"/>
      <c r="R639" s="123"/>
      <c r="S639" s="123"/>
      <c r="T639" s="123"/>
      <c r="U639" s="123"/>
      <c r="V639" s="123"/>
      <c r="W639" s="123"/>
      <c r="X639" s="123"/>
      <c r="Y639" s="123"/>
      <c r="Z639" s="123"/>
      <c r="AA639" s="123"/>
      <c r="AB639" s="123"/>
      <c r="AC639" s="123"/>
      <c r="AD639" s="123"/>
      <c r="AE639" s="123"/>
      <c r="AF639" s="123"/>
      <c r="AG639" s="123"/>
      <c r="AH639" s="123"/>
      <c r="AI639" s="123"/>
      <c r="AJ639" s="123"/>
      <c r="AK639" s="123"/>
      <c r="AL639" s="123"/>
      <c r="AM639" s="123"/>
      <c r="AN639" s="123"/>
      <c r="AO639" s="123"/>
      <c r="AP639" s="123"/>
      <c r="AQ639" s="123"/>
      <c r="AR639" s="123"/>
      <c r="AS639" s="123"/>
      <c r="AT639" s="123"/>
      <c r="AU639" s="123"/>
      <c r="AV639" s="123"/>
      <c r="AW639" s="123"/>
      <c r="AX639" s="123"/>
      <c r="AY639" s="123"/>
      <c r="AZ639" s="123"/>
      <c r="BA639" s="123"/>
      <c r="BB639" s="123"/>
      <c r="BC639" s="123"/>
      <c r="BD639" s="123"/>
      <c r="BE639" s="123"/>
      <c r="BF639" s="123"/>
      <c r="BG639" s="123"/>
      <c r="BH639" s="123"/>
      <c r="BI639" s="123"/>
    </row>
    <row r="640" spans="3:61" s="570" customFormat="1">
      <c r="C640" s="1185">
        <v>20801</v>
      </c>
      <c r="D640" s="1252" t="s">
        <v>2803</v>
      </c>
      <c r="E640" s="703">
        <v>48</v>
      </c>
      <c r="F640" s="703">
        <v>0</v>
      </c>
      <c r="G640" s="703">
        <v>19.5</v>
      </c>
      <c r="H640" s="900">
        <f t="shared" si="24"/>
        <v>0.40625</v>
      </c>
      <c r="I640" s="310">
        <f t="shared" si="25"/>
        <v>0</v>
      </c>
      <c r="J640" s="123"/>
      <c r="K640" s="123"/>
      <c r="L640" s="123"/>
      <c r="M640" s="123"/>
      <c r="N640" s="123"/>
      <c r="O640" s="123"/>
      <c r="P640" s="123"/>
      <c r="Q640" s="123"/>
      <c r="R640" s="123"/>
      <c r="S640" s="123"/>
      <c r="T640" s="123"/>
      <c r="U640" s="123"/>
      <c r="V640" s="123"/>
      <c r="W640" s="123"/>
      <c r="X640" s="123"/>
      <c r="Y640" s="123"/>
      <c r="Z640" s="123"/>
      <c r="AA640" s="123"/>
      <c r="AB640" s="123"/>
      <c r="AC640" s="123"/>
      <c r="AD640" s="123"/>
      <c r="AE640" s="123"/>
      <c r="AF640" s="123"/>
      <c r="AG640" s="123"/>
      <c r="AH640" s="123"/>
      <c r="AI640" s="123"/>
      <c r="AJ640" s="123"/>
      <c r="AK640" s="123"/>
      <c r="AL640" s="123"/>
      <c r="AM640" s="123"/>
      <c r="AN640" s="123"/>
      <c r="AO640" s="123"/>
      <c r="AP640" s="123"/>
      <c r="AQ640" s="123"/>
      <c r="AR640" s="123"/>
      <c r="AS640" s="123"/>
      <c r="AT640" s="123"/>
      <c r="AU640" s="123"/>
      <c r="AV640" s="123"/>
      <c r="AW640" s="123"/>
      <c r="AX640" s="123"/>
      <c r="AY640" s="123"/>
      <c r="AZ640" s="123"/>
      <c r="BA640" s="123"/>
      <c r="BB640" s="123"/>
      <c r="BC640" s="123"/>
      <c r="BD640" s="123"/>
      <c r="BE640" s="123"/>
      <c r="BF640" s="123"/>
      <c r="BG640" s="123"/>
      <c r="BH640" s="123"/>
      <c r="BI640" s="123"/>
    </row>
    <row r="641" spans="3:61" s="570" customFormat="1">
      <c r="C641" s="1185">
        <v>20802</v>
      </c>
      <c r="D641" s="1252" t="s">
        <v>2804</v>
      </c>
      <c r="E641" s="703">
        <v>48</v>
      </c>
      <c r="F641" s="703">
        <v>0</v>
      </c>
      <c r="G641" s="703">
        <v>19.5</v>
      </c>
      <c r="H641" s="900">
        <f t="shared" si="24"/>
        <v>0.40625</v>
      </c>
      <c r="I641" s="310">
        <f t="shared" si="25"/>
        <v>0</v>
      </c>
      <c r="J641" s="123"/>
      <c r="K641" s="123"/>
      <c r="L641" s="123"/>
      <c r="M641" s="123"/>
      <c r="N641" s="123"/>
      <c r="O641" s="123"/>
      <c r="P641" s="123"/>
      <c r="Q641" s="123"/>
      <c r="R641" s="123"/>
      <c r="S641" s="123"/>
      <c r="T641" s="123"/>
      <c r="U641" s="123"/>
      <c r="V641" s="123"/>
      <c r="W641" s="123"/>
      <c r="X641" s="123"/>
      <c r="Y641" s="123"/>
      <c r="Z641" s="123"/>
      <c r="AA641" s="123"/>
      <c r="AB641" s="123"/>
      <c r="AC641" s="123"/>
      <c r="AD641" s="123"/>
      <c r="AE641" s="123"/>
      <c r="AF641" s="123"/>
      <c r="AG641" s="123"/>
      <c r="AH641" s="123"/>
      <c r="AI641" s="123"/>
      <c r="AJ641" s="123"/>
      <c r="AK641" s="123"/>
      <c r="AL641" s="123"/>
      <c r="AM641" s="123"/>
      <c r="AN641" s="123"/>
      <c r="AO641" s="123"/>
      <c r="AP641" s="123"/>
      <c r="AQ641" s="123"/>
      <c r="AR641" s="123"/>
      <c r="AS641" s="123"/>
      <c r="AT641" s="123"/>
      <c r="AU641" s="123"/>
      <c r="AV641" s="123"/>
      <c r="AW641" s="123"/>
      <c r="AX641" s="123"/>
      <c r="AY641" s="123"/>
      <c r="AZ641" s="123"/>
      <c r="BA641" s="123"/>
      <c r="BB641" s="123"/>
      <c r="BC641" s="123"/>
      <c r="BD641" s="123"/>
      <c r="BE641" s="123"/>
      <c r="BF641" s="123"/>
      <c r="BG641" s="123"/>
      <c r="BH641" s="123"/>
      <c r="BI641" s="123"/>
    </row>
    <row r="642" spans="3:61" s="570" customFormat="1">
      <c r="C642" s="1185"/>
      <c r="D642" s="1252" t="s">
        <v>3174</v>
      </c>
      <c r="E642" s="703">
        <v>60</v>
      </c>
      <c r="F642" s="703">
        <v>10</v>
      </c>
      <c r="G642" s="703">
        <v>23</v>
      </c>
      <c r="H642" s="900">
        <f t="shared" si="24"/>
        <v>0.38333333333333336</v>
      </c>
      <c r="I642" s="310">
        <f t="shared" si="25"/>
        <v>230</v>
      </c>
      <c r="J642" s="123"/>
      <c r="K642" s="123"/>
      <c r="L642" s="123"/>
      <c r="M642" s="123"/>
      <c r="N642" s="123"/>
      <c r="O642" s="123"/>
      <c r="P642" s="123"/>
      <c r="Q642" s="123"/>
      <c r="R642" s="123"/>
      <c r="S642" s="123"/>
      <c r="T642" s="123"/>
      <c r="U642" s="123"/>
      <c r="V642" s="123"/>
      <c r="W642" s="123"/>
      <c r="X642" s="123"/>
      <c r="Y642" s="123"/>
      <c r="Z642" s="123"/>
      <c r="AA642" s="123"/>
      <c r="AB642" s="123"/>
      <c r="AC642" s="123"/>
      <c r="AD642" s="123"/>
      <c r="AE642" s="123"/>
      <c r="AF642" s="123"/>
      <c r="AG642" s="123"/>
      <c r="AH642" s="123"/>
      <c r="AI642" s="123"/>
      <c r="AJ642" s="123"/>
      <c r="AK642" s="123"/>
      <c r="AL642" s="123"/>
      <c r="AM642" s="123"/>
      <c r="AN642" s="123"/>
      <c r="AO642" s="123"/>
      <c r="AP642" s="123"/>
      <c r="AQ642" s="123"/>
      <c r="AR642" s="123"/>
      <c r="AS642" s="123"/>
      <c r="AT642" s="123"/>
      <c r="AU642" s="123"/>
      <c r="AV642" s="123"/>
      <c r="AW642" s="123"/>
      <c r="AX642" s="123"/>
      <c r="AY642" s="123"/>
      <c r="AZ642" s="123"/>
      <c r="BA642" s="123"/>
      <c r="BB642" s="123"/>
      <c r="BC642" s="123"/>
      <c r="BD642" s="123"/>
      <c r="BE642" s="123"/>
      <c r="BF642" s="123"/>
      <c r="BG642" s="123"/>
      <c r="BH642" s="123"/>
      <c r="BI642" s="123"/>
    </row>
    <row r="643" spans="3:61" s="570" customFormat="1">
      <c r="C643" s="1185"/>
      <c r="D643" s="1252" t="s">
        <v>3175</v>
      </c>
      <c r="E643" s="703">
        <v>200</v>
      </c>
      <c r="F643" s="703">
        <v>0</v>
      </c>
      <c r="G643" s="703">
        <v>29.5</v>
      </c>
      <c r="H643" s="900">
        <f t="shared" si="24"/>
        <v>0.14749999999999999</v>
      </c>
      <c r="I643" s="310">
        <f t="shared" si="25"/>
        <v>0</v>
      </c>
      <c r="J643" s="123"/>
      <c r="K643" s="123"/>
      <c r="L643" s="123"/>
      <c r="M643" s="123"/>
      <c r="N643" s="123"/>
      <c r="O643" s="123"/>
      <c r="P643" s="123"/>
      <c r="Q643" s="123"/>
      <c r="R643" s="123"/>
      <c r="S643" s="123"/>
      <c r="T643" s="123"/>
      <c r="U643" s="123"/>
      <c r="V643" s="123"/>
      <c r="W643" s="123"/>
      <c r="X643" s="123"/>
      <c r="Y643" s="123"/>
      <c r="Z643" s="123"/>
      <c r="AA643" s="123"/>
      <c r="AB643" s="123"/>
      <c r="AC643" s="123"/>
      <c r="AD643" s="123"/>
      <c r="AE643" s="123"/>
      <c r="AF643" s="123"/>
      <c r="AG643" s="123"/>
      <c r="AH643" s="123"/>
      <c r="AI643" s="123"/>
      <c r="AJ643" s="123"/>
      <c r="AK643" s="123"/>
      <c r="AL643" s="123"/>
      <c r="AM643" s="123"/>
      <c r="AN643" s="123"/>
      <c r="AO643" s="123"/>
      <c r="AP643" s="123"/>
      <c r="AQ643" s="123"/>
      <c r="AR643" s="123"/>
      <c r="AS643" s="123"/>
      <c r="AT643" s="123"/>
      <c r="AU643" s="123"/>
      <c r="AV643" s="123"/>
      <c r="AW643" s="123"/>
      <c r="AX643" s="123"/>
      <c r="AY643" s="123"/>
      <c r="AZ643" s="123"/>
      <c r="BA643" s="123"/>
      <c r="BB643" s="123"/>
      <c r="BC643" s="123"/>
      <c r="BD643" s="123"/>
      <c r="BE643" s="123"/>
      <c r="BF643" s="123"/>
      <c r="BG643" s="123"/>
      <c r="BH643" s="123"/>
      <c r="BI643" s="123"/>
    </row>
    <row r="644" spans="3:61" s="570" customFormat="1">
      <c r="C644" s="1185"/>
      <c r="D644" s="1252" t="s">
        <v>3176</v>
      </c>
      <c r="E644" s="703">
        <v>24</v>
      </c>
      <c r="F644" s="703">
        <v>5</v>
      </c>
      <c r="G644" s="703">
        <v>35</v>
      </c>
      <c r="H644" s="900">
        <f t="shared" si="24"/>
        <v>1.4583333333333333</v>
      </c>
      <c r="I644" s="310">
        <f t="shared" si="25"/>
        <v>175</v>
      </c>
      <c r="J644" s="123"/>
      <c r="K644" s="123"/>
      <c r="L644" s="123"/>
      <c r="M644" s="123"/>
      <c r="N644" s="123"/>
      <c r="O644" s="123"/>
      <c r="P644" s="123"/>
      <c r="Q644" s="123"/>
      <c r="R644" s="123"/>
      <c r="S644" s="123"/>
      <c r="T644" s="123"/>
      <c r="U644" s="123"/>
      <c r="V644" s="123"/>
      <c r="W644" s="123"/>
      <c r="X644" s="123"/>
      <c r="Y644" s="123"/>
      <c r="Z644" s="123"/>
      <c r="AA644" s="123"/>
      <c r="AB644" s="123"/>
      <c r="AC644" s="123"/>
      <c r="AD644" s="123"/>
      <c r="AE644" s="123"/>
      <c r="AF644" s="123"/>
      <c r="AG644" s="123"/>
      <c r="AH644" s="123"/>
      <c r="AI644" s="123"/>
      <c r="AJ644" s="123"/>
      <c r="AK644" s="123"/>
      <c r="AL644" s="123"/>
      <c r="AM644" s="123"/>
      <c r="AN644" s="123"/>
      <c r="AO644" s="123"/>
      <c r="AP644" s="123"/>
      <c r="AQ644" s="123"/>
      <c r="AR644" s="123"/>
      <c r="AS644" s="123"/>
      <c r="AT644" s="123"/>
      <c r="AU644" s="123"/>
      <c r="AV644" s="123"/>
      <c r="AW644" s="123"/>
      <c r="AX644" s="123"/>
      <c r="AY644" s="123"/>
      <c r="AZ644" s="123"/>
      <c r="BA644" s="123"/>
      <c r="BB644" s="123"/>
      <c r="BC644" s="123"/>
      <c r="BD644" s="123"/>
      <c r="BE644" s="123"/>
      <c r="BF644" s="123"/>
      <c r="BG644" s="123"/>
      <c r="BH644" s="123"/>
      <c r="BI644" s="123"/>
    </row>
    <row r="645" spans="3:61" s="570" customFormat="1">
      <c r="C645" s="1185"/>
      <c r="D645" s="1252" t="s">
        <v>3177</v>
      </c>
      <c r="E645" s="703">
        <v>24</v>
      </c>
      <c r="F645" s="703">
        <v>5</v>
      </c>
      <c r="G645" s="703">
        <v>35</v>
      </c>
      <c r="H645" s="900">
        <f t="shared" si="24"/>
        <v>1.4583333333333333</v>
      </c>
      <c r="I645" s="310">
        <f t="shared" si="25"/>
        <v>175</v>
      </c>
      <c r="J645" s="123"/>
      <c r="K645" s="123"/>
      <c r="L645" s="123"/>
      <c r="M645" s="123"/>
      <c r="N645" s="123"/>
      <c r="O645" s="123"/>
      <c r="P645" s="123"/>
      <c r="Q645" s="123"/>
      <c r="R645" s="123"/>
      <c r="S645" s="123"/>
      <c r="T645" s="123"/>
      <c r="U645" s="123"/>
      <c r="V645" s="123"/>
      <c r="W645" s="123"/>
      <c r="X645" s="123"/>
      <c r="Y645" s="123"/>
      <c r="Z645" s="123"/>
      <c r="AA645" s="123"/>
      <c r="AB645" s="123"/>
      <c r="AC645" s="123"/>
      <c r="AD645" s="123"/>
      <c r="AE645" s="123"/>
      <c r="AF645" s="123"/>
      <c r="AG645" s="123"/>
      <c r="AH645" s="123"/>
      <c r="AI645" s="123"/>
      <c r="AJ645" s="123"/>
      <c r="AK645" s="123"/>
      <c r="AL645" s="123"/>
      <c r="AM645" s="123"/>
      <c r="AN645" s="123"/>
      <c r="AO645" s="123"/>
      <c r="AP645" s="123"/>
      <c r="AQ645" s="123"/>
      <c r="AR645" s="123"/>
      <c r="AS645" s="123"/>
      <c r="AT645" s="123"/>
      <c r="AU645" s="123"/>
      <c r="AV645" s="123"/>
      <c r="AW645" s="123"/>
      <c r="AX645" s="123"/>
      <c r="AY645" s="123"/>
      <c r="AZ645" s="123"/>
      <c r="BA645" s="123"/>
      <c r="BB645" s="123"/>
      <c r="BC645" s="123"/>
      <c r="BD645" s="123"/>
      <c r="BE645" s="123"/>
      <c r="BF645" s="123"/>
      <c r="BG645" s="123"/>
      <c r="BH645" s="123"/>
      <c r="BI645" s="123"/>
    </row>
    <row r="646" spans="3:61" s="570" customFormat="1">
      <c r="C646" s="1185"/>
      <c r="D646" s="1252" t="s">
        <v>3178</v>
      </c>
      <c r="E646" s="703">
        <v>72</v>
      </c>
      <c r="F646" s="703">
        <v>2</v>
      </c>
      <c r="G646" s="703">
        <v>19</v>
      </c>
      <c r="H646" s="900">
        <f t="shared" si="24"/>
        <v>0.2638888888888889</v>
      </c>
      <c r="I646" s="310">
        <f t="shared" si="25"/>
        <v>38</v>
      </c>
      <c r="J646" s="123"/>
      <c r="K646" s="123"/>
      <c r="L646" s="123"/>
      <c r="M646" s="123"/>
      <c r="N646" s="123"/>
      <c r="O646" s="123"/>
      <c r="P646" s="123"/>
      <c r="Q646" s="123"/>
      <c r="R646" s="123"/>
      <c r="S646" s="123"/>
      <c r="T646" s="123"/>
      <c r="U646" s="123"/>
      <c r="V646" s="123"/>
      <c r="W646" s="123"/>
      <c r="X646" s="123"/>
      <c r="Y646" s="123"/>
      <c r="Z646" s="123"/>
      <c r="AA646" s="123"/>
      <c r="AB646" s="123"/>
      <c r="AC646" s="123"/>
      <c r="AD646" s="123"/>
      <c r="AE646" s="123"/>
      <c r="AF646" s="123"/>
      <c r="AG646" s="123"/>
      <c r="AH646" s="123"/>
      <c r="AI646" s="123"/>
      <c r="AJ646" s="123"/>
      <c r="AK646" s="123"/>
      <c r="AL646" s="123"/>
      <c r="AM646" s="123"/>
      <c r="AN646" s="123"/>
      <c r="AO646" s="123"/>
      <c r="AP646" s="123"/>
      <c r="AQ646" s="123"/>
      <c r="AR646" s="123"/>
      <c r="AS646" s="123"/>
      <c r="AT646" s="123"/>
      <c r="AU646" s="123"/>
      <c r="AV646" s="123"/>
      <c r="AW646" s="123"/>
      <c r="AX646" s="123"/>
      <c r="AY646" s="123"/>
      <c r="AZ646" s="123"/>
      <c r="BA646" s="123"/>
      <c r="BB646" s="123"/>
      <c r="BC646" s="123"/>
      <c r="BD646" s="123"/>
      <c r="BE646" s="123"/>
      <c r="BF646" s="123"/>
      <c r="BG646" s="123"/>
      <c r="BH646" s="123"/>
      <c r="BI646" s="123"/>
    </row>
    <row r="647" spans="3:61" s="570" customFormat="1">
      <c r="C647" s="1185"/>
      <c r="D647" s="1252" t="s">
        <v>3179</v>
      </c>
      <c r="E647" s="703">
        <v>72</v>
      </c>
      <c r="F647" s="703">
        <v>2</v>
      </c>
      <c r="G647" s="703">
        <v>19</v>
      </c>
      <c r="H647" s="900">
        <f t="shared" si="24"/>
        <v>0.2638888888888889</v>
      </c>
      <c r="I647" s="310">
        <f t="shared" si="25"/>
        <v>38</v>
      </c>
      <c r="J647" s="123"/>
      <c r="K647" s="123"/>
      <c r="L647" s="123"/>
      <c r="M647" s="123"/>
      <c r="N647" s="123"/>
      <c r="O647" s="123"/>
      <c r="P647" s="123"/>
      <c r="Q647" s="123"/>
      <c r="R647" s="123"/>
      <c r="S647" s="123"/>
      <c r="T647" s="123"/>
      <c r="U647" s="123"/>
      <c r="V647" s="123"/>
      <c r="W647" s="123"/>
      <c r="X647" s="123"/>
      <c r="Y647" s="123"/>
      <c r="Z647" s="123"/>
      <c r="AA647" s="123"/>
      <c r="AB647" s="123"/>
      <c r="AC647" s="123"/>
      <c r="AD647" s="123"/>
      <c r="AE647" s="123"/>
      <c r="AF647" s="123"/>
      <c r="AG647" s="123"/>
      <c r="AH647" s="123"/>
      <c r="AI647" s="123"/>
      <c r="AJ647" s="123"/>
      <c r="AK647" s="123"/>
      <c r="AL647" s="123"/>
      <c r="AM647" s="123"/>
      <c r="AN647" s="123"/>
      <c r="AO647" s="123"/>
      <c r="AP647" s="123"/>
      <c r="AQ647" s="123"/>
      <c r="AR647" s="123"/>
      <c r="AS647" s="123"/>
      <c r="AT647" s="123"/>
      <c r="AU647" s="123"/>
      <c r="AV647" s="123"/>
      <c r="AW647" s="123"/>
      <c r="AX647" s="123"/>
      <c r="AY647" s="123"/>
      <c r="AZ647" s="123"/>
      <c r="BA647" s="123"/>
      <c r="BB647" s="123"/>
      <c r="BC647" s="123"/>
      <c r="BD647" s="123"/>
      <c r="BE647" s="123"/>
      <c r="BF647" s="123"/>
      <c r="BG647" s="123"/>
      <c r="BH647" s="123"/>
      <c r="BI647" s="123"/>
    </row>
    <row r="648" spans="3:61" s="570" customFormat="1">
      <c r="C648" s="1185"/>
      <c r="D648" s="1252" t="s">
        <v>3180</v>
      </c>
      <c r="E648" s="703">
        <v>72</v>
      </c>
      <c r="F648" s="703">
        <v>2</v>
      </c>
      <c r="G648" s="703">
        <v>19</v>
      </c>
      <c r="H648" s="900">
        <f t="shared" si="24"/>
        <v>0.2638888888888889</v>
      </c>
      <c r="I648" s="310">
        <f t="shared" si="25"/>
        <v>38</v>
      </c>
      <c r="J648" s="123"/>
      <c r="K648" s="123"/>
      <c r="L648" s="123"/>
      <c r="M648" s="123"/>
      <c r="N648" s="123"/>
      <c r="O648" s="123"/>
      <c r="P648" s="123"/>
      <c r="Q648" s="123"/>
      <c r="R648" s="123"/>
      <c r="S648" s="123"/>
      <c r="T648" s="123"/>
      <c r="U648" s="123"/>
      <c r="V648" s="123"/>
      <c r="W648" s="123"/>
      <c r="X648" s="123"/>
      <c r="Y648" s="123"/>
      <c r="Z648" s="123"/>
      <c r="AA648" s="123"/>
      <c r="AB648" s="123"/>
      <c r="AC648" s="123"/>
      <c r="AD648" s="123"/>
      <c r="AE648" s="123"/>
      <c r="AF648" s="123"/>
      <c r="AG648" s="123"/>
      <c r="AH648" s="123"/>
      <c r="AI648" s="123"/>
      <c r="AJ648" s="123"/>
      <c r="AK648" s="123"/>
      <c r="AL648" s="123"/>
      <c r="AM648" s="123"/>
      <c r="AN648" s="123"/>
      <c r="AO648" s="123"/>
      <c r="AP648" s="123"/>
      <c r="AQ648" s="123"/>
      <c r="AR648" s="123"/>
      <c r="AS648" s="123"/>
      <c r="AT648" s="123"/>
      <c r="AU648" s="123"/>
      <c r="AV648" s="123"/>
      <c r="AW648" s="123"/>
      <c r="AX648" s="123"/>
      <c r="AY648" s="123"/>
      <c r="AZ648" s="123"/>
      <c r="BA648" s="123"/>
      <c r="BB648" s="123"/>
      <c r="BC648" s="123"/>
      <c r="BD648" s="123"/>
      <c r="BE648" s="123"/>
      <c r="BF648" s="123"/>
      <c r="BG648" s="123"/>
      <c r="BH648" s="123"/>
      <c r="BI648" s="123"/>
    </row>
    <row r="649" spans="3:61" s="570" customFormat="1">
      <c r="C649" s="1185"/>
      <c r="D649" s="1252" t="s">
        <v>3181</v>
      </c>
      <c r="E649" s="703">
        <v>72</v>
      </c>
      <c r="F649" s="703">
        <v>2</v>
      </c>
      <c r="G649" s="703">
        <v>19</v>
      </c>
      <c r="H649" s="900">
        <f t="shared" si="24"/>
        <v>0.2638888888888889</v>
      </c>
      <c r="I649" s="310">
        <f t="shared" si="25"/>
        <v>38</v>
      </c>
      <c r="J649" s="123"/>
      <c r="K649" s="123"/>
      <c r="L649" s="123"/>
      <c r="M649" s="123"/>
      <c r="N649" s="123"/>
      <c r="O649" s="123"/>
      <c r="P649" s="123"/>
      <c r="Q649" s="123"/>
      <c r="R649" s="123"/>
      <c r="S649" s="123"/>
      <c r="T649" s="123"/>
      <c r="U649" s="123"/>
      <c r="V649" s="123"/>
      <c r="W649" s="123"/>
      <c r="X649" s="123"/>
      <c r="Y649" s="123"/>
      <c r="Z649" s="123"/>
      <c r="AA649" s="123"/>
      <c r="AB649" s="123"/>
      <c r="AC649" s="123"/>
      <c r="AD649" s="123"/>
      <c r="AE649" s="123"/>
      <c r="AF649" s="123"/>
      <c r="AG649" s="123"/>
      <c r="AH649" s="123"/>
      <c r="AI649" s="123"/>
      <c r="AJ649" s="123"/>
      <c r="AK649" s="123"/>
      <c r="AL649" s="123"/>
      <c r="AM649" s="123"/>
      <c r="AN649" s="123"/>
      <c r="AO649" s="123"/>
      <c r="AP649" s="123"/>
      <c r="AQ649" s="123"/>
      <c r="AR649" s="123"/>
      <c r="AS649" s="123"/>
      <c r="AT649" s="123"/>
      <c r="AU649" s="123"/>
      <c r="AV649" s="123"/>
      <c r="AW649" s="123"/>
      <c r="AX649" s="123"/>
      <c r="AY649" s="123"/>
      <c r="AZ649" s="123"/>
      <c r="BA649" s="123"/>
      <c r="BB649" s="123"/>
      <c r="BC649" s="123"/>
      <c r="BD649" s="123"/>
      <c r="BE649" s="123"/>
      <c r="BF649" s="123"/>
      <c r="BG649" s="123"/>
      <c r="BH649" s="123"/>
      <c r="BI649" s="123"/>
    </row>
    <row r="650" spans="3:61" s="570" customFormat="1">
      <c r="C650" s="1185"/>
      <c r="D650" s="1252" t="s">
        <v>3182</v>
      </c>
      <c r="E650" s="703">
        <v>72</v>
      </c>
      <c r="F650" s="703">
        <v>2</v>
      </c>
      <c r="G650" s="703">
        <v>19</v>
      </c>
      <c r="H650" s="900">
        <f t="shared" si="24"/>
        <v>0.2638888888888889</v>
      </c>
      <c r="I650" s="310">
        <f t="shared" si="25"/>
        <v>38</v>
      </c>
      <c r="J650" s="123"/>
      <c r="K650" s="123"/>
      <c r="L650" s="123"/>
      <c r="M650" s="123"/>
      <c r="N650" s="123"/>
      <c r="O650" s="123"/>
      <c r="P650" s="123"/>
      <c r="Q650" s="123"/>
      <c r="R650" s="123"/>
      <c r="S650" s="123"/>
      <c r="T650" s="123"/>
      <c r="U650" s="123"/>
      <c r="V650" s="123"/>
      <c r="W650" s="123"/>
      <c r="X650" s="123"/>
      <c r="Y650" s="123"/>
      <c r="Z650" s="123"/>
      <c r="AA650" s="123"/>
      <c r="AB650" s="123"/>
      <c r="AC650" s="123"/>
      <c r="AD650" s="123"/>
      <c r="AE650" s="123"/>
      <c r="AF650" s="123"/>
      <c r="AG650" s="123"/>
      <c r="AH650" s="123"/>
      <c r="AI650" s="123"/>
      <c r="AJ650" s="123"/>
      <c r="AK650" s="123"/>
      <c r="AL650" s="123"/>
      <c r="AM650" s="123"/>
      <c r="AN650" s="123"/>
      <c r="AO650" s="123"/>
      <c r="AP650" s="123"/>
      <c r="AQ650" s="123"/>
      <c r="AR650" s="123"/>
      <c r="AS650" s="123"/>
      <c r="AT650" s="123"/>
      <c r="AU650" s="123"/>
      <c r="AV650" s="123"/>
      <c r="AW650" s="123"/>
      <c r="AX650" s="123"/>
      <c r="AY650" s="123"/>
      <c r="AZ650" s="123"/>
      <c r="BA650" s="123"/>
      <c r="BB650" s="123"/>
      <c r="BC650" s="123"/>
      <c r="BD650" s="123"/>
      <c r="BE650" s="123"/>
      <c r="BF650" s="123"/>
      <c r="BG650" s="123"/>
      <c r="BH650" s="123"/>
      <c r="BI650" s="123"/>
    </row>
    <row r="651" spans="3:61" s="570" customFormat="1">
      <c r="C651" s="1185"/>
      <c r="D651" s="1252" t="s">
        <v>3183</v>
      </c>
      <c r="E651" s="703">
        <v>72</v>
      </c>
      <c r="F651" s="703">
        <v>2</v>
      </c>
      <c r="G651" s="703">
        <v>19</v>
      </c>
      <c r="H651" s="900">
        <f t="shared" si="24"/>
        <v>0.2638888888888889</v>
      </c>
      <c r="I651" s="310">
        <f t="shared" si="25"/>
        <v>38</v>
      </c>
      <c r="J651" s="123"/>
      <c r="K651" s="123"/>
      <c r="L651" s="123"/>
      <c r="M651" s="123"/>
      <c r="N651" s="123"/>
      <c r="O651" s="123"/>
      <c r="P651" s="123"/>
      <c r="Q651" s="123"/>
      <c r="R651" s="123"/>
      <c r="S651" s="123"/>
      <c r="T651" s="123"/>
      <c r="U651" s="123"/>
      <c r="V651" s="123"/>
      <c r="W651" s="123"/>
      <c r="X651" s="123"/>
      <c r="Y651" s="123"/>
      <c r="Z651" s="123"/>
      <c r="AA651" s="123"/>
      <c r="AB651" s="123"/>
      <c r="AC651" s="123"/>
      <c r="AD651" s="123"/>
      <c r="AE651" s="123"/>
      <c r="AF651" s="123"/>
      <c r="AG651" s="123"/>
      <c r="AH651" s="123"/>
      <c r="AI651" s="123"/>
      <c r="AJ651" s="123"/>
      <c r="AK651" s="123"/>
      <c r="AL651" s="123"/>
      <c r="AM651" s="123"/>
      <c r="AN651" s="123"/>
      <c r="AO651" s="123"/>
      <c r="AP651" s="123"/>
      <c r="AQ651" s="123"/>
      <c r="AR651" s="123"/>
      <c r="AS651" s="123"/>
      <c r="AT651" s="123"/>
      <c r="AU651" s="123"/>
      <c r="AV651" s="123"/>
      <c r="AW651" s="123"/>
      <c r="AX651" s="123"/>
      <c r="AY651" s="123"/>
      <c r="AZ651" s="123"/>
      <c r="BA651" s="123"/>
      <c r="BB651" s="123"/>
      <c r="BC651" s="123"/>
      <c r="BD651" s="123"/>
      <c r="BE651" s="123"/>
      <c r="BF651" s="123"/>
      <c r="BG651" s="123"/>
      <c r="BH651" s="123"/>
      <c r="BI651" s="123"/>
    </row>
    <row r="652" spans="3:61" s="570" customFormat="1">
      <c r="C652" s="1185"/>
      <c r="D652" s="1252" t="s">
        <v>3184</v>
      </c>
      <c r="E652" s="703">
        <v>72</v>
      </c>
      <c r="F652" s="703">
        <v>0</v>
      </c>
      <c r="G652" s="703">
        <v>19</v>
      </c>
      <c r="H652" s="900">
        <f t="shared" si="24"/>
        <v>0.2638888888888889</v>
      </c>
      <c r="I652" s="310">
        <f t="shared" si="25"/>
        <v>0</v>
      </c>
      <c r="J652" s="123"/>
      <c r="K652" s="123"/>
      <c r="L652" s="123"/>
      <c r="M652" s="123"/>
      <c r="N652" s="123"/>
      <c r="O652" s="123"/>
      <c r="P652" s="123"/>
      <c r="Q652" s="123"/>
      <c r="R652" s="123"/>
      <c r="S652" s="123"/>
      <c r="T652" s="123"/>
      <c r="U652" s="123"/>
      <c r="V652" s="123"/>
      <c r="W652" s="123"/>
      <c r="X652" s="123"/>
      <c r="Y652" s="123"/>
      <c r="Z652" s="123"/>
      <c r="AA652" s="123"/>
      <c r="AB652" s="123"/>
      <c r="AC652" s="123"/>
      <c r="AD652" s="123"/>
      <c r="AE652" s="123"/>
      <c r="AF652" s="123"/>
      <c r="AG652" s="123"/>
      <c r="AH652" s="123"/>
      <c r="AI652" s="123"/>
      <c r="AJ652" s="123"/>
      <c r="AK652" s="123"/>
      <c r="AL652" s="123"/>
      <c r="AM652" s="123"/>
      <c r="AN652" s="123"/>
      <c r="AO652" s="123"/>
      <c r="AP652" s="123"/>
      <c r="AQ652" s="123"/>
      <c r="AR652" s="123"/>
      <c r="AS652" s="123"/>
      <c r="AT652" s="123"/>
      <c r="AU652" s="123"/>
      <c r="AV652" s="123"/>
      <c r="AW652" s="123"/>
      <c r="AX652" s="123"/>
      <c r="AY652" s="123"/>
      <c r="AZ652" s="123"/>
      <c r="BA652" s="123"/>
      <c r="BB652" s="123"/>
      <c r="BC652" s="123"/>
      <c r="BD652" s="123"/>
      <c r="BE652" s="123"/>
      <c r="BF652" s="123"/>
      <c r="BG652" s="123"/>
      <c r="BH652" s="123"/>
      <c r="BI652" s="123"/>
    </row>
    <row r="653" spans="3:61" s="570" customFormat="1">
      <c r="C653" s="1185"/>
      <c r="D653" s="1252" t="s">
        <v>3195</v>
      </c>
      <c r="E653" s="703">
        <v>30</v>
      </c>
      <c r="F653" s="703">
        <v>3</v>
      </c>
      <c r="G653" s="703">
        <v>22.2</v>
      </c>
      <c r="H653" s="900">
        <f t="shared" si="24"/>
        <v>0.74</v>
      </c>
      <c r="I653" s="310">
        <f t="shared" si="25"/>
        <v>66.599999999999994</v>
      </c>
      <c r="J653" s="123"/>
      <c r="K653" s="123"/>
      <c r="L653" s="123"/>
      <c r="M653" s="123"/>
      <c r="N653" s="123"/>
      <c r="O653" s="123"/>
      <c r="P653" s="123"/>
      <c r="Q653" s="123"/>
      <c r="R653" s="123"/>
      <c r="S653" s="123"/>
      <c r="T653" s="123"/>
      <c r="U653" s="123"/>
      <c r="V653" s="123"/>
      <c r="W653" s="123"/>
      <c r="X653" s="123"/>
      <c r="Y653" s="123"/>
      <c r="Z653" s="123"/>
      <c r="AA653" s="123"/>
      <c r="AB653" s="123"/>
      <c r="AC653" s="123"/>
      <c r="AD653" s="123"/>
      <c r="AE653" s="123"/>
      <c r="AF653" s="123"/>
      <c r="AG653" s="123"/>
      <c r="AH653" s="123"/>
      <c r="AI653" s="123"/>
      <c r="AJ653" s="123"/>
      <c r="AK653" s="123"/>
      <c r="AL653" s="123"/>
      <c r="AM653" s="123"/>
      <c r="AN653" s="123"/>
      <c r="AO653" s="123"/>
      <c r="AP653" s="123"/>
      <c r="AQ653" s="123"/>
      <c r="AR653" s="123"/>
      <c r="AS653" s="123"/>
      <c r="AT653" s="123"/>
      <c r="AU653" s="123"/>
      <c r="AV653" s="123"/>
      <c r="AW653" s="123"/>
      <c r="AX653" s="123"/>
      <c r="AY653" s="123"/>
      <c r="AZ653" s="123"/>
      <c r="BA653" s="123"/>
      <c r="BB653" s="123"/>
      <c r="BC653" s="123"/>
      <c r="BD653" s="123"/>
      <c r="BE653" s="123"/>
      <c r="BF653" s="123"/>
      <c r="BG653" s="123"/>
      <c r="BH653" s="123"/>
      <c r="BI653" s="123"/>
    </row>
    <row r="654" spans="3:61" s="570" customFormat="1">
      <c r="C654" s="1185"/>
      <c r="D654" s="1252" t="s">
        <v>3196</v>
      </c>
      <c r="E654" s="703">
        <v>30</v>
      </c>
      <c r="F654" s="703">
        <v>3</v>
      </c>
      <c r="G654" s="703">
        <v>22.2</v>
      </c>
      <c r="H654" s="900">
        <f t="shared" si="24"/>
        <v>0.74</v>
      </c>
      <c r="I654" s="310">
        <f t="shared" si="25"/>
        <v>66.599999999999994</v>
      </c>
      <c r="J654" s="123"/>
      <c r="K654" s="123"/>
      <c r="L654" s="123"/>
      <c r="M654" s="123"/>
      <c r="N654" s="123"/>
      <c r="O654" s="123"/>
      <c r="P654" s="123"/>
      <c r="Q654" s="123"/>
      <c r="R654" s="123"/>
      <c r="S654" s="123"/>
      <c r="T654" s="123"/>
      <c r="U654" s="123"/>
      <c r="V654" s="123"/>
      <c r="W654" s="123"/>
      <c r="X654" s="123"/>
      <c r="Y654" s="123"/>
      <c r="Z654" s="123"/>
      <c r="AA654" s="123"/>
      <c r="AB654" s="123"/>
      <c r="AC654" s="123"/>
      <c r="AD654" s="123"/>
      <c r="AE654" s="123"/>
      <c r="AF654" s="123"/>
      <c r="AG654" s="123"/>
      <c r="AH654" s="123"/>
      <c r="AI654" s="123"/>
      <c r="AJ654" s="123"/>
      <c r="AK654" s="123"/>
      <c r="AL654" s="123"/>
      <c r="AM654" s="123"/>
      <c r="AN654" s="123"/>
      <c r="AO654" s="123"/>
      <c r="AP654" s="123"/>
      <c r="AQ654" s="123"/>
      <c r="AR654" s="123"/>
      <c r="AS654" s="123"/>
      <c r="AT654" s="123"/>
      <c r="AU654" s="123"/>
      <c r="AV654" s="123"/>
      <c r="AW654" s="123"/>
      <c r="AX654" s="123"/>
      <c r="AY654" s="123"/>
      <c r="AZ654" s="123"/>
      <c r="BA654" s="123"/>
      <c r="BB654" s="123"/>
      <c r="BC654" s="123"/>
      <c r="BD654" s="123"/>
      <c r="BE654" s="123"/>
      <c r="BF654" s="123"/>
      <c r="BG654" s="123"/>
      <c r="BH654" s="123"/>
      <c r="BI654" s="123"/>
    </row>
    <row r="655" spans="3:61" s="570" customFormat="1">
      <c r="C655" s="1185">
        <v>17889</v>
      </c>
      <c r="D655" s="1252" t="s">
        <v>1509</v>
      </c>
      <c r="E655" s="703">
        <v>48</v>
      </c>
      <c r="F655" s="703">
        <v>20</v>
      </c>
      <c r="G655" s="703">
        <v>18.899999999999999</v>
      </c>
      <c r="H655" s="900">
        <f t="shared" si="24"/>
        <v>0.39374999999999999</v>
      </c>
      <c r="I655" s="310">
        <f t="shared" si="25"/>
        <v>378</v>
      </c>
      <c r="J655" s="123"/>
      <c r="K655" s="123"/>
      <c r="L655" s="123"/>
      <c r="M655" s="123"/>
      <c r="N655" s="123"/>
      <c r="O655" s="123"/>
      <c r="P655" s="123"/>
      <c r="Q655" s="123"/>
      <c r="R655" s="123"/>
      <c r="S655" s="123"/>
      <c r="T655" s="123"/>
      <c r="U655" s="123"/>
      <c r="V655" s="123"/>
      <c r="W655" s="123"/>
      <c r="X655" s="123"/>
      <c r="Y655" s="123"/>
      <c r="Z655" s="123"/>
      <c r="AA655" s="123"/>
      <c r="AB655" s="123"/>
      <c r="AC655" s="123"/>
      <c r="AD655" s="123"/>
      <c r="AE655" s="123"/>
      <c r="AF655" s="123"/>
      <c r="AG655" s="123"/>
      <c r="AH655" s="123"/>
      <c r="AI655" s="123"/>
      <c r="AJ655" s="123"/>
      <c r="AK655" s="123"/>
      <c r="AL655" s="123"/>
      <c r="AM655" s="123"/>
      <c r="AN655" s="123"/>
      <c r="AO655" s="123"/>
      <c r="AP655" s="123"/>
      <c r="AQ655" s="123"/>
      <c r="AR655" s="123"/>
      <c r="AS655" s="123"/>
      <c r="AT655" s="123"/>
      <c r="AU655" s="123"/>
      <c r="AV655" s="123"/>
      <c r="AW655" s="123"/>
      <c r="AX655" s="123"/>
      <c r="AY655" s="123"/>
      <c r="AZ655" s="123"/>
      <c r="BA655" s="123"/>
      <c r="BB655" s="123"/>
      <c r="BC655" s="123"/>
      <c r="BD655" s="123"/>
      <c r="BE655" s="123"/>
      <c r="BF655" s="123"/>
      <c r="BG655" s="123"/>
      <c r="BH655" s="123"/>
      <c r="BI655" s="123"/>
    </row>
    <row r="656" spans="3:61" s="570" customFormat="1">
      <c r="C656" s="1185">
        <v>7101</v>
      </c>
      <c r="D656" s="1252" t="s">
        <v>2450</v>
      </c>
      <c r="E656" s="703"/>
      <c r="F656" s="703"/>
      <c r="G656" s="703"/>
      <c r="H656" s="900" t="e">
        <f t="shared" si="24"/>
        <v>#DIV/0!</v>
      </c>
      <c r="I656" s="310">
        <f t="shared" si="25"/>
        <v>0</v>
      </c>
      <c r="J656" s="123"/>
      <c r="K656" s="123"/>
      <c r="L656" s="123"/>
      <c r="M656" s="123"/>
      <c r="N656" s="123"/>
      <c r="O656" s="123"/>
      <c r="P656" s="123"/>
      <c r="Q656" s="123"/>
      <c r="R656" s="123"/>
      <c r="S656" s="123"/>
      <c r="T656" s="123"/>
      <c r="U656" s="123"/>
      <c r="V656" s="123"/>
      <c r="W656" s="123"/>
      <c r="X656" s="123"/>
      <c r="Y656" s="123"/>
      <c r="Z656" s="123"/>
      <c r="AA656" s="123"/>
      <c r="AB656" s="123"/>
      <c r="AC656" s="123"/>
      <c r="AD656" s="123"/>
      <c r="AE656" s="123"/>
      <c r="AF656" s="123"/>
      <c r="AG656" s="123"/>
      <c r="AH656" s="123"/>
      <c r="AI656" s="123"/>
      <c r="AJ656" s="123"/>
      <c r="AK656" s="123"/>
      <c r="AL656" s="123"/>
      <c r="AM656" s="123"/>
      <c r="AN656" s="123"/>
      <c r="AO656" s="123"/>
      <c r="AP656" s="123"/>
      <c r="AQ656" s="123"/>
      <c r="AR656" s="123"/>
      <c r="AS656" s="123"/>
      <c r="AT656" s="123"/>
      <c r="AU656" s="123"/>
      <c r="AV656" s="123"/>
      <c r="AW656" s="123"/>
      <c r="AX656" s="123"/>
      <c r="AY656" s="123"/>
      <c r="AZ656" s="123"/>
      <c r="BA656" s="123"/>
      <c r="BB656" s="123"/>
      <c r="BC656" s="123"/>
      <c r="BD656" s="123"/>
      <c r="BE656" s="123"/>
      <c r="BF656" s="123"/>
      <c r="BG656" s="123"/>
      <c r="BH656" s="123"/>
      <c r="BI656" s="123"/>
    </row>
    <row r="657" spans="3:61" s="570" customFormat="1">
      <c r="C657" s="1185">
        <v>9771</v>
      </c>
      <c r="D657" s="1252" t="s">
        <v>3185</v>
      </c>
      <c r="E657" s="703">
        <v>288</v>
      </c>
      <c r="F657" s="703">
        <v>1</v>
      </c>
      <c r="G657" s="703">
        <v>80</v>
      </c>
      <c r="H657" s="900">
        <f t="shared" si="24"/>
        <v>0.27777777777777779</v>
      </c>
      <c r="I657" s="310">
        <f t="shared" si="25"/>
        <v>80</v>
      </c>
      <c r="J657" s="123"/>
      <c r="K657" s="123"/>
      <c r="L657" s="123"/>
      <c r="M657" s="123"/>
      <c r="N657" s="123"/>
      <c r="O657" s="123"/>
      <c r="P657" s="123"/>
      <c r="Q657" s="123"/>
      <c r="R657" s="123"/>
      <c r="S657" s="123"/>
      <c r="T657" s="123"/>
      <c r="U657" s="123"/>
      <c r="V657" s="123"/>
      <c r="W657" s="123"/>
      <c r="X657" s="123"/>
      <c r="Y657" s="123"/>
      <c r="Z657" s="123"/>
      <c r="AA657" s="123"/>
      <c r="AB657" s="123"/>
      <c r="AC657" s="123"/>
      <c r="AD657" s="123"/>
      <c r="AE657" s="123"/>
      <c r="AF657" s="123"/>
      <c r="AG657" s="123"/>
      <c r="AH657" s="123"/>
      <c r="AI657" s="123"/>
      <c r="AJ657" s="123"/>
      <c r="AK657" s="123"/>
      <c r="AL657" s="123"/>
      <c r="AM657" s="123"/>
      <c r="AN657" s="123"/>
      <c r="AO657" s="123"/>
      <c r="AP657" s="123"/>
      <c r="AQ657" s="123"/>
      <c r="AR657" s="123"/>
      <c r="AS657" s="123"/>
      <c r="AT657" s="123"/>
      <c r="AU657" s="123"/>
      <c r="AV657" s="123"/>
      <c r="AW657" s="123"/>
      <c r="AX657" s="123"/>
      <c r="AY657" s="123"/>
      <c r="AZ657" s="123"/>
      <c r="BA657" s="123"/>
      <c r="BB657" s="123"/>
      <c r="BC657" s="123"/>
      <c r="BD657" s="123"/>
      <c r="BE657" s="123"/>
      <c r="BF657" s="123"/>
      <c r="BG657" s="123"/>
      <c r="BH657" s="123"/>
      <c r="BI657" s="123"/>
    </row>
    <row r="658" spans="3:61" s="570" customFormat="1">
      <c r="C658" s="1185">
        <v>9772</v>
      </c>
      <c r="D658" s="1252" t="s">
        <v>3186</v>
      </c>
      <c r="E658" s="703">
        <v>288</v>
      </c>
      <c r="F658" s="703">
        <v>1</v>
      </c>
      <c r="G658" s="703">
        <v>80</v>
      </c>
      <c r="H658" s="900">
        <f t="shared" si="24"/>
        <v>0.27777777777777779</v>
      </c>
      <c r="I658" s="310">
        <f t="shared" si="25"/>
        <v>80</v>
      </c>
      <c r="J658" s="123"/>
      <c r="K658" s="123"/>
      <c r="L658" s="123"/>
      <c r="M658" s="123"/>
      <c r="N658" s="123"/>
      <c r="O658" s="123"/>
      <c r="P658" s="123"/>
      <c r="Q658" s="123"/>
      <c r="R658" s="123"/>
      <c r="S658" s="123"/>
      <c r="T658" s="123"/>
      <c r="U658" s="123"/>
      <c r="V658" s="123"/>
      <c r="W658" s="123"/>
      <c r="X658" s="123"/>
      <c r="Y658" s="123"/>
      <c r="Z658" s="123"/>
      <c r="AA658" s="123"/>
      <c r="AB658" s="123"/>
      <c r="AC658" s="123"/>
      <c r="AD658" s="123"/>
      <c r="AE658" s="123"/>
      <c r="AF658" s="123"/>
      <c r="AG658" s="123"/>
      <c r="AH658" s="123"/>
      <c r="AI658" s="123"/>
      <c r="AJ658" s="123"/>
      <c r="AK658" s="123"/>
      <c r="AL658" s="123"/>
      <c r="AM658" s="123"/>
      <c r="AN658" s="123"/>
      <c r="AO658" s="123"/>
      <c r="AP658" s="123"/>
      <c r="AQ658" s="123"/>
      <c r="AR658" s="123"/>
      <c r="AS658" s="123"/>
      <c r="AT658" s="123"/>
      <c r="AU658" s="123"/>
      <c r="AV658" s="123"/>
      <c r="AW658" s="123"/>
      <c r="AX658" s="123"/>
      <c r="AY658" s="123"/>
      <c r="AZ658" s="123"/>
      <c r="BA658" s="123"/>
      <c r="BB658" s="123"/>
      <c r="BC658" s="123"/>
      <c r="BD658" s="123"/>
      <c r="BE658" s="123"/>
      <c r="BF658" s="123"/>
      <c r="BG658" s="123"/>
      <c r="BH658" s="123"/>
      <c r="BI658" s="123"/>
    </row>
    <row r="659" spans="3:61" s="570" customFormat="1">
      <c r="C659" s="1185">
        <v>13331</v>
      </c>
      <c r="D659" s="1252" t="s">
        <v>2389</v>
      </c>
      <c r="E659" s="703">
        <v>288</v>
      </c>
      <c r="F659" s="703">
        <v>1</v>
      </c>
      <c r="G659" s="703">
        <v>80</v>
      </c>
      <c r="H659" s="900">
        <f t="shared" si="24"/>
        <v>0.27777777777777779</v>
      </c>
      <c r="I659" s="310">
        <f t="shared" si="25"/>
        <v>80</v>
      </c>
      <c r="J659" s="123"/>
      <c r="K659" s="123"/>
      <c r="L659" s="123"/>
      <c r="M659" s="123"/>
      <c r="N659" s="123"/>
      <c r="O659" s="123"/>
      <c r="P659" s="123"/>
      <c r="Q659" s="123"/>
      <c r="R659" s="123"/>
      <c r="S659" s="123"/>
      <c r="T659" s="123"/>
      <c r="U659" s="123"/>
      <c r="V659" s="123"/>
      <c r="W659" s="123"/>
      <c r="X659" s="123"/>
      <c r="Y659" s="123"/>
      <c r="Z659" s="123"/>
      <c r="AA659" s="123"/>
      <c r="AB659" s="123"/>
      <c r="AC659" s="123"/>
      <c r="AD659" s="123"/>
      <c r="AE659" s="123"/>
      <c r="AF659" s="123"/>
      <c r="AG659" s="123"/>
      <c r="AH659" s="123"/>
      <c r="AI659" s="123"/>
      <c r="AJ659" s="123"/>
      <c r="AK659" s="123"/>
      <c r="AL659" s="123"/>
      <c r="AM659" s="123"/>
      <c r="AN659" s="123"/>
      <c r="AO659" s="123"/>
      <c r="AP659" s="123"/>
      <c r="AQ659" s="123"/>
      <c r="AR659" s="123"/>
      <c r="AS659" s="123"/>
      <c r="AT659" s="123"/>
      <c r="AU659" s="123"/>
      <c r="AV659" s="123"/>
      <c r="AW659" s="123"/>
      <c r="AX659" s="123"/>
      <c r="AY659" s="123"/>
      <c r="AZ659" s="123"/>
      <c r="BA659" s="123"/>
      <c r="BB659" s="123"/>
      <c r="BC659" s="123"/>
      <c r="BD659" s="123"/>
      <c r="BE659" s="123"/>
      <c r="BF659" s="123"/>
      <c r="BG659" s="123"/>
      <c r="BH659" s="123"/>
      <c r="BI659" s="123"/>
    </row>
    <row r="660" spans="3:61" s="570" customFormat="1">
      <c r="C660" s="1185">
        <v>13329</v>
      </c>
      <c r="D660" s="1252" t="s">
        <v>2390</v>
      </c>
      <c r="E660" s="703">
        <v>288</v>
      </c>
      <c r="F660" s="703">
        <v>1</v>
      </c>
      <c r="G660" s="703">
        <v>80</v>
      </c>
      <c r="H660" s="900">
        <f t="shared" si="24"/>
        <v>0.27777777777777779</v>
      </c>
      <c r="I660" s="310">
        <f t="shared" si="25"/>
        <v>80</v>
      </c>
      <c r="J660" s="123"/>
      <c r="K660" s="123"/>
      <c r="L660" s="123"/>
      <c r="M660" s="123"/>
      <c r="N660" s="123"/>
      <c r="O660" s="123"/>
      <c r="P660" s="123"/>
      <c r="Q660" s="123"/>
      <c r="R660" s="123"/>
      <c r="S660" s="123"/>
      <c r="T660" s="123"/>
      <c r="U660" s="123"/>
      <c r="V660" s="123"/>
      <c r="W660" s="123"/>
      <c r="X660" s="123"/>
      <c r="Y660" s="123"/>
      <c r="Z660" s="123"/>
      <c r="AA660" s="123"/>
      <c r="AB660" s="123"/>
      <c r="AC660" s="123"/>
      <c r="AD660" s="123"/>
      <c r="AE660" s="123"/>
      <c r="AF660" s="123"/>
      <c r="AG660" s="123"/>
      <c r="AH660" s="123"/>
      <c r="AI660" s="123"/>
      <c r="AJ660" s="123"/>
      <c r="AK660" s="123"/>
      <c r="AL660" s="123"/>
      <c r="AM660" s="123"/>
      <c r="AN660" s="123"/>
      <c r="AO660" s="123"/>
      <c r="AP660" s="123"/>
      <c r="AQ660" s="123"/>
      <c r="AR660" s="123"/>
      <c r="AS660" s="123"/>
      <c r="AT660" s="123"/>
      <c r="AU660" s="123"/>
      <c r="AV660" s="123"/>
      <c r="AW660" s="123"/>
      <c r="AX660" s="123"/>
      <c r="AY660" s="123"/>
      <c r="AZ660" s="123"/>
      <c r="BA660" s="123"/>
      <c r="BB660" s="123"/>
      <c r="BC660" s="123"/>
      <c r="BD660" s="123"/>
      <c r="BE660" s="123"/>
      <c r="BF660" s="123"/>
      <c r="BG660" s="123"/>
      <c r="BH660" s="123"/>
      <c r="BI660" s="123"/>
    </row>
    <row r="661" spans="3:61" s="570" customFormat="1">
      <c r="C661" s="1185">
        <v>13330</v>
      </c>
      <c r="D661" s="1252" t="s">
        <v>3187</v>
      </c>
      <c r="E661" s="703">
        <v>288</v>
      </c>
      <c r="F661" s="703">
        <v>1</v>
      </c>
      <c r="G661" s="703">
        <v>80</v>
      </c>
      <c r="H661" s="900">
        <f t="shared" si="24"/>
        <v>0.27777777777777779</v>
      </c>
      <c r="I661" s="310">
        <f t="shared" si="25"/>
        <v>80</v>
      </c>
      <c r="J661" s="123"/>
      <c r="K661" s="123"/>
      <c r="L661" s="123"/>
      <c r="M661" s="123"/>
      <c r="N661" s="123"/>
      <c r="O661" s="123"/>
      <c r="P661" s="123"/>
      <c r="Q661" s="123"/>
      <c r="R661" s="123"/>
      <c r="S661" s="123"/>
      <c r="T661" s="123"/>
      <c r="U661" s="123"/>
      <c r="V661" s="123"/>
      <c r="W661" s="123"/>
      <c r="X661" s="123"/>
      <c r="Y661" s="123"/>
      <c r="Z661" s="123"/>
      <c r="AA661" s="123"/>
      <c r="AB661" s="123"/>
      <c r="AC661" s="123"/>
      <c r="AD661" s="123"/>
      <c r="AE661" s="123"/>
      <c r="AF661" s="123"/>
      <c r="AG661" s="123"/>
      <c r="AH661" s="123"/>
      <c r="AI661" s="123"/>
      <c r="AJ661" s="123"/>
      <c r="AK661" s="123"/>
      <c r="AL661" s="123"/>
      <c r="AM661" s="123"/>
      <c r="AN661" s="123"/>
      <c r="AO661" s="123"/>
      <c r="AP661" s="123"/>
      <c r="AQ661" s="123"/>
      <c r="AR661" s="123"/>
      <c r="AS661" s="123"/>
      <c r="AT661" s="123"/>
      <c r="AU661" s="123"/>
      <c r="AV661" s="123"/>
      <c r="AW661" s="123"/>
      <c r="AX661" s="123"/>
      <c r="AY661" s="123"/>
      <c r="AZ661" s="123"/>
      <c r="BA661" s="123"/>
      <c r="BB661" s="123"/>
      <c r="BC661" s="123"/>
      <c r="BD661" s="123"/>
      <c r="BE661" s="123"/>
      <c r="BF661" s="123"/>
      <c r="BG661" s="123"/>
      <c r="BH661" s="123"/>
      <c r="BI661" s="123"/>
    </row>
    <row r="662" spans="3:61" s="570" customFormat="1">
      <c r="C662" s="1185"/>
      <c r="D662" s="1252" t="s">
        <v>3188</v>
      </c>
      <c r="E662" s="703">
        <v>288</v>
      </c>
      <c r="F662" s="703">
        <v>0</v>
      </c>
      <c r="G662" s="703">
        <v>80</v>
      </c>
      <c r="H662" s="900">
        <f t="shared" si="24"/>
        <v>0.27777777777777779</v>
      </c>
      <c r="I662" s="310">
        <f t="shared" si="25"/>
        <v>0</v>
      </c>
      <c r="J662" s="123"/>
      <c r="K662" s="123"/>
      <c r="L662" s="123"/>
      <c r="M662" s="123"/>
      <c r="N662" s="123"/>
      <c r="O662" s="123"/>
      <c r="P662" s="123"/>
      <c r="Q662" s="123"/>
      <c r="R662" s="123"/>
      <c r="S662" s="123"/>
      <c r="T662" s="123"/>
      <c r="U662" s="123"/>
      <c r="V662" s="123"/>
      <c r="W662" s="123"/>
      <c r="X662" s="123"/>
      <c r="Y662" s="123"/>
      <c r="Z662" s="123"/>
      <c r="AA662" s="123"/>
      <c r="AB662" s="123"/>
      <c r="AC662" s="123"/>
      <c r="AD662" s="123"/>
      <c r="AE662" s="123"/>
      <c r="AF662" s="123"/>
      <c r="AG662" s="123"/>
      <c r="AH662" s="123"/>
      <c r="AI662" s="123"/>
      <c r="AJ662" s="123"/>
      <c r="AK662" s="123"/>
      <c r="AL662" s="123"/>
      <c r="AM662" s="123"/>
      <c r="AN662" s="123"/>
      <c r="AO662" s="123"/>
      <c r="AP662" s="123"/>
      <c r="AQ662" s="123"/>
      <c r="AR662" s="123"/>
      <c r="AS662" s="123"/>
      <c r="AT662" s="123"/>
      <c r="AU662" s="123"/>
      <c r="AV662" s="123"/>
      <c r="AW662" s="123"/>
      <c r="AX662" s="123"/>
      <c r="AY662" s="123"/>
      <c r="AZ662" s="123"/>
      <c r="BA662" s="123"/>
      <c r="BB662" s="123"/>
      <c r="BC662" s="123"/>
      <c r="BD662" s="123"/>
      <c r="BE662" s="123"/>
      <c r="BF662" s="123"/>
      <c r="BG662" s="123"/>
      <c r="BH662" s="123"/>
      <c r="BI662" s="123"/>
    </row>
    <row r="663" spans="3:61" s="570" customFormat="1">
      <c r="C663" s="1185"/>
      <c r="D663" s="1252" t="s">
        <v>3189</v>
      </c>
      <c r="E663" s="703">
        <v>864</v>
      </c>
      <c r="F663" s="703">
        <v>1</v>
      </c>
      <c r="G663" s="703">
        <v>82.5</v>
      </c>
      <c r="H663" s="900">
        <f t="shared" si="24"/>
        <v>9.5486111111111105E-2</v>
      </c>
      <c r="I663" s="310">
        <f t="shared" si="25"/>
        <v>82.5</v>
      </c>
      <c r="J663" s="123"/>
      <c r="K663" s="123"/>
      <c r="L663" s="123"/>
      <c r="M663" s="123"/>
      <c r="N663" s="123"/>
      <c r="O663" s="123"/>
      <c r="P663" s="123"/>
      <c r="Q663" s="123"/>
      <c r="R663" s="123"/>
      <c r="S663" s="123"/>
      <c r="T663" s="123"/>
      <c r="U663" s="123"/>
      <c r="V663" s="123"/>
      <c r="W663" s="123"/>
      <c r="X663" s="123"/>
      <c r="Y663" s="123"/>
      <c r="Z663" s="123"/>
      <c r="AA663" s="123"/>
      <c r="AB663" s="123"/>
      <c r="AC663" s="123"/>
      <c r="AD663" s="123"/>
      <c r="AE663" s="123"/>
      <c r="AF663" s="123"/>
      <c r="AG663" s="123"/>
      <c r="AH663" s="123"/>
      <c r="AI663" s="123"/>
      <c r="AJ663" s="123"/>
      <c r="AK663" s="123"/>
      <c r="AL663" s="123"/>
      <c r="AM663" s="123"/>
      <c r="AN663" s="123"/>
      <c r="AO663" s="123"/>
      <c r="AP663" s="123"/>
      <c r="AQ663" s="123"/>
      <c r="AR663" s="123"/>
      <c r="AS663" s="123"/>
      <c r="AT663" s="123"/>
      <c r="AU663" s="123"/>
      <c r="AV663" s="123"/>
      <c r="AW663" s="123"/>
      <c r="AX663" s="123"/>
      <c r="AY663" s="123"/>
      <c r="AZ663" s="123"/>
      <c r="BA663" s="123"/>
      <c r="BB663" s="123"/>
      <c r="BC663" s="123"/>
      <c r="BD663" s="123"/>
      <c r="BE663" s="123"/>
      <c r="BF663" s="123"/>
      <c r="BG663" s="123"/>
      <c r="BH663" s="123"/>
      <c r="BI663" s="123"/>
    </row>
    <row r="664" spans="3:61" s="570" customFormat="1">
      <c r="C664" s="1185"/>
      <c r="D664" s="1252" t="s">
        <v>3190</v>
      </c>
      <c r="E664" s="703">
        <v>864</v>
      </c>
      <c r="F664" s="703">
        <v>1</v>
      </c>
      <c r="G664" s="703">
        <v>82.5</v>
      </c>
      <c r="H664" s="900">
        <f t="shared" si="24"/>
        <v>9.5486111111111105E-2</v>
      </c>
      <c r="I664" s="310">
        <f t="shared" si="25"/>
        <v>82.5</v>
      </c>
      <c r="J664" s="123"/>
      <c r="K664" s="123"/>
      <c r="L664" s="123"/>
      <c r="M664" s="123"/>
      <c r="N664" s="123"/>
      <c r="O664" s="123"/>
      <c r="P664" s="123"/>
      <c r="Q664" s="123"/>
      <c r="R664" s="123"/>
      <c r="S664" s="123"/>
      <c r="T664" s="123"/>
      <c r="U664" s="123"/>
      <c r="V664" s="123"/>
      <c r="W664" s="123"/>
      <c r="X664" s="123"/>
      <c r="Y664" s="123"/>
      <c r="Z664" s="123"/>
      <c r="AA664" s="123"/>
      <c r="AB664" s="123"/>
      <c r="AC664" s="123"/>
      <c r="AD664" s="123"/>
      <c r="AE664" s="123"/>
      <c r="AF664" s="123"/>
      <c r="AG664" s="123"/>
      <c r="AH664" s="123"/>
      <c r="AI664" s="123"/>
      <c r="AJ664" s="123"/>
      <c r="AK664" s="123"/>
      <c r="AL664" s="123"/>
      <c r="AM664" s="123"/>
      <c r="AN664" s="123"/>
      <c r="AO664" s="123"/>
      <c r="AP664" s="123"/>
      <c r="AQ664" s="123"/>
      <c r="AR664" s="123"/>
      <c r="AS664" s="123"/>
      <c r="AT664" s="123"/>
      <c r="AU664" s="123"/>
      <c r="AV664" s="123"/>
      <c r="AW664" s="123"/>
      <c r="AX664" s="123"/>
      <c r="AY664" s="123"/>
      <c r="AZ664" s="123"/>
      <c r="BA664" s="123"/>
      <c r="BB664" s="123"/>
      <c r="BC664" s="123"/>
      <c r="BD664" s="123"/>
      <c r="BE664" s="123"/>
      <c r="BF664" s="123"/>
      <c r="BG664" s="123"/>
      <c r="BH664" s="123"/>
      <c r="BI664" s="123"/>
    </row>
    <row r="665" spans="3:61" s="570" customFormat="1">
      <c r="C665" s="1185"/>
      <c r="D665" s="1252" t="s">
        <v>3191</v>
      </c>
      <c r="E665" s="703">
        <v>420</v>
      </c>
      <c r="F665" s="703">
        <v>1</v>
      </c>
      <c r="G665" s="703">
        <v>70</v>
      </c>
      <c r="H665" s="900">
        <f t="shared" si="24"/>
        <v>0.16666666666666666</v>
      </c>
      <c r="I665" s="310">
        <f t="shared" si="25"/>
        <v>70</v>
      </c>
      <c r="J665" s="123"/>
      <c r="K665" s="123"/>
      <c r="L665" s="123"/>
      <c r="M665" s="123"/>
      <c r="N665" s="123"/>
      <c r="O665" s="123"/>
      <c r="P665" s="123"/>
      <c r="Q665" s="123"/>
      <c r="R665" s="123"/>
      <c r="S665" s="123"/>
      <c r="T665" s="123"/>
      <c r="U665" s="123"/>
      <c r="V665" s="123"/>
      <c r="W665" s="123"/>
      <c r="X665" s="123"/>
      <c r="Y665" s="123"/>
      <c r="Z665" s="123"/>
      <c r="AA665" s="123"/>
      <c r="AB665" s="123"/>
      <c r="AC665" s="123"/>
      <c r="AD665" s="123"/>
      <c r="AE665" s="123"/>
      <c r="AF665" s="123"/>
      <c r="AG665" s="123"/>
      <c r="AH665" s="123"/>
      <c r="AI665" s="123"/>
      <c r="AJ665" s="123"/>
      <c r="AK665" s="123"/>
      <c r="AL665" s="123"/>
      <c r="AM665" s="123"/>
      <c r="AN665" s="123"/>
      <c r="AO665" s="123"/>
      <c r="AP665" s="123"/>
      <c r="AQ665" s="123"/>
      <c r="AR665" s="123"/>
      <c r="AS665" s="123"/>
      <c r="AT665" s="123"/>
      <c r="AU665" s="123"/>
      <c r="AV665" s="123"/>
      <c r="AW665" s="123"/>
      <c r="AX665" s="123"/>
      <c r="AY665" s="123"/>
      <c r="AZ665" s="123"/>
      <c r="BA665" s="123"/>
      <c r="BB665" s="123"/>
      <c r="BC665" s="123"/>
      <c r="BD665" s="123"/>
      <c r="BE665" s="123"/>
      <c r="BF665" s="123"/>
      <c r="BG665" s="123"/>
      <c r="BH665" s="123"/>
      <c r="BI665" s="123"/>
    </row>
    <row r="666" spans="3:61" s="570" customFormat="1">
      <c r="C666" s="1185"/>
      <c r="D666" s="1252" t="s">
        <v>3192</v>
      </c>
      <c r="E666" s="703">
        <v>420</v>
      </c>
      <c r="F666" s="703">
        <v>1</v>
      </c>
      <c r="G666" s="703">
        <v>70</v>
      </c>
      <c r="H666" s="900">
        <f t="shared" si="24"/>
        <v>0.16666666666666666</v>
      </c>
      <c r="I666" s="310">
        <f t="shared" si="25"/>
        <v>70</v>
      </c>
      <c r="J666" s="123"/>
      <c r="K666" s="123"/>
      <c r="L666" s="123"/>
      <c r="M666" s="123"/>
      <c r="N666" s="123"/>
      <c r="O666" s="123"/>
      <c r="P666" s="123"/>
      <c r="Q666" s="123"/>
      <c r="R666" s="123"/>
      <c r="S666" s="123"/>
      <c r="T666" s="123"/>
      <c r="U666" s="123"/>
      <c r="V666" s="123"/>
      <c r="W666" s="123"/>
      <c r="X666" s="123"/>
      <c r="Y666" s="123"/>
      <c r="Z666" s="123"/>
      <c r="AA666" s="123"/>
      <c r="AB666" s="123"/>
      <c r="AC666" s="123"/>
      <c r="AD666" s="123"/>
      <c r="AE666" s="123"/>
      <c r="AF666" s="123"/>
      <c r="AG666" s="123"/>
      <c r="AH666" s="123"/>
      <c r="AI666" s="123"/>
      <c r="AJ666" s="123"/>
      <c r="AK666" s="123"/>
      <c r="AL666" s="123"/>
      <c r="AM666" s="123"/>
      <c r="AN666" s="123"/>
      <c r="AO666" s="123"/>
      <c r="AP666" s="123"/>
      <c r="AQ666" s="123"/>
      <c r="AR666" s="123"/>
      <c r="AS666" s="123"/>
      <c r="AT666" s="123"/>
      <c r="AU666" s="123"/>
      <c r="AV666" s="123"/>
      <c r="AW666" s="123"/>
      <c r="AX666" s="123"/>
      <c r="AY666" s="123"/>
      <c r="AZ666" s="123"/>
      <c r="BA666" s="123"/>
      <c r="BB666" s="123"/>
      <c r="BC666" s="123"/>
      <c r="BD666" s="123"/>
      <c r="BE666" s="123"/>
      <c r="BF666" s="123"/>
      <c r="BG666" s="123"/>
      <c r="BH666" s="123"/>
      <c r="BI666" s="123"/>
    </row>
    <row r="667" spans="3:61" s="570" customFormat="1">
      <c r="C667" s="1185"/>
      <c r="D667" s="1252" t="s">
        <v>3193</v>
      </c>
      <c r="E667" s="703">
        <v>420</v>
      </c>
      <c r="F667" s="703">
        <v>0</v>
      </c>
      <c r="G667" s="703">
        <v>71.099999999999994</v>
      </c>
      <c r="H667" s="900">
        <f t="shared" si="24"/>
        <v>0.16928571428571426</v>
      </c>
      <c r="I667" s="310">
        <f t="shared" si="25"/>
        <v>0</v>
      </c>
      <c r="J667" s="123"/>
      <c r="K667" s="123"/>
      <c r="L667" s="123"/>
      <c r="M667" s="123"/>
      <c r="N667" s="123"/>
      <c r="O667" s="123"/>
      <c r="P667" s="123"/>
      <c r="Q667" s="123"/>
      <c r="R667" s="123"/>
      <c r="S667" s="123"/>
      <c r="T667" s="123"/>
      <c r="U667" s="123"/>
      <c r="V667" s="123"/>
      <c r="W667" s="123"/>
      <c r="X667" s="123"/>
      <c r="Y667" s="123"/>
      <c r="Z667" s="123"/>
      <c r="AA667" s="123"/>
      <c r="AB667" s="123"/>
      <c r="AC667" s="123"/>
      <c r="AD667" s="123"/>
      <c r="AE667" s="123"/>
      <c r="AF667" s="123"/>
      <c r="AG667" s="123"/>
      <c r="AH667" s="123"/>
      <c r="AI667" s="123"/>
      <c r="AJ667" s="123"/>
      <c r="AK667" s="123"/>
      <c r="AL667" s="123"/>
      <c r="AM667" s="123"/>
      <c r="AN667" s="123"/>
      <c r="AO667" s="123"/>
      <c r="AP667" s="123"/>
      <c r="AQ667" s="123"/>
      <c r="AR667" s="123"/>
      <c r="AS667" s="123"/>
      <c r="AT667" s="123"/>
      <c r="AU667" s="123"/>
      <c r="AV667" s="123"/>
      <c r="AW667" s="123"/>
      <c r="AX667" s="123"/>
      <c r="AY667" s="123"/>
      <c r="AZ667" s="123"/>
      <c r="BA667" s="123"/>
      <c r="BB667" s="123"/>
      <c r="BC667" s="123"/>
      <c r="BD667" s="123"/>
      <c r="BE667" s="123"/>
      <c r="BF667" s="123"/>
      <c r="BG667" s="123"/>
      <c r="BH667" s="123"/>
      <c r="BI667" s="123"/>
    </row>
    <row r="668" spans="3:61" s="570" customFormat="1">
      <c r="C668" s="1185"/>
      <c r="D668" s="1252" t="s">
        <v>3194</v>
      </c>
      <c r="E668" s="703">
        <v>420</v>
      </c>
      <c r="F668" s="703">
        <v>0</v>
      </c>
      <c r="G668" s="703">
        <v>71.099999999999994</v>
      </c>
      <c r="H668" s="900">
        <f t="shared" si="24"/>
        <v>0.16928571428571426</v>
      </c>
      <c r="I668" s="310">
        <f t="shared" ref="I668:I674" si="26">F668*G668</f>
        <v>0</v>
      </c>
      <c r="J668" s="123"/>
      <c r="K668" s="123"/>
      <c r="L668" s="123"/>
      <c r="M668" s="123"/>
      <c r="N668" s="123"/>
      <c r="O668" s="123"/>
      <c r="P668" s="123"/>
      <c r="Q668" s="123"/>
      <c r="R668" s="123"/>
      <c r="S668" s="123"/>
      <c r="T668" s="123"/>
      <c r="U668" s="123"/>
      <c r="V668" s="123"/>
      <c r="W668" s="123"/>
      <c r="X668" s="123"/>
      <c r="Y668" s="123"/>
      <c r="Z668" s="123"/>
      <c r="AA668" s="123"/>
      <c r="AB668" s="123"/>
      <c r="AC668" s="123"/>
      <c r="AD668" s="123"/>
      <c r="AE668" s="123"/>
      <c r="AF668" s="123"/>
      <c r="AG668" s="123"/>
      <c r="AH668" s="123"/>
      <c r="AI668" s="123"/>
      <c r="AJ668" s="123"/>
      <c r="AK668" s="123"/>
      <c r="AL668" s="123"/>
      <c r="AM668" s="123"/>
      <c r="AN668" s="123"/>
      <c r="AO668" s="123"/>
      <c r="AP668" s="123"/>
      <c r="AQ668" s="123"/>
      <c r="AR668" s="123"/>
      <c r="AS668" s="123"/>
      <c r="AT668" s="123"/>
      <c r="AU668" s="123"/>
      <c r="AV668" s="123"/>
      <c r="AW668" s="123"/>
      <c r="AX668" s="123"/>
      <c r="AY668" s="123"/>
      <c r="AZ668" s="123"/>
      <c r="BA668" s="123"/>
      <c r="BB668" s="123"/>
      <c r="BC668" s="123"/>
      <c r="BD668" s="123"/>
      <c r="BE668" s="123"/>
      <c r="BF668" s="123"/>
      <c r="BG668" s="123"/>
      <c r="BH668" s="123"/>
      <c r="BI668" s="123"/>
    </row>
    <row r="669" spans="3:61" s="570" customFormat="1">
      <c r="C669" s="1185"/>
      <c r="D669" s="1252" t="s">
        <v>3206</v>
      </c>
      <c r="E669" s="703">
        <v>24</v>
      </c>
      <c r="F669" s="703">
        <v>10</v>
      </c>
      <c r="G669" s="703">
        <v>27.9</v>
      </c>
      <c r="H669" s="900">
        <f t="shared" si="24"/>
        <v>1.1624999999999999</v>
      </c>
      <c r="I669" s="310">
        <f t="shared" si="26"/>
        <v>279</v>
      </c>
      <c r="J669" s="123"/>
      <c r="K669" s="123"/>
      <c r="L669" s="123"/>
      <c r="M669" s="123"/>
      <c r="N669" s="123"/>
      <c r="O669" s="123"/>
      <c r="P669" s="123"/>
      <c r="Q669" s="123"/>
      <c r="R669" s="123"/>
      <c r="S669" s="123"/>
      <c r="T669" s="123"/>
      <c r="U669" s="123"/>
      <c r="V669" s="123"/>
      <c r="W669" s="123"/>
      <c r="X669" s="123"/>
      <c r="Y669" s="123"/>
      <c r="Z669" s="123"/>
      <c r="AA669" s="123"/>
      <c r="AB669" s="123"/>
      <c r="AC669" s="123"/>
      <c r="AD669" s="123"/>
      <c r="AE669" s="123"/>
      <c r="AF669" s="123"/>
      <c r="AG669" s="123"/>
      <c r="AH669" s="123"/>
      <c r="AI669" s="123"/>
      <c r="AJ669" s="123"/>
      <c r="AK669" s="123"/>
      <c r="AL669" s="123"/>
      <c r="AM669" s="123"/>
      <c r="AN669" s="123"/>
      <c r="AO669" s="123"/>
      <c r="AP669" s="123"/>
      <c r="AQ669" s="123"/>
      <c r="AR669" s="123"/>
      <c r="AS669" s="123"/>
      <c r="AT669" s="123"/>
      <c r="AU669" s="123"/>
      <c r="AV669" s="123"/>
      <c r="AW669" s="123"/>
      <c r="AX669" s="123"/>
      <c r="AY669" s="123"/>
      <c r="AZ669" s="123"/>
      <c r="BA669" s="123"/>
      <c r="BB669" s="123"/>
      <c r="BC669" s="123"/>
      <c r="BD669" s="123"/>
      <c r="BE669" s="123"/>
      <c r="BF669" s="123"/>
      <c r="BG669" s="123"/>
      <c r="BH669" s="123"/>
      <c r="BI669" s="123"/>
    </row>
    <row r="670" spans="3:61" s="570" customFormat="1">
      <c r="C670" s="1185"/>
      <c r="D670" s="1252" t="s">
        <v>3207</v>
      </c>
      <c r="E670" s="703">
        <v>6</v>
      </c>
      <c r="F670" s="703">
        <v>0</v>
      </c>
      <c r="G670" s="703">
        <v>17.2</v>
      </c>
      <c r="H670" s="900">
        <f t="shared" si="24"/>
        <v>2.8666666666666667</v>
      </c>
      <c r="I670" s="310">
        <f t="shared" si="26"/>
        <v>0</v>
      </c>
      <c r="J670" s="123"/>
      <c r="K670" s="123"/>
      <c r="L670" s="123"/>
      <c r="M670" s="123"/>
      <c r="N670" s="123"/>
      <c r="O670" s="123"/>
      <c r="P670" s="123"/>
      <c r="Q670" s="123"/>
      <c r="R670" s="123"/>
      <c r="S670" s="123"/>
      <c r="T670" s="123"/>
      <c r="U670" s="123"/>
      <c r="V670" s="123"/>
      <c r="W670" s="123"/>
      <c r="X670" s="123"/>
      <c r="Y670" s="123"/>
      <c r="Z670" s="123"/>
      <c r="AA670" s="123"/>
      <c r="AB670" s="123"/>
      <c r="AC670" s="123"/>
      <c r="AD670" s="123"/>
      <c r="AE670" s="123"/>
      <c r="AF670" s="123"/>
      <c r="AG670" s="123"/>
      <c r="AH670" s="123"/>
      <c r="AI670" s="123"/>
      <c r="AJ670" s="123"/>
      <c r="AK670" s="123"/>
      <c r="AL670" s="123"/>
      <c r="AM670" s="123"/>
      <c r="AN670" s="123"/>
      <c r="AO670" s="123"/>
      <c r="AP670" s="123"/>
      <c r="AQ670" s="123"/>
      <c r="AR670" s="123"/>
      <c r="AS670" s="123"/>
      <c r="AT670" s="123"/>
      <c r="AU670" s="123"/>
      <c r="AV670" s="123"/>
      <c r="AW670" s="123"/>
      <c r="AX670" s="123"/>
      <c r="AY670" s="123"/>
      <c r="AZ670" s="123"/>
      <c r="BA670" s="123"/>
      <c r="BB670" s="123"/>
      <c r="BC670" s="123"/>
      <c r="BD670" s="123"/>
      <c r="BE670" s="123"/>
      <c r="BF670" s="123"/>
      <c r="BG670" s="123"/>
      <c r="BH670" s="123"/>
      <c r="BI670" s="123"/>
    </row>
    <row r="671" spans="3:61" s="570" customFormat="1">
      <c r="C671" s="1185"/>
      <c r="D671" s="1252" t="s">
        <v>3208</v>
      </c>
      <c r="E671" s="703">
        <v>6</v>
      </c>
      <c r="F671" s="703">
        <v>0</v>
      </c>
      <c r="G671" s="703">
        <v>17.2</v>
      </c>
      <c r="H671" s="900">
        <f t="shared" si="24"/>
        <v>2.8666666666666667</v>
      </c>
      <c r="I671" s="310">
        <f t="shared" si="26"/>
        <v>0</v>
      </c>
      <c r="J671" s="123"/>
      <c r="K671" s="123"/>
      <c r="L671" s="123"/>
      <c r="M671" s="123"/>
      <c r="N671" s="123"/>
      <c r="O671" s="123"/>
      <c r="P671" s="123"/>
      <c r="Q671" s="123"/>
      <c r="R671" s="123"/>
      <c r="S671" s="123"/>
      <c r="T671" s="123"/>
      <c r="U671" s="123"/>
      <c r="V671" s="123"/>
      <c r="W671" s="123"/>
      <c r="X671" s="123"/>
      <c r="Y671" s="123"/>
      <c r="Z671" s="123"/>
      <c r="AA671" s="123"/>
      <c r="AB671" s="123"/>
      <c r="AC671" s="123"/>
      <c r="AD671" s="123"/>
      <c r="AE671" s="123"/>
      <c r="AF671" s="123"/>
      <c r="AG671" s="123"/>
      <c r="AH671" s="123"/>
      <c r="AI671" s="123"/>
      <c r="AJ671" s="123"/>
      <c r="AK671" s="123"/>
      <c r="AL671" s="123"/>
      <c r="AM671" s="123"/>
      <c r="AN671" s="123"/>
      <c r="AO671" s="123"/>
      <c r="AP671" s="123"/>
      <c r="AQ671" s="123"/>
      <c r="AR671" s="123"/>
      <c r="AS671" s="123"/>
      <c r="AT671" s="123"/>
      <c r="AU671" s="123"/>
      <c r="AV671" s="123"/>
      <c r="AW671" s="123"/>
      <c r="AX671" s="123"/>
      <c r="AY671" s="123"/>
      <c r="AZ671" s="123"/>
      <c r="BA671" s="123"/>
      <c r="BB671" s="123"/>
      <c r="BC671" s="123"/>
      <c r="BD671" s="123"/>
      <c r="BE671" s="123"/>
      <c r="BF671" s="123"/>
      <c r="BG671" s="123"/>
      <c r="BH671" s="123"/>
      <c r="BI671" s="123"/>
    </row>
    <row r="672" spans="3:61" s="404" customFormat="1">
      <c r="C672" s="1185"/>
      <c r="D672" s="1252" t="s">
        <v>3209</v>
      </c>
      <c r="E672" s="703">
        <v>6</v>
      </c>
      <c r="F672" s="703">
        <v>0</v>
      </c>
      <c r="G672" s="703">
        <v>17.2</v>
      </c>
      <c r="H672" s="900">
        <f t="shared" si="24"/>
        <v>2.8666666666666667</v>
      </c>
      <c r="I672" s="310">
        <f t="shared" si="26"/>
        <v>0</v>
      </c>
      <c r="J672" s="123"/>
      <c r="K672" s="123"/>
      <c r="L672" s="123"/>
      <c r="M672" s="123"/>
      <c r="N672" s="123"/>
      <c r="O672" s="123"/>
      <c r="P672" s="123"/>
      <c r="Q672" s="123"/>
      <c r="R672" s="123"/>
      <c r="S672" s="123"/>
      <c r="T672" s="123"/>
      <c r="U672" s="123"/>
      <c r="V672" s="123"/>
      <c r="W672" s="123"/>
      <c r="X672" s="123"/>
      <c r="Y672" s="123"/>
      <c r="Z672" s="123"/>
      <c r="AA672" s="123"/>
      <c r="AB672" s="123"/>
      <c r="AC672" s="123"/>
      <c r="AD672" s="123"/>
      <c r="AE672" s="123"/>
      <c r="AF672" s="123"/>
      <c r="AG672" s="123"/>
      <c r="AH672" s="123"/>
      <c r="AI672" s="123"/>
      <c r="AJ672" s="123"/>
      <c r="AK672" s="123"/>
      <c r="AL672" s="123"/>
      <c r="AM672" s="123"/>
      <c r="AN672" s="123"/>
      <c r="AO672" s="123"/>
      <c r="AP672" s="123"/>
      <c r="AQ672" s="123"/>
      <c r="AR672" s="123"/>
      <c r="AS672" s="123"/>
      <c r="AT672" s="123"/>
      <c r="AU672" s="123"/>
      <c r="AV672" s="123"/>
      <c r="AW672" s="123"/>
      <c r="AX672" s="123"/>
      <c r="AY672" s="123"/>
      <c r="AZ672" s="123"/>
      <c r="BA672" s="123"/>
      <c r="BB672" s="123"/>
      <c r="BC672" s="123"/>
      <c r="BD672" s="123"/>
      <c r="BE672" s="123"/>
      <c r="BF672" s="123"/>
      <c r="BG672" s="123"/>
      <c r="BH672" s="123"/>
      <c r="BI672" s="123"/>
    </row>
    <row r="673" spans="3:61" s="404" customFormat="1">
      <c r="C673" s="1185"/>
      <c r="D673" s="1252" t="s">
        <v>3210</v>
      </c>
      <c r="E673" s="703">
        <v>6</v>
      </c>
      <c r="F673" s="703">
        <v>0</v>
      </c>
      <c r="G673" s="703">
        <v>17.2</v>
      </c>
      <c r="H673" s="900">
        <f t="shared" si="24"/>
        <v>2.8666666666666667</v>
      </c>
      <c r="I673" s="310">
        <f t="shared" si="26"/>
        <v>0</v>
      </c>
      <c r="J673" s="123"/>
      <c r="K673" s="123"/>
      <c r="L673" s="123"/>
      <c r="M673" s="123"/>
      <c r="N673" s="123"/>
      <c r="O673" s="123"/>
      <c r="P673" s="123"/>
      <c r="Q673" s="123"/>
      <c r="R673" s="123"/>
      <c r="S673" s="123"/>
      <c r="T673" s="123"/>
      <c r="U673" s="123"/>
      <c r="V673" s="123"/>
      <c r="W673" s="123"/>
      <c r="X673" s="123"/>
      <c r="Y673" s="123"/>
      <c r="Z673" s="123"/>
      <c r="AA673" s="123"/>
      <c r="AB673" s="123"/>
      <c r="AC673" s="123"/>
      <c r="AD673" s="123"/>
      <c r="AE673" s="123"/>
      <c r="AF673" s="123"/>
      <c r="AG673" s="123"/>
      <c r="AH673" s="123"/>
      <c r="AI673" s="123"/>
      <c r="AJ673" s="123"/>
      <c r="AK673" s="123"/>
      <c r="AL673" s="123"/>
      <c r="AM673" s="123"/>
      <c r="AN673" s="123"/>
      <c r="AO673" s="123"/>
      <c r="AP673" s="123"/>
      <c r="AQ673" s="123"/>
      <c r="AR673" s="123"/>
      <c r="AS673" s="123"/>
      <c r="AT673" s="123"/>
      <c r="AU673" s="123"/>
      <c r="AV673" s="123"/>
      <c r="AW673" s="123"/>
      <c r="AX673" s="123"/>
      <c r="AY673" s="123"/>
      <c r="AZ673" s="123"/>
      <c r="BA673" s="123"/>
      <c r="BB673" s="123"/>
      <c r="BC673" s="123"/>
      <c r="BD673" s="123"/>
      <c r="BE673" s="123"/>
      <c r="BF673" s="123"/>
      <c r="BG673" s="123"/>
      <c r="BH673" s="123"/>
      <c r="BI673" s="123"/>
    </row>
    <row r="674" spans="3:61" s="570" customFormat="1">
      <c r="C674" s="1185"/>
      <c r="D674" s="1252" t="s">
        <v>3211</v>
      </c>
      <c r="E674" s="703">
        <v>6</v>
      </c>
      <c r="F674" s="703">
        <v>1</v>
      </c>
      <c r="G674" s="703">
        <v>17.2</v>
      </c>
      <c r="H674" s="900">
        <f t="shared" si="24"/>
        <v>2.8666666666666667</v>
      </c>
      <c r="I674" s="310">
        <f t="shared" si="26"/>
        <v>17.2</v>
      </c>
      <c r="J674" s="123"/>
      <c r="K674" s="123"/>
      <c r="L674" s="123"/>
      <c r="M674" s="123"/>
      <c r="N674" s="123"/>
      <c r="O674" s="123"/>
      <c r="P674" s="123"/>
      <c r="Q674" s="123"/>
      <c r="R674" s="123"/>
      <c r="S674" s="123"/>
      <c r="T674" s="123"/>
      <c r="U674" s="123"/>
      <c r="V674" s="123"/>
      <c r="W674" s="123"/>
      <c r="X674" s="123"/>
      <c r="Y674" s="123"/>
      <c r="Z674" s="123"/>
      <c r="AA674" s="123"/>
      <c r="AB674" s="123"/>
      <c r="AC674" s="123"/>
      <c r="AD674" s="123"/>
      <c r="AE674" s="123"/>
      <c r="AF674" s="123"/>
      <c r="AG674" s="123"/>
      <c r="AH674" s="123"/>
      <c r="AI674" s="123"/>
      <c r="AJ674" s="123"/>
      <c r="AK674" s="123"/>
      <c r="AL674" s="123"/>
      <c r="AM674" s="123"/>
      <c r="AN674" s="123"/>
      <c r="AO674" s="123"/>
      <c r="AP674" s="123"/>
      <c r="AQ674" s="123"/>
      <c r="AR674" s="123"/>
      <c r="AS674" s="123"/>
      <c r="AT674" s="123"/>
      <c r="AU674" s="123"/>
      <c r="AV674" s="123"/>
      <c r="AW674" s="123"/>
      <c r="AX674" s="123"/>
      <c r="AY674" s="123"/>
      <c r="AZ674" s="123"/>
      <c r="BA674" s="123"/>
      <c r="BB674" s="123"/>
      <c r="BC674" s="123"/>
      <c r="BD674" s="123"/>
      <c r="BE674" s="123"/>
      <c r="BF674" s="123"/>
      <c r="BG674" s="123"/>
      <c r="BH674" s="123"/>
      <c r="BI674" s="123"/>
    </row>
    <row r="675" spans="3:61">
      <c r="C675" s="325"/>
      <c r="D675" s="1253"/>
      <c r="E675" s="325"/>
      <c r="F675" s="325"/>
      <c r="G675" s="325"/>
      <c r="H675" s="903"/>
      <c r="I675" s="303">
        <f>SUM(I540:I674)</f>
        <v>7701.3</v>
      </c>
    </row>
    <row r="677" spans="3:61">
      <c r="D677" s="1197" t="s">
        <v>3360</v>
      </c>
    </row>
    <row r="678" spans="3:61" ht="60">
      <c r="C678" s="1190"/>
      <c r="D678" s="332"/>
      <c r="E678" s="310" t="s">
        <v>916</v>
      </c>
      <c r="F678" s="528" t="s">
        <v>68</v>
      </c>
      <c r="G678" s="310" t="s">
        <v>903</v>
      </c>
      <c r="H678" s="900" t="s">
        <v>559</v>
      </c>
      <c r="I678" s="310" t="s">
        <v>917</v>
      </c>
    </row>
    <row r="679" spans="3:61">
      <c r="C679" s="1229">
        <v>13121</v>
      </c>
      <c r="D679" s="1259" t="s">
        <v>3359</v>
      </c>
      <c r="E679" s="58">
        <v>12</v>
      </c>
      <c r="F679" s="58">
        <v>20</v>
      </c>
      <c r="G679" s="58">
        <v>24</v>
      </c>
      <c r="H679" s="974">
        <f>G679/E679</f>
        <v>2</v>
      </c>
      <c r="I679" s="308">
        <f>G679*F679</f>
        <v>480</v>
      </c>
    </row>
    <row r="680" spans="3:61">
      <c r="C680" s="1228">
        <v>15807</v>
      </c>
      <c r="D680" s="1260" t="s">
        <v>2795</v>
      </c>
      <c r="E680" s="58">
        <v>20</v>
      </c>
      <c r="F680" s="58">
        <v>20</v>
      </c>
      <c r="G680" s="58">
        <v>41.5</v>
      </c>
      <c r="H680" s="974">
        <f t="shared" ref="H680:H693" si="27">G680/E680</f>
        <v>2.0750000000000002</v>
      </c>
      <c r="I680" s="308">
        <f t="shared" ref="I680:I693" si="28">G680*F680</f>
        <v>830</v>
      </c>
    </row>
    <row r="681" spans="3:61">
      <c r="C681" s="1229">
        <v>20014</v>
      </c>
      <c r="D681" s="1259" t="s">
        <v>2295</v>
      </c>
      <c r="E681" s="58">
        <v>20</v>
      </c>
      <c r="F681" s="58">
        <v>30</v>
      </c>
      <c r="G681" s="58">
        <v>43</v>
      </c>
      <c r="H681" s="974">
        <f t="shared" si="27"/>
        <v>2.15</v>
      </c>
      <c r="I681" s="308">
        <f t="shared" si="28"/>
        <v>1290</v>
      </c>
    </row>
    <row r="682" spans="3:61">
      <c r="C682" s="1185">
        <v>9755</v>
      </c>
      <c r="D682" s="1252" t="s">
        <v>1897</v>
      </c>
      <c r="E682" s="727">
        <v>24</v>
      </c>
      <c r="F682" s="727">
        <v>0</v>
      </c>
      <c r="G682" s="727">
        <v>15</v>
      </c>
      <c r="H682" s="977">
        <f t="shared" si="27"/>
        <v>0.625</v>
      </c>
      <c r="I682" s="1180">
        <f t="shared" si="28"/>
        <v>0</v>
      </c>
    </row>
    <row r="683" spans="3:61">
      <c r="C683" s="1185">
        <v>9500</v>
      </c>
      <c r="D683" s="1252" t="s">
        <v>2800</v>
      </c>
      <c r="E683" s="727">
        <v>24</v>
      </c>
      <c r="F683" s="727">
        <v>0</v>
      </c>
      <c r="G683" s="727">
        <v>17</v>
      </c>
      <c r="H683" s="977">
        <f t="shared" si="27"/>
        <v>0.70833333333333337</v>
      </c>
      <c r="I683" s="1180">
        <f t="shared" si="28"/>
        <v>0</v>
      </c>
    </row>
    <row r="684" spans="3:61">
      <c r="C684" s="1228">
        <v>18707</v>
      </c>
      <c r="D684" s="1260" t="s">
        <v>2797</v>
      </c>
      <c r="E684" s="58">
        <v>12</v>
      </c>
      <c r="F684" s="58">
        <v>20</v>
      </c>
      <c r="G684" s="58">
        <v>7.7</v>
      </c>
      <c r="H684" s="974">
        <f t="shared" si="27"/>
        <v>0.64166666666666672</v>
      </c>
      <c r="I684" s="308">
        <f t="shared" si="28"/>
        <v>154</v>
      </c>
    </row>
    <row r="685" spans="3:61">
      <c r="C685" s="1185">
        <v>16239</v>
      </c>
      <c r="D685" s="1252" t="s">
        <v>2798</v>
      </c>
      <c r="E685" s="727">
        <v>24</v>
      </c>
      <c r="F685" s="727">
        <v>0</v>
      </c>
      <c r="G685" s="727">
        <v>12</v>
      </c>
      <c r="H685" s="977">
        <f t="shared" si="27"/>
        <v>0.5</v>
      </c>
      <c r="I685" s="1180">
        <f t="shared" si="28"/>
        <v>0</v>
      </c>
    </row>
    <row r="686" spans="3:61" s="692" customFormat="1">
      <c r="C686" s="1229">
        <v>10068</v>
      </c>
      <c r="D686" s="1259" t="s">
        <v>2394</v>
      </c>
      <c r="E686" s="58">
        <v>864</v>
      </c>
      <c r="F686" s="58">
        <v>1</v>
      </c>
      <c r="G686" s="58">
        <v>177</v>
      </c>
      <c r="H686" s="974">
        <f t="shared" si="27"/>
        <v>0.2048611111111111</v>
      </c>
      <c r="I686" s="308">
        <f t="shared" si="28"/>
        <v>177</v>
      </c>
      <c r="J686" s="123"/>
      <c r="K686" s="123"/>
      <c r="L686" s="123"/>
      <c r="M686" s="123"/>
      <c r="N686" s="123"/>
      <c r="O686" s="123"/>
      <c r="P686" s="123"/>
      <c r="Q686" s="123"/>
      <c r="R686" s="123"/>
      <c r="S686" s="123"/>
      <c r="T686" s="123"/>
      <c r="U686" s="123"/>
      <c r="V686" s="123"/>
      <c r="W686" s="123"/>
      <c r="X686" s="123"/>
      <c r="Y686" s="123"/>
      <c r="Z686" s="123"/>
      <c r="AA686" s="123"/>
      <c r="AB686" s="123"/>
      <c r="AC686" s="123"/>
      <c r="AD686" s="123"/>
      <c r="AE686" s="123"/>
      <c r="AF686" s="123"/>
      <c r="AG686" s="123"/>
      <c r="AH686" s="123"/>
      <c r="AI686" s="123"/>
      <c r="AJ686" s="123"/>
      <c r="AK686" s="123"/>
      <c r="AL686" s="123"/>
      <c r="AM686" s="123"/>
      <c r="AN686" s="123"/>
      <c r="AO686" s="123"/>
      <c r="AP686" s="123"/>
      <c r="AQ686" s="123"/>
      <c r="AR686" s="123"/>
      <c r="AS686" s="123"/>
      <c r="AT686" s="123"/>
      <c r="AU686" s="123"/>
      <c r="AV686" s="123"/>
      <c r="AW686" s="123"/>
      <c r="AX686" s="123"/>
      <c r="AY686" s="123"/>
      <c r="AZ686" s="123"/>
      <c r="BA686" s="123"/>
      <c r="BB686" s="123"/>
      <c r="BC686" s="123"/>
      <c r="BD686" s="123"/>
      <c r="BE686" s="123"/>
      <c r="BF686" s="123"/>
      <c r="BG686" s="123"/>
      <c r="BH686" s="123"/>
      <c r="BI686" s="123"/>
    </row>
    <row r="687" spans="3:61">
      <c r="C687" s="1229">
        <v>15403</v>
      </c>
      <c r="D687" s="1259" t="s">
        <v>3356</v>
      </c>
      <c r="E687" s="58">
        <v>26</v>
      </c>
      <c r="F687" s="58">
        <v>30</v>
      </c>
      <c r="G687" s="58">
        <v>15.1</v>
      </c>
      <c r="H687" s="974">
        <f t="shared" si="27"/>
        <v>0.5807692307692307</v>
      </c>
      <c r="I687" s="308">
        <f t="shared" si="28"/>
        <v>453</v>
      </c>
    </row>
    <row r="688" spans="3:61">
      <c r="C688" s="1185"/>
      <c r="D688" s="1252" t="s">
        <v>3207</v>
      </c>
      <c r="E688" s="727">
        <v>6</v>
      </c>
      <c r="F688" s="727">
        <v>0</v>
      </c>
      <c r="G688" s="727">
        <v>17.5</v>
      </c>
      <c r="H688" s="977">
        <f t="shared" si="27"/>
        <v>2.9166666666666665</v>
      </c>
      <c r="I688" s="1180">
        <f t="shared" si="28"/>
        <v>0</v>
      </c>
    </row>
    <row r="689" spans="3:61">
      <c r="C689" s="1185"/>
      <c r="D689" s="1252" t="s">
        <v>3208</v>
      </c>
      <c r="E689" s="727">
        <v>6</v>
      </c>
      <c r="F689" s="727">
        <v>0</v>
      </c>
      <c r="G689" s="727">
        <v>17.5</v>
      </c>
      <c r="H689" s="977">
        <f t="shared" si="27"/>
        <v>2.9166666666666665</v>
      </c>
      <c r="I689" s="1180">
        <f t="shared" si="28"/>
        <v>0</v>
      </c>
    </row>
    <row r="690" spans="3:61">
      <c r="C690" s="1185"/>
      <c r="D690" s="1252" t="s">
        <v>3209</v>
      </c>
      <c r="E690" s="727">
        <v>6</v>
      </c>
      <c r="F690" s="727">
        <v>0</v>
      </c>
      <c r="G690" s="727">
        <v>17.5</v>
      </c>
      <c r="H690" s="977">
        <f t="shared" si="27"/>
        <v>2.9166666666666665</v>
      </c>
      <c r="I690" s="1180">
        <f t="shared" si="28"/>
        <v>0</v>
      </c>
    </row>
    <row r="691" spans="3:61">
      <c r="C691" s="1185"/>
      <c r="D691" s="1252" t="s">
        <v>3210</v>
      </c>
      <c r="E691" s="727">
        <v>6</v>
      </c>
      <c r="F691" s="727">
        <v>0</v>
      </c>
      <c r="G691" s="727">
        <v>17.5</v>
      </c>
      <c r="H691" s="977">
        <f t="shared" si="27"/>
        <v>2.9166666666666665</v>
      </c>
      <c r="I691" s="1180">
        <f t="shared" si="28"/>
        <v>0</v>
      </c>
    </row>
    <row r="692" spans="3:61" s="692" customFormat="1">
      <c r="C692" s="1228">
        <v>10069</v>
      </c>
      <c r="D692" s="1260" t="s">
        <v>3358</v>
      </c>
      <c r="E692" s="767"/>
      <c r="F692" s="767"/>
      <c r="G692" s="767"/>
      <c r="H692" s="977"/>
      <c r="I692" s="1180"/>
      <c r="J692" s="123"/>
      <c r="K692" s="123"/>
      <c r="L692" s="123"/>
      <c r="M692" s="123"/>
      <c r="N692" s="123"/>
      <c r="O692" s="123"/>
      <c r="P692" s="123"/>
      <c r="Q692" s="123"/>
      <c r="R692" s="123"/>
      <c r="S692" s="123"/>
      <c r="T692" s="123"/>
      <c r="U692" s="123"/>
      <c r="V692" s="123"/>
      <c r="W692" s="123"/>
      <c r="X692" s="123"/>
      <c r="Y692" s="123"/>
      <c r="Z692" s="123"/>
      <c r="AA692" s="123"/>
      <c r="AB692" s="123"/>
      <c r="AC692" s="123"/>
      <c r="AD692" s="123"/>
      <c r="AE692" s="123"/>
      <c r="AF692" s="123"/>
      <c r="AG692" s="123"/>
      <c r="AH692" s="123"/>
      <c r="AI692" s="123"/>
      <c r="AJ692" s="123"/>
      <c r="AK692" s="123"/>
      <c r="AL692" s="123"/>
      <c r="AM692" s="123"/>
      <c r="AN692" s="123"/>
      <c r="AO692" s="123"/>
      <c r="AP692" s="123"/>
      <c r="AQ692" s="123"/>
      <c r="AR692" s="123"/>
      <c r="AS692" s="123"/>
      <c r="AT692" s="123"/>
      <c r="AU692" s="123"/>
      <c r="AV692" s="123"/>
      <c r="AW692" s="123"/>
      <c r="AX692" s="123"/>
      <c r="AY692" s="123"/>
      <c r="AZ692" s="123"/>
      <c r="BA692" s="123"/>
      <c r="BB692" s="123"/>
      <c r="BC692" s="123"/>
      <c r="BD692" s="123"/>
      <c r="BE692" s="123"/>
      <c r="BF692" s="123"/>
      <c r="BG692" s="123"/>
      <c r="BH692" s="123"/>
      <c r="BI692" s="123"/>
    </row>
    <row r="693" spans="3:61">
      <c r="C693" s="1228">
        <v>21025</v>
      </c>
      <c r="D693" s="1260" t="s">
        <v>3357</v>
      </c>
      <c r="E693" s="58">
        <v>6</v>
      </c>
      <c r="F693" s="58">
        <v>5</v>
      </c>
      <c r="G693" s="58">
        <v>17.5</v>
      </c>
      <c r="H693" s="974">
        <f t="shared" si="27"/>
        <v>2.9166666666666665</v>
      </c>
      <c r="I693" s="308">
        <f t="shared" si="28"/>
        <v>87.5</v>
      </c>
    </row>
    <row r="694" spans="3:61">
      <c r="I694" s="101">
        <f>SUM(I679:I693)</f>
        <v>3471.5</v>
      </c>
    </row>
    <row r="696" spans="3:61" ht="57" customHeight="1">
      <c r="C696" s="1180" t="s">
        <v>0</v>
      </c>
      <c r="D696" s="275" t="s">
        <v>65</v>
      </c>
      <c r="E696" s="310" t="s">
        <v>916</v>
      </c>
      <c r="F696" s="528" t="s">
        <v>68</v>
      </c>
      <c r="G696" s="310" t="s">
        <v>903</v>
      </c>
      <c r="H696" s="900" t="s">
        <v>559</v>
      </c>
      <c r="I696" s="310" t="s">
        <v>917</v>
      </c>
    </row>
    <row r="697" spans="3:61" s="85" customFormat="1">
      <c r="C697" s="297">
        <v>13121</v>
      </c>
      <c r="D697" s="1261" t="s">
        <v>3359</v>
      </c>
      <c r="E697" s="297">
        <v>12</v>
      </c>
      <c r="F697" s="297">
        <v>8</v>
      </c>
      <c r="G697" s="297">
        <v>24</v>
      </c>
      <c r="H697" s="301">
        <f>G697/E697</f>
        <v>2</v>
      </c>
      <c r="I697" s="24">
        <f>G697*F697</f>
        <v>192</v>
      </c>
      <c r="J697" s="123"/>
      <c r="K697" s="123"/>
      <c r="L697" s="123"/>
      <c r="M697" s="123"/>
      <c r="N697" s="123"/>
      <c r="O697" s="123"/>
      <c r="P697" s="123"/>
      <c r="Q697" s="123"/>
      <c r="R697" s="123"/>
      <c r="S697" s="123"/>
      <c r="T697" s="123"/>
      <c r="U697" s="123"/>
      <c r="V697" s="123"/>
      <c r="W697" s="123"/>
      <c r="X697" s="123"/>
      <c r="Y697" s="123"/>
      <c r="Z697" s="123"/>
      <c r="AA697" s="123"/>
      <c r="AB697" s="123"/>
      <c r="AC697" s="123"/>
      <c r="AD697" s="123"/>
      <c r="AE697" s="123"/>
      <c r="AF697" s="123"/>
      <c r="AG697" s="123"/>
      <c r="AH697" s="123"/>
      <c r="AI697" s="123"/>
      <c r="AJ697" s="123"/>
      <c r="AK697" s="123"/>
      <c r="AL697" s="123"/>
      <c r="AM697" s="123"/>
      <c r="AN697" s="123"/>
      <c r="AO697" s="123"/>
      <c r="AP697" s="123"/>
      <c r="AQ697" s="123"/>
      <c r="AR697" s="123"/>
      <c r="AS697" s="123"/>
      <c r="AT697" s="123"/>
      <c r="AU697" s="123"/>
      <c r="AV697" s="123"/>
      <c r="AW697" s="123"/>
      <c r="AX697" s="123"/>
      <c r="AY697" s="123"/>
      <c r="AZ697" s="123"/>
      <c r="BA697" s="123"/>
      <c r="BB697" s="123"/>
      <c r="BC697" s="123"/>
      <c r="BD697" s="123"/>
      <c r="BE697" s="123"/>
      <c r="BF697" s="123"/>
      <c r="BG697" s="123"/>
      <c r="BH697" s="123"/>
      <c r="BI697" s="123"/>
    </row>
    <row r="698" spans="3:61" hidden="1">
      <c r="C698" s="1180">
        <v>13926</v>
      </c>
      <c r="D698" s="275" t="s">
        <v>1884</v>
      </c>
      <c r="E698" s="820"/>
      <c r="F698" s="820"/>
      <c r="G698" s="820"/>
      <c r="H698" s="978" t="e">
        <f t="shared" ref="H698:H761" si="29">G698/E698</f>
        <v>#DIV/0!</v>
      </c>
      <c r="I698" s="23">
        <f t="shared" ref="I698:I761" si="30">G698*F698</f>
        <v>0</v>
      </c>
    </row>
    <row r="699" spans="3:61" hidden="1">
      <c r="C699" s="1180">
        <v>9756</v>
      </c>
      <c r="D699" s="275" t="s">
        <v>2474</v>
      </c>
      <c r="E699" s="820"/>
      <c r="F699" s="820"/>
      <c r="G699" s="820"/>
      <c r="H699" s="978" t="e">
        <f t="shared" si="29"/>
        <v>#DIV/0!</v>
      </c>
      <c r="I699" s="23">
        <f t="shared" si="30"/>
        <v>0</v>
      </c>
    </row>
    <row r="700" spans="3:61" hidden="1">
      <c r="C700" s="1180">
        <v>9734</v>
      </c>
      <c r="D700" s="275" t="s">
        <v>2794</v>
      </c>
      <c r="E700" s="820"/>
      <c r="F700" s="820"/>
      <c r="G700" s="820"/>
      <c r="H700" s="978" t="e">
        <f t="shared" si="29"/>
        <v>#DIV/0!</v>
      </c>
      <c r="I700" s="23">
        <f t="shared" si="30"/>
        <v>0</v>
      </c>
    </row>
    <row r="701" spans="3:61">
      <c r="C701" s="1180">
        <v>15807</v>
      </c>
      <c r="D701" s="275" t="s">
        <v>2795</v>
      </c>
      <c r="E701" s="820">
        <v>20</v>
      </c>
      <c r="F701" s="820">
        <v>0</v>
      </c>
      <c r="G701" s="820">
        <v>41.5</v>
      </c>
      <c r="H701" s="978">
        <f t="shared" si="29"/>
        <v>2.0750000000000002</v>
      </c>
      <c r="I701" s="23">
        <f t="shared" si="30"/>
        <v>0</v>
      </c>
    </row>
    <row r="702" spans="3:61" hidden="1">
      <c r="C702" s="1180">
        <v>21024</v>
      </c>
      <c r="D702" s="275" t="s">
        <v>3446</v>
      </c>
      <c r="E702" s="820"/>
      <c r="F702" s="820"/>
      <c r="G702" s="820"/>
      <c r="H702" s="978" t="e">
        <f t="shared" si="29"/>
        <v>#DIV/0!</v>
      </c>
      <c r="I702" s="23">
        <f t="shared" si="30"/>
        <v>0</v>
      </c>
    </row>
    <row r="703" spans="3:61" hidden="1">
      <c r="C703" s="1180">
        <v>10069</v>
      </c>
      <c r="D703" s="275" t="s">
        <v>3358</v>
      </c>
      <c r="E703" s="820">
        <v>72</v>
      </c>
      <c r="F703" s="820"/>
      <c r="G703" s="820">
        <v>177</v>
      </c>
      <c r="H703" s="978">
        <f t="shared" si="29"/>
        <v>2.4583333333333335</v>
      </c>
      <c r="I703" s="23">
        <f t="shared" si="30"/>
        <v>0</v>
      </c>
    </row>
    <row r="704" spans="3:61" hidden="1">
      <c r="C704" s="1180">
        <v>10068</v>
      </c>
      <c r="D704" s="275" t="s">
        <v>2394</v>
      </c>
      <c r="E704" s="820">
        <v>72</v>
      </c>
      <c r="F704" s="820"/>
      <c r="G704" s="820">
        <v>177</v>
      </c>
      <c r="H704" s="978">
        <f t="shared" si="29"/>
        <v>2.4583333333333335</v>
      </c>
      <c r="I704" s="23">
        <f t="shared" si="30"/>
        <v>0</v>
      </c>
    </row>
    <row r="705" spans="3:61" hidden="1">
      <c r="C705" s="1180">
        <v>20003</v>
      </c>
      <c r="D705" s="275" t="s">
        <v>2298</v>
      </c>
      <c r="E705" s="820"/>
      <c r="F705" s="820"/>
      <c r="G705" s="820"/>
      <c r="H705" s="978" t="e">
        <f t="shared" si="29"/>
        <v>#DIV/0!</v>
      </c>
      <c r="I705" s="23">
        <f t="shared" si="30"/>
        <v>0</v>
      </c>
    </row>
    <row r="706" spans="3:61" s="85" customFormat="1">
      <c r="C706" s="297">
        <v>4030</v>
      </c>
      <c r="D706" s="1261" t="s">
        <v>1885</v>
      </c>
      <c r="E706" s="297">
        <v>1000</v>
      </c>
      <c r="F706" s="297">
        <v>60</v>
      </c>
      <c r="G706" s="297">
        <v>4.4000000000000004</v>
      </c>
      <c r="H706" s="301">
        <f t="shared" si="29"/>
        <v>4.4000000000000003E-3</v>
      </c>
      <c r="I706" s="24">
        <f t="shared" si="30"/>
        <v>264</v>
      </c>
      <c r="J706" s="123"/>
      <c r="K706" s="123"/>
      <c r="L706" s="123"/>
      <c r="M706" s="123"/>
      <c r="N706" s="123"/>
      <c r="O706" s="123"/>
      <c r="P706" s="123"/>
      <c r="Q706" s="123"/>
      <c r="R706" s="123"/>
      <c r="S706" s="123"/>
      <c r="T706" s="123"/>
      <c r="U706" s="123"/>
      <c r="V706" s="123"/>
      <c r="W706" s="123"/>
      <c r="X706" s="123"/>
      <c r="Y706" s="123"/>
      <c r="Z706" s="123"/>
      <c r="AA706" s="123"/>
      <c r="AB706" s="123"/>
      <c r="AC706" s="123"/>
      <c r="AD706" s="123"/>
      <c r="AE706" s="123"/>
      <c r="AF706" s="123"/>
      <c r="AG706" s="123"/>
      <c r="AH706" s="123"/>
      <c r="AI706" s="123"/>
      <c r="AJ706" s="123"/>
      <c r="AK706" s="123"/>
      <c r="AL706" s="123"/>
      <c r="AM706" s="123"/>
      <c r="AN706" s="123"/>
      <c r="AO706" s="123"/>
      <c r="AP706" s="123"/>
      <c r="AQ706" s="123"/>
      <c r="AR706" s="123"/>
      <c r="AS706" s="123"/>
      <c r="AT706" s="123"/>
      <c r="AU706" s="123"/>
      <c r="AV706" s="123"/>
      <c r="AW706" s="123"/>
      <c r="AX706" s="123"/>
      <c r="AY706" s="123"/>
      <c r="AZ706" s="123"/>
      <c r="BA706" s="123"/>
      <c r="BB706" s="123"/>
      <c r="BC706" s="123"/>
      <c r="BD706" s="123"/>
      <c r="BE706" s="123"/>
      <c r="BF706" s="123"/>
      <c r="BG706" s="123"/>
      <c r="BH706" s="123"/>
      <c r="BI706" s="123"/>
    </row>
    <row r="707" spans="3:61" hidden="1">
      <c r="C707" s="1180">
        <v>5047</v>
      </c>
      <c r="D707" s="275" t="s">
        <v>2473</v>
      </c>
      <c r="E707" s="820"/>
      <c r="F707" s="820"/>
      <c r="G707" s="820"/>
      <c r="H707" s="978" t="e">
        <f t="shared" si="29"/>
        <v>#DIV/0!</v>
      </c>
      <c r="I707" s="23">
        <f t="shared" si="30"/>
        <v>0</v>
      </c>
    </row>
    <row r="708" spans="3:61" hidden="1">
      <c r="C708" s="1180">
        <v>10529</v>
      </c>
      <c r="D708" s="275" t="s">
        <v>2472</v>
      </c>
      <c r="E708" s="820"/>
      <c r="F708" s="820"/>
      <c r="G708" s="820"/>
      <c r="H708" s="978" t="e">
        <f t="shared" si="29"/>
        <v>#DIV/0!</v>
      </c>
      <c r="I708" s="23">
        <f t="shared" si="30"/>
        <v>0</v>
      </c>
    </row>
    <row r="709" spans="3:61" hidden="1">
      <c r="C709" s="1180">
        <v>8036</v>
      </c>
      <c r="D709" s="275" t="s">
        <v>2471</v>
      </c>
      <c r="E709" s="820"/>
      <c r="F709" s="820"/>
      <c r="G709" s="820"/>
      <c r="H709" s="978" t="e">
        <f t="shared" si="29"/>
        <v>#DIV/0!</v>
      </c>
      <c r="I709" s="23">
        <f t="shared" si="30"/>
        <v>0</v>
      </c>
    </row>
    <row r="710" spans="3:61" hidden="1">
      <c r="C710" s="1180">
        <v>8162</v>
      </c>
      <c r="D710" s="275" t="s">
        <v>897</v>
      </c>
      <c r="E710" s="820"/>
      <c r="F710" s="820"/>
      <c r="G710" s="820"/>
      <c r="H710" s="978" t="e">
        <f t="shared" si="29"/>
        <v>#DIV/0!</v>
      </c>
      <c r="I710" s="23">
        <f t="shared" si="30"/>
        <v>0</v>
      </c>
    </row>
    <row r="711" spans="3:61" hidden="1">
      <c r="C711" s="1180">
        <v>17888</v>
      </c>
      <c r="D711" s="275" t="s">
        <v>898</v>
      </c>
      <c r="E711" s="820"/>
      <c r="F711" s="820"/>
      <c r="G711" s="820"/>
      <c r="H711" s="978" t="e">
        <f t="shared" si="29"/>
        <v>#DIV/0!</v>
      </c>
      <c r="I711" s="23">
        <f t="shared" si="30"/>
        <v>0</v>
      </c>
    </row>
    <row r="712" spans="3:61" hidden="1">
      <c r="C712" s="1180">
        <v>9579</v>
      </c>
      <c r="D712" s="275" t="s">
        <v>899</v>
      </c>
      <c r="E712" s="820"/>
      <c r="F712" s="820"/>
      <c r="G712" s="820"/>
      <c r="H712" s="978" t="e">
        <f t="shared" si="29"/>
        <v>#DIV/0!</v>
      </c>
      <c r="I712" s="23">
        <f t="shared" si="30"/>
        <v>0</v>
      </c>
    </row>
    <row r="713" spans="3:61" hidden="1">
      <c r="C713" s="1180">
        <v>7960</v>
      </c>
      <c r="D713" s="275" t="s">
        <v>900</v>
      </c>
      <c r="E713" s="820"/>
      <c r="F713" s="820"/>
      <c r="G713" s="820"/>
      <c r="H713" s="978" t="e">
        <f t="shared" si="29"/>
        <v>#DIV/0!</v>
      </c>
      <c r="I713" s="23">
        <f t="shared" si="30"/>
        <v>0</v>
      </c>
    </row>
    <row r="714" spans="3:61" hidden="1">
      <c r="C714" s="1180">
        <v>950</v>
      </c>
      <c r="D714" s="275" t="s">
        <v>1508</v>
      </c>
      <c r="E714" s="820"/>
      <c r="F714" s="820"/>
      <c r="G714" s="820"/>
      <c r="H714" s="978" t="e">
        <f t="shared" si="29"/>
        <v>#DIV/0!</v>
      </c>
      <c r="I714" s="23">
        <f t="shared" si="30"/>
        <v>0</v>
      </c>
    </row>
    <row r="715" spans="3:61" hidden="1">
      <c r="C715" s="1180">
        <v>21034</v>
      </c>
      <c r="D715" s="275" t="s">
        <v>3170</v>
      </c>
      <c r="E715" s="820"/>
      <c r="F715" s="820"/>
      <c r="G715" s="820"/>
      <c r="H715" s="978" t="e">
        <f t="shared" si="29"/>
        <v>#DIV/0!</v>
      </c>
      <c r="I715" s="23">
        <f t="shared" si="30"/>
        <v>0</v>
      </c>
    </row>
    <row r="716" spans="3:61" hidden="1">
      <c r="C716" s="1180">
        <v>20010</v>
      </c>
      <c r="D716" s="275" t="s">
        <v>2286</v>
      </c>
      <c r="E716" s="820"/>
      <c r="F716" s="820"/>
      <c r="G716" s="820"/>
      <c r="H716" s="978" t="e">
        <f t="shared" si="29"/>
        <v>#DIV/0!</v>
      </c>
      <c r="I716" s="23">
        <f t="shared" si="30"/>
        <v>0</v>
      </c>
    </row>
    <row r="717" spans="3:61" hidden="1">
      <c r="C717" s="1180">
        <v>16237</v>
      </c>
      <c r="D717" s="275" t="s">
        <v>1886</v>
      </c>
      <c r="E717" s="820"/>
      <c r="F717" s="820"/>
      <c r="G717" s="820"/>
      <c r="H717" s="978" t="e">
        <f t="shared" si="29"/>
        <v>#DIV/0!</v>
      </c>
      <c r="I717" s="23">
        <f t="shared" si="30"/>
        <v>0</v>
      </c>
    </row>
    <row r="718" spans="3:61" hidden="1">
      <c r="C718" s="1180">
        <v>13717</v>
      </c>
      <c r="D718" s="275" t="s">
        <v>2470</v>
      </c>
      <c r="E718" s="820"/>
      <c r="F718" s="820"/>
      <c r="G718" s="820"/>
      <c r="H718" s="978" t="e">
        <f t="shared" si="29"/>
        <v>#DIV/0!</v>
      </c>
      <c r="I718" s="23">
        <f t="shared" si="30"/>
        <v>0</v>
      </c>
    </row>
    <row r="719" spans="3:61" hidden="1">
      <c r="C719" s="1180">
        <v>13716</v>
      </c>
      <c r="D719" s="275" t="s">
        <v>2796</v>
      </c>
      <c r="E719" s="820"/>
      <c r="F719" s="820"/>
      <c r="G719" s="820"/>
      <c r="H719" s="978" t="e">
        <f t="shared" si="29"/>
        <v>#DIV/0!</v>
      </c>
      <c r="I719" s="23">
        <f t="shared" si="30"/>
        <v>0</v>
      </c>
    </row>
    <row r="720" spans="3:61" hidden="1">
      <c r="C720" s="1180">
        <v>14998</v>
      </c>
      <c r="D720" s="275" t="s">
        <v>2468</v>
      </c>
      <c r="E720" s="820"/>
      <c r="F720" s="820"/>
      <c r="G720" s="820"/>
      <c r="H720" s="978" t="e">
        <f t="shared" si="29"/>
        <v>#DIV/0!</v>
      </c>
      <c r="I720" s="23">
        <f t="shared" si="30"/>
        <v>0</v>
      </c>
    </row>
    <row r="721" spans="3:9" hidden="1">
      <c r="C721" s="1180">
        <v>8256</v>
      </c>
      <c r="D721" s="275" t="s">
        <v>2467</v>
      </c>
      <c r="E721" s="820"/>
      <c r="F721" s="820"/>
      <c r="G721" s="820"/>
      <c r="H721" s="978" t="e">
        <f t="shared" si="29"/>
        <v>#DIV/0!</v>
      </c>
      <c r="I721" s="23">
        <f t="shared" si="30"/>
        <v>0</v>
      </c>
    </row>
    <row r="722" spans="3:9" hidden="1">
      <c r="C722" s="1180">
        <v>20764</v>
      </c>
      <c r="D722" s="275" t="s">
        <v>2466</v>
      </c>
      <c r="E722" s="820"/>
      <c r="F722" s="820"/>
      <c r="G722" s="820"/>
      <c r="H722" s="978" t="e">
        <f t="shared" si="29"/>
        <v>#DIV/0!</v>
      </c>
      <c r="I722" s="23">
        <f t="shared" si="30"/>
        <v>0</v>
      </c>
    </row>
    <row r="723" spans="3:9" hidden="1">
      <c r="C723" s="1180">
        <v>13570</v>
      </c>
      <c r="D723" s="275" t="s">
        <v>2465</v>
      </c>
      <c r="E723" s="820"/>
      <c r="F723" s="820"/>
      <c r="G723" s="820"/>
      <c r="H723" s="978" t="e">
        <f t="shared" si="29"/>
        <v>#DIV/0!</v>
      </c>
      <c r="I723" s="23">
        <f t="shared" si="30"/>
        <v>0</v>
      </c>
    </row>
    <row r="724" spans="3:9" hidden="1">
      <c r="C724" s="1180">
        <v>12392</v>
      </c>
      <c r="D724" s="275" t="s">
        <v>2464</v>
      </c>
      <c r="E724" s="820"/>
      <c r="F724" s="820"/>
      <c r="G724" s="820"/>
      <c r="H724" s="978" t="e">
        <f t="shared" si="29"/>
        <v>#DIV/0!</v>
      </c>
      <c r="I724" s="23">
        <f t="shared" si="30"/>
        <v>0</v>
      </c>
    </row>
    <row r="725" spans="3:9" hidden="1">
      <c r="C725" s="1180">
        <v>10427</v>
      </c>
      <c r="D725" s="275" t="s">
        <v>2297</v>
      </c>
      <c r="E725" s="820"/>
      <c r="F725" s="820"/>
      <c r="G725" s="820"/>
      <c r="H725" s="978" t="e">
        <f t="shared" si="29"/>
        <v>#DIV/0!</v>
      </c>
      <c r="I725" s="23">
        <f t="shared" si="30"/>
        <v>0</v>
      </c>
    </row>
    <row r="726" spans="3:9" hidden="1">
      <c r="C726" s="1180">
        <v>6706</v>
      </c>
      <c r="D726" s="275" t="s">
        <v>2463</v>
      </c>
      <c r="E726" s="820"/>
      <c r="F726" s="820"/>
      <c r="G726" s="820"/>
      <c r="H726" s="978" t="e">
        <f t="shared" si="29"/>
        <v>#DIV/0!</v>
      </c>
      <c r="I726" s="23">
        <f t="shared" si="30"/>
        <v>0</v>
      </c>
    </row>
    <row r="727" spans="3:9" hidden="1">
      <c r="C727" s="1180">
        <v>20006</v>
      </c>
      <c r="D727" s="275" t="s">
        <v>2289</v>
      </c>
      <c r="E727" s="820"/>
      <c r="F727" s="820"/>
      <c r="G727" s="820"/>
      <c r="H727" s="978" t="e">
        <f t="shared" si="29"/>
        <v>#DIV/0!</v>
      </c>
      <c r="I727" s="23">
        <f t="shared" si="30"/>
        <v>0</v>
      </c>
    </row>
    <row r="728" spans="3:9" hidden="1">
      <c r="C728" s="1180">
        <v>8016</v>
      </c>
      <c r="D728" s="275" t="s">
        <v>2393</v>
      </c>
      <c r="E728" s="820"/>
      <c r="F728" s="820"/>
      <c r="G728" s="820"/>
      <c r="H728" s="978" t="e">
        <f t="shared" si="29"/>
        <v>#DIV/0!</v>
      </c>
      <c r="I728" s="23">
        <f t="shared" si="30"/>
        <v>0</v>
      </c>
    </row>
    <row r="729" spans="3:9" hidden="1">
      <c r="C729" s="1180">
        <v>8117</v>
      </c>
      <c r="D729" s="275" t="s">
        <v>2284</v>
      </c>
      <c r="E729" s="820"/>
      <c r="F729" s="820"/>
      <c r="G729" s="820"/>
      <c r="H729" s="978" t="e">
        <f t="shared" si="29"/>
        <v>#DIV/0!</v>
      </c>
      <c r="I729" s="23">
        <f t="shared" si="30"/>
        <v>0</v>
      </c>
    </row>
    <row r="730" spans="3:9" hidden="1">
      <c r="C730" s="1180">
        <v>8017</v>
      </c>
      <c r="D730" s="275" t="s">
        <v>2283</v>
      </c>
      <c r="E730" s="820"/>
      <c r="F730" s="820"/>
      <c r="G730" s="820"/>
      <c r="H730" s="978" t="e">
        <f t="shared" si="29"/>
        <v>#DIV/0!</v>
      </c>
      <c r="I730" s="23">
        <f t="shared" si="30"/>
        <v>0</v>
      </c>
    </row>
    <row r="731" spans="3:9" hidden="1">
      <c r="C731" s="1180">
        <v>2026</v>
      </c>
      <c r="D731" s="275" t="s">
        <v>421</v>
      </c>
      <c r="E731" s="820"/>
      <c r="F731" s="820"/>
      <c r="G731" s="820"/>
      <c r="H731" s="978" t="e">
        <f t="shared" si="29"/>
        <v>#DIV/0!</v>
      </c>
      <c r="I731" s="23">
        <f t="shared" si="30"/>
        <v>0</v>
      </c>
    </row>
    <row r="732" spans="3:9" hidden="1">
      <c r="C732" s="1180">
        <v>21025</v>
      </c>
      <c r="D732" s="275" t="s">
        <v>3357</v>
      </c>
      <c r="E732" s="820"/>
      <c r="F732" s="820"/>
      <c r="G732" s="820"/>
      <c r="H732" s="978" t="e">
        <f t="shared" si="29"/>
        <v>#DIV/0!</v>
      </c>
      <c r="I732" s="23">
        <f t="shared" si="30"/>
        <v>0</v>
      </c>
    </row>
    <row r="733" spans="3:9" hidden="1">
      <c r="C733" s="1180">
        <v>21030</v>
      </c>
      <c r="D733" s="275" t="s">
        <v>3447</v>
      </c>
      <c r="E733" s="820"/>
      <c r="F733" s="820"/>
      <c r="G733" s="820"/>
      <c r="H733" s="978" t="e">
        <f t="shared" si="29"/>
        <v>#DIV/0!</v>
      </c>
      <c r="I733" s="23">
        <f t="shared" si="30"/>
        <v>0</v>
      </c>
    </row>
    <row r="734" spans="3:9" hidden="1">
      <c r="C734" s="1180">
        <v>13836</v>
      </c>
      <c r="D734" s="275" t="s">
        <v>2377</v>
      </c>
      <c r="E734" s="820"/>
      <c r="F734" s="820"/>
      <c r="G734" s="820"/>
      <c r="H734" s="978" t="e">
        <f t="shared" si="29"/>
        <v>#DIV/0!</v>
      </c>
      <c r="I734" s="23">
        <f t="shared" si="30"/>
        <v>0</v>
      </c>
    </row>
    <row r="735" spans="3:9" hidden="1">
      <c r="C735" s="1180">
        <v>14401</v>
      </c>
      <c r="D735" s="275" t="s">
        <v>2378</v>
      </c>
      <c r="E735" s="820"/>
      <c r="F735" s="820"/>
      <c r="G735" s="820"/>
      <c r="H735" s="978" t="e">
        <f t="shared" si="29"/>
        <v>#DIV/0!</v>
      </c>
      <c r="I735" s="23">
        <f t="shared" si="30"/>
        <v>0</v>
      </c>
    </row>
    <row r="736" spans="3:9" hidden="1">
      <c r="C736" s="1180">
        <v>14399</v>
      </c>
      <c r="D736" s="275" t="s">
        <v>2379</v>
      </c>
      <c r="E736" s="820"/>
      <c r="F736" s="820"/>
      <c r="G736" s="820"/>
      <c r="H736" s="978" t="e">
        <f t="shared" si="29"/>
        <v>#DIV/0!</v>
      </c>
      <c r="I736" s="23">
        <f t="shared" si="30"/>
        <v>0</v>
      </c>
    </row>
    <row r="737" spans="3:9" hidden="1">
      <c r="C737" s="1180">
        <v>14400</v>
      </c>
      <c r="D737" s="275" t="s">
        <v>2380</v>
      </c>
      <c r="E737" s="820"/>
      <c r="F737" s="820"/>
      <c r="G737" s="820"/>
      <c r="H737" s="978" t="e">
        <f t="shared" si="29"/>
        <v>#DIV/0!</v>
      </c>
      <c r="I737" s="23">
        <f t="shared" si="30"/>
        <v>0</v>
      </c>
    </row>
    <row r="738" spans="3:9" hidden="1">
      <c r="C738" s="1180">
        <v>21023</v>
      </c>
      <c r="D738" s="275" t="s">
        <v>3448</v>
      </c>
      <c r="E738" s="820"/>
      <c r="F738" s="820"/>
      <c r="G738" s="820"/>
      <c r="H738" s="978" t="e">
        <f t="shared" si="29"/>
        <v>#DIV/0!</v>
      </c>
      <c r="I738" s="23">
        <f t="shared" si="30"/>
        <v>0</v>
      </c>
    </row>
    <row r="739" spans="3:9" hidden="1">
      <c r="C739" s="1180">
        <v>13582</v>
      </c>
      <c r="D739" s="275" t="s">
        <v>2462</v>
      </c>
      <c r="E739" s="820"/>
      <c r="F739" s="820"/>
      <c r="G739" s="820"/>
      <c r="H739" s="978" t="e">
        <f t="shared" si="29"/>
        <v>#DIV/0!</v>
      </c>
      <c r="I739" s="23">
        <f t="shared" si="30"/>
        <v>0</v>
      </c>
    </row>
    <row r="740" spans="3:9" hidden="1">
      <c r="C740" s="1180">
        <v>21029</v>
      </c>
      <c r="D740" s="275" t="s">
        <v>3449</v>
      </c>
      <c r="E740" s="820"/>
      <c r="F740" s="820"/>
      <c r="G740" s="820"/>
      <c r="H740" s="978" t="e">
        <f t="shared" si="29"/>
        <v>#DIV/0!</v>
      </c>
      <c r="I740" s="23">
        <f t="shared" si="30"/>
        <v>0</v>
      </c>
    </row>
    <row r="741" spans="3:9" hidden="1">
      <c r="C741" s="1180">
        <v>13583</v>
      </c>
      <c r="D741" s="275" t="s">
        <v>2461</v>
      </c>
      <c r="E741" s="820"/>
      <c r="F741" s="820"/>
      <c r="G741" s="820"/>
      <c r="H741" s="978" t="e">
        <f t="shared" si="29"/>
        <v>#DIV/0!</v>
      </c>
      <c r="I741" s="23">
        <f t="shared" si="30"/>
        <v>0</v>
      </c>
    </row>
    <row r="742" spans="3:9" hidden="1">
      <c r="C742" s="1180">
        <v>13585</v>
      </c>
      <c r="D742" s="275" t="s">
        <v>2460</v>
      </c>
      <c r="E742" s="820"/>
      <c r="F742" s="820"/>
      <c r="G742" s="820"/>
      <c r="H742" s="978" t="e">
        <f t="shared" si="29"/>
        <v>#DIV/0!</v>
      </c>
      <c r="I742" s="23">
        <f t="shared" si="30"/>
        <v>0</v>
      </c>
    </row>
    <row r="743" spans="3:9" hidden="1">
      <c r="C743" s="1180">
        <v>13584</v>
      </c>
      <c r="D743" s="275" t="s">
        <v>2459</v>
      </c>
      <c r="E743" s="820"/>
      <c r="F743" s="820"/>
      <c r="G743" s="820"/>
      <c r="H743" s="978" t="e">
        <f t="shared" si="29"/>
        <v>#DIV/0!</v>
      </c>
      <c r="I743" s="23">
        <f t="shared" si="30"/>
        <v>0</v>
      </c>
    </row>
    <row r="744" spans="3:9" hidden="1">
      <c r="C744" s="1180">
        <v>13581</v>
      </c>
      <c r="D744" s="275" t="s">
        <v>2381</v>
      </c>
      <c r="E744" s="820"/>
      <c r="F744" s="820"/>
      <c r="G744" s="820"/>
      <c r="H744" s="978" t="e">
        <f t="shared" si="29"/>
        <v>#DIV/0!</v>
      </c>
      <c r="I744" s="23">
        <f t="shared" si="30"/>
        <v>0</v>
      </c>
    </row>
    <row r="745" spans="3:9">
      <c r="C745" s="1180">
        <v>18707</v>
      </c>
      <c r="D745" s="275" t="s">
        <v>2797</v>
      </c>
      <c r="E745" s="820">
        <v>12</v>
      </c>
      <c r="F745" s="820">
        <v>0</v>
      </c>
      <c r="G745" s="820">
        <v>7.7</v>
      </c>
      <c r="H745" s="978">
        <f t="shared" si="29"/>
        <v>0.64166666666666672</v>
      </c>
      <c r="I745" s="23">
        <f t="shared" si="30"/>
        <v>0</v>
      </c>
    </row>
    <row r="746" spans="3:9" hidden="1">
      <c r="C746" s="1180">
        <v>18714</v>
      </c>
      <c r="D746" s="275" t="s">
        <v>2279</v>
      </c>
      <c r="E746" s="820"/>
      <c r="F746" s="820"/>
      <c r="G746" s="820"/>
      <c r="H746" s="978" t="e">
        <f t="shared" si="29"/>
        <v>#DIV/0!</v>
      </c>
      <c r="I746" s="23">
        <f t="shared" si="30"/>
        <v>0</v>
      </c>
    </row>
    <row r="747" spans="3:9" hidden="1">
      <c r="C747" s="1180">
        <v>16239</v>
      </c>
      <c r="D747" s="275" t="s">
        <v>2798</v>
      </c>
      <c r="E747" s="820"/>
      <c r="F747" s="820"/>
      <c r="G747" s="820"/>
      <c r="H747" s="978" t="e">
        <f t="shared" si="29"/>
        <v>#DIV/0!</v>
      </c>
      <c r="I747" s="23">
        <f t="shared" si="30"/>
        <v>0</v>
      </c>
    </row>
    <row r="748" spans="3:9" hidden="1">
      <c r="C748" s="1180">
        <v>14766</v>
      </c>
      <c r="D748" s="275" t="s">
        <v>2799</v>
      </c>
      <c r="E748" s="820"/>
      <c r="F748" s="820"/>
      <c r="G748" s="820"/>
      <c r="H748" s="978" t="e">
        <f t="shared" si="29"/>
        <v>#DIV/0!</v>
      </c>
      <c r="I748" s="23">
        <f t="shared" si="30"/>
        <v>0</v>
      </c>
    </row>
    <row r="749" spans="3:9" hidden="1">
      <c r="C749" s="1180">
        <v>9499</v>
      </c>
      <c r="D749" s="275" t="s">
        <v>2458</v>
      </c>
      <c r="E749" s="820"/>
      <c r="F749" s="820"/>
      <c r="G749" s="820"/>
      <c r="H749" s="978" t="e">
        <f t="shared" si="29"/>
        <v>#DIV/0!</v>
      </c>
      <c r="I749" s="23">
        <f t="shared" si="30"/>
        <v>0</v>
      </c>
    </row>
    <row r="750" spans="3:9" hidden="1">
      <c r="C750" s="1180">
        <v>20012</v>
      </c>
      <c r="D750" s="275" t="s">
        <v>2287</v>
      </c>
      <c r="E750" s="820"/>
      <c r="F750" s="820"/>
      <c r="G750" s="820"/>
      <c r="H750" s="978" t="e">
        <f t="shared" si="29"/>
        <v>#DIV/0!</v>
      </c>
      <c r="I750" s="23">
        <f t="shared" si="30"/>
        <v>0</v>
      </c>
    </row>
    <row r="751" spans="3:9" hidden="1">
      <c r="C751" s="1180">
        <v>15426</v>
      </c>
      <c r="D751" s="275" t="s">
        <v>1887</v>
      </c>
      <c r="E751" s="820"/>
      <c r="F751" s="820"/>
      <c r="G751" s="820"/>
      <c r="H751" s="978" t="e">
        <f t="shared" si="29"/>
        <v>#DIV/0!</v>
      </c>
      <c r="I751" s="23">
        <f t="shared" si="30"/>
        <v>0</v>
      </c>
    </row>
    <row r="752" spans="3:9" hidden="1">
      <c r="C752" s="1180">
        <v>15430</v>
      </c>
      <c r="D752" s="275" t="s">
        <v>2280</v>
      </c>
      <c r="E752" s="820"/>
      <c r="F752" s="820"/>
      <c r="G752" s="820"/>
      <c r="H752" s="978" t="e">
        <f t="shared" si="29"/>
        <v>#DIV/0!</v>
      </c>
      <c r="I752" s="23">
        <f t="shared" si="30"/>
        <v>0</v>
      </c>
    </row>
    <row r="753" spans="3:61" hidden="1">
      <c r="C753" s="1180">
        <v>15428</v>
      </c>
      <c r="D753" s="275" t="s">
        <v>1888</v>
      </c>
      <c r="E753" s="820"/>
      <c r="F753" s="820"/>
      <c r="G753" s="820"/>
      <c r="H753" s="978" t="e">
        <f t="shared" si="29"/>
        <v>#DIV/0!</v>
      </c>
      <c r="I753" s="23">
        <f t="shared" si="30"/>
        <v>0</v>
      </c>
    </row>
    <row r="754" spans="3:61" hidden="1">
      <c r="C754" s="1180">
        <v>10416</v>
      </c>
      <c r="D754" s="275" t="s">
        <v>2382</v>
      </c>
      <c r="E754" s="820"/>
      <c r="F754" s="820"/>
      <c r="G754" s="820"/>
      <c r="H754" s="978" t="e">
        <f t="shared" si="29"/>
        <v>#DIV/0!</v>
      </c>
      <c r="I754" s="23">
        <f t="shared" si="30"/>
        <v>0</v>
      </c>
    </row>
    <row r="755" spans="3:61" hidden="1">
      <c r="C755" s="1180">
        <v>15767</v>
      </c>
      <c r="D755" s="275" t="s">
        <v>1889</v>
      </c>
      <c r="E755" s="820"/>
      <c r="F755" s="820"/>
      <c r="G755" s="820"/>
      <c r="H755" s="978" t="e">
        <f t="shared" si="29"/>
        <v>#DIV/0!</v>
      </c>
      <c r="I755" s="23">
        <f t="shared" si="30"/>
        <v>0</v>
      </c>
    </row>
    <row r="756" spans="3:61" hidden="1">
      <c r="C756" s="1180">
        <v>9500</v>
      </c>
      <c r="D756" s="275" t="s">
        <v>2800</v>
      </c>
      <c r="E756" s="820"/>
      <c r="F756" s="820"/>
      <c r="G756" s="820"/>
      <c r="H756" s="978" t="e">
        <f t="shared" si="29"/>
        <v>#DIV/0!</v>
      </c>
      <c r="I756" s="23">
        <f t="shared" si="30"/>
        <v>0</v>
      </c>
    </row>
    <row r="757" spans="3:61" hidden="1">
      <c r="C757" s="1180">
        <v>15750</v>
      </c>
      <c r="D757" s="275" t="s">
        <v>3164</v>
      </c>
      <c r="E757" s="820"/>
      <c r="F757" s="820"/>
      <c r="G757" s="820"/>
      <c r="H757" s="978" t="e">
        <f t="shared" si="29"/>
        <v>#DIV/0!</v>
      </c>
      <c r="I757" s="23">
        <f t="shared" si="30"/>
        <v>0</v>
      </c>
    </row>
    <row r="758" spans="3:61" hidden="1">
      <c r="C758" s="1180">
        <v>9252</v>
      </c>
      <c r="D758" s="275" t="s">
        <v>2285</v>
      </c>
      <c r="E758" s="820"/>
      <c r="F758" s="820"/>
      <c r="G758" s="820"/>
      <c r="H758" s="978" t="e">
        <f t="shared" si="29"/>
        <v>#DIV/0!</v>
      </c>
      <c r="I758" s="23">
        <f t="shared" si="30"/>
        <v>0</v>
      </c>
    </row>
    <row r="759" spans="3:61" hidden="1">
      <c r="C759" s="1180">
        <v>13577</v>
      </c>
      <c r="D759" s="275" t="s">
        <v>2275</v>
      </c>
      <c r="E759" s="820"/>
      <c r="F759" s="820"/>
      <c r="G759" s="820"/>
      <c r="H759" s="978" t="e">
        <f t="shared" si="29"/>
        <v>#DIV/0!</v>
      </c>
      <c r="I759" s="23">
        <f t="shared" si="30"/>
        <v>0</v>
      </c>
    </row>
    <row r="760" spans="3:61" hidden="1">
      <c r="C760" s="1180">
        <v>6901</v>
      </c>
      <c r="D760" s="275" t="s">
        <v>1374</v>
      </c>
      <c r="E760" s="820"/>
      <c r="F760" s="820"/>
      <c r="G760" s="820"/>
      <c r="H760" s="978" t="e">
        <f t="shared" si="29"/>
        <v>#DIV/0!</v>
      </c>
      <c r="I760" s="23">
        <f t="shared" si="30"/>
        <v>0</v>
      </c>
    </row>
    <row r="761" spans="3:61" hidden="1">
      <c r="C761" s="1180">
        <v>8309</v>
      </c>
      <c r="D761" s="275" t="s">
        <v>2457</v>
      </c>
      <c r="E761" s="820"/>
      <c r="F761" s="820"/>
      <c r="G761" s="820"/>
      <c r="H761" s="978" t="e">
        <f t="shared" si="29"/>
        <v>#DIV/0!</v>
      </c>
      <c r="I761" s="23">
        <f t="shared" si="30"/>
        <v>0</v>
      </c>
    </row>
    <row r="762" spans="3:61" s="85" customFormat="1">
      <c r="C762" s="297">
        <v>15403</v>
      </c>
      <c r="D762" s="1261" t="s">
        <v>3356</v>
      </c>
      <c r="E762" s="297">
        <v>26</v>
      </c>
      <c r="F762" s="297">
        <v>32</v>
      </c>
      <c r="G762" s="297">
        <v>15.1</v>
      </c>
      <c r="H762" s="301">
        <f t="shared" ref="H762:H825" si="31">G762/E762</f>
        <v>0.5807692307692307</v>
      </c>
      <c r="I762" s="24">
        <f t="shared" ref="I762:I825" si="32">G762*F762</f>
        <v>483.2</v>
      </c>
      <c r="J762" s="123"/>
      <c r="K762" s="123"/>
      <c r="L762" s="123"/>
      <c r="M762" s="123"/>
      <c r="N762" s="123"/>
      <c r="O762" s="123"/>
      <c r="P762" s="123"/>
      <c r="Q762" s="123"/>
      <c r="R762" s="123"/>
      <c r="S762" s="123"/>
      <c r="T762" s="123"/>
      <c r="U762" s="123"/>
      <c r="V762" s="123"/>
      <c r="W762" s="123"/>
      <c r="X762" s="123"/>
      <c r="Y762" s="123"/>
      <c r="Z762" s="123"/>
      <c r="AA762" s="123"/>
      <c r="AB762" s="123"/>
      <c r="AC762" s="123"/>
      <c r="AD762" s="123"/>
      <c r="AE762" s="123"/>
      <c r="AF762" s="123"/>
      <c r="AG762" s="123"/>
      <c r="AH762" s="123"/>
      <c r="AI762" s="123"/>
      <c r="AJ762" s="123"/>
      <c r="AK762" s="123"/>
      <c r="AL762" s="123"/>
      <c r="AM762" s="123"/>
      <c r="AN762" s="123"/>
      <c r="AO762" s="123"/>
      <c r="AP762" s="123"/>
      <c r="AQ762" s="123"/>
      <c r="AR762" s="123"/>
      <c r="AS762" s="123"/>
      <c r="AT762" s="123"/>
      <c r="AU762" s="123"/>
      <c r="AV762" s="123"/>
      <c r="AW762" s="123"/>
      <c r="AX762" s="123"/>
      <c r="AY762" s="123"/>
      <c r="AZ762" s="123"/>
      <c r="BA762" s="123"/>
      <c r="BB762" s="123"/>
      <c r="BC762" s="123"/>
      <c r="BD762" s="123"/>
      <c r="BE762" s="123"/>
      <c r="BF762" s="123"/>
      <c r="BG762" s="123"/>
      <c r="BH762" s="123"/>
      <c r="BI762" s="123"/>
    </row>
    <row r="763" spans="3:61" hidden="1">
      <c r="C763" s="1180">
        <v>21032</v>
      </c>
      <c r="D763" s="275" t="s">
        <v>3450</v>
      </c>
      <c r="E763" s="820"/>
      <c r="F763" s="820"/>
      <c r="G763" s="820"/>
      <c r="H763" s="978" t="e">
        <f t="shared" si="31"/>
        <v>#DIV/0!</v>
      </c>
      <c r="I763" s="23">
        <f t="shared" si="32"/>
        <v>0</v>
      </c>
    </row>
    <row r="764" spans="3:61" hidden="1">
      <c r="C764" s="1180">
        <v>9923</v>
      </c>
      <c r="D764" s="275" t="s">
        <v>1890</v>
      </c>
      <c r="E764" s="820"/>
      <c r="F764" s="820"/>
      <c r="G764" s="820"/>
      <c r="H764" s="978" t="e">
        <f t="shared" si="31"/>
        <v>#DIV/0!</v>
      </c>
      <c r="I764" s="23">
        <f t="shared" si="32"/>
        <v>0</v>
      </c>
    </row>
    <row r="765" spans="3:61" hidden="1">
      <c r="C765" s="1180">
        <v>13568</v>
      </c>
      <c r="D765" s="275" t="s">
        <v>2456</v>
      </c>
      <c r="E765" s="820"/>
      <c r="F765" s="820"/>
      <c r="G765" s="820"/>
      <c r="H765" s="978" t="e">
        <f t="shared" si="31"/>
        <v>#DIV/0!</v>
      </c>
      <c r="I765" s="23">
        <f t="shared" si="32"/>
        <v>0</v>
      </c>
    </row>
    <row r="766" spans="3:61" hidden="1">
      <c r="C766" s="1180">
        <v>17887</v>
      </c>
      <c r="D766" s="275" t="s">
        <v>1891</v>
      </c>
      <c r="E766" s="820"/>
      <c r="F766" s="820"/>
      <c r="G766" s="820"/>
      <c r="H766" s="978" t="e">
        <f t="shared" si="31"/>
        <v>#DIV/0!</v>
      </c>
      <c r="I766" s="23">
        <f t="shared" si="32"/>
        <v>0</v>
      </c>
    </row>
    <row r="767" spans="3:61" s="85" customFormat="1">
      <c r="C767" s="297">
        <v>21027</v>
      </c>
      <c r="D767" s="1261" t="s">
        <v>3451</v>
      </c>
      <c r="E767" s="297">
        <v>24</v>
      </c>
      <c r="F767" s="297">
        <v>1</v>
      </c>
      <c r="G767" s="297">
        <v>27.9</v>
      </c>
      <c r="H767" s="301">
        <f t="shared" si="31"/>
        <v>1.1624999999999999</v>
      </c>
      <c r="I767" s="24">
        <f t="shared" si="32"/>
        <v>27.9</v>
      </c>
      <c r="J767" s="123"/>
      <c r="K767" s="123"/>
      <c r="L767" s="123"/>
      <c r="M767" s="123"/>
      <c r="N767" s="123"/>
      <c r="O767" s="123"/>
      <c r="P767" s="123"/>
      <c r="Q767" s="123"/>
      <c r="R767" s="123"/>
      <c r="S767" s="123"/>
      <c r="T767" s="123"/>
      <c r="U767" s="123"/>
      <c r="V767" s="123"/>
      <c r="W767" s="123"/>
      <c r="X767" s="123"/>
      <c r="Y767" s="123"/>
      <c r="Z767" s="123"/>
      <c r="AA767" s="123"/>
      <c r="AB767" s="123"/>
      <c r="AC767" s="123"/>
      <c r="AD767" s="123"/>
      <c r="AE767" s="123"/>
      <c r="AF767" s="123"/>
      <c r="AG767" s="123"/>
      <c r="AH767" s="123"/>
      <c r="AI767" s="123"/>
      <c r="AJ767" s="123"/>
      <c r="AK767" s="123"/>
      <c r="AL767" s="123"/>
      <c r="AM767" s="123"/>
      <c r="AN767" s="123"/>
      <c r="AO767" s="123"/>
      <c r="AP767" s="123"/>
      <c r="AQ767" s="123"/>
      <c r="AR767" s="123"/>
      <c r="AS767" s="123"/>
      <c r="AT767" s="123"/>
      <c r="AU767" s="123"/>
      <c r="AV767" s="123"/>
      <c r="AW767" s="123"/>
      <c r="AX767" s="123"/>
      <c r="AY767" s="123"/>
      <c r="AZ767" s="123"/>
      <c r="BA767" s="123"/>
      <c r="BB767" s="123"/>
      <c r="BC767" s="123"/>
      <c r="BD767" s="123"/>
      <c r="BE767" s="123"/>
      <c r="BF767" s="123"/>
      <c r="BG767" s="123"/>
      <c r="BH767" s="123"/>
      <c r="BI767" s="123"/>
    </row>
    <row r="768" spans="3:61" hidden="1">
      <c r="C768" s="1180">
        <v>11384</v>
      </c>
      <c r="D768" s="275" t="s">
        <v>1892</v>
      </c>
      <c r="E768" s="820"/>
      <c r="F768" s="820"/>
      <c r="G768" s="820"/>
      <c r="H768" s="978" t="e">
        <f t="shared" si="31"/>
        <v>#DIV/0!</v>
      </c>
      <c r="I768" s="23">
        <f t="shared" si="32"/>
        <v>0</v>
      </c>
    </row>
    <row r="769" spans="3:61" hidden="1">
      <c r="C769" s="1180">
        <v>13718</v>
      </c>
      <c r="D769" s="275" t="s">
        <v>1893</v>
      </c>
      <c r="E769" s="820"/>
      <c r="F769" s="820"/>
      <c r="G769" s="820"/>
      <c r="H769" s="978" t="e">
        <f t="shared" si="31"/>
        <v>#DIV/0!</v>
      </c>
      <c r="I769" s="23">
        <f t="shared" si="32"/>
        <v>0</v>
      </c>
    </row>
    <row r="770" spans="3:61" hidden="1">
      <c r="C770" s="1180">
        <v>10228</v>
      </c>
      <c r="D770" s="275" t="s">
        <v>1894</v>
      </c>
      <c r="E770" s="820"/>
      <c r="F770" s="820"/>
      <c r="G770" s="820"/>
      <c r="H770" s="978" t="e">
        <f t="shared" si="31"/>
        <v>#DIV/0!</v>
      </c>
      <c r="I770" s="23">
        <f t="shared" si="32"/>
        <v>0</v>
      </c>
    </row>
    <row r="771" spans="3:61" hidden="1">
      <c r="C771" s="1180">
        <v>10238</v>
      </c>
      <c r="D771" s="275" t="s">
        <v>1491</v>
      </c>
      <c r="E771" s="820"/>
      <c r="F771" s="820"/>
      <c r="G771" s="820"/>
      <c r="H771" s="978" t="e">
        <f t="shared" si="31"/>
        <v>#DIV/0!</v>
      </c>
      <c r="I771" s="23">
        <f t="shared" si="32"/>
        <v>0</v>
      </c>
    </row>
    <row r="772" spans="3:61" hidden="1">
      <c r="C772" s="1180">
        <v>8000</v>
      </c>
      <c r="D772" s="275" t="s">
        <v>2384</v>
      </c>
      <c r="E772" s="820"/>
      <c r="F772" s="820"/>
      <c r="G772" s="820"/>
      <c r="H772" s="978" t="e">
        <f t="shared" si="31"/>
        <v>#DIV/0!</v>
      </c>
      <c r="I772" s="23">
        <f t="shared" si="32"/>
        <v>0</v>
      </c>
    </row>
    <row r="773" spans="3:61" hidden="1">
      <c r="C773" s="1180">
        <v>20014</v>
      </c>
      <c r="D773" s="275" t="s">
        <v>2295</v>
      </c>
      <c r="E773" s="820">
        <v>20</v>
      </c>
      <c r="F773" s="820"/>
      <c r="G773" s="820">
        <v>43</v>
      </c>
      <c r="H773" s="978">
        <f t="shared" si="31"/>
        <v>2.15</v>
      </c>
      <c r="I773" s="23">
        <f t="shared" si="32"/>
        <v>0</v>
      </c>
    </row>
    <row r="774" spans="3:61" hidden="1">
      <c r="C774" s="1180">
        <v>13719</v>
      </c>
      <c r="D774" s="275" t="s">
        <v>1895</v>
      </c>
      <c r="E774" s="820"/>
      <c r="F774" s="820"/>
      <c r="G774" s="820"/>
      <c r="H774" s="978" t="e">
        <f t="shared" si="31"/>
        <v>#DIV/0!</v>
      </c>
      <c r="I774" s="23">
        <f t="shared" si="32"/>
        <v>0</v>
      </c>
    </row>
    <row r="775" spans="3:61" hidden="1">
      <c r="C775" s="1180">
        <v>13720</v>
      </c>
      <c r="D775" s="275" t="s">
        <v>1896</v>
      </c>
      <c r="E775" s="820"/>
      <c r="F775" s="820"/>
      <c r="G775" s="820"/>
      <c r="H775" s="978" t="e">
        <f t="shared" si="31"/>
        <v>#DIV/0!</v>
      </c>
      <c r="I775" s="23">
        <f t="shared" si="32"/>
        <v>0</v>
      </c>
    </row>
    <row r="776" spans="3:61" s="85" customFormat="1">
      <c r="C776" s="297">
        <v>9755</v>
      </c>
      <c r="D776" s="1261" t="s">
        <v>1897</v>
      </c>
      <c r="E776" s="297">
        <v>24</v>
      </c>
      <c r="F776" s="297">
        <v>100</v>
      </c>
      <c r="G776" s="297">
        <v>15</v>
      </c>
      <c r="H776" s="301">
        <f t="shared" si="31"/>
        <v>0.625</v>
      </c>
      <c r="I776" s="24">
        <f t="shared" si="32"/>
        <v>1500</v>
      </c>
      <c r="J776" s="123"/>
      <c r="K776" s="123"/>
      <c r="L776" s="123"/>
      <c r="M776" s="123"/>
      <c r="N776" s="123"/>
      <c r="O776" s="123"/>
      <c r="P776" s="123"/>
      <c r="Q776" s="123"/>
      <c r="R776" s="123"/>
      <c r="S776" s="123"/>
      <c r="T776" s="123"/>
      <c r="U776" s="123"/>
      <c r="V776" s="123"/>
      <c r="W776" s="123"/>
      <c r="X776" s="123"/>
      <c r="Y776" s="123"/>
      <c r="Z776" s="123"/>
      <c r="AA776" s="123"/>
      <c r="AB776" s="123"/>
      <c r="AC776" s="123"/>
      <c r="AD776" s="123"/>
      <c r="AE776" s="123"/>
      <c r="AF776" s="123"/>
      <c r="AG776" s="123"/>
      <c r="AH776" s="123"/>
      <c r="AI776" s="123"/>
      <c r="AJ776" s="123"/>
      <c r="AK776" s="123"/>
      <c r="AL776" s="123"/>
      <c r="AM776" s="123"/>
      <c r="AN776" s="123"/>
      <c r="AO776" s="123"/>
      <c r="AP776" s="123"/>
      <c r="AQ776" s="123"/>
      <c r="AR776" s="123"/>
      <c r="AS776" s="123"/>
      <c r="AT776" s="123"/>
      <c r="AU776" s="123"/>
      <c r="AV776" s="123"/>
      <c r="AW776" s="123"/>
      <c r="AX776" s="123"/>
      <c r="AY776" s="123"/>
      <c r="AZ776" s="123"/>
      <c r="BA776" s="123"/>
      <c r="BB776" s="123"/>
      <c r="BC776" s="123"/>
      <c r="BD776" s="123"/>
      <c r="BE776" s="123"/>
      <c r="BF776" s="123"/>
      <c r="BG776" s="123"/>
      <c r="BH776" s="123"/>
      <c r="BI776" s="123"/>
    </row>
    <row r="777" spans="3:61">
      <c r="C777" s="1180">
        <v>10396</v>
      </c>
      <c r="D777" s="275" t="s">
        <v>1898</v>
      </c>
      <c r="E777" s="820">
        <v>12</v>
      </c>
      <c r="F777" s="820">
        <v>0</v>
      </c>
      <c r="G777" s="820">
        <v>14.8</v>
      </c>
      <c r="H777" s="978">
        <f t="shared" si="31"/>
        <v>1.2333333333333334</v>
      </c>
      <c r="I777" s="23">
        <f t="shared" si="32"/>
        <v>0</v>
      </c>
    </row>
    <row r="778" spans="3:61" hidden="1">
      <c r="C778" s="1180">
        <v>13580</v>
      </c>
      <c r="D778" s="275" t="s">
        <v>2398</v>
      </c>
      <c r="E778" s="820"/>
      <c r="F778" s="820"/>
      <c r="G778" s="820"/>
      <c r="H778" s="978" t="e">
        <f t="shared" si="31"/>
        <v>#DIV/0!</v>
      </c>
      <c r="I778" s="23">
        <f t="shared" si="32"/>
        <v>0</v>
      </c>
    </row>
    <row r="779" spans="3:61" hidden="1">
      <c r="C779" s="1180">
        <v>14308</v>
      </c>
      <c r="D779" s="275" t="s">
        <v>2801</v>
      </c>
      <c r="E779" s="820"/>
      <c r="F779" s="820"/>
      <c r="G779" s="820"/>
      <c r="H779" s="978" t="e">
        <f t="shared" si="31"/>
        <v>#DIV/0!</v>
      </c>
      <c r="I779" s="23">
        <f t="shared" si="32"/>
        <v>0</v>
      </c>
    </row>
    <row r="780" spans="3:61" hidden="1">
      <c r="C780" s="1180">
        <v>5864</v>
      </c>
      <c r="D780" s="275" t="s">
        <v>2296</v>
      </c>
      <c r="E780" s="820"/>
      <c r="F780" s="820"/>
      <c r="G780" s="820"/>
      <c r="H780" s="978" t="e">
        <f t="shared" si="31"/>
        <v>#DIV/0!</v>
      </c>
      <c r="I780" s="23">
        <f t="shared" si="32"/>
        <v>0</v>
      </c>
    </row>
    <row r="781" spans="3:61" hidden="1">
      <c r="C781" s="1180">
        <v>13569</v>
      </c>
      <c r="D781" s="275" t="s">
        <v>2455</v>
      </c>
      <c r="E781" s="820"/>
      <c r="F781" s="820"/>
      <c r="G781" s="820"/>
      <c r="H781" s="978" t="e">
        <f t="shared" si="31"/>
        <v>#DIV/0!</v>
      </c>
      <c r="I781" s="23">
        <f t="shared" si="32"/>
        <v>0</v>
      </c>
    </row>
    <row r="782" spans="3:61" hidden="1">
      <c r="C782" s="1180">
        <v>13578</v>
      </c>
      <c r="D782" s="275" t="s">
        <v>2282</v>
      </c>
      <c r="E782" s="820"/>
      <c r="F782" s="820"/>
      <c r="G782" s="820"/>
      <c r="H782" s="978" t="e">
        <f t="shared" si="31"/>
        <v>#DIV/0!</v>
      </c>
      <c r="I782" s="23">
        <f t="shared" si="32"/>
        <v>0</v>
      </c>
    </row>
    <row r="783" spans="3:61" hidden="1">
      <c r="C783" s="1180">
        <v>20892</v>
      </c>
      <c r="D783" s="275" t="s">
        <v>3165</v>
      </c>
      <c r="E783" s="820"/>
      <c r="F783" s="820"/>
      <c r="G783" s="820"/>
      <c r="H783" s="978" t="e">
        <f t="shared" si="31"/>
        <v>#DIV/0!</v>
      </c>
      <c r="I783" s="23">
        <f t="shared" si="32"/>
        <v>0</v>
      </c>
    </row>
    <row r="784" spans="3:61" hidden="1">
      <c r="C784" s="1180">
        <v>20893</v>
      </c>
      <c r="D784" s="275" t="s">
        <v>3166</v>
      </c>
      <c r="E784" s="820"/>
      <c r="F784" s="820"/>
      <c r="G784" s="820"/>
      <c r="H784" s="978" t="e">
        <f t="shared" si="31"/>
        <v>#DIV/0!</v>
      </c>
      <c r="I784" s="23">
        <f t="shared" si="32"/>
        <v>0</v>
      </c>
    </row>
    <row r="785" spans="3:61" hidden="1">
      <c r="C785" s="1180">
        <v>20894</v>
      </c>
      <c r="D785" s="275" t="s">
        <v>3167</v>
      </c>
      <c r="E785" s="820"/>
      <c r="F785" s="820"/>
      <c r="G785" s="820"/>
      <c r="H785" s="978" t="e">
        <f t="shared" si="31"/>
        <v>#DIV/0!</v>
      </c>
      <c r="I785" s="23">
        <f t="shared" si="32"/>
        <v>0</v>
      </c>
    </row>
    <row r="786" spans="3:61" s="85" customFormat="1">
      <c r="C786" s="297">
        <v>18135</v>
      </c>
      <c r="D786" s="1261" t="s">
        <v>2802</v>
      </c>
      <c r="E786" s="297">
        <v>12</v>
      </c>
      <c r="F786" s="297">
        <v>20</v>
      </c>
      <c r="G786" s="297">
        <v>8.4</v>
      </c>
      <c r="H786" s="301">
        <f t="shared" si="31"/>
        <v>0.70000000000000007</v>
      </c>
      <c r="I786" s="24">
        <f t="shared" si="32"/>
        <v>168</v>
      </c>
      <c r="J786" s="123"/>
      <c r="K786" s="123"/>
      <c r="L786" s="123"/>
      <c r="M786" s="123"/>
      <c r="N786" s="123"/>
      <c r="O786" s="123"/>
      <c r="P786" s="123"/>
      <c r="Q786" s="123"/>
      <c r="R786" s="123"/>
      <c r="S786" s="123"/>
      <c r="T786" s="123"/>
      <c r="U786" s="123"/>
      <c r="V786" s="123"/>
      <c r="W786" s="123"/>
      <c r="X786" s="123"/>
      <c r="Y786" s="123"/>
      <c r="Z786" s="123"/>
      <c r="AA786" s="123"/>
      <c r="AB786" s="123"/>
      <c r="AC786" s="123"/>
      <c r="AD786" s="123"/>
      <c r="AE786" s="123"/>
      <c r="AF786" s="123"/>
      <c r="AG786" s="123"/>
      <c r="AH786" s="123"/>
      <c r="AI786" s="123"/>
      <c r="AJ786" s="123"/>
      <c r="AK786" s="123"/>
      <c r="AL786" s="123"/>
      <c r="AM786" s="123"/>
      <c r="AN786" s="123"/>
      <c r="AO786" s="123"/>
      <c r="AP786" s="123"/>
      <c r="AQ786" s="123"/>
      <c r="AR786" s="123"/>
      <c r="AS786" s="123"/>
      <c r="AT786" s="123"/>
      <c r="AU786" s="123"/>
      <c r="AV786" s="123"/>
      <c r="AW786" s="123"/>
      <c r="AX786" s="123"/>
      <c r="AY786" s="123"/>
      <c r="AZ786" s="123"/>
      <c r="BA786" s="123"/>
      <c r="BB786" s="123"/>
      <c r="BC786" s="123"/>
      <c r="BD786" s="123"/>
      <c r="BE786" s="123"/>
      <c r="BF786" s="123"/>
      <c r="BG786" s="123"/>
      <c r="BH786" s="123"/>
      <c r="BI786" s="123"/>
    </row>
    <row r="787" spans="3:61" s="85" customFormat="1">
      <c r="C787" s="297">
        <v>20803</v>
      </c>
      <c r="D787" s="1261" t="s">
        <v>3173</v>
      </c>
      <c r="E787" s="297">
        <v>12</v>
      </c>
      <c r="F787" s="297">
        <v>20</v>
      </c>
      <c r="G787" s="297">
        <v>6.4</v>
      </c>
      <c r="H787" s="301">
        <f t="shared" si="31"/>
        <v>0.53333333333333333</v>
      </c>
      <c r="I787" s="24">
        <f t="shared" si="32"/>
        <v>128</v>
      </c>
      <c r="J787" s="123"/>
      <c r="K787" s="123"/>
      <c r="L787" s="123"/>
      <c r="M787" s="123"/>
      <c r="N787" s="123"/>
      <c r="O787" s="123"/>
      <c r="P787" s="123"/>
      <c r="Q787" s="123"/>
      <c r="R787" s="123"/>
      <c r="S787" s="123"/>
      <c r="T787" s="123"/>
      <c r="U787" s="123"/>
      <c r="V787" s="123"/>
      <c r="W787" s="123"/>
      <c r="X787" s="123"/>
      <c r="Y787" s="123"/>
      <c r="Z787" s="123"/>
      <c r="AA787" s="123"/>
      <c r="AB787" s="123"/>
      <c r="AC787" s="123"/>
      <c r="AD787" s="123"/>
      <c r="AE787" s="123"/>
      <c r="AF787" s="123"/>
      <c r="AG787" s="123"/>
      <c r="AH787" s="123"/>
      <c r="AI787" s="123"/>
      <c r="AJ787" s="123"/>
      <c r="AK787" s="123"/>
      <c r="AL787" s="123"/>
      <c r="AM787" s="123"/>
      <c r="AN787" s="123"/>
      <c r="AO787" s="123"/>
      <c r="AP787" s="123"/>
      <c r="AQ787" s="123"/>
      <c r="AR787" s="123"/>
      <c r="AS787" s="123"/>
      <c r="AT787" s="123"/>
      <c r="AU787" s="123"/>
      <c r="AV787" s="123"/>
      <c r="AW787" s="123"/>
      <c r="AX787" s="123"/>
      <c r="AY787" s="123"/>
      <c r="AZ787" s="123"/>
      <c r="BA787" s="123"/>
      <c r="BB787" s="123"/>
      <c r="BC787" s="123"/>
      <c r="BD787" s="123"/>
      <c r="BE787" s="123"/>
      <c r="BF787" s="123"/>
      <c r="BG787" s="123"/>
      <c r="BH787" s="123"/>
      <c r="BI787" s="123"/>
    </row>
    <row r="788" spans="3:61" s="692" customFormat="1">
      <c r="C788" s="1180"/>
      <c r="D788" s="275" t="s">
        <v>3459</v>
      </c>
      <c r="E788" s="820">
        <v>12</v>
      </c>
      <c r="F788" s="820">
        <v>0</v>
      </c>
      <c r="G788" s="820">
        <v>9</v>
      </c>
      <c r="H788" s="978">
        <f t="shared" si="31"/>
        <v>0.75</v>
      </c>
      <c r="I788" s="23">
        <f t="shared" si="32"/>
        <v>0</v>
      </c>
      <c r="J788" s="123"/>
      <c r="K788" s="123"/>
      <c r="L788" s="123"/>
      <c r="M788" s="123"/>
      <c r="N788" s="123"/>
      <c r="O788" s="123"/>
      <c r="P788" s="123"/>
      <c r="Q788" s="123"/>
      <c r="R788" s="123"/>
      <c r="S788" s="123"/>
      <c r="T788" s="123"/>
      <c r="U788" s="123"/>
      <c r="V788" s="123"/>
      <c r="W788" s="123"/>
      <c r="X788" s="123"/>
      <c r="Y788" s="123"/>
      <c r="Z788" s="123"/>
      <c r="AA788" s="123"/>
      <c r="AB788" s="123"/>
      <c r="AC788" s="123"/>
      <c r="AD788" s="123"/>
      <c r="AE788" s="123"/>
      <c r="AF788" s="123"/>
      <c r="AG788" s="123"/>
      <c r="AH788" s="123"/>
      <c r="AI788" s="123"/>
      <c r="AJ788" s="123"/>
      <c r="AK788" s="123"/>
      <c r="AL788" s="123"/>
      <c r="AM788" s="123"/>
      <c r="AN788" s="123"/>
      <c r="AO788" s="123"/>
      <c r="AP788" s="123"/>
      <c r="AQ788" s="123"/>
      <c r="AR788" s="123"/>
      <c r="AS788" s="123"/>
      <c r="AT788" s="123"/>
      <c r="AU788" s="123"/>
      <c r="AV788" s="123"/>
      <c r="AW788" s="123"/>
      <c r="AX788" s="123"/>
      <c r="AY788" s="123"/>
      <c r="AZ788" s="123"/>
      <c r="BA788" s="123"/>
      <c r="BB788" s="123"/>
      <c r="BC788" s="123"/>
      <c r="BD788" s="123"/>
      <c r="BE788" s="123"/>
      <c r="BF788" s="123"/>
      <c r="BG788" s="123"/>
      <c r="BH788" s="123"/>
      <c r="BI788" s="123"/>
    </row>
    <row r="789" spans="3:61" hidden="1">
      <c r="C789" s="1180">
        <v>2131</v>
      </c>
      <c r="D789" s="275" t="s">
        <v>3452</v>
      </c>
      <c r="E789" s="820"/>
      <c r="F789" s="820"/>
      <c r="G789" s="820"/>
      <c r="H789" s="978" t="e">
        <f t="shared" si="31"/>
        <v>#DIV/0!</v>
      </c>
      <c r="I789" s="23">
        <f t="shared" si="32"/>
        <v>0</v>
      </c>
    </row>
    <row r="790" spans="3:61" hidden="1">
      <c r="C790" s="1180">
        <v>2647</v>
      </c>
      <c r="D790" s="275" t="s">
        <v>1899</v>
      </c>
      <c r="E790" s="820"/>
      <c r="F790" s="820"/>
      <c r="G790" s="820"/>
      <c r="H790" s="978" t="e">
        <f t="shared" si="31"/>
        <v>#DIV/0!</v>
      </c>
      <c r="I790" s="23">
        <f t="shared" si="32"/>
        <v>0</v>
      </c>
    </row>
    <row r="791" spans="3:61" hidden="1">
      <c r="C791" s="1180">
        <v>20007</v>
      </c>
      <c r="D791" s="275" t="s">
        <v>2293</v>
      </c>
      <c r="E791" s="820"/>
      <c r="F791" s="820"/>
      <c r="G791" s="820"/>
      <c r="H791" s="978" t="e">
        <f t="shared" si="31"/>
        <v>#DIV/0!</v>
      </c>
      <c r="I791" s="23">
        <f t="shared" si="32"/>
        <v>0</v>
      </c>
    </row>
    <row r="792" spans="3:61" hidden="1">
      <c r="C792" s="1180">
        <v>7644</v>
      </c>
      <c r="D792" s="275" t="s">
        <v>2454</v>
      </c>
      <c r="E792" s="820"/>
      <c r="F792" s="820"/>
      <c r="G792" s="820"/>
      <c r="H792" s="978" t="e">
        <f t="shared" si="31"/>
        <v>#DIV/0!</v>
      </c>
      <c r="I792" s="23">
        <f t="shared" si="32"/>
        <v>0</v>
      </c>
    </row>
    <row r="793" spans="3:61" hidden="1">
      <c r="C793" s="1180">
        <v>20011</v>
      </c>
      <c r="D793" s="275" t="s">
        <v>2294</v>
      </c>
      <c r="E793" s="820"/>
      <c r="F793" s="820"/>
      <c r="G793" s="820"/>
      <c r="H793" s="978" t="e">
        <f t="shared" si="31"/>
        <v>#DIV/0!</v>
      </c>
      <c r="I793" s="23">
        <f t="shared" si="32"/>
        <v>0</v>
      </c>
    </row>
    <row r="794" spans="3:61" hidden="1">
      <c r="C794" s="1180">
        <v>6408</v>
      </c>
      <c r="D794" s="275" t="s">
        <v>3453</v>
      </c>
      <c r="E794" s="820"/>
      <c r="F794" s="820"/>
      <c r="G794" s="820"/>
      <c r="H794" s="978" t="e">
        <f t="shared" si="31"/>
        <v>#DIV/0!</v>
      </c>
      <c r="I794" s="23">
        <f t="shared" si="32"/>
        <v>0</v>
      </c>
    </row>
    <row r="795" spans="3:61" hidden="1">
      <c r="C795" s="1180">
        <v>6407</v>
      </c>
      <c r="D795" s="275" t="s">
        <v>3454</v>
      </c>
      <c r="E795" s="820"/>
      <c r="F795" s="820"/>
      <c r="G795" s="820"/>
      <c r="H795" s="978" t="e">
        <f t="shared" si="31"/>
        <v>#DIV/0!</v>
      </c>
      <c r="I795" s="23">
        <f t="shared" si="32"/>
        <v>0</v>
      </c>
    </row>
    <row r="796" spans="3:61" hidden="1">
      <c r="C796" s="1180">
        <v>14402</v>
      </c>
      <c r="D796" s="275" t="s">
        <v>2453</v>
      </c>
      <c r="E796" s="820"/>
      <c r="F796" s="820"/>
      <c r="G796" s="820"/>
      <c r="H796" s="978" t="e">
        <f t="shared" si="31"/>
        <v>#DIV/0!</v>
      </c>
      <c r="I796" s="23">
        <f t="shared" si="32"/>
        <v>0</v>
      </c>
    </row>
    <row r="797" spans="3:61" hidden="1">
      <c r="C797" s="1180">
        <v>14403</v>
      </c>
      <c r="D797" s="275" t="s">
        <v>2277</v>
      </c>
      <c r="E797" s="820"/>
      <c r="F797" s="820"/>
      <c r="G797" s="820"/>
      <c r="H797" s="978" t="e">
        <f t="shared" si="31"/>
        <v>#DIV/0!</v>
      </c>
      <c r="I797" s="23">
        <f t="shared" si="32"/>
        <v>0</v>
      </c>
    </row>
    <row r="798" spans="3:61" hidden="1">
      <c r="C798" s="1180">
        <v>21026</v>
      </c>
      <c r="D798" s="275" t="s">
        <v>3455</v>
      </c>
      <c r="E798" s="820"/>
      <c r="F798" s="820"/>
      <c r="G798" s="820"/>
      <c r="H798" s="978" t="e">
        <f t="shared" si="31"/>
        <v>#DIV/0!</v>
      </c>
      <c r="I798" s="23">
        <f t="shared" si="32"/>
        <v>0</v>
      </c>
    </row>
    <row r="799" spans="3:61" hidden="1">
      <c r="C799" s="1180">
        <v>20005</v>
      </c>
      <c r="D799" s="275" t="s">
        <v>2291</v>
      </c>
      <c r="E799" s="820"/>
      <c r="F799" s="820"/>
      <c r="G799" s="820"/>
      <c r="H799" s="978" t="e">
        <f t="shared" si="31"/>
        <v>#DIV/0!</v>
      </c>
      <c r="I799" s="23">
        <f t="shared" si="32"/>
        <v>0</v>
      </c>
    </row>
    <row r="800" spans="3:61" hidden="1">
      <c r="C800" s="1180">
        <v>20008</v>
      </c>
      <c r="D800" s="275" t="s">
        <v>2292</v>
      </c>
      <c r="E800" s="820"/>
      <c r="F800" s="820"/>
      <c r="G800" s="820"/>
      <c r="H800" s="978" t="e">
        <f t="shared" si="31"/>
        <v>#DIV/0!</v>
      </c>
      <c r="I800" s="23">
        <f t="shared" si="32"/>
        <v>0</v>
      </c>
    </row>
    <row r="801" spans="3:9" hidden="1">
      <c r="C801" s="1180">
        <v>20009</v>
      </c>
      <c r="D801" s="275" t="s">
        <v>2290</v>
      </c>
      <c r="E801" s="820"/>
      <c r="F801" s="820"/>
      <c r="G801" s="820"/>
      <c r="H801" s="978" t="e">
        <f t="shared" si="31"/>
        <v>#DIV/0!</v>
      </c>
      <c r="I801" s="23">
        <f t="shared" si="32"/>
        <v>0</v>
      </c>
    </row>
    <row r="802" spans="3:9" hidden="1">
      <c r="C802" s="1180">
        <v>13579</v>
      </c>
      <c r="D802" s="275" t="s">
        <v>2385</v>
      </c>
      <c r="E802" s="820"/>
      <c r="F802" s="820"/>
      <c r="G802" s="820"/>
      <c r="H802" s="978" t="e">
        <f t="shared" si="31"/>
        <v>#DIV/0!</v>
      </c>
      <c r="I802" s="23">
        <f t="shared" si="32"/>
        <v>0</v>
      </c>
    </row>
    <row r="803" spans="3:9" hidden="1">
      <c r="C803" s="1180">
        <v>14481</v>
      </c>
      <c r="D803" s="275" t="s">
        <v>2386</v>
      </c>
      <c r="E803" s="820"/>
      <c r="F803" s="820"/>
      <c r="G803" s="820"/>
      <c r="H803" s="978" t="e">
        <f t="shared" si="31"/>
        <v>#DIV/0!</v>
      </c>
      <c r="I803" s="23">
        <f t="shared" si="32"/>
        <v>0</v>
      </c>
    </row>
    <row r="804" spans="3:9" hidden="1">
      <c r="C804" s="1180">
        <v>13964</v>
      </c>
      <c r="D804" s="275" t="s">
        <v>2387</v>
      </c>
      <c r="E804" s="820"/>
      <c r="F804" s="820"/>
      <c r="G804" s="820"/>
      <c r="H804" s="978" t="e">
        <f t="shared" si="31"/>
        <v>#DIV/0!</v>
      </c>
      <c r="I804" s="23">
        <f t="shared" si="32"/>
        <v>0</v>
      </c>
    </row>
    <row r="805" spans="3:9" hidden="1">
      <c r="C805" s="1180">
        <v>14479</v>
      </c>
      <c r="D805" s="275" t="s">
        <v>2452</v>
      </c>
      <c r="E805" s="820"/>
      <c r="F805" s="820"/>
      <c r="G805" s="820"/>
      <c r="H805" s="978" t="e">
        <f t="shared" si="31"/>
        <v>#DIV/0!</v>
      </c>
      <c r="I805" s="23">
        <f t="shared" si="32"/>
        <v>0</v>
      </c>
    </row>
    <row r="806" spans="3:9" hidden="1">
      <c r="C806" s="1180">
        <v>15000</v>
      </c>
      <c r="D806" s="275" t="s">
        <v>2388</v>
      </c>
      <c r="E806" s="820"/>
      <c r="F806" s="820"/>
      <c r="G806" s="820"/>
      <c r="H806" s="978" t="e">
        <f t="shared" si="31"/>
        <v>#DIV/0!</v>
      </c>
      <c r="I806" s="23">
        <f t="shared" si="32"/>
        <v>0</v>
      </c>
    </row>
    <row r="807" spans="3:9" hidden="1">
      <c r="C807" s="1180">
        <v>14999</v>
      </c>
      <c r="D807" s="275" t="s">
        <v>2276</v>
      </c>
      <c r="E807" s="820"/>
      <c r="F807" s="820"/>
      <c r="G807" s="820"/>
      <c r="H807" s="978" t="e">
        <f t="shared" si="31"/>
        <v>#DIV/0!</v>
      </c>
      <c r="I807" s="23">
        <f t="shared" si="32"/>
        <v>0</v>
      </c>
    </row>
    <row r="808" spans="3:9" hidden="1">
      <c r="C808" s="1180">
        <v>14480</v>
      </c>
      <c r="D808" s="275" t="s">
        <v>2451</v>
      </c>
      <c r="E808" s="820"/>
      <c r="F808" s="820"/>
      <c r="G808" s="820"/>
      <c r="H808" s="978" t="e">
        <f t="shared" si="31"/>
        <v>#DIV/0!</v>
      </c>
      <c r="I808" s="23">
        <f t="shared" si="32"/>
        <v>0</v>
      </c>
    </row>
    <row r="809" spans="3:9" hidden="1">
      <c r="C809" s="1180">
        <v>20801</v>
      </c>
      <c r="D809" s="275" t="s">
        <v>2803</v>
      </c>
      <c r="E809" s="820"/>
      <c r="F809" s="820"/>
      <c r="G809" s="820"/>
      <c r="H809" s="978" t="e">
        <f t="shared" si="31"/>
        <v>#DIV/0!</v>
      </c>
      <c r="I809" s="23">
        <f t="shared" si="32"/>
        <v>0</v>
      </c>
    </row>
    <row r="810" spans="3:9" hidden="1">
      <c r="C810" s="1180">
        <v>20802</v>
      </c>
      <c r="D810" s="275" t="s">
        <v>2804</v>
      </c>
      <c r="E810" s="820"/>
      <c r="F810" s="820"/>
      <c r="G810" s="820"/>
      <c r="H810" s="978" t="e">
        <f t="shared" si="31"/>
        <v>#DIV/0!</v>
      </c>
      <c r="I810" s="23">
        <f t="shared" si="32"/>
        <v>0</v>
      </c>
    </row>
    <row r="811" spans="3:9" hidden="1">
      <c r="C811" s="1180">
        <v>17889</v>
      </c>
      <c r="D811" s="275" t="s">
        <v>1509</v>
      </c>
      <c r="E811" s="820"/>
      <c r="F811" s="820"/>
      <c r="G811" s="820"/>
      <c r="H811" s="978" t="e">
        <f t="shared" si="31"/>
        <v>#DIV/0!</v>
      </c>
      <c r="I811" s="23">
        <f t="shared" si="32"/>
        <v>0</v>
      </c>
    </row>
    <row r="812" spans="3:9">
      <c r="C812" s="1180">
        <v>21028</v>
      </c>
      <c r="D812" s="275" t="s">
        <v>3456</v>
      </c>
      <c r="E812" s="820">
        <v>60</v>
      </c>
      <c r="F812" s="820">
        <v>0</v>
      </c>
      <c r="G812" s="820">
        <v>23</v>
      </c>
      <c r="H812" s="978">
        <f t="shared" si="31"/>
        <v>0.38333333333333336</v>
      </c>
      <c r="I812" s="23">
        <f t="shared" si="32"/>
        <v>0</v>
      </c>
    </row>
    <row r="813" spans="3:9" hidden="1">
      <c r="C813" s="1180">
        <v>7101</v>
      </c>
      <c r="D813" s="275" t="s">
        <v>2450</v>
      </c>
      <c r="E813" s="820"/>
      <c r="F813" s="820"/>
      <c r="G813" s="820"/>
      <c r="H813" s="978" t="e">
        <f t="shared" si="31"/>
        <v>#DIV/0!</v>
      </c>
      <c r="I813" s="23">
        <f t="shared" si="32"/>
        <v>0</v>
      </c>
    </row>
    <row r="814" spans="3:9" hidden="1">
      <c r="C814" s="1180">
        <v>9772</v>
      </c>
      <c r="D814" s="275" t="s">
        <v>3186</v>
      </c>
      <c r="E814" s="820">
        <v>288</v>
      </c>
      <c r="F814" s="820"/>
      <c r="G814" s="820">
        <v>80</v>
      </c>
      <c r="H814" s="978">
        <f t="shared" si="31"/>
        <v>0.27777777777777779</v>
      </c>
      <c r="I814" s="23">
        <f t="shared" si="32"/>
        <v>0</v>
      </c>
    </row>
    <row r="815" spans="3:9" hidden="1">
      <c r="C815" s="1180">
        <v>13331</v>
      </c>
      <c r="D815" s="275" t="s">
        <v>2389</v>
      </c>
      <c r="E815" s="820">
        <v>288</v>
      </c>
      <c r="F815" s="820"/>
      <c r="G815" s="820">
        <v>80</v>
      </c>
      <c r="H815" s="978">
        <f t="shared" si="31"/>
        <v>0.27777777777777779</v>
      </c>
      <c r="I815" s="23">
        <f t="shared" si="32"/>
        <v>0</v>
      </c>
    </row>
    <row r="816" spans="3:9" hidden="1">
      <c r="C816" s="1180">
        <v>13329</v>
      </c>
      <c r="D816" s="275" t="s">
        <v>2390</v>
      </c>
      <c r="E816" s="820">
        <v>288</v>
      </c>
      <c r="F816" s="820"/>
      <c r="G816" s="820">
        <v>80</v>
      </c>
      <c r="H816" s="978">
        <f t="shared" si="31"/>
        <v>0.27777777777777779</v>
      </c>
      <c r="I816" s="23">
        <f t="shared" si="32"/>
        <v>0</v>
      </c>
    </row>
    <row r="817" spans="3:61" hidden="1">
      <c r="C817" s="1180">
        <v>13330</v>
      </c>
      <c r="D817" s="275" t="s">
        <v>3187</v>
      </c>
      <c r="E817" s="820">
        <v>288</v>
      </c>
      <c r="F817" s="820"/>
      <c r="G817" s="820">
        <v>80</v>
      </c>
      <c r="H817" s="978">
        <f t="shared" si="31"/>
        <v>0.27777777777777779</v>
      </c>
      <c r="I817" s="23">
        <f t="shared" si="32"/>
        <v>0</v>
      </c>
    </row>
    <row r="818" spans="3:61" hidden="1">
      <c r="C818" s="1180">
        <v>9771</v>
      </c>
      <c r="D818" s="275" t="s">
        <v>3185</v>
      </c>
      <c r="E818" s="820">
        <v>288</v>
      </c>
      <c r="F818" s="820"/>
      <c r="G818" s="820">
        <v>80</v>
      </c>
      <c r="H818" s="978">
        <f t="shared" si="31"/>
        <v>0.27777777777777779</v>
      </c>
      <c r="I818" s="23">
        <f t="shared" si="32"/>
        <v>0</v>
      </c>
    </row>
    <row r="819" spans="3:61" hidden="1">
      <c r="C819" s="1180">
        <v>13695</v>
      </c>
      <c r="D819" s="275" t="s">
        <v>3457</v>
      </c>
      <c r="E819" s="820"/>
      <c r="F819" s="820"/>
      <c r="G819" s="820"/>
      <c r="H819" s="978" t="e">
        <f t="shared" si="31"/>
        <v>#DIV/0!</v>
      </c>
      <c r="I819" s="23">
        <f t="shared" si="32"/>
        <v>0</v>
      </c>
    </row>
    <row r="820" spans="3:61" hidden="1">
      <c r="C820" s="1180">
        <v>20805</v>
      </c>
      <c r="D820" s="275" t="s">
        <v>2805</v>
      </c>
      <c r="E820" s="820"/>
      <c r="F820" s="820"/>
      <c r="G820" s="820"/>
      <c r="H820" s="978" t="e">
        <f t="shared" si="31"/>
        <v>#DIV/0!</v>
      </c>
      <c r="I820" s="23">
        <f t="shared" si="32"/>
        <v>0</v>
      </c>
    </row>
    <row r="821" spans="3:61" hidden="1">
      <c r="C821" s="1180">
        <v>20804</v>
      </c>
      <c r="D821" s="275" t="s">
        <v>2806</v>
      </c>
      <c r="E821" s="820"/>
      <c r="F821" s="820"/>
      <c r="G821" s="820"/>
      <c r="H821" s="978" t="e">
        <f t="shared" si="31"/>
        <v>#DIV/0!</v>
      </c>
      <c r="I821" s="23">
        <f t="shared" si="32"/>
        <v>0</v>
      </c>
    </row>
    <row r="822" spans="3:61" hidden="1">
      <c r="C822" s="1180">
        <v>9209</v>
      </c>
      <c r="D822" s="275" t="s">
        <v>3458</v>
      </c>
      <c r="E822" s="820"/>
      <c r="F822" s="820"/>
      <c r="G822" s="820"/>
      <c r="H822" s="978" t="e">
        <f t="shared" si="31"/>
        <v>#DIV/0!</v>
      </c>
      <c r="I822" s="23">
        <f t="shared" si="32"/>
        <v>0</v>
      </c>
    </row>
    <row r="823" spans="3:61" hidden="1">
      <c r="C823" s="1180">
        <v>20013</v>
      </c>
      <c r="D823" s="275" t="s">
        <v>2288</v>
      </c>
      <c r="E823" s="820">
        <v>80</v>
      </c>
      <c r="F823" s="820"/>
      <c r="G823" s="820">
        <v>8</v>
      </c>
      <c r="H823" s="978">
        <f t="shared" si="31"/>
        <v>0.1</v>
      </c>
      <c r="I823" s="23">
        <f t="shared" si="32"/>
        <v>0</v>
      </c>
    </row>
    <row r="824" spans="3:61" hidden="1">
      <c r="C824" s="1180">
        <v>13721</v>
      </c>
      <c r="D824" s="275" t="s">
        <v>2391</v>
      </c>
      <c r="E824" s="820"/>
      <c r="F824" s="820"/>
      <c r="G824" s="820"/>
      <c r="H824" s="978" t="e">
        <f t="shared" si="31"/>
        <v>#DIV/0!</v>
      </c>
      <c r="I824" s="23">
        <f t="shared" si="32"/>
        <v>0</v>
      </c>
    </row>
    <row r="825" spans="3:61" ht="15.75" customHeight="1">
      <c r="C825" s="528"/>
      <c r="D825" s="1200" t="s">
        <v>3207</v>
      </c>
      <c r="E825" s="528">
        <v>6</v>
      </c>
      <c r="F825" s="528">
        <v>0</v>
      </c>
      <c r="G825" s="528">
        <v>17.5</v>
      </c>
      <c r="H825" s="978">
        <f t="shared" si="31"/>
        <v>2.9166666666666665</v>
      </c>
      <c r="I825" s="23">
        <f t="shared" si="32"/>
        <v>0</v>
      </c>
    </row>
    <row r="826" spans="3:61" s="85" customFormat="1">
      <c r="C826" s="297">
        <v>21224</v>
      </c>
      <c r="D826" s="1261" t="s">
        <v>3208</v>
      </c>
      <c r="E826" s="297">
        <v>6</v>
      </c>
      <c r="F826" s="297">
        <v>5</v>
      </c>
      <c r="G826" s="297">
        <v>17.5</v>
      </c>
      <c r="H826" s="301">
        <f t="shared" ref="H826:H834" si="33">G826/E826</f>
        <v>2.9166666666666665</v>
      </c>
      <c r="I826" s="24">
        <f t="shared" ref="I826:I834" si="34">G826*F826</f>
        <v>87.5</v>
      </c>
      <c r="J826" s="123"/>
      <c r="K826" s="123"/>
      <c r="L826" s="123"/>
      <c r="M826" s="123"/>
      <c r="N826" s="123"/>
      <c r="O826" s="123"/>
      <c r="P826" s="123"/>
      <c r="Q826" s="123"/>
      <c r="R826" s="123"/>
      <c r="S826" s="123"/>
      <c r="T826" s="123"/>
      <c r="U826" s="123"/>
      <c r="V826" s="123"/>
      <c r="W826" s="123"/>
      <c r="X826" s="123"/>
      <c r="Y826" s="123"/>
      <c r="Z826" s="123"/>
      <c r="AA826" s="123"/>
      <c r="AB826" s="123"/>
      <c r="AC826" s="123"/>
      <c r="AD826" s="123"/>
      <c r="AE826" s="123"/>
      <c r="AF826" s="123"/>
      <c r="AG826" s="123"/>
      <c r="AH826" s="123"/>
      <c r="AI826" s="123"/>
      <c r="AJ826" s="123"/>
      <c r="AK826" s="123"/>
      <c r="AL826" s="123"/>
      <c r="AM826" s="123"/>
      <c r="AN826" s="123"/>
      <c r="AO826" s="123"/>
      <c r="AP826" s="123"/>
      <c r="AQ826" s="123"/>
      <c r="AR826" s="123"/>
      <c r="AS826" s="123"/>
      <c r="AT826" s="123"/>
      <c r="AU826" s="123"/>
      <c r="AV826" s="123"/>
      <c r="AW826" s="123"/>
      <c r="AX826" s="123"/>
      <c r="AY826" s="123"/>
      <c r="AZ826" s="123"/>
      <c r="BA826" s="123"/>
      <c r="BB826" s="123"/>
      <c r="BC826" s="123"/>
      <c r="BD826" s="123"/>
      <c r="BE826" s="123"/>
      <c r="BF826" s="123"/>
      <c r="BG826" s="123"/>
      <c r="BH826" s="123"/>
      <c r="BI826" s="123"/>
    </row>
    <row r="827" spans="3:61">
      <c r="C827" s="528"/>
      <c r="D827" s="1200" t="s">
        <v>3209</v>
      </c>
      <c r="E827" s="528">
        <v>6</v>
      </c>
      <c r="F827" s="528">
        <v>0</v>
      </c>
      <c r="G827" s="528">
        <v>17.5</v>
      </c>
      <c r="H827" s="978">
        <f t="shared" si="33"/>
        <v>2.9166666666666665</v>
      </c>
      <c r="I827" s="23">
        <f t="shared" si="34"/>
        <v>0</v>
      </c>
    </row>
    <row r="828" spans="3:61" s="85" customFormat="1" ht="13.5" customHeight="1">
      <c r="C828" s="297">
        <v>21225</v>
      </c>
      <c r="D828" s="1261" t="s">
        <v>3210</v>
      </c>
      <c r="E828" s="297">
        <v>6</v>
      </c>
      <c r="F828" s="297">
        <v>5</v>
      </c>
      <c r="G828" s="297">
        <v>17.5</v>
      </c>
      <c r="H828" s="301">
        <f t="shared" si="33"/>
        <v>2.9166666666666665</v>
      </c>
      <c r="I828" s="24">
        <f t="shared" si="34"/>
        <v>87.5</v>
      </c>
      <c r="J828" s="123"/>
      <c r="K828" s="123"/>
      <c r="L828" s="123"/>
      <c r="M828" s="123"/>
      <c r="N828" s="123"/>
      <c r="O828" s="123"/>
      <c r="P828" s="123"/>
      <c r="Q828" s="123"/>
      <c r="R828" s="123"/>
      <c r="S828" s="123"/>
      <c r="T828" s="123"/>
      <c r="U828" s="123"/>
      <c r="V828" s="123"/>
      <c r="W828" s="123"/>
      <c r="X828" s="123"/>
      <c r="Y828" s="123"/>
      <c r="Z828" s="123"/>
      <c r="AA828" s="123"/>
      <c r="AB828" s="123"/>
      <c r="AC828" s="123"/>
      <c r="AD828" s="123"/>
      <c r="AE828" s="123"/>
      <c r="AF828" s="123"/>
      <c r="AG828" s="123"/>
      <c r="AH828" s="123"/>
      <c r="AI828" s="123"/>
      <c r="AJ828" s="123"/>
      <c r="AK828" s="123"/>
      <c r="AL828" s="123"/>
      <c r="AM828" s="123"/>
      <c r="AN828" s="123"/>
      <c r="AO828" s="123"/>
      <c r="AP828" s="123"/>
      <c r="AQ828" s="123"/>
      <c r="AR828" s="123"/>
      <c r="AS828" s="123"/>
      <c r="AT828" s="123"/>
      <c r="AU828" s="123"/>
      <c r="AV828" s="123"/>
      <c r="AW828" s="123"/>
      <c r="AX828" s="123"/>
      <c r="AY828" s="123"/>
      <c r="AZ828" s="123"/>
      <c r="BA828" s="123"/>
      <c r="BB828" s="123"/>
      <c r="BC828" s="123"/>
      <c r="BD828" s="123"/>
      <c r="BE828" s="123"/>
      <c r="BF828" s="123"/>
      <c r="BG828" s="123"/>
      <c r="BH828" s="123"/>
      <c r="BI828" s="123"/>
    </row>
    <row r="829" spans="3:61" s="85" customFormat="1" ht="14.25" customHeight="1">
      <c r="C829" s="297">
        <v>21226</v>
      </c>
      <c r="D829" s="1261" t="s">
        <v>3482</v>
      </c>
      <c r="E829" s="297">
        <v>6</v>
      </c>
      <c r="F829" s="297">
        <v>5</v>
      </c>
      <c r="G829" s="297">
        <v>23.5</v>
      </c>
      <c r="H829" s="301">
        <f t="shared" si="33"/>
        <v>3.9166666666666665</v>
      </c>
      <c r="I829" s="24">
        <f t="shared" si="34"/>
        <v>117.5</v>
      </c>
      <c r="J829" s="123"/>
      <c r="K829" s="123"/>
      <c r="L829" s="123"/>
      <c r="M829" s="123"/>
      <c r="N829" s="123"/>
      <c r="O829" s="123"/>
      <c r="P829" s="123"/>
      <c r="Q829" s="123"/>
      <c r="R829" s="123"/>
      <c r="S829" s="123"/>
      <c r="T829" s="123"/>
      <c r="U829" s="123"/>
      <c r="V829" s="123"/>
      <c r="W829" s="123"/>
      <c r="X829" s="123"/>
      <c r="Y829" s="123"/>
      <c r="Z829" s="123"/>
      <c r="AA829" s="123"/>
      <c r="AB829" s="123"/>
      <c r="AC829" s="123"/>
      <c r="AD829" s="123"/>
      <c r="AE829" s="123"/>
      <c r="AF829" s="123"/>
      <c r="AG829" s="123"/>
      <c r="AH829" s="123"/>
      <c r="AI829" s="123"/>
      <c r="AJ829" s="123"/>
      <c r="AK829" s="123"/>
      <c r="AL829" s="123"/>
      <c r="AM829" s="123"/>
      <c r="AN829" s="123"/>
      <c r="AO829" s="123"/>
      <c r="AP829" s="123"/>
      <c r="AQ829" s="123"/>
      <c r="AR829" s="123"/>
      <c r="AS829" s="123"/>
      <c r="AT829" s="123"/>
      <c r="AU829" s="123"/>
      <c r="AV829" s="123"/>
      <c r="AW829" s="123"/>
      <c r="AX829" s="123"/>
      <c r="AY829" s="123"/>
      <c r="AZ829" s="123"/>
      <c r="BA829" s="123"/>
      <c r="BB829" s="123"/>
      <c r="BC829" s="123"/>
      <c r="BD829" s="123"/>
      <c r="BE829" s="123"/>
      <c r="BF829" s="123"/>
      <c r="BG829" s="123"/>
      <c r="BH829" s="123"/>
      <c r="BI829" s="123"/>
    </row>
    <row r="830" spans="3:61" s="85" customFormat="1">
      <c r="C830" s="297">
        <v>21227</v>
      </c>
      <c r="D830" s="1261" t="s">
        <v>3483</v>
      </c>
      <c r="E830" s="297">
        <v>6</v>
      </c>
      <c r="F830" s="297">
        <v>5</v>
      </c>
      <c r="G830" s="297">
        <v>23.5</v>
      </c>
      <c r="H830" s="301">
        <f t="shared" si="33"/>
        <v>3.9166666666666665</v>
      </c>
      <c r="I830" s="24">
        <f t="shared" si="34"/>
        <v>117.5</v>
      </c>
      <c r="J830" s="123"/>
      <c r="K830" s="123"/>
      <c r="L830" s="123"/>
      <c r="M830" s="123"/>
      <c r="N830" s="123"/>
      <c r="O830" s="123"/>
      <c r="P830" s="123"/>
      <c r="Q830" s="123"/>
      <c r="R830" s="123"/>
      <c r="S830" s="123"/>
      <c r="T830" s="123"/>
      <c r="U830" s="123"/>
      <c r="V830" s="123"/>
      <c r="W830" s="123"/>
      <c r="X830" s="123"/>
      <c r="Y830" s="123"/>
      <c r="Z830" s="123"/>
      <c r="AA830" s="123"/>
      <c r="AB830" s="123"/>
      <c r="AC830" s="123"/>
      <c r="AD830" s="123"/>
      <c r="AE830" s="123"/>
      <c r="AF830" s="123"/>
      <c r="AG830" s="123"/>
      <c r="AH830" s="123"/>
      <c r="AI830" s="123"/>
      <c r="AJ830" s="123"/>
      <c r="AK830" s="123"/>
      <c r="AL830" s="123"/>
      <c r="AM830" s="123"/>
      <c r="AN830" s="123"/>
      <c r="AO830" s="123"/>
      <c r="AP830" s="123"/>
      <c r="AQ830" s="123"/>
      <c r="AR830" s="123"/>
      <c r="AS830" s="123"/>
      <c r="AT830" s="123"/>
      <c r="AU830" s="123"/>
      <c r="AV830" s="123"/>
      <c r="AW830" s="123"/>
      <c r="AX830" s="123"/>
      <c r="AY830" s="123"/>
      <c r="AZ830" s="123"/>
      <c r="BA830" s="123"/>
      <c r="BB830" s="123"/>
      <c r="BC830" s="123"/>
      <c r="BD830" s="123"/>
      <c r="BE830" s="123"/>
      <c r="BF830" s="123"/>
      <c r="BG830" s="123"/>
      <c r="BH830" s="123"/>
      <c r="BI830" s="123"/>
    </row>
    <row r="831" spans="3:61" s="85" customFormat="1">
      <c r="C831" s="297">
        <v>21228</v>
      </c>
      <c r="D831" s="1261" t="s">
        <v>3460</v>
      </c>
      <c r="E831" s="297">
        <v>6</v>
      </c>
      <c r="F831" s="297">
        <v>5</v>
      </c>
      <c r="G831" s="297">
        <v>23.5</v>
      </c>
      <c r="H831" s="301">
        <f t="shared" si="33"/>
        <v>3.9166666666666665</v>
      </c>
      <c r="I831" s="24">
        <f t="shared" si="34"/>
        <v>117.5</v>
      </c>
      <c r="J831" s="123"/>
      <c r="K831" s="123"/>
      <c r="L831" s="123"/>
      <c r="M831" s="123"/>
      <c r="N831" s="123"/>
      <c r="O831" s="123"/>
      <c r="P831" s="123"/>
      <c r="Q831" s="123"/>
      <c r="R831" s="123"/>
      <c r="S831" s="123"/>
      <c r="T831" s="123"/>
      <c r="U831" s="123"/>
      <c r="V831" s="123"/>
      <c r="W831" s="123"/>
      <c r="X831" s="123"/>
      <c r="Y831" s="123"/>
      <c r="Z831" s="123"/>
      <c r="AA831" s="123"/>
      <c r="AB831" s="123"/>
      <c r="AC831" s="123"/>
      <c r="AD831" s="123"/>
      <c r="AE831" s="123"/>
      <c r="AF831" s="123"/>
      <c r="AG831" s="123"/>
      <c r="AH831" s="123"/>
      <c r="AI831" s="123"/>
      <c r="AJ831" s="123"/>
      <c r="AK831" s="123"/>
      <c r="AL831" s="123"/>
      <c r="AM831" s="123"/>
      <c r="AN831" s="123"/>
      <c r="AO831" s="123"/>
      <c r="AP831" s="123"/>
      <c r="AQ831" s="123"/>
      <c r="AR831" s="123"/>
      <c r="AS831" s="123"/>
      <c r="AT831" s="123"/>
      <c r="AU831" s="123"/>
      <c r="AV831" s="123"/>
      <c r="AW831" s="123"/>
      <c r="AX831" s="123"/>
      <c r="AY831" s="123"/>
      <c r="AZ831" s="123"/>
      <c r="BA831" s="123"/>
      <c r="BB831" s="123"/>
      <c r="BC831" s="123"/>
      <c r="BD831" s="123"/>
      <c r="BE831" s="123"/>
      <c r="BF831" s="123"/>
      <c r="BG831" s="123"/>
      <c r="BH831" s="123"/>
      <c r="BI831" s="123"/>
    </row>
    <row r="832" spans="3:61" s="85" customFormat="1">
      <c r="C832" s="297">
        <v>21229</v>
      </c>
      <c r="D832" s="1261" t="s">
        <v>3484</v>
      </c>
      <c r="E832" s="297">
        <v>6</v>
      </c>
      <c r="F832" s="297">
        <v>5</v>
      </c>
      <c r="G832" s="297">
        <v>23.5</v>
      </c>
      <c r="H832" s="301">
        <f t="shared" si="33"/>
        <v>3.9166666666666665</v>
      </c>
      <c r="I832" s="24">
        <f t="shared" si="34"/>
        <v>117.5</v>
      </c>
      <c r="J832" s="123"/>
      <c r="K832" s="123"/>
      <c r="L832" s="123"/>
      <c r="M832" s="123"/>
      <c r="N832" s="123"/>
      <c r="O832" s="123"/>
      <c r="P832" s="123"/>
      <c r="Q832" s="123"/>
      <c r="R832" s="123"/>
      <c r="S832" s="123"/>
      <c r="T832" s="123"/>
      <c r="U832" s="123"/>
      <c r="V832" s="123"/>
      <c r="W832" s="123"/>
      <c r="X832" s="123"/>
      <c r="Y832" s="123"/>
      <c r="Z832" s="123"/>
      <c r="AA832" s="123"/>
      <c r="AB832" s="123"/>
      <c r="AC832" s="123"/>
      <c r="AD832" s="123"/>
      <c r="AE832" s="123"/>
      <c r="AF832" s="123"/>
      <c r="AG832" s="123"/>
      <c r="AH832" s="123"/>
      <c r="AI832" s="123"/>
      <c r="AJ832" s="123"/>
      <c r="AK832" s="123"/>
      <c r="AL832" s="123"/>
      <c r="AM832" s="123"/>
      <c r="AN832" s="123"/>
      <c r="AO832" s="123"/>
      <c r="AP832" s="123"/>
      <c r="AQ832" s="123"/>
      <c r="AR832" s="123"/>
      <c r="AS832" s="123"/>
      <c r="AT832" s="123"/>
      <c r="AU832" s="123"/>
      <c r="AV832" s="123"/>
      <c r="AW832" s="123"/>
      <c r="AX832" s="123"/>
      <c r="AY832" s="123"/>
      <c r="AZ832" s="123"/>
      <c r="BA832" s="123"/>
      <c r="BB832" s="123"/>
      <c r="BC832" s="123"/>
      <c r="BD832" s="123"/>
      <c r="BE832" s="123"/>
      <c r="BF832" s="123"/>
      <c r="BG832" s="123"/>
      <c r="BH832" s="123"/>
      <c r="BI832" s="123"/>
    </row>
    <row r="833" spans="2:61" s="85" customFormat="1">
      <c r="C833" s="297">
        <v>9563</v>
      </c>
      <c r="D833" s="1261" t="s">
        <v>3485</v>
      </c>
      <c r="E833" s="297">
        <v>60</v>
      </c>
      <c r="F833" s="297">
        <v>2</v>
      </c>
      <c r="G833" s="297">
        <v>22.5</v>
      </c>
      <c r="H833" s="301">
        <f t="shared" si="33"/>
        <v>0.375</v>
      </c>
      <c r="I833" s="24">
        <f t="shared" si="34"/>
        <v>45</v>
      </c>
      <c r="J833" s="123"/>
      <c r="K833" s="123"/>
      <c r="L833" s="123"/>
      <c r="M833" s="123"/>
      <c r="N833" s="123"/>
      <c r="O833" s="123"/>
      <c r="P833" s="123"/>
      <c r="Q833" s="123"/>
      <c r="R833" s="123"/>
      <c r="S833" s="123"/>
      <c r="T833" s="123"/>
      <c r="U833" s="123"/>
      <c r="V833" s="123"/>
      <c r="W833" s="123"/>
      <c r="X833" s="123"/>
      <c r="Y833" s="123"/>
      <c r="Z833" s="123"/>
      <c r="AA833" s="123"/>
      <c r="AB833" s="123"/>
      <c r="AC833" s="123"/>
      <c r="AD833" s="123"/>
      <c r="AE833" s="123"/>
      <c r="AF833" s="123"/>
      <c r="AG833" s="123"/>
      <c r="AH833" s="123"/>
      <c r="AI833" s="123"/>
      <c r="AJ833" s="123"/>
      <c r="AK833" s="123"/>
      <c r="AL833" s="123"/>
      <c r="AM833" s="123"/>
      <c r="AN833" s="123"/>
      <c r="AO833" s="123"/>
      <c r="AP833" s="123"/>
      <c r="AQ833" s="123"/>
      <c r="AR833" s="123"/>
      <c r="AS833" s="123"/>
      <c r="AT833" s="123"/>
      <c r="AU833" s="123"/>
      <c r="AV833" s="123"/>
      <c r="AW833" s="123"/>
      <c r="AX833" s="123"/>
      <c r="AY833" s="123"/>
      <c r="AZ833" s="123"/>
      <c r="BA833" s="123"/>
      <c r="BB833" s="123"/>
      <c r="BC833" s="123"/>
      <c r="BD833" s="123"/>
      <c r="BE833" s="123"/>
      <c r="BF833" s="123"/>
      <c r="BG833" s="123"/>
      <c r="BH833" s="123"/>
      <c r="BI833" s="123"/>
    </row>
    <row r="834" spans="2:61" s="85" customFormat="1">
      <c r="C834" s="297">
        <v>21232</v>
      </c>
      <c r="D834" s="1261" t="s">
        <v>3486</v>
      </c>
      <c r="E834" s="297">
        <v>60</v>
      </c>
      <c r="F834" s="297">
        <v>2</v>
      </c>
      <c r="G834" s="297">
        <v>22.5</v>
      </c>
      <c r="H834" s="301">
        <f t="shared" si="33"/>
        <v>0.375</v>
      </c>
      <c r="I834" s="24">
        <f t="shared" si="34"/>
        <v>45</v>
      </c>
      <c r="J834" s="123"/>
      <c r="K834" s="123"/>
      <c r="L834" s="123"/>
      <c r="M834" s="123"/>
      <c r="N834" s="123"/>
      <c r="O834" s="123"/>
      <c r="P834" s="123"/>
      <c r="Q834" s="123"/>
      <c r="R834" s="123"/>
      <c r="S834" s="123"/>
      <c r="T834" s="123"/>
      <c r="U834" s="123"/>
      <c r="V834" s="123"/>
      <c r="W834" s="123"/>
      <c r="X834" s="123"/>
      <c r="Y834" s="123"/>
      <c r="Z834" s="123"/>
      <c r="AA834" s="123"/>
      <c r="AB834" s="123"/>
      <c r="AC834" s="123"/>
      <c r="AD834" s="123"/>
      <c r="AE834" s="123"/>
      <c r="AF834" s="123"/>
      <c r="AG834" s="123"/>
      <c r="AH834" s="123"/>
      <c r="AI834" s="123"/>
      <c r="AJ834" s="123"/>
      <c r="AK834" s="123"/>
      <c r="AL834" s="123"/>
      <c r="AM834" s="123"/>
      <c r="AN834" s="123"/>
      <c r="AO834" s="123"/>
      <c r="AP834" s="123"/>
      <c r="AQ834" s="123"/>
      <c r="AR834" s="123"/>
      <c r="AS834" s="123"/>
      <c r="AT834" s="123"/>
      <c r="AU834" s="123"/>
      <c r="AV834" s="123"/>
      <c r="AW834" s="123"/>
      <c r="AX834" s="123"/>
      <c r="AY834" s="123"/>
      <c r="AZ834" s="123"/>
      <c r="BA834" s="123"/>
      <c r="BB834" s="123"/>
      <c r="BC834" s="123"/>
      <c r="BD834" s="123"/>
      <c r="BE834" s="123"/>
      <c r="BF834" s="123"/>
      <c r="BG834" s="123"/>
      <c r="BH834" s="123"/>
      <c r="BI834" s="123"/>
    </row>
    <row r="835" spans="2:61" s="85" customFormat="1">
      <c r="C835" s="1240">
        <v>21231</v>
      </c>
      <c r="D835" s="1262" t="s">
        <v>3487</v>
      </c>
      <c r="E835" s="297">
        <v>60</v>
      </c>
      <c r="F835" s="297">
        <v>2</v>
      </c>
      <c r="G835" s="297">
        <v>22.5</v>
      </c>
      <c r="H835" s="301">
        <f>G835/E835</f>
        <v>0.375</v>
      </c>
      <c r="I835" s="24">
        <f>G835*F835</f>
        <v>45</v>
      </c>
      <c r="J835" s="123"/>
      <c r="K835" s="123"/>
      <c r="L835" s="123"/>
      <c r="M835" s="123"/>
      <c r="N835" s="123"/>
      <c r="O835" s="123"/>
      <c r="P835" s="123"/>
      <c r="Q835" s="123"/>
      <c r="R835" s="123"/>
      <c r="S835" s="123"/>
      <c r="T835" s="123"/>
      <c r="U835" s="123"/>
      <c r="V835" s="123"/>
      <c r="W835" s="123"/>
      <c r="X835" s="123"/>
      <c r="Y835" s="123"/>
      <c r="Z835" s="123"/>
      <c r="AA835" s="123"/>
      <c r="AB835" s="123"/>
      <c r="AC835" s="123"/>
      <c r="AD835" s="123"/>
      <c r="AE835" s="123"/>
      <c r="AF835" s="123"/>
      <c r="AG835" s="123"/>
      <c r="AH835" s="123"/>
      <c r="AI835" s="123"/>
      <c r="AJ835" s="123"/>
      <c r="AK835" s="123"/>
      <c r="AL835" s="123"/>
      <c r="AM835" s="123"/>
      <c r="AN835" s="123"/>
      <c r="AO835" s="123"/>
      <c r="AP835" s="123"/>
      <c r="AQ835" s="123"/>
      <c r="AR835" s="123"/>
      <c r="AS835" s="123"/>
      <c r="AT835" s="123"/>
      <c r="AU835" s="123"/>
      <c r="AV835" s="123"/>
      <c r="AW835" s="123"/>
      <c r="AX835" s="123"/>
      <c r="AY835" s="123"/>
      <c r="AZ835" s="123"/>
      <c r="BA835" s="123"/>
      <c r="BB835" s="123"/>
      <c r="BC835" s="123"/>
      <c r="BD835" s="123"/>
      <c r="BE835" s="123"/>
      <c r="BF835" s="123"/>
      <c r="BG835" s="123"/>
      <c r="BH835" s="123"/>
      <c r="BI835" s="123"/>
    </row>
    <row r="837" spans="2:61">
      <c r="B837" s="25"/>
      <c r="C837" s="101"/>
      <c r="D837" s="1201"/>
      <c r="E837" s="101"/>
      <c r="F837" s="101"/>
      <c r="G837" s="101"/>
      <c r="H837" s="979"/>
    </row>
    <row r="838" spans="2:61">
      <c r="B838" s="25"/>
      <c r="C838" s="101"/>
      <c r="D838" s="1201"/>
      <c r="E838" s="101"/>
      <c r="F838" s="101"/>
      <c r="G838" s="101"/>
      <c r="H838" s="979"/>
    </row>
    <row r="839" spans="2:61" ht="60">
      <c r="B839" s="25"/>
      <c r="C839" s="528" t="s">
        <v>0</v>
      </c>
      <c r="D839" s="1200" t="s">
        <v>65</v>
      </c>
      <c r="E839" s="310" t="s">
        <v>916</v>
      </c>
      <c r="F839" s="528" t="s">
        <v>68</v>
      </c>
      <c r="G839" s="310" t="s">
        <v>903</v>
      </c>
      <c r="H839" s="900" t="s">
        <v>559</v>
      </c>
      <c r="I839" s="310" t="s">
        <v>917</v>
      </c>
    </row>
    <row r="840" spans="2:61" s="123" customFormat="1" hidden="1">
      <c r="B840" s="578"/>
      <c r="C840" s="528">
        <v>13121</v>
      </c>
      <c r="D840" s="1200" t="s">
        <v>3359</v>
      </c>
      <c r="E840" s="528">
        <v>12</v>
      </c>
      <c r="F840" s="528">
        <v>0</v>
      </c>
      <c r="G840" s="528">
        <v>24</v>
      </c>
      <c r="H840" s="900">
        <f>G840/E840</f>
        <v>2</v>
      </c>
      <c r="I840" s="564">
        <f>G840*F840</f>
        <v>0</v>
      </c>
    </row>
    <row r="841" spans="2:61" hidden="1">
      <c r="B841" s="25"/>
      <c r="C841" s="528">
        <v>13926</v>
      </c>
      <c r="D841" s="1200" t="s">
        <v>1884</v>
      </c>
      <c r="E841" s="528"/>
      <c r="F841" s="528"/>
      <c r="G841" s="528"/>
      <c r="H841" s="900" t="e">
        <f t="shared" ref="H841:H904" si="35">G841/E841</f>
        <v>#DIV/0!</v>
      </c>
      <c r="I841" s="564">
        <f t="shared" ref="I841:I904" si="36">G841*F841</f>
        <v>0</v>
      </c>
    </row>
    <row r="842" spans="2:61" hidden="1">
      <c r="B842" s="25"/>
      <c r="C842" s="528">
        <v>9756</v>
      </c>
      <c r="D842" s="1200" t="s">
        <v>2474</v>
      </c>
      <c r="E842" s="528"/>
      <c r="F842" s="528"/>
      <c r="G842" s="528"/>
      <c r="H842" s="900" t="e">
        <f t="shared" si="35"/>
        <v>#DIV/0!</v>
      </c>
      <c r="I842" s="564">
        <f t="shared" si="36"/>
        <v>0</v>
      </c>
    </row>
    <row r="843" spans="2:61" hidden="1">
      <c r="B843" s="25"/>
      <c r="C843" s="528">
        <v>9734</v>
      </c>
      <c r="D843" s="1200" t="s">
        <v>2794</v>
      </c>
      <c r="E843" s="528"/>
      <c r="F843" s="528"/>
      <c r="G843" s="528"/>
      <c r="H843" s="900" t="e">
        <f t="shared" si="35"/>
        <v>#DIV/0!</v>
      </c>
      <c r="I843" s="564">
        <f t="shared" si="36"/>
        <v>0</v>
      </c>
    </row>
    <row r="844" spans="2:61" hidden="1">
      <c r="B844" s="25"/>
      <c r="C844" s="528">
        <v>15807</v>
      </c>
      <c r="D844" s="1200" t="s">
        <v>2795</v>
      </c>
      <c r="E844" s="528">
        <v>20</v>
      </c>
      <c r="F844" s="528">
        <v>0</v>
      </c>
      <c r="G844" s="528">
        <v>41.5</v>
      </c>
      <c r="H844" s="900">
        <f t="shared" si="35"/>
        <v>2.0750000000000002</v>
      </c>
      <c r="I844" s="564">
        <f t="shared" si="36"/>
        <v>0</v>
      </c>
    </row>
    <row r="845" spans="2:61" hidden="1">
      <c r="B845" s="25"/>
      <c r="C845" s="528">
        <v>21024</v>
      </c>
      <c r="D845" s="1200" t="s">
        <v>3446</v>
      </c>
      <c r="E845" s="528"/>
      <c r="F845" s="528"/>
      <c r="G845" s="528"/>
      <c r="H845" s="900" t="e">
        <f t="shared" si="35"/>
        <v>#DIV/0!</v>
      </c>
      <c r="I845" s="564">
        <f t="shared" si="36"/>
        <v>0</v>
      </c>
    </row>
    <row r="846" spans="2:61" hidden="1">
      <c r="B846" s="25"/>
      <c r="C846" s="528">
        <v>10069</v>
      </c>
      <c r="D846" s="1200" t="s">
        <v>3358</v>
      </c>
      <c r="E846" s="528">
        <v>72</v>
      </c>
      <c r="F846" s="528"/>
      <c r="G846" s="528">
        <v>177</v>
      </c>
      <c r="H846" s="900">
        <f t="shared" si="35"/>
        <v>2.4583333333333335</v>
      </c>
      <c r="I846" s="564">
        <f t="shared" si="36"/>
        <v>0</v>
      </c>
    </row>
    <row r="847" spans="2:61" hidden="1">
      <c r="B847" s="25"/>
      <c r="C847" s="528">
        <v>10068</v>
      </c>
      <c r="D847" s="1200" t="s">
        <v>2394</v>
      </c>
      <c r="E847" s="528">
        <v>72</v>
      </c>
      <c r="F847" s="528"/>
      <c r="G847" s="528">
        <v>177</v>
      </c>
      <c r="H847" s="900">
        <f t="shared" si="35"/>
        <v>2.4583333333333335</v>
      </c>
      <c r="I847" s="564">
        <f t="shared" si="36"/>
        <v>0</v>
      </c>
    </row>
    <row r="848" spans="2:61" hidden="1">
      <c r="B848" s="25"/>
      <c r="C848" s="528">
        <v>20003</v>
      </c>
      <c r="D848" s="1200" t="s">
        <v>2298</v>
      </c>
      <c r="E848" s="528"/>
      <c r="F848" s="528"/>
      <c r="G848" s="528"/>
      <c r="H848" s="900" t="e">
        <f t="shared" si="35"/>
        <v>#DIV/0!</v>
      </c>
      <c r="I848" s="564">
        <f t="shared" si="36"/>
        <v>0</v>
      </c>
    </row>
    <row r="849" spans="2:9" hidden="1">
      <c r="B849" s="25"/>
      <c r="C849" s="528">
        <v>4030</v>
      </c>
      <c r="D849" s="1200" t="s">
        <v>1885</v>
      </c>
      <c r="E849" s="528">
        <v>1000</v>
      </c>
      <c r="F849" s="528">
        <v>0</v>
      </c>
      <c r="G849" s="528">
        <v>4.4000000000000004</v>
      </c>
      <c r="H849" s="900">
        <f t="shared" si="35"/>
        <v>4.4000000000000003E-3</v>
      </c>
      <c r="I849" s="564">
        <f t="shared" si="36"/>
        <v>0</v>
      </c>
    </row>
    <row r="850" spans="2:9" hidden="1">
      <c r="B850" s="25"/>
      <c r="C850" s="528">
        <v>5047</v>
      </c>
      <c r="D850" s="1200" t="s">
        <v>2473</v>
      </c>
      <c r="E850" s="528"/>
      <c r="F850" s="528"/>
      <c r="G850" s="528"/>
      <c r="H850" s="900" t="e">
        <f t="shared" si="35"/>
        <v>#DIV/0!</v>
      </c>
      <c r="I850" s="564">
        <f t="shared" si="36"/>
        <v>0</v>
      </c>
    </row>
    <row r="851" spans="2:9" hidden="1">
      <c r="B851" s="25"/>
      <c r="C851" s="528">
        <v>10529</v>
      </c>
      <c r="D851" s="1200" t="s">
        <v>2472</v>
      </c>
      <c r="E851" s="528"/>
      <c r="F851" s="528"/>
      <c r="G851" s="528"/>
      <c r="H851" s="900" t="e">
        <f t="shared" si="35"/>
        <v>#DIV/0!</v>
      </c>
      <c r="I851" s="564">
        <f t="shared" si="36"/>
        <v>0</v>
      </c>
    </row>
    <row r="852" spans="2:9" hidden="1">
      <c r="B852" s="25"/>
      <c r="C852" s="528">
        <v>8036</v>
      </c>
      <c r="D852" s="1200" t="s">
        <v>2471</v>
      </c>
      <c r="E852" s="528"/>
      <c r="F852" s="528"/>
      <c r="G852" s="528"/>
      <c r="H852" s="900" t="e">
        <f t="shared" si="35"/>
        <v>#DIV/0!</v>
      </c>
      <c r="I852" s="564">
        <f t="shared" si="36"/>
        <v>0</v>
      </c>
    </row>
    <row r="853" spans="2:9" hidden="1">
      <c r="B853" s="25"/>
      <c r="C853" s="528">
        <v>8162</v>
      </c>
      <c r="D853" s="1200" t="s">
        <v>897</v>
      </c>
      <c r="E853" s="528"/>
      <c r="F853" s="528"/>
      <c r="G853" s="528"/>
      <c r="H853" s="900" t="e">
        <f t="shared" si="35"/>
        <v>#DIV/0!</v>
      </c>
      <c r="I853" s="564">
        <f t="shared" si="36"/>
        <v>0</v>
      </c>
    </row>
    <row r="854" spans="2:9" hidden="1">
      <c r="B854" s="25"/>
      <c r="C854" s="528">
        <v>17888</v>
      </c>
      <c r="D854" s="1200" t="s">
        <v>898</v>
      </c>
      <c r="E854" s="528"/>
      <c r="F854" s="528"/>
      <c r="G854" s="528"/>
      <c r="H854" s="900" t="e">
        <f t="shared" si="35"/>
        <v>#DIV/0!</v>
      </c>
      <c r="I854" s="564">
        <f t="shared" si="36"/>
        <v>0</v>
      </c>
    </row>
    <row r="855" spans="2:9" hidden="1">
      <c r="B855" s="25"/>
      <c r="C855" s="528">
        <v>9579</v>
      </c>
      <c r="D855" s="1200" t="s">
        <v>899</v>
      </c>
      <c r="E855" s="528"/>
      <c r="F855" s="528"/>
      <c r="G855" s="528"/>
      <c r="H855" s="900" t="e">
        <f t="shared" si="35"/>
        <v>#DIV/0!</v>
      </c>
      <c r="I855" s="564">
        <f t="shared" si="36"/>
        <v>0</v>
      </c>
    </row>
    <row r="856" spans="2:9" hidden="1">
      <c r="B856" s="25"/>
      <c r="C856" s="528">
        <v>7960</v>
      </c>
      <c r="D856" s="1200" t="s">
        <v>900</v>
      </c>
      <c r="E856" s="528"/>
      <c r="F856" s="528"/>
      <c r="G856" s="528"/>
      <c r="H856" s="900" t="e">
        <f t="shared" si="35"/>
        <v>#DIV/0!</v>
      </c>
      <c r="I856" s="564">
        <f t="shared" si="36"/>
        <v>0</v>
      </c>
    </row>
    <row r="857" spans="2:9" hidden="1">
      <c r="B857" s="25"/>
      <c r="C857" s="528">
        <v>950</v>
      </c>
      <c r="D857" s="1200" t="s">
        <v>1508</v>
      </c>
      <c r="E857" s="528"/>
      <c r="F857" s="528"/>
      <c r="G857" s="528"/>
      <c r="H857" s="900" t="e">
        <f t="shared" si="35"/>
        <v>#DIV/0!</v>
      </c>
      <c r="I857" s="564">
        <f t="shared" si="36"/>
        <v>0</v>
      </c>
    </row>
    <row r="858" spans="2:9" hidden="1">
      <c r="B858" s="25"/>
      <c r="C858" s="528">
        <v>21034</v>
      </c>
      <c r="D858" s="1200" t="s">
        <v>3170</v>
      </c>
      <c r="E858" s="528"/>
      <c r="F858" s="528"/>
      <c r="G858" s="528"/>
      <c r="H858" s="900" t="e">
        <f t="shared" si="35"/>
        <v>#DIV/0!</v>
      </c>
      <c r="I858" s="564">
        <f t="shared" si="36"/>
        <v>0</v>
      </c>
    </row>
    <row r="859" spans="2:9" hidden="1">
      <c r="B859" s="25"/>
      <c r="C859" s="528">
        <v>20010</v>
      </c>
      <c r="D859" s="1200" t="s">
        <v>2286</v>
      </c>
      <c r="E859" s="528"/>
      <c r="F859" s="528"/>
      <c r="G859" s="528"/>
      <c r="H859" s="900" t="e">
        <f t="shared" si="35"/>
        <v>#DIV/0!</v>
      </c>
      <c r="I859" s="564">
        <f t="shared" si="36"/>
        <v>0</v>
      </c>
    </row>
    <row r="860" spans="2:9" hidden="1">
      <c r="B860" s="25"/>
      <c r="C860" s="528">
        <v>16237</v>
      </c>
      <c r="D860" s="1200" t="s">
        <v>1886</v>
      </c>
      <c r="E860" s="528"/>
      <c r="F860" s="528"/>
      <c r="G860" s="528"/>
      <c r="H860" s="900" t="e">
        <f t="shared" si="35"/>
        <v>#DIV/0!</v>
      </c>
      <c r="I860" s="564">
        <f t="shared" si="36"/>
        <v>0</v>
      </c>
    </row>
    <row r="861" spans="2:9" hidden="1">
      <c r="B861" s="25"/>
      <c r="C861" s="528">
        <v>13717</v>
      </c>
      <c r="D861" s="1200" t="s">
        <v>2470</v>
      </c>
      <c r="E861" s="528"/>
      <c r="F861" s="528"/>
      <c r="G861" s="528"/>
      <c r="H861" s="900" t="e">
        <f t="shared" si="35"/>
        <v>#DIV/0!</v>
      </c>
      <c r="I861" s="564">
        <f t="shared" si="36"/>
        <v>0</v>
      </c>
    </row>
    <row r="862" spans="2:9" hidden="1">
      <c r="B862" s="25"/>
      <c r="C862" s="528">
        <v>13716</v>
      </c>
      <c r="D862" s="1200" t="s">
        <v>2796</v>
      </c>
      <c r="E862" s="528"/>
      <c r="F862" s="528"/>
      <c r="G862" s="528"/>
      <c r="H862" s="900" t="e">
        <f t="shared" si="35"/>
        <v>#DIV/0!</v>
      </c>
      <c r="I862" s="564">
        <f t="shared" si="36"/>
        <v>0</v>
      </c>
    </row>
    <row r="863" spans="2:9" hidden="1">
      <c r="B863" s="25"/>
      <c r="C863" s="528">
        <v>14998</v>
      </c>
      <c r="D863" s="1200" t="s">
        <v>2468</v>
      </c>
      <c r="E863" s="528"/>
      <c r="F863" s="528"/>
      <c r="G863" s="528"/>
      <c r="H863" s="900" t="e">
        <f t="shared" si="35"/>
        <v>#DIV/0!</v>
      </c>
      <c r="I863" s="564">
        <f t="shared" si="36"/>
        <v>0</v>
      </c>
    </row>
    <row r="864" spans="2:9" hidden="1">
      <c r="B864" s="25"/>
      <c r="C864" s="528">
        <v>8256</v>
      </c>
      <c r="D864" s="1200" t="s">
        <v>2467</v>
      </c>
      <c r="E864" s="528"/>
      <c r="F864" s="528"/>
      <c r="G864" s="528"/>
      <c r="H864" s="900" t="e">
        <f t="shared" si="35"/>
        <v>#DIV/0!</v>
      </c>
      <c r="I864" s="564">
        <f t="shared" si="36"/>
        <v>0</v>
      </c>
    </row>
    <row r="865" spans="2:9" hidden="1">
      <c r="B865" s="25"/>
      <c r="C865" s="528">
        <v>20764</v>
      </c>
      <c r="D865" s="1200" t="s">
        <v>2466</v>
      </c>
      <c r="E865" s="528"/>
      <c r="F865" s="528"/>
      <c r="G865" s="528"/>
      <c r="H865" s="900" t="e">
        <f t="shared" si="35"/>
        <v>#DIV/0!</v>
      </c>
      <c r="I865" s="564">
        <f t="shared" si="36"/>
        <v>0</v>
      </c>
    </row>
    <row r="866" spans="2:9" hidden="1">
      <c r="B866" s="25"/>
      <c r="C866" s="528">
        <v>13570</v>
      </c>
      <c r="D866" s="1200" t="s">
        <v>2465</v>
      </c>
      <c r="E866" s="528"/>
      <c r="F866" s="528"/>
      <c r="G866" s="528"/>
      <c r="H866" s="900" t="e">
        <f t="shared" si="35"/>
        <v>#DIV/0!</v>
      </c>
      <c r="I866" s="564">
        <f t="shared" si="36"/>
        <v>0</v>
      </c>
    </row>
    <row r="867" spans="2:9" hidden="1">
      <c r="B867" s="25"/>
      <c r="C867" s="528">
        <v>12392</v>
      </c>
      <c r="D867" s="1200" t="s">
        <v>2464</v>
      </c>
      <c r="E867" s="528"/>
      <c r="F867" s="528"/>
      <c r="G867" s="528"/>
      <c r="H867" s="900" t="e">
        <f t="shared" si="35"/>
        <v>#DIV/0!</v>
      </c>
      <c r="I867" s="564">
        <f t="shared" si="36"/>
        <v>0</v>
      </c>
    </row>
    <row r="868" spans="2:9" hidden="1">
      <c r="B868" s="25"/>
      <c r="C868" s="528">
        <v>10427</v>
      </c>
      <c r="D868" s="1200" t="s">
        <v>2297</v>
      </c>
      <c r="E868" s="528"/>
      <c r="F868" s="528"/>
      <c r="G868" s="528"/>
      <c r="H868" s="900" t="e">
        <f t="shared" si="35"/>
        <v>#DIV/0!</v>
      </c>
      <c r="I868" s="564">
        <f t="shared" si="36"/>
        <v>0</v>
      </c>
    </row>
    <row r="869" spans="2:9" hidden="1">
      <c r="B869" s="25"/>
      <c r="C869" s="528">
        <v>6706</v>
      </c>
      <c r="D869" s="1200" t="s">
        <v>2463</v>
      </c>
      <c r="E869" s="528"/>
      <c r="F869" s="528"/>
      <c r="G869" s="528"/>
      <c r="H869" s="900" t="e">
        <f t="shared" si="35"/>
        <v>#DIV/0!</v>
      </c>
      <c r="I869" s="564">
        <f t="shared" si="36"/>
        <v>0</v>
      </c>
    </row>
    <row r="870" spans="2:9" hidden="1">
      <c r="B870" s="25"/>
      <c r="C870" s="528">
        <v>20006</v>
      </c>
      <c r="D870" s="1200" t="s">
        <v>2289</v>
      </c>
      <c r="E870" s="528"/>
      <c r="F870" s="528"/>
      <c r="G870" s="528"/>
      <c r="H870" s="900" t="e">
        <f t="shared" si="35"/>
        <v>#DIV/0!</v>
      </c>
      <c r="I870" s="564">
        <f t="shared" si="36"/>
        <v>0</v>
      </c>
    </row>
    <row r="871" spans="2:9" hidden="1">
      <c r="B871" s="25"/>
      <c r="C871" s="528">
        <v>8016</v>
      </c>
      <c r="D871" s="1200" t="s">
        <v>2393</v>
      </c>
      <c r="E871" s="528"/>
      <c r="F871" s="528"/>
      <c r="G871" s="528"/>
      <c r="H871" s="900" t="e">
        <f t="shared" si="35"/>
        <v>#DIV/0!</v>
      </c>
      <c r="I871" s="564">
        <f t="shared" si="36"/>
        <v>0</v>
      </c>
    </row>
    <row r="872" spans="2:9" hidden="1">
      <c r="B872" s="25"/>
      <c r="C872" s="528">
        <v>8117</v>
      </c>
      <c r="D872" s="1200" t="s">
        <v>2284</v>
      </c>
      <c r="E872" s="528"/>
      <c r="F872" s="528"/>
      <c r="G872" s="528"/>
      <c r="H872" s="900" t="e">
        <f t="shared" si="35"/>
        <v>#DIV/0!</v>
      </c>
      <c r="I872" s="564">
        <f t="shared" si="36"/>
        <v>0</v>
      </c>
    </row>
    <row r="873" spans="2:9" hidden="1">
      <c r="B873" s="25"/>
      <c r="C873" s="528">
        <v>8017</v>
      </c>
      <c r="D873" s="1200" t="s">
        <v>2283</v>
      </c>
      <c r="E873" s="528"/>
      <c r="F873" s="528"/>
      <c r="G873" s="528"/>
      <c r="H873" s="900" t="e">
        <f t="shared" si="35"/>
        <v>#DIV/0!</v>
      </c>
      <c r="I873" s="564">
        <f t="shared" si="36"/>
        <v>0</v>
      </c>
    </row>
    <row r="874" spans="2:9" hidden="1">
      <c r="B874" s="25"/>
      <c r="C874" s="528">
        <v>2026</v>
      </c>
      <c r="D874" s="1200" t="s">
        <v>421</v>
      </c>
      <c r="E874" s="528"/>
      <c r="F874" s="528"/>
      <c r="G874" s="528"/>
      <c r="H874" s="900" t="e">
        <f t="shared" si="35"/>
        <v>#DIV/0!</v>
      </c>
      <c r="I874" s="564">
        <f t="shared" si="36"/>
        <v>0</v>
      </c>
    </row>
    <row r="875" spans="2:9" hidden="1">
      <c r="B875" s="25"/>
      <c r="C875" s="528">
        <v>21025</v>
      </c>
      <c r="D875" s="1200" t="s">
        <v>3357</v>
      </c>
      <c r="E875" s="528"/>
      <c r="F875" s="528"/>
      <c r="G875" s="528"/>
      <c r="H875" s="900" t="e">
        <f t="shared" si="35"/>
        <v>#DIV/0!</v>
      </c>
      <c r="I875" s="564">
        <f t="shared" si="36"/>
        <v>0</v>
      </c>
    </row>
    <row r="876" spans="2:9" hidden="1">
      <c r="B876" s="25"/>
      <c r="C876" s="528">
        <v>21030</v>
      </c>
      <c r="D876" s="1200" t="s">
        <v>3447</v>
      </c>
      <c r="E876" s="528"/>
      <c r="F876" s="528"/>
      <c r="G876" s="528"/>
      <c r="H876" s="900" t="e">
        <f t="shared" si="35"/>
        <v>#DIV/0!</v>
      </c>
      <c r="I876" s="564">
        <f t="shared" si="36"/>
        <v>0</v>
      </c>
    </row>
    <row r="877" spans="2:9" hidden="1">
      <c r="B877" s="25"/>
      <c r="C877" s="528">
        <v>13836</v>
      </c>
      <c r="D877" s="1200" t="s">
        <v>2377</v>
      </c>
      <c r="E877" s="528"/>
      <c r="F877" s="528"/>
      <c r="G877" s="528"/>
      <c r="H877" s="900" t="e">
        <f t="shared" si="35"/>
        <v>#DIV/0!</v>
      </c>
      <c r="I877" s="564">
        <f t="shared" si="36"/>
        <v>0</v>
      </c>
    </row>
    <row r="878" spans="2:9" hidden="1">
      <c r="B878" s="25"/>
      <c r="C878" s="528">
        <v>14401</v>
      </c>
      <c r="D878" s="1200" t="s">
        <v>2378</v>
      </c>
      <c r="E878" s="528"/>
      <c r="F878" s="528"/>
      <c r="G878" s="528"/>
      <c r="H878" s="900" t="e">
        <f t="shared" si="35"/>
        <v>#DIV/0!</v>
      </c>
      <c r="I878" s="564">
        <f t="shared" si="36"/>
        <v>0</v>
      </c>
    </row>
    <row r="879" spans="2:9" hidden="1">
      <c r="B879" s="25"/>
      <c r="C879" s="528">
        <v>14399</v>
      </c>
      <c r="D879" s="1200" t="s">
        <v>2379</v>
      </c>
      <c r="E879" s="528"/>
      <c r="F879" s="528"/>
      <c r="G879" s="528"/>
      <c r="H879" s="900" t="e">
        <f t="shared" si="35"/>
        <v>#DIV/0!</v>
      </c>
      <c r="I879" s="564">
        <f t="shared" si="36"/>
        <v>0</v>
      </c>
    </row>
    <row r="880" spans="2:9" hidden="1">
      <c r="B880" s="25"/>
      <c r="C880" s="528">
        <v>14400</v>
      </c>
      <c r="D880" s="1200" t="s">
        <v>2380</v>
      </c>
      <c r="E880" s="528"/>
      <c r="F880" s="528"/>
      <c r="G880" s="528"/>
      <c r="H880" s="900" t="e">
        <f t="shared" si="35"/>
        <v>#DIV/0!</v>
      </c>
      <c r="I880" s="564">
        <f t="shared" si="36"/>
        <v>0</v>
      </c>
    </row>
    <row r="881" spans="2:9" hidden="1">
      <c r="B881" s="25"/>
      <c r="C881" s="528">
        <v>21023</v>
      </c>
      <c r="D881" s="1200" t="s">
        <v>3448</v>
      </c>
      <c r="E881" s="528"/>
      <c r="F881" s="528"/>
      <c r="G881" s="528"/>
      <c r="H881" s="900" t="e">
        <f t="shared" si="35"/>
        <v>#DIV/0!</v>
      </c>
      <c r="I881" s="564">
        <f t="shared" si="36"/>
        <v>0</v>
      </c>
    </row>
    <row r="882" spans="2:9" hidden="1">
      <c r="B882" s="25"/>
      <c r="C882" s="528">
        <v>13582</v>
      </c>
      <c r="D882" s="1200" t="s">
        <v>2462</v>
      </c>
      <c r="E882" s="528"/>
      <c r="F882" s="528"/>
      <c r="G882" s="528"/>
      <c r="H882" s="900" t="e">
        <f t="shared" si="35"/>
        <v>#DIV/0!</v>
      </c>
      <c r="I882" s="564">
        <f t="shared" si="36"/>
        <v>0</v>
      </c>
    </row>
    <row r="883" spans="2:9" hidden="1">
      <c r="B883" s="25"/>
      <c r="C883" s="528">
        <v>21029</v>
      </c>
      <c r="D883" s="1200" t="s">
        <v>3449</v>
      </c>
      <c r="E883" s="528"/>
      <c r="F883" s="528"/>
      <c r="G883" s="528"/>
      <c r="H883" s="900" t="e">
        <f t="shared" si="35"/>
        <v>#DIV/0!</v>
      </c>
      <c r="I883" s="564">
        <f t="shared" si="36"/>
        <v>0</v>
      </c>
    </row>
    <row r="884" spans="2:9" hidden="1">
      <c r="B884" s="25"/>
      <c r="C884" s="528">
        <v>13583</v>
      </c>
      <c r="D884" s="1200" t="s">
        <v>2461</v>
      </c>
      <c r="E884" s="528"/>
      <c r="F884" s="528"/>
      <c r="G884" s="528"/>
      <c r="H884" s="900" t="e">
        <f t="shared" si="35"/>
        <v>#DIV/0!</v>
      </c>
      <c r="I884" s="564">
        <f t="shared" si="36"/>
        <v>0</v>
      </c>
    </row>
    <row r="885" spans="2:9" hidden="1">
      <c r="B885" s="25"/>
      <c r="C885" s="528">
        <v>13585</v>
      </c>
      <c r="D885" s="1200" t="s">
        <v>2460</v>
      </c>
      <c r="E885" s="528"/>
      <c r="F885" s="528"/>
      <c r="G885" s="528"/>
      <c r="H885" s="900" t="e">
        <f t="shared" si="35"/>
        <v>#DIV/0!</v>
      </c>
      <c r="I885" s="564">
        <f t="shared" si="36"/>
        <v>0</v>
      </c>
    </row>
    <row r="886" spans="2:9" hidden="1">
      <c r="B886" s="25"/>
      <c r="C886" s="528">
        <v>13584</v>
      </c>
      <c r="D886" s="1200" t="s">
        <v>2459</v>
      </c>
      <c r="E886" s="528"/>
      <c r="F886" s="528"/>
      <c r="G886" s="528"/>
      <c r="H886" s="900" t="e">
        <f t="shared" si="35"/>
        <v>#DIV/0!</v>
      </c>
      <c r="I886" s="564">
        <f t="shared" si="36"/>
        <v>0</v>
      </c>
    </row>
    <row r="887" spans="2:9" hidden="1">
      <c r="B887" s="25"/>
      <c r="C887" s="528">
        <v>13581</v>
      </c>
      <c r="D887" s="1200" t="s">
        <v>2381</v>
      </c>
      <c r="E887" s="528"/>
      <c r="F887" s="528"/>
      <c r="G887" s="528"/>
      <c r="H887" s="900" t="e">
        <f t="shared" si="35"/>
        <v>#DIV/0!</v>
      </c>
      <c r="I887" s="564">
        <f t="shared" si="36"/>
        <v>0</v>
      </c>
    </row>
    <row r="888" spans="2:9" hidden="1">
      <c r="B888" s="25"/>
      <c r="C888" s="528">
        <v>18707</v>
      </c>
      <c r="D888" s="1200" t="s">
        <v>2797</v>
      </c>
      <c r="E888" s="528">
        <v>12</v>
      </c>
      <c r="F888" s="528">
        <v>0</v>
      </c>
      <c r="G888" s="528">
        <v>7.7</v>
      </c>
      <c r="H888" s="900">
        <f t="shared" si="35"/>
        <v>0.64166666666666672</v>
      </c>
      <c r="I888" s="564">
        <f t="shared" si="36"/>
        <v>0</v>
      </c>
    </row>
    <row r="889" spans="2:9" hidden="1">
      <c r="B889" s="25"/>
      <c r="C889" s="528">
        <v>18714</v>
      </c>
      <c r="D889" s="1200" t="s">
        <v>2279</v>
      </c>
      <c r="E889" s="528"/>
      <c r="F889" s="528"/>
      <c r="G889" s="528"/>
      <c r="H889" s="900" t="e">
        <f t="shared" si="35"/>
        <v>#DIV/0!</v>
      </c>
      <c r="I889" s="564">
        <f t="shared" si="36"/>
        <v>0</v>
      </c>
    </row>
    <row r="890" spans="2:9" hidden="1">
      <c r="B890" s="25"/>
      <c r="C890" s="528">
        <v>16239</v>
      </c>
      <c r="D890" s="1200" t="s">
        <v>2798</v>
      </c>
      <c r="E890" s="528"/>
      <c r="F890" s="528"/>
      <c r="G890" s="528"/>
      <c r="H890" s="900" t="e">
        <f t="shared" si="35"/>
        <v>#DIV/0!</v>
      </c>
      <c r="I890" s="564">
        <f t="shared" si="36"/>
        <v>0</v>
      </c>
    </row>
    <row r="891" spans="2:9" hidden="1">
      <c r="B891" s="25"/>
      <c r="C891" s="528">
        <v>14766</v>
      </c>
      <c r="D891" s="1200" t="s">
        <v>2799</v>
      </c>
      <c r="E891" s="528"/>
      <c r="F891" s="528"/>
      <c r="G891" s="528"/>
      <c r="H891" s="900" t="e">
        <f t="shared" si="35"/>
        <v>#DIV/0!</v>
      </c>
      <c r="I891" s="564">
        <f t="shared" si="36"/>
        <v>0</v>
      </c>
    </row>
    <row r="892" spans="2:9" hidden="1">
      <c r="B892" s="25"/>
      <c r="C892" s="528">
        <v>9499</v>
      </c>
      <c r="D892" s="1200" t="s">
        <v>2458</v>
      </c>
      <c r="E892" s="528"/>
      <c r="F892" s="528"/>
      <c r="G892" s="528"/>
      <c r="H892" s="900" t="e">
        <f t="shared" si="35"/>
        <v>#DIV/0!</v>
      </c>
      <c r="I892" s="564">
        <f t="shared" si="36"/>
        <v>0</v>
      </c>
    </row>
    <row r="893" spans="2:9" hidden="1">
      <c r="B893" s="25"/>
      <c r="C893" s="528">
        <v>20012</v>
      </c>
      <c r="D893" s="1200" t="s">
        <v>2287</v>
      </c>
      <c r="E893" s="528"/>
      <c r="F893" s="528"/>
      <c r="G893" s="528"/>
      <c r="H893" s="900" t="e">
        <f t="shared" si="35"/>
        <v>#DIV/0!</v>
      </c>
      <c r="I893" s="564">
        <f t="shared" si="36"/>
        <v>0</v>
      </c>
    </row>
    <row r="894" spans="2:9" hidden="1">
      <c r="B894" s="25"/>
      <c r="C894" s="528">
        <v>15426</v>
      </c>
      <c r="D894" s="1200" t="s">
        <v>1887</v>
      </c>
      <c r="E894" s="528"/>
      <c r="F894" s="528"/>
      <c r="G894" s="528"/>
      <c r="H894" s="900" t="e">
        <f t="shared" si="35"/>
        <v>#DIV/0!</v>
      </c>
      <c r="I894" s="564">
        <f t="shared" si="36"/>
        <v>0</v>
      </c>
    </row>
    <row r="895" spans="2:9" hidden="1">
      <c r="B895" s="25"/>
      <c r="C895" s="528">
        <v>15430</v>
      </c>
      <c r="D895" s="1200" t="s">
        <v>2280</v>
      </c>
      <c r="E895" s="528"/>
      <c r="F895" s="528"/>
      <c r="G895" s="528"/>
      <c r="H895" s="900" t="e">
        <f t="shared" si="35"/>
        <v>#DIV/0!</v>
      </c>
      <c r="I895" s="564">
        <f t="shared" si="36"/>
        <v>0</v>
      </c>
    </row>
    <row r="896" spans="2:9" hidden="1">
      <c r="B896" s="25"/>
      <c r="C896" s="528">
        <v>15428</v>
      </c>
      <c r="D896" s="1200" t="s">
        <v>1888</v>
      </c>
      <c r="E896" s="528"/>
      <c r="F896" s="528"/>
      <c r="G896" s="528"/>
      <c r="H896" s="900" t="e">
        <f t="shared" si="35"/>
        <v>#DIV/0!</v>
      </c>
      <c r="I896" s="564">
        <f t="shared" si="36"/>
        <v>0</v>
      </c>
    </row>
    <row r="897" spans="2:9" hidden="1">
      <c r="B897" s="25"/>
      <c r="C897" s="528">
        <v>10416</v>
      </c>
      <c r="D897" s="1200" t="s">
        <v>2382</v>
      </c>
      <c r="E897" s="528"/>
      <c r="F897" s="528"/>
      <c r="G897" s="528"/>
      <c r="H897" s="900" t="e">
        <f t="shared" si="35"/>
        <v>#DIV/0!</v>
      </c>
      <c r="I897" s="564">
        <f t="shared" si="36"/>
        <v>0</v>
      </c>
    </row>
    <row r="898" spans="2:9" hidden="1">
      <c r="B898" s="25"/>
      <c r="C898" s="528">
        <v>15767</v>
      </c>
      <c r="D898" s="1200" t="s">
        <v>1889</v>
      </c>
      <c r="E898" s="528"/>
      <c r="F898" s="528"/>
      <c r="G898" s="528"/>
      <c r="H898" s="900" t="e">
        <f t="shared" si="35"/>
        <v>#DIV/0!</v>
      </c>
      <c r="I898" s="564">
        <f t="shared" si="36"/>
        <v>0</v>
      </c>
    </row>
    <row r="899" spans="2:9" hidden="1">
      <c r="B899" s="25"/>
      <c r="C899" s="528">
        <v>9500</v>
      </c>
      <c r="D899" s="1200" t="s">
        <v>2800</v>
      </c>
      <c r="E899" s="528"/>
      <c r="F899" s="528"/>
      <c r="G899" s="528"/>
      <c r="H899" s="900" t="e">
        <f t="shared" si="35"/>
        <v>#DIV/0!</v>
      </c>
      <c r="I899" s="564">
        <f t="shared" si="36"/>
        <v>0</v>
      </c>
    </row>
    <row r="900" spans="2:9" hidden="1">
      <c r="B900" s="25"/>
      <c r="C900" s="528">
        <v>15750</v>
      </c>
      <c r="D900" s="1200" t="s">
        <v>3164</v>
      </c>
      <c r="E900" s="528"/>
      <c r="F900" s="528"/>
      <c r="G900" s="528"/>
      <c r="H900" s="900" t="e">
        <f t="shared" si="35"/>
        <v>#DIV/0!</v>
      </c>
      <c r="I900" s="564">
        <f t="shared" si="36"/>
        <v>0</v>
      </c>
    </row>
    <row r="901" spans="2:9" hidden="1">
      <c r="B901" s="25"/>
      <c r="C901" s="528">
        <v>9252</v>
      </c>
      <c r="D901" s="1200" t="s">
        <v>2285</v>
      </c>
      <c r="E901" s="528"/>
      <c r="F901" s="528"/>
      <c r="G901" s="528"/>
      <c r="H901" s="900" t="e">
        <f t="shared" si="35"/>
        <v>#DIV/0!</v>
      </c>
      <c r="I901" s="564">
        <f t="shared" si="36"/>
        <v>0</v>
      </c>
    </row>
    <row r="902" spans="2:9" hidden="1">
      <c r="B902" s="25"/>
      <c r="C902" s="528">
        <v>13577</v>
      </c>
      <c r="D902" s="1200" t="s">
        <v>2275</v>
      </c>
      <c r="E902" s="528"/>
      <c r="F902" s="528"/>
      <c r="G902" s="528"/>
      <c r="H902" s="900" t="e">
        <f t="shared" si="35"/>
        <v>#DIV/0!</v>
      </c>
      <c r="I902" s="564">
        <f t="shared" si="36"/>
        <v>0</v>
      </c>
    </row>
    <row r="903" spans="2:9" hidden="1">
      <c r="B903" s="25"/>
      <c r="C903" s="528">
        <v>6901</v>
      </c>
      <c r="D903" s="1200" t="s">
        <v>1374</v>
      </c>
      <c r="E903" s="528"/>
      <c r="F903" s="528"/>
      <c r="G903" s="528"/>
      <c r="H903" s="900" t="e">
        <f t="shared" si="35"/>
        <v>#DIV/0!</v>
      </c>
      <c r="I903" s="564">
        <f t="shared" si="36"/>
        <v>0</v>
      </c>
    </row>
    <row r="904" spans="2:9" hidden="1">
      <c r="B904" s="25"/>
      <c r="C904" s="528">
        <v>8309</v>
      </c>
      <c r="D904" s="1200" t="s">
        <v>2457</v>
      </c>
      <c r="E904" s="528"/>
      <c r="F904" s="528"/>
      <c r="G904" s="528"/>
      <c r="H904" s="900" t="e">
        <f t="shared" si="35"/>
        <v>#DIV/0!</v>
      </c>
      <c r="I904" s="564">
        <f t="shared" si="36"/>
        <v>0</v>
      </c>
    </row>
    <row r="905" spans="2:9" hidden="1">
      <c r="B905" s="25"/>
      <c r="C905" s="528">
        <v>15403</v>
      </c>
      <c r="D905" s="1200" t="s">
        <v>3356</v>
      </c>
      <c r="E905" s="528">
        <v>26</v>
      </c>
      <c r="F905" s="528">
        <v>0</v>
      </c>
      <c r="G905" s="528">
        <v>15.1</v>
      </c>
      <c r="H905" s="900">
        <f t="shared" ref="H905:H968" si="37">G905/E905</f>
        <v>0.5807692307692307</v>
      </c>
      <c r="I905" s="564">
        <f t="shared" ref="I905:I968" si="38">G905*F905</f>
        <v>0</v>
      </c>
    </row>
    <row r="906" spans="2:9" hidden="1">
      <c r="B906" s="25"/>
      <c r="C906" s="528">
        <v>21032</v>
      </c>
      <c r="D906" s="1200" t="s">
        <v>3450</v>
      </c>
      <c r="E906" s="528"/>
      <c r="F906" s="528"/>
      <c r="G906" s="528"/>
      <c r="H906" s="900" t="e">
        <f t="shared" si="37"/>
        <v>#DIV/0!</v>
      </c>
      <c r="I906" s="564">
        <f t="shared" si="38"/>
        <v>0</v>
      </c>
    </row>
    <row r="907" spans="2:9" hidden="1">
      <c r="B907" s="25"/>
      <c r="C907" s="528">
        <v>9923</v>
      </c>
      <c r="D907" s="1200" t="s">
        <v>1890</v>
      </c>
      <c r="E907" s="528"/>
      <c r="F907" s="528"/>
      <c r="G907" s="528"/>
      <c r="H907" s="900" t="e">
        <f t="shared" si="37"/>
        <v>#DIV/0!</v>
      </c>
      <c r="I907" s="564">
        <f t="shared" si="38"/>
        <v>0</v>
      </c>
    </row>
    <row r="908" spans="2:9" hidden="1">
      <c r="B908" s="25"/>
      <c r="C908" s="528">
        <v>13568</v>
      </c>
      <c r="D908" s="1200" t="s">
        <v>2456</v>
      </c>
      <c r="E908" s="528"/>
      <c r="F908" s="528"/>
      <c r="G908" s="528"/>
      <c r="H908" s="900" t="e">
        <f t="shared" si="37"/>
        <v>#DIV/0!</v>
      </c>
      <c r="I908" s="564">
        <f t="shared" si="38"/>
        <v>0</v>
      </c>
    </row>
    <row r="909" spans="2:9" hidden="1">
      <c r="B909" s="25"/>
      <c r="C909" s="528">
        <v>17887</v>
      </c>
      <c r="D909" s="1200" t="s">
        <v>1891</v>
      </c>
      <c r="E909" s="528"/>
      <c r="F909" s="528"/>
      <c r="G909" s="528"/>
      <c r="H909" s="900" t="e">
        <f t="shared" si="37"/>
        <v>#DIV/0!</v>
      </c>
      <c r="I909" s="564">
        <f t="shared" si="38"/>
        <v>0</v>
      </c>
    </row>
    <row r="910" spans="2:9" hidden="1">
      <c r="B910" s="25"/>
      <c r="C910" s="528">
        <v>21027</v>
      </c>
      <c r="D910" s="1200" t="s">
        <v>3451</v>
      </c>
      <c r="E910" s="528">
        <v>24</v>
      </c>
      <c r="F910" s="528">
        <v>0</v>
      </c>
      <c r="G910" s="528">
        <v>27.9</v>
      </c>
      <c r="H910" s="900">
        <f t="shared" si="37"/>
        <v>1.1624999999999999</v>
      </c>
      <c r="I910" s="564">
        <f t="shared" si="38"/>
        <v>0</v>
      </c>
    </row>
    <row r="911" spans="2:9" hidden="1">
      <c r="B911" s="25"/>
      <c r="C911" s="528">
        <v>11384</v>
      </c>
      <c r="D911" s="1200" t="s">
        <v>1892</v>
      </c>
      <c r="E911" s="528"/>
      <c r="F911" s="528"/>
      <c r="G911" s="528"/>
      <c r="H911" s="900" t="e">
        <f t="shared" si="37"/>
        <v>#DIV/0!</v>
      </c>
      <c r="I911" s="564">
        <f t="shared" si="38"/>
        <v>0</v>
      </c>
    </row>
    <row r="912" spans="2:9" hidden="1">
      <c r="B912" s="25"/>
      <c r="C912" s="528">
        <v>13718</v>
      </c>
      <c r="D912" s="1200" t="s">
        <v>1893</v>
      </c>
      <c r="E912" s="528"/>
      <c r="F912" s="528"/>
      <c r="G912" s="528"/>
      <c r="H912" s="900" t="e">
        <f t="shared" si="37"/>
        <v>#DIV/0!</v>
      </c>
      <c r="I912" s="564">
        <f t="shared" si="38"/>
        <v>0</v>
      </c>
    </row>
    <row r="913" spans="2:9" hidden="1">
      <c r="B913" s="25"/>
      <c r="C913" s="528">
        <v>10228</v>
      </c>
      <c r="D913" s="1200" t="s">
        <v>1894</v>
      </c>
      <c r="E913" s="528"/>
      <c r="F913" s="528"/>
      <c r="G913" s="528"/>
      <c r="H913" s="900" t="e">
        <f t="shared" si="37"/>
        <v>#DIV/0!</v>
      </c>
      <c r="I913" s="564">
        <f t="shared" si="38"/>
        <v>0</v>
      </c>
    </row>
    <row r="914" spans="2:9" hidden="1">
      <c r="B914" s="25"/>
      <c r="C914" s="528">
        <v>10238</v>
      </c>
      <c r="D914" s="1200" t="s">
        <v>1491</v>
      </c>
      <c r="E914" s="528"/>
      <c r="F914" s="528"/>
      <c r="G914" s="528"/>
      <c r="H914" s="900" t="e">
        <f t="shared" si="37"/>
        <v>#DIV/0!</v>
      </c>
      <c r="I914" s="564">
        <f t="shared" si="38"/>
        <v>0</v>
      </c>
    </row>
    <row r="915" spans="2:9" hidden="1">
      <c r="B915" s="25"/>
      <c r="C915" s="528">
        <v>8000</v>
      </c>
      <c r="D915" s="1200" t="s">
        <v>2384</v>
      </c>
      <c r="E915" s="528"/>
      <c r="F915" s="528"/>
      <c r="G915" s="528"/>
      <c r="H915" s="900" t="e">
        <f t="shared" si="37"/>
        <v>#DIV/0!</v>
      </c>
      <c r="I915" s="564">
        <f t="shared" si="38"/>
        <v>0</v>
      </c>
    </row>
    <row r="916" spans="2:9" hidden="1">
      <c r="B916" s="25"/>
      <c r="C916" s="528">
        <v>20014</v>
      </c>
      <c r="D916" s="1200" t="s">
        <v>2295</v>
      </c>
      <c r="E916" s="528">
        <v>20</v>
      </c>
      <c r="F916" s="528"/>
      <c r="G916" s="528">
        <v>43</v>
      </c>
      <c r="H916" s="900">
        <f t="shared" si="37"/>
        <v>2.15</v>
      </c>
      <c r="I916" s="564">
        <f t="shared" si="38"/>
        <v>0</v>
      </c>
    </row>
    <row r="917" spans="2:9" hidden="1">
      <c r="B917" s="25"/>
      <c r="C917" s="528">
        <v>13719</v>
      </c>
      <c r="D917" s="1200" t="s">
        <v>1895</v>
      </c>
      <c r="E917" s="528"/>
      <c r="F917" s="528"/>
      <c r="G917" s="528"/>
      <c r="H917" s="900" t="e">
        <f t="shared" si="37"/>
        <v>#DIV/0!</v>
      </c>
      <c r="I917" s="564">
        <f t="shared" si="38"/>
        <v>0</v>
      </c>
    </row>
    <row r="918" spans="2:9" hidden="1">
      <c r="B918" s="25"/>
      <c r="C918" s="528">
        <v>13720</v>
      </c>
      <c r="D918" s="1200" t="s">
        <v>1896</v>
      </c>
      <c r="E918" s="528"/>
      <c r="F918" s="528"/>
      <c r="G918" s="528"/>
      <c r="H918" s="900" t="e">
        <f t="shared" si="37"/>
        <v>#DIV/0!</v>
      </c>
      <c r="I918" s="564">
        <f t="shared" si="38"/>
        <v>0</v>
      </c>
    </row>
    <row r="919" spans="2:9" s="123" customFormat="1">
      <c r="B919" s="578"/>
      <c r="C919" s="528">
        <v>9755</v>
      </c>
      <c r="D919" s="1200" t="s">
        <v>1897</v>
      </c>
      <c r="E919" s="528">
        <v>24</v>
      </c>
      <c r="F919" s="528">
        <v>100</v>
      </c>
      <c r="G919" s="528">
        <v>15</v>
      </c>
      <c r="H919" s="900">
        <f t="shared" si="37"/>
        <v>0.625</v>
      </c>
      <c r="I919" s="564">
        <f t="shared" si="38"/>
        <v>1500</v>
      </c>
    </row>
    <row r="920" spans="2:9" s="123" customFormat="1" hidden="1">
      <c r="B920" s="578"/>
      <c r="C920" s="528">
        <v>10396</v>
      </c>
      <c r="D920" s="1200" t="s">
        <v>1898</v>
      </c>
      <c r="E920" s="528">
        <v>12</v>
      </c>
      <c r="F920" s="528">
        <v>0</v>
      </c>
      <c r="G920" s="528">
        <v>14.8</v>
      </c>
      <c r="H920" s="900">
        <f t="shared" si="37"/>
        <v>1.2333333333333334</v>
      </c>
      <c r="I920" s="564">
        <f t="shared" si="38"/>
        <v>0</v>
      </c>
    </row>
    <row r="921" spans="2:9" s="123" customFormat="1" hidden="1">
      <c r="B921" s="578"/>
      <c r="C921" s="528">
        <v>13580</v>
      </c>
      <c r="D921" s="1200" t="s">
        <v>2398</v>
      </c>
      <c r="E921" s="528"/>
      <c r="F921" s="528"/>
      <c r="G921" s="528"/>
      <c r="H921" s="900" t="e">
        <f t="shared" si="37"/>
        <v>#DIV/0!</v>
      </c>
      <c r="I921" s="564">
        <f t="shared" si="38"/>
        <v>0</v>
      </c>
    </row>
    <row r="922" spans="2:9" s="123" customFormat="1" hidden="1">
      <c r="B922" s="578"/>
      <c r="C922" s="528">
        <v>14308</v>
      </c>
      <c r="D922" s="1200" t="s">
        <v>2801</v>
      </c>
      <c r="E922" s="528"/>
      <c r="F922" s="528"/>
      <c r="G922" s="528"/>
      <c r="H922" s="900" t="e">
        <f t="shared" si="37"/>
        <v>#DIV/0!</v>
      </c>
      <c r="I922" s="564">
        <f t="shared" si="38"/>
        <v>0</v>
      </c>
    </row>
    <row r="923" spans="2:9" s="123" customFormat="1" hidden="1">
      <c r="B923" s="578"/>
      <c r="C923" s="528">
        <v>5864</v>
      </c>
      <c r="D923" s="1200" t="s">
        <v>2296</v>
      </c>
      <c r="E923" s="528"/>
      <c r="F923" s="528"/>
      <c r="G923" s="528"/>
      <c r="H923" s="900" t="e">
        <f t="shared" si="37"/>
        <v>#DIV/0!</v>
      </c>
      <c r="I923" s="564">
        <f t="shared" si="38"/>
        <v>0</v>
      </c>
    </row>
    <row r="924" spans="2:9" s="123" customFormat="1" hidden="1">
      <c r="B924" s="578"/>
      <c r="C924" s="528">
        <v>13569</v>
      </c>
      <c r="D924" s="1200" t="s">
        <v>2455</v>
      </c>
      <c r="E924" s="528"/>
      <c r="F924" s="528"/>
      <c r="G924" s="528"/>
      <c r="H924" s="900" t="e">
        <f t="shared" si="37"/>
        <v>#DIV/0!</v>
      </c>
      <c r="I924" s="564">
        <f t="shared" si="38"/>
        <v>0</v>
      </c>
    </row>
    <row r="925" spans="2:9" s="123" customFormat="1" hidden="1">
      <c r="B925" s="578"/>
      <c r="C925" s="528">
        <v>13578</v>
      </c>
      <c r="D925" s="1200" t="s">
        <v>2282</v>
      </c>
      <c r="E925" s="528"/>
      <c r="F925" s="528"/>
      <c r="G925" s="528"/>
      <c r="H925" s="900" t="e">
        <f t="shared" si="37"/>
        <v>#DIV/0!</v>
      </c>
      <c r="I925" s="564">
        <f t="shared" si="38"/>
        <v>0</v>
      </c>
    </row>
    <row r="926" spans="2:9" s="123" customFormat="1" hidden="1">
      <c r="B926" s="578"/>
      <c r="C926" s="528">
        <v>20892</v>
      </c>
      <c r="D926" s="1200" t="s">
        <v>3165</v>
      </c>
      <c r="E926" s="528"/>
      <c r="F926" s="528"/>
      <c r="G926" s="528"/>
      <c r="H926" s="900" t="e">
        <f t="shared" si="37"/>
        <v>#DIV/0!</v>
      </c>
      <c r="I926" s="564">
        <f t="shared" si="38"/>
        <v>0</v>
      </c>
    </row>
    <row r="927" spans="2:9" s="123" customFormat="1" hidden="1">
      <c r="B927" s="578"/>
      <c r="C927" s="528">
        <v>20893</v>
      </c>
      <c r="D927" s="1200" t="s">
        <v>3166</v>
      </c>
      <c r="E927" s="528"/>
      <c r="F927" s="528"/>
      <c r="G927" s="528"/>
      <c r="H927" s="900" t="e">
        <f t="shared" si="37"/>
        <v>#DIV/0!</v>
      </c>
      <c r="I927" s="564">
        <f t="shared" si="38"/>
        <v>0</v>
      </c>
    </row>
    <row r="928" spans="2:9" s="123" customFormat="1" hidden="1">
      <c r="B928" s="578"/>
      <c r="C928" s="528">
        <v>20894</v>
      </c>
      <c r="D928" s="1200" t="s">
        <v>3167</v>
      </c>
      <c r="E928" s="528"/>
      <c r="F928" s="528"/>
      <c r="G928" s="528"/>
      <c r="H928" s="900" t="e">
        <f t="shared" si="37"/>
        <v>#DIV/0!</v>
      </c>
      <c r="I928" s="564">
        <f t="shared" si="38"/>
        <v>0</v>
      </c>
    </row>
    <row r="929" spans="2:9" s="123" customFormat="1" hidden="1">
      <c r="B929" s="578"/>
      <c r="C929" s="528">
        <v>18135</v>
      </c>
      <c r="D929" s="1200" t="s">
        <v>2802</v>
      </c>
      <c r="E929" s="528">
        <v>12</v>
      </c>
      <c r="F929" s="528">
        <v>0</v>
      </c>
      <c r="G929" s="528">
        <v>8.4</v>
      </c>
      <c r="H929" s="900">
        <f t="shared" si="37"/>
        <v>0.70000000000000007</v>
      </c>
      <c r="I929" s="564">
        <f t="shared" si="38"/>
        <v>0</v>
      </c>
    </row>
    <row r="930" spans="2:9" s="123" customFormat="1" hidden="1">
      <c r="B930" s="578"/>
      <c r="C930" s="528">
        <v>20803</v>
      </c>
      <c r="D930" s="1200" t="s">
        <v>3173</v>
      </c>
      <c r="E930" s="528">
        <v>12</v>
      </c>
      <c r="F930" s="528">
        <v>0</v>
      </c>
      <c r="G930" s="528">
        <v>6.4</v>
      </c>
      <c r="H930" s="900">
        <f t="shared" si="37"/>
        <v>0.53333333333333333</v>
      </c>
      <c r="I930" s="564">
        <f t="shared" si="38"/>
        <v>0</v>
      </c>
    </row>
    <row r="931" spans="2:9" s="123" customFormat="1" hidden="1">
      <c r="B931" s="578"/>
      <c r="C931" s="528"/>
      <c r="D931" s="1200" t="s">
        <v>3459</v>
      </c>
      <c r="E931" s="528">
        <v>12</v>
      </c>
      <c r="F931" s="528">
        <v>0</v>
      </c>
      <c r="G931" s="528">
        <v>9</v>
      </c>
      <c r="H931" s="900">
        <f t="shared" si="37"/>
        <v>0.75</v>
      </c>
      <c r="I931" s="564">
        <f t="shared" si="38"/>
        <v>0</v>
      </c>
    </row>
    <row r="932" spans="2:9" s="123" customFormat="1" hidden="1">
      <c r="B932" s="578"/>
      <c r="C932" s="528">
        <v>2131</v>
      </c>
      <c r="D932" s="1200" t="s">
        <v>3452</v>
      </c>
      <c r="E932" s="528"/>
      <c r="F932" s="528"/>
      <c r="G932" s="528"/>
      <c r="H932" s="900" t="e">
        <f t="shared" si="37"/>
        <v>#DIV/0!</v>
      </c>
      <c r="I932" s="564">
        <f t="shared" si="38"/>
        <v>0</v>
      </c>
    </row>
    <row r="933" spans="2:9" s="123" customFormat="1" hidden="1">
      <c r="B933" s="578"/>
      <c r="C933" s="528">
        <v>2647</v>
      </c>
      <c r="D933" s="1200" t="s">
        <v>1899</v>
      </c>
      <c r="E933" s="528"/>
      <c r="F933" s="528"/>
      <c r="G933" s="528"/>
      <c r="H933" s="900" t="e">
        <f t="shared" si="37"/>
        <v>#DIV/0!</v>
      </c>
      <c r="I933" s="564">
        <f t="shared" si="38"/>
        <v>0</v>
      </c>
    </row>
    <row r="934" spans="2:9" s="123" customFormat="1" hidden="1">
      <c r="B934" s="578"/>
      <c r="C934" s="528">
        <v>20007</v>
      </c>
      <c r="D934" s="1200" t="s">
        <v>2293</v>
      </c>
      <c r="E934" s="528"/>
      <c r="F934" s="528"/>
      <c r="G934" s="528"/>
      <c r="H934" s="900" t="e">
        <f t="shared" si="37"/>
        <v>#DIV/0!</v>
      </c>
      <c r="I934" s="564">
        <f t="shared" si="38"/>
        <v>0</v>
      </c>
    </row>
    <row r="935" spans="2:9" s="123" customFormat="1" hidden="1">
      <c r="B935" s="578"/>
      <c r="C935" s="528">
        <v>7644</v>
      </c>
      <c r="D935" s="1200" t="s">
        <v>2454</v>
      </c>
      <c r="E935" s="528"/>
      <c r="F935" s="528"/>
      <c r="G935" s="528"/>
      <c r="H935" s="900" t="e">
        <f t="shared" si="37"/>
        <v>#DIV/0!</v>
      </c>
      <c r="I935" s="564">
        <f t="shared" si="38"/>
        <v>0</v>
      </c>
    </row>
    <row r="936" spans="2:9" s="123" customFormat="1" hidden="1">
      <c r="B936" s="578"/>
      <c r="C936" s="528">
        <v>20011</v>
      </c>
      <c r="D936" s="1200" t="s">
        <v>2294</v>
      </c>
      <c r="E936" s="528"/>
      <c r="F936" s="528"/>
      <c r="G936" s="528"/>
      <c r="H936" s="900" t="e">
        <f t="shared" si="37"/>
        <v>#DIV/0!</v>
      </c>
      <c r="I936" s="564">
        <f t="shared" si="38"/>
        <v>0</v>
      </c>
    </row>
    <row r="937" spans="2:9" s="123" customFormat="1" hidden="1">
      <c r="B937" s="578"/>
      <c r="C937" s="528">
        <v>6408</v>
      </c>
      <c r="D937" s="1200" t="s">
        <v>3453</v>
      </c>
      <c r="E937" s="528"/>
      <c r="F937" s="528"/>
      <c r="G937" s="528"/>
      <c r="H937" s="900" t="e">
        <f t="shared" si="37"/>
        <v>#DIV/0!</v>
      </c>
      <c r="I937" s="564">
        <f t="shared" si="38"/>
        <v>0</v>
      </c>
    </row>
    <row r="938" spans="2:9" s="123" customFormat="1" hidden="1">
      <c r="B938" s="578"/>
      <c r="C938" s="528">
        <v>6407</v>
      </c>
      <c r="D938" s="1200" t="s">
        <v>3454</v>
      </c>
      <c r="E938" s="528"/>
      <c r="F938" s="528"/>
      <c r="G938" s="528"/>
      <c r="H938" s="900" t="e">
        <f t="shared" si="37"/>
        <v>#DIV/0!</v>
      </c>
      <c r="I938" s="564">
        <f t="shared" si="38"/>
        <v>0</v>
      </c>
    </row>
    <row r="939" spans="2:9" s="123" customFormat="1" hidden="1">
      <c r="B939" s="578"/>
      <c r="C939" s="528">
        <v>14402</v>
      </c>
      <c r="D939" s="1200" t="s">
        <v>2453</v>
      </c>
      <c r="E939" s="528"/>
      <c r="F939" s="528"/>
      <c r="G939" s="528"/>
      <c r="H939" s="900" t="e">
        <f t="shared" si="37"/>
        <v>#DIV/0!</v>
      </c>
      <c r="I939" s="564">
        <f t="shared" si="38"/>
        <v>0</v>
      </c>
    </row>
    <row r="940" spans="2:9" s="123" customFormat="1" hidden="1">
      <c r="B940" s="578"/>
      <c r="C940" s="528">
        <v>14403</v>
      </c>
      <c r="D940" s="1200" t="s">
        <v>2277</v>
      </c>
      <c r="E940" s="528"/>
      <c r="F940" s="528"/>
      <c r="G940" s="528"/>
      <c r="H940" s="900" t="e">
        <f t="shared" si="37"/>
        <v>#DIV/0!</v>
      </c>
      <c r="I940" s="564">
        <f t="shared" si="38"/>
        <v>0</v>
      </c>
    </row>
    <row r="941" spans="2:9" s="123" customFormat="1" hidden="1">
      <c r="B941" s="578"/>
      <c r="C941" s="528">
        <v>21026</v>
      </c>
      <c r="D941" s="1200" t="s">
        <v>3455</v>
      </c>
      <c r="E941" s="528"/>
      <c r="F941" s="528"/>
      <c r="G941" s="528"/>
      <c r="H941" s="900" t="e">
        <f t="shared" si="37"/>
        <v>#DIV/0!</v>
      </c>
      <c r="I941" s="564">
        <f t="shared" si="38"/>
        <v>0</v>
      </c>
    </row>
    <row r="942" spans="2:9" s="123" customFormat="1" hidden="1">
      <c r="B942" s="578"/>
      <c r="C942" s="528">
        <v>20005</v>
      </c>
      <c r="D942" s="1200" t="s">
        <v>2291</v>
      </c>
      <c r="E942" s="528"/>
      <c r="F942" s="528"/>
      <c r="G942" s="528"/>
      <c r="H942" s="900" t="e">
        <f t="shared" si="37"/>
        <v>#DIV/0!</v>
      </c>
      <c r="I942" s="564">
        <f t="shared" si="38"/>
        <v>0</v>
      </c>
    </row>
    <row r="943" spans="2:9" s="123" customFormat="1" hidden="1">
      <c r="B943" s="578"/>
      <c r="C943" s="528">
        <v>20008</v>
      </c>
      <c r="D943" s="1200" t="s">
        <v>2292</v>
      </c>
      <c r="E943" s="528"/>
      <c r="F943" s="528"/>
      <c r="G943" s="528"/>
      <c r="H943" s="900" t="e">
        <f t="shared" si="37"/>
        <v>#DIV/0!</v>
      </c>
      <c r="I943" s="564">
        <f t="shared" si="38"/>
        <v>0</v>
      </c>
    </row>
    <row r="944" spans="2:9" s="123" customFormat="1" hidden="1">
      <c r="B944" s="578"/>
      <c r="C944" s="528">
        <v>20009</v>
      </c>
      <c r="D944" s="1200" t="s">
        <v>2290</v>
      </c>
      <c r="E944" s="528"/>
      <c r="F944" s="528"/>
      <c r="G944" s="528"/>
      <c r="H944" s="900" t="e">
        <f t="shared" si="37"/>
        <v>#DIV/0!</v>
      </c>
      <c r="I944" s="564">
        <f t="shared" si="38"/>
        <v>0</v>
      </c>
    </row>
    <row r="945" spans="2:9" s="123" customFormat="1" hidden="1">
      <c r="B945" s="578"/>
      <c r="C945" s="528">
        <v>13579</v>
      </c>
      <c r="D945" s="1200" t="s">
        <v>2385</v>
      </c>
      <c r="E945" s="528"/>
      <c r="F945" s="528"/>
      <c r="G945" s="528"/>
      <c r="H945" s="900" t="e">
        <f t="shared" si="37"/>
        <v>#DIV/0!</v>
      </c>
      <c r="I945" s="564">
        <f t="shared" si="38"/>
        <v>0</v>
      </c>
    </row>
    <row r="946" spans="2:9" s="123" customFormat="1" hidden="1">
      <c r="B946" s="578"/>
      <c r="C946" s="528">
        <v>14481</v>
      </c>
      <c r="D946" s="1200" t="s">
        <v>2386</v>
      </c>
      <c r="E946" s="528"/>
      <c r="F946" s="528"/>
      <c r="G946" s="528"/>
      <c r="H946" s="900" t="e">
        <f t="shared" si="37"/>
        <v>#DIV/0!</v>
      </c>
      <c r="I946" s="564">
        <f t="shared" si="38"/>
        <v>0</v>
      </c>
    </row>
    <row r="947" spans="2:9" s="123" customFormat="1" hidden="1">
      <c r="B947" s="578"/>
      <c r="C947" s="528">
        <v>13964</v>
      </c>
      <c r="D947" s="1200" t="s">
        <v>2387</v>
      </c>
      <c r="E947" s="528"/>
      <c r="F947" s="528"/>
      <c r="G947" s="528"/>
      <c r="H947" s="900" t="e">
        <f t="shared" si="37"/>
        <v>#DIV/0!</v>
      </c>
      <c r="I947" s="564">
        <f t="shared" si="38"/>
        <v>0</v>
      </c>
    </row>
    <row r="948" spans="2:9" s="123" customFormat="1" hidden="1">
      <c r="B948" s="578"/>
      <c r="C948" s="528">
        <v>14479</v>
      </c>
      <c r="D948" s="1200" t="s">
        <v>2452</v>
      </c>
      <c r="E948" s="528"/>
      <c r="F948" s="528"/>
      <c r="G948" s="528"/>
      <c r="H948" s="900" t="e">
        <f t="shared" si="37"/>
        <v>#DIV/0!</v>
      </c>
      <c r="I948" s="564">
        <f t="shared" si="38"/>
        <v>0</v>
      </c>
    </row>
    <row r="949" spans="2:9" s="123" customFormat="1" hidden="1">
      <c r="B949" s="578"/>
      <c r="C949" s="528">
        <v>15000</v>
      </c>
      <c r="D949" s="1200" t="s">
        <v>2388</v>
      </c>
      <c r="E949" s="528"/>
      <c r="F949" s="528"/>
      <c r="G949" s="528"/>
      <c r="H949" s="900" t="e">
        <f t="shared" si="37"/>
        <v>#DIV/0!</v>
      </c>
      <c r="I949" s="564">
        <f t="shared" si="38"/>
        <v>0</v>
      </c>
    </row>
    <row r="950" spans="2:9" s="123" customFormat="1" hidden="1">
      <c r="B950" s="578"/>
      <c r="C950" s="528">
        <v>14999</v>
      </c>
      <c r="D950" s="1200" t="s">
        <v>2276</v>
      </c>
      <c r="E950" s="528"/>
      <c r="F950" s="528"/>
      <c r="G950" s="528"/>
      <c r="H950" s="900" t="e">
        <f t="shared" si="37"/>
        <v>#DIV/0!</v>
      </c>
      <c r="I950" s="564">
        <f t="shared" si="38"/>
        <v>0</v>
      </c>
    </row>
    <row r="951" spans="2:9" s="123" customFormat="1" hidden="1">
      <c r="B951" s="578"/>
      <c r="C951" s="528">
        <v>14480</v>
      </c>
      <c r="D951" s="1200" t="s">
        <v>2451</v>
      </c>
      <c r="E951" s="528"/>
      <c r="F951" s="528"/>
      <c r="G951" s="528"/>
      <c r="H951" s="900" t="e">
        <f t="shared" si="37"/>
        <v>#DIV/0!</v>
      </c>
      <c r="I951" s="564">
        <f t="shared" si="38"/>
        <v>0</v>
      </c>
    </row>
    <row r="952" spans="2:9" s="123" customFormat="1" hidden="1">
      <c r="B952" s="578"/>
      <c r="C952" s="528">
        <v>20801</v>
      </c>
      <c r="D952" s="1200" t="s">
        <v>2803</v>
      </c>
      <c r="E952" s="528"/>
      <c r="F952" s="528"/>
      <c r="G952" s="528"/>
      <c r="H952" s="900" t="e">
        <f t="shared" si="37"/>
        <v>#DIV/0!</v>
      </c>
      <c r="I952" s="564">
        <f t="shared" si="38"/>
        <v>0</v>
      </c>
    </row>
    <row r="953" spans="2:9" s="123" customFormat="1" hidden="1">
      <c r="B953" s="578"/>
      <c r="C953" s="528">
        <v>20802</v>
      </c>
      <c r="D953" s="1200" t="s">
        <v>2804</v>
      </c>
      <c r="E953" s="528"/>
      <c r="F953" s="528"/>
      <c r="G953" s="528"/>
      <c r="H953" s="900" t="e">
        <f t="shared" si="37"/>
        <v>#DIV/0!</v>
      </c>
      <c r="I953" s="564">
        <f t="shared" si="38"/>
        <v>0</v>
      </c>
    </row>
    <row r="954" spans="2:9" s="123" customFormat="1" hidden="1">
      <c r="B954" s="578"/>
      <c r="C954" s="528">
        <v>17889</v>
      </c>
      <c r="D954" s="1200" t="s">
        <v>1509</v>
      </c>
      <c r="E954" s="528"/>
      <c r="F954" s="528"/>
      <c r="G954" s="528"/>
      <c r="H954" s="900" t="e">
        <f t="shared" si="37"/>
        <v>#DIV/0!</v>
      </c>
      <c r="I954" s="564">
        <f t="shared" si="38"/>
        <v>0</v>
      </c>
    </row>
    <row r="955" spans="2:9" s="123" customFormat="1" hidden="1">
      <c r="B955" s="578"/>
      <c r="C955" s="528">
        <v>21028</v>
      </c>
      <c r="D955" s="1200" t="s">
        <v>3456</v>
      </c>
      <c r="E955" s="528">
        <v>60</v>
      </c>
      <c r="F955" s="528">
        <v>0</v>
      </c>
      <c r="G955" s="528">
        <v>23</v>
      </c>
      <c r="H955" s="900">
        <f t="shared" si="37"/>
        <v>0.38333333333333336</v>
      </c>
      <c r="I955" s="564">
        <f t="shared" si="38"/>
        <v>0</v>
      </c>
    </row>
    <row r="956" spans="2:9" s="123" customFormat="1" hidden="1">
      <c r="B956" s="578"/>
      <c r="C956" s="528">
        <v>7101</v>
      </c>
      <c r="D956" s="1200" t="s">
        <v>2450</v>
      </c>
      <c r="E956" s="528"/>
      <c r="F956" s="528"/>
      <c r="G956" s="528"/>
      <c r="H956" s="900" t="e">
        <f t="shared" si="37"/>
        <v>#DIV/0!</v>
      </c>
      <c r="I956" s="564">
        <f t="shared" si="38"/>
        <v>0</v>
      </c>
    </row>
    <row r="957" spans="2:9" s="123" customFormat="1" hidden="1">
      <c r="B957" s="578"/>
      <c r="C957" s="528">
        <v>9772</v>
      </c>
      <c r="D957" s="1200" t="s">
        <v>3186</v>
      </c>
      <c r="E957" s="528">
        <v>288</v>
      </c>
      <c r="F957" s="528"/>
      <c r="G957" s="528">
        <v>80</v>
      </c>
      <c r="H957" s="900">
        <f t="shared" si="37"/>
        <v>0.27777777777777779</v>
      </c>
      <c r="I957" s="564">
        <f t="shared" si="38"/>
        <v>0</v>
      </c>
    </row>
    <row r="958" spans="2:9" s="123" customFormat="1" hidden="1">
      <c r="B958" s="578"/>
      <c r="C958" s="528">
        <v>13331</v>
      </c>
      <c r="D958" s="1200" t="s">
        <v>2389</v>
      </c>
      <c r="E958" s="528">
        <v>288</v>
      </c>
      <c r="F958" s="528"/>
      <c r="G958" s="528">
        <v>80</v>
      </c>
      <c r="H958" s="900">
        <f t="shared" si="37"/>
        <v>0.27777777777777779</v>
      </c>
      <c r="I958" s="564">
        <f t="shared" si="38"/>
        <v>0</v>
      </c>
    </row>
    <row r="959" spans="2:9" s="123" customFormat="1" hidden="1">
      <c r="B959" s="578"/>
      <c r="C959" s="528">
        <v>13329</v>
      </c>
      <c r="D959" s="1200" t="s">
        <v>2390</v>
      </c>
      <c r="E959" s="528">
        <v>288</v>
      </c>
      <c r="F959" s="528"/>
      <c r="G959" s="528">
        <v>80</v>
      </c>
      <c r="H959" s="900">
        <f t="shared" si="37"/>
        <v>0.27777777777777779</v>
      </c>
      <c r="I959" s="564">
        <f t="shared" si="38"/>
        <v>0</v>
      </c>
    </row>
    <row r="960" spans="2:9" s="123" customFormat="1" hidden="1">
      <c r="B960" s="578"/>
      <c r="C960" s="528">
        <v>13330</v>
      </c>
      <c r="D960" s="1200" t="s">
        <v>3187</v>
      </c>
      <c r="E960" s="528">
        <v>288</v>
      </c>
      <c r="F960" s="528"/>
      <c r="G960" s="528">
        <v>80</v>
      </c>
      <c r="H960" s="900">
        <f t="shared" si="37"/>
        <v>0.27777777777777779</v>
      </c>
      <c r="I960" s="564">
        <f t="shared" si="38"/>
        <v>0</v>
      </c>
    </row>
    <row r="961" spans="2:9" s="123" customFormat="1" hidden="1">
      <c r="B961" s="578"/>
      <c r="C961" s="528">
        <v>9771</v>
      </c>
      <c r="D961" s="1200" t="s">
        <v>3185</v>
      </c>
      <c r="E961" s="528">
        <v>288</v>
      </c>
      <c r="F961" s="528"/>
      <c r="G961" s="528">
        <v>80</v>
      </c>
      <c r="H961" s="900">
        <f t="shared" si="37"/>
        <v>0.27777777777777779</v>
      </c>
      <c r="I961" s="564">
        <f t="shared" si="38"/>
        <v>0</v>
      </c>
    </row>
    <row r="962" spans="2:9" s="123" customFormat="1" hidden="1">
      <c r="B962" s="578"/>
      <c r="C962" s="528">
        <v>13695</v>
      </c>
      <c r="D962" s="1200" t="s">
        <v>3457</v>
      </c>
      <c r="E962" s="528"/>
      <c r="F962" s="528"/>
      <c r="G962" s="528"/>
      <c r="H962" s="900" t="e">
        <f t="shared" si="37"/>
        <v>#DIV/0!</v>
      </c>
      <c r="I962" s="564">
        <f t="shared" si="38"/>
        <v>0</v>
      </c>
    </row>
    <row r="963" spans="2:9" s="123" customFormat="1" hidden="1">
      <c r="B963" s="578"/>
      <c r="C963" s="528">
        <v>20805</v>
      </c>
      <c r="D963" s="1200" t="s">
        <v>2805</v>
      </c>
      <c r="E963" s="528"/>
      <c r="F963" s="528"/>
      <c r="G963" s="528"/>
      <c r="H963" s="900" t="e">
        <f t="shared" si="37"/>
        <v>#DIV/0!</v>
      </c>
      <c r="I963" s="564">
        <f t="shared" si="38"/>
        <v>0</v>
      </c>
    </row>
    <row r="964" spans="2:9" s="123" customFormat="1" hidden="1">
      <c r="B964" s="578"/>
      <c r="C964" s="528">
        <v>20804</v>
      </c>
      <c r="D964" s="1200" t="s">
        <v>2806</v>
      </c>
      <c r="E964" s="528"/>
      <c r="F964" s="528"/>
      <c r="G964" s="528"/>
      <c r="H964" s="900" t="e">
        <f t="shared" si="37"/>
        <v>#DIV/0!</v>
      </c>
      <c r="I964" s="564">
        <f t="shared" si="38"/>
        <v>0</v>
      </c>
    </row>
    <row r="965" spans="2:9" s="123" customFormat="1" hidden="1">
      <c r="B965" s="578"/>
      <c r="C965" s="528">
        <v>9209</v>
      </c>
      <c r="D965" s="1200" t="s">
        <v>3458</v>
      </c>
      <c r="E965" s="528"/>
      <c r="F965" s="528"/>
      <c r="G965" s="528"/>
      <c r="H965" s="900" t="e">
        <f t="shared" si="37"/>
        <v>#DIV/0!</v>
      </c>
      <c r="I965" s="564">
        <f t="shared" si="38"/>
        <v>0</v>
      </c>
    </row>
    <row r="966" spans="2:9" s="123" customFormat="1" hidden="1">
      <c r="B966" s="578"/>
      <c r="C966" s="528">
        <v>20013</v>
      </c>
      <c r="D966" s="1200" t="s">
        <v>2288</v>
      </c>
      <c r="E966" s="528">
        <v>80</v>
      </c>
      <c r="F966" s="528"/>
      <c r="G966" s="528">
        <v>8</v>
      </c>
      <c r="H966" s="900">
        <f t="shared" si="37"/>
        <v>0.1</v>
      </c>
      <c r="I966" s="564">
        <f t="shared" si="38"/>
        <v>0</v>
      </c>
    </row>
    <row r="967" spans="2:9" s="123" customFormat="1" hidden="1">
      <c r="B967" s="578"/>
      <c r="C967" s="528">
        <v>13721</v>
      </c>
      <c r="D967" s="1200" t="s">
        <v>2391</v>
      </c>
      <c r="E967" s="528"/>
      <c r="F967" s="528"/>
      <c r="G967" s="528"/>
      <c r="H967" s="900" t="e">
        <f t="shared" si="37"/>
        <v>#DIV/0!</v>
      </c>
      <c r="I967" s="564">
        <f t="shared" si="38"/>
        <v>0</v>
      </c>
    </row>
    <row r="968" spans="2:9" s="123" customFormat="1" hidden="1">
      <c r="B968" s="578"/>
      <c r="C968" s="528"/>
      <c r="D968" s="1200" t="s">
        <v>3207</v>
      </c>
      <c r="E968" s="528">
        <v>6</v>
      </c>
      <c r="F968" s="528">
        <v>0</v>
      </c>
      <c r="G968" s="528">
        <v>17.5</v>
      </c>
      <c r="H968" s="900">
        <f t="shared" si="37"/>
        <v>2.9166666666666665</v>
      </c>
      <c r="I968" s="564">
        <f t="shared" si="38"/>
        <v>0</v>
      </c>
    </row>
    <row r="969" spans="2:9" s="123" customFormat="1" hidden="1">
      <c r="B969" s="578"/>
      <c r="C969" s="528">
        <v>21224</v>
      </c>
      <c r="D969" s="1200" t="s">
        <v>3208</v>
      </c>
      <c r="E969" s="528">
        <v>6</v>
      </c>
      <c r="F969" s="528">
        <v>0</v>
      </c>
      <c r="G969" s="528">
        <v>17.5</v>
      </c>
      <c r="H969" s="900">
        <f t="shared" ref="H969:H984" si="39">G969/E969</f>
        <v>2.9166666666666665</v>
      </c>
      <c r="I969" s="564">
        <f t="shared" ref="I969:I984" si="40">G969*F969</f>
        <v>0</v>
      </c>
    </row>
    <row r="970" spans="2:9" s="123" customFormat="1" hidden="1">
      <c r="B970" s="578"/>
      <c r="C970" s="528"/>
      <c r="D970" s="1200" t="s">
        <v>3209</v>
      </c>
      <c r="E970" s="528">
        <v>6</v>
      </c>
      <c r="F970" s="528">
        <v>0</v>
      </c>
      <c r="G970" s="528">
        <v>17.5</v>
      </c>
      <c r="H970" s="900">
        <f t="shared" si="39"/>
        <v>2.9166666666666665</v>
      </c>
      <c r="I970" s="564">
        <f t="shared" si="40"/>
        <v>0</v>
      </c>
    </row>
    <row r="971" spans="2:9" s="123" customFormat="1" hidden="1">
      <c r="B971" s="578"/>
      <c r="C971" s="528">
        <v>21225</v>
      </c>
      <c r="D971" s="1200" t="s">
        <v>3210</v>
      </c>
      <c r="E971" s="528">
        <v>6</v>
      </c>
      <c r="F971" s="528">
        <v>0</v>
      </c>
      <c r="G971" s="528">
        <v>17.5</v>
      </c>
      <c r="H971" s="900">
        <f t="shared" si="39"/>
        <v>2.9166666666666665</v>
      </c>
      <c r="I971" s="564">
        <f t="shared" si="40"/>
        <v>0</v>
      </c>
    </row>
    <row r="972" spans="2:9" s="123" customFormat="1" hidden="1">
      <c r="B972" s="578"/>
      <c r="C972" s="528">
        <v>21226</v>
      </c>
      <c r="D972" s="1200" t="s">
        <v>3482</v>
      </c>
      <c r="E972" s="528">
        <v>6</v>
      </c>
      <c r="F972" s="528">
        <v>0</v>
      </c>
      <c r="G972" s="528">
        <v>23.5</v>
      </c>
      <c r="H972" s="900">
        <f t="shared" si="39"/>
        <v>3.9166666666666665</v>
      </c>
      <c r="I972" s="564">
        <f t="shared" si="40"/>
        <v>0</v>
      </c>
    </row>
    <row r="973" spans="2:9" s="123" customFormat="1" hidden="1">
      <c r="B973" s="578"/>
      <c r="C973" s="528">
        <v>21227</v>
      </c>
      <c r="D973" s="1200" t="s">
        <v>3483</v>
      </c>
      <c r="E973" s="528">
        <v>6</v>
      </c>
      <c r="F973" s="528">
        <v>0</v>
      </c>
      <c r="G973" s="528">
        <v>23.5</v>
      </c>
      <c r="H973" s="900">
        <f t="shared" si="39"/>
        <v>3.9166666666666665</v>
      </c>
      <c r="I973" s="564">
        <f t="shared" si="40"/>
        <v>0</v>
      </c>
    </row>
    <row r="974" spans="2:9" s="123" customFormat="1" hidden="1">
      <c r="B974" s="578"/>
      <c r="C974" s="528">
        <v>21228</v>
      </c>
      <c r="D974" s="1200" t="s">
        <v>3460</v>
      </c>
      <c r="E974" s="528">
        <v>6</v>
      </c>
      <c r="F974" s="528">
        <v>0</v>
      </c>
      <c r="G974" s="528">
        <v>23.5</v>
      </c>
      <c r="H974" s="900">
        <f t="shared" si="39"/>
        <v>3.9166666666666665</v>
      </c>
      <c r="I974" s="564">
        <f t="shared" si="40"/>
        <v>0</v>
      </c>
    </row>
    <row r="975" spans="2:9" s="123" customFormat="1" hidden="1">
      <c r="B975" s="578"/>
      <c r="C975" s="528">
        <v>21229</v>
      </c>
      <c r="D975" s="1200" t="s">
        <v>3484</v>
      </c>
      <c r="E975" s="528">
        <v>6</v>
      </c>
      <c r="F975" s="528">
        <v>0</v>
      </c>
      <c r="G975" s="528">
        <v>23.5</v>
      </c>
      <c r="H975" s="900">
        <f t="shared" si="39"/>
        <v>3.9166666666666665</v>
      </c>
      <c r="I975" s="564">
        <f t="shared" si="40"/>
        <v>0</v>
      </c>
    </row>
    <row r="976" spans="2:9" s="123" customFormat="1" hidden="1">
      <c r="B976" s="578"/>
      <c r="C976" s="528">
        <v>9563</v>
      </c>
      <c r="D976" s="1200" t="s">
        <v>3485</v>
      </c>
      <c r="E976" s="528">
        <v>60</v>
      </c>
      <c r="F976" s="528">
        <v>0</v>
      </c>
      <c r="G976" s="528">
        <v>22.5</v>
      </c>
      <c r="H976" s="900">
        <f t="shared" si="39"/>
        <v>0.375</v>
      </c>
      <c r="I976" s="564">
        <f t="shared" si="40"/>
        <v>0</v>
      </c>
    </row>
    <row r="977" spans="2:9" s="123" customFormat="1" hidden="1">
      <c r="B977" s="578"/>
      <c r="C977" s="528">
        <v>21232</v>
      </c>
      <c r="D977" s="1200" t="s">
        <v>3486</v>
      </c>
      <c r="E977" s="528">
        <v>60</v>
      </c>
      <c r="F977" s="528">
        <v>0</v>
      </c>
      <c r="G977" s="528">
        <v>22.5</v>
      </c>
      <c r="H977" s="900">
        <f t="shared" si="39"/>
        <v>0.375</v>
      </c>
      <c r="I977" s="564">
        <f t="shared" si="40"/>
        <v>0</v>
      </c>
    </row>
    <row r="978" spans="2:9" s="123" customFormat="1" hidden="1">
      <c r="B978" s="578"/>
      <c r="C978" s="528">
        <v>21231</v>
      </c>
      <c r="D978" s="1200" t="s">
        <v>3487</v>
      </c>
      <c r="E978" s="528">
        <v>60</v>
      </c>
      <c r="F978" s="528">
        <v>0</v>
      </c>
      <c r="G978" s="528">
        <v>22.5</v>
      </c>
      <c r="H978" s="900">
        <f t="shared" si="39"/>
        <v>0.375</v>
      </c>
      <c r="I978" s="564">
        <f t="shared" si="40"/>
        <v>0</v>
      </c>
    </row>
    <row r="979" spans="2:9" s="123" customFormat="1">
      <c r="B979" s="578"/>
      <c r="C979" s="528"/>
      <c r="D979" s="1200" t="s">
        <v>3491</v>
      </c>
      <c r="E979" s="528">
        <v>12</v>
      </c>
      <c r="F979" s="528">
        <v>10</v>
      </c>
      <c r="G979" s="528">
        <v>9.6</v>
      </c>
      <c r="H979" s="900">
        <f t="shared" si="39"/>
        <v>0.79999999999999993</v>
      </c>
      <c r="I979" s="528">
        <f t="shared" si="40"/>
        <v>96</v>
      </c>
    </row>
    <row r="980" spans="2:9" s="123" customFormat="1">
      <c r="B980" s="578"/>
      <c r="C980" s="528"/>
      <c r="D980" s="1200" t="s">
        <v>3492</v>
      </c>
      <c r="E980" s="528">
        <v>12</v>
      </c>
      <c r="F980" s="528">
        <v>10</v>
      </c>
      <c r="G980" s="528">
        <v>7</v>
      </c>
      <c r="H980" s="900">
        <f t="shared" si="39"/>
        <v>0.58333333333333337</v>
      </c>
      <c r="I980" s="528">
        <f t="shared" si="40"/>
        <v>70</v>
      </c>
    </row>
    <row r="981" spans="2:9" s="123" customFormat="1" hidden="1">
      <c r="B981" s="578"/>
      <c r="C981" s="528"/>
      <c r="D981" s="1200" t="s">
        <v>3493</v>
      </c>
      <c r="E981" s="528">
        <v>12</v>
      </c>
      <c r="F981" s="528">
        <v>0</v>
      </c>
      <c r="G981" s="528">
        <v>9.6</v>
      </c>
      <c r="H981" s="900">
        <f t="shared" si="39"/>
        <v>0.79999999999999993</v>
      </c>
      <c r="I981" s="528">
        <f t="shared" si="40"/>
        <v>0</v>
      </c>
    </row>
    <row r="982" spans="2:9" s="123" customFormat="1" hidden="1">
      <c r="B982" s="578"/>
      <c r="C982" s="528"/>
      <c r="D982" s="1200" t="s">
        <v>3494</v>
      </c>
      <c r="E982" s="528">
        <v>80</v>
      </c>
      <c r="F982" s="528"/>
      <c r="G982" s="528">
        <v>14.5</v>
      </c>
      <c r="H982" s="900">
        <f t="shared" si="39"/>
        <v>0.18124999999999999</v>
      </c>
      <c r="I982" s="528">
        <f t="shared" si="40"/>
        <v>0</v>
      </c>
    </row>
    <row r="983" spans="2:9" s="123" customFormat="1">
      <c r="B983" s="578"/>
      <c r="C983" s="528"/>
      <c r="D983" s="1200" t="s">
        <v>3495</v>
      </c>
      <c r="E983" s="528">
        <v>10</v>
      </c>
      <c r="F983" s="528">
        <v>11</v>
      </c>
      <c r="G983" s="528">
        <v>3.4</v>
      </c>
      <c r="H983" s="900">
        <f t="shared" si="39"/>
        <v>0.33999999999999997</v>
      </c>
      <c r="I983" s="528">
        <f t="shared" si="40"/>
        <v>37.4</v>
      </c>
    </row>
    <row r="984" spans="2:9" s="123" customFormat="1">
      <c r="B984" s="578"/>
      <c r="C984" s="528"/>
      <c r="D984" s="1200" t="s">
        <v>3496</v>
      </c>
      <c r="E984" s="528">
        <v>10</v>
      </c>
      <c r="F984" s="528">
        <v>15</v>
      </c>
      <c r="G984" s="528">
        <v>3.4</v>
      </c>
      <c r="H984" s="900">
        <f t="shared" si="39"/>
        <v>0.33999999999999997</v>
      </c>
      <c r="I984" s="528">
        <f t="shared" si="40"/>
        <v>51</v>
      </c>
    </row>
    <row r="985" spans="2:9">
      <c r="B985" s="25"/>
      <c r="C985" s="303"/>
      <c r="D985" s="1263"/>
      <c r="E985" s="578"/>
      <c r="F985" s="303"/>
      <c r="G985" s="303"/>
      <c r="H985" s="980"/>
      <c r="I985" s="850">
        <f>SUM(I844:I984)</f>
        <v>1754.4</v>
      </c>
    </row>
    <row r="986" spans="2:9">
      <c r="B986" s="25"/>
      <c r="C986" s="101"/>
      <c r="D986" s="1201"/>
      <c r="E986" s="25"/>
      <c r="F986" s="101"/>
      <c r="G986" s="101"/>
      <c r="H986" s="979"/>
    </row>
    <row r="987" spans="2:9">
      <c r="B987" s="25"/>
      <c r="C987" s="101"/>
      <c r="D987" s="1201"/>
      <c r="E987" s="101"/>
      <c r="F987" s="101"/>
      <c r="G987" s="101"/>
      <c r="H987" s="979"/>
    </row>
    <row r="989" spans="2:9" ht="60">
      <c r="C989" s="528" t="s">
        <v>0</v>
      </c>
      <c r="D989" s="1200" t="s">
        <v>65</v>
      </c>
      <c r="E989" s="310" t="s">
        <v>916</v>
      </c>
      <c r="F989" s="528" t="s">
        <v>68</v>
      </c>
      <c r="G989" s="310" t="s">
        <v>903</v>
      </c>
      <c r="H989" s="900" t="s">
        <v>559</v>
      </c>
      <c r="I989" s="310" t="s">
        <v>917</v>
      </c>
    </row>
    <row r="990" spans="2:9" hidden="1">
      <c r="C990" s="1190">
        <v>13121</v>
      </c>
      <c r="D990" s="332" t="s">
        <v>3359</v>
      </c>
      <c r="E990" s="857"/>
      <c r="F990" s="857"/>
      <c r="G990" s="857"/>
      <c r="H990" s="963"/>
      <c r="I990" s="1180"/>
    </row>
    <row r="991" spans="2:9" hidden="1">
      <c r="C991" s="1190">
        <v>13926</v>
      </c>
      <c r="D991" s="332" t="s">
        <v>1884</v>
      </c>
      <c r="E991" s="857"/>
      <c r="F991" s="857"/>
      <c r="G991" s="857"/>
      <c r="H991" s="963"/>
      <c r="I991" s="1180"/>
    </row>
    <row r="992" spans="2:9" hidden="1">
      <c r="C992" s="1190">
        <v>9756</v>
      </c>
      <c r="D992" s="332" t="s">
        <v>2474</v>
      </c>
      <c r="E992" s="857"/>
      <c r="F992" s="857"/>
      <c r="G992" s="857"/>
      <c r="H992" s="963"/>
      <c r="I992" s="1180"/>
    </row>
    <row r="993" spans="3:61" hidden="1">
      <c r="C993" s="1190">
        <v>9734</v>
      </c>
      <c r="D993" s="332" t="s">
        <v>2794</v>
      </c>
      <c r="E993" s="857"/>
      <c r="F993" s="857"/>
      <c r="G993" s="857"/>
      <c r="H993" s="963"/>
      <c r="I993" s="1180"/>
    </row>
    <row r="994" spans="3:61" hidden="1">
      <c r="C994" s="1190">
        <v>15807</v>
      </c>
      <c r="D994" s="332" t="s">
        <v>2795</v>
      </c>
      <c r="E994" s="857">
        <v>20</v>
      </c>
      <c r="F994" s="857">
        <v>0</v>
      </c>
      <c r="G994" s="857">
        <v>41.5</v>
      </c>
      <c r="H994" s="963">
        <f>G994/E994</f>
        <v>2.0750000000000002</v>
      </c>
      <c r="I994" s="1180">
        <f>F994*G994</f>
        <v>0</v>
      </c>
    </row>
    <row r="995" spans="3:61" hidden="1">
      <c r="C995" s="1190">
        <v>21024</v>
      </c>
      <c r="D995" s="332" t="s">
        <v>3446</v>
      </c>
      <c r="E995" s="857"/>
      <c r="F995" s="857"/>
      <c r="G995" s="857"/>
      <c r="H995" s="963" t="e">
        <f>G995/E995</f>
        <v>#DIV/0!</v>
      </c>
      <c r="I995" s="1180">
        <f t="shared" ref="I995:I1058" si="41">F995*G995</f>
        <v>0</v>
      </c>
    </row>
    <row r="996" spans="3:61">
      <c r="C996" s="1190">
        <v>10069</v>
      </c>
      <c r="D996" s="332" t="s">
        <v>3358</v>
      </c>
      <c r="E996" s="857">
        <v>864</v>
      </c>
      <c r="F996" s="16">
        <v>1</v>
      </c>
      <c r="G996" s="857">
        <v>177</v>
      </c>
      <c r="H996" s="963">
        <f>G996/E996</f>
        <v>0.2048611111111111</v>
      </c>
      <c r="I996" s="1180">
        <f t="shared" si="41"/>
        <v>177</v>
      </c>
    </row>
    <row r="997" spans="3:61">
      <c r="C997" s="1190">
        <v>10068</v>
      </c>
      <c r="D997" s="332" t="s">
        <v>2394</v>
      </c>
      <c r="E997" s="857">
        <v>864</v>
      </c>
      <c r="F997" s="16">
        <v>1</v>
      </c>
      <c r="G997" s="857">
        <v>177</v>
      </c>
      <c r="H997" s="963">
        <f>G997/E997</f>
        <v>0.2048611111111111</v>
      </c>
      <c r="I997" s="1180">
        <f t="shared" si="41"/>
        <v>177</v>
      </c>
    </row>
    <row r="998" spans="3:61" hidden="1">
      <c r="C998" s="1190">
        <v>20003</v>
      </c>
      <c r="D998" s="332" t="s">
        <v>2298</v>
      </c>
      <c r="E998" s="857"/>
      <c r="F998" s="857"/>
      <c r="G998" s="857"/>
      <c r="H998" s="963" t="e">
        <f t="shared" ref="H998:H1061" si="42">G998/E998</f>
        <v>#DIV/0!</v>
      </c>
      <c r="I998" s="1180">
        <f t="shared" si="41"/>
        <v>0</v>
      </c>
    </row>
    <row r="999" spans="3:61" s="827" customFormat="1" hidden="1">
      <c r="C999" s="1190">
        <v>21236</v>
      </c>
      <c r="D999" s="332" t="s">
        <v>3618</v>
      </c>
      <c r="E999" s="857"/>
      <c r="F999" s="857"/>
      <c r="G999" s="857"/>
      <c r="H999" s="963" t="e">
        <f t="shared" si="42"/>
        <v>#DIV/0!</v>
      </c>
      <c r="I999" s="1180">
        <f t="shared" si="41"/>
        <v>0</v>
      </c>
      <c r="J999" s="123"/>
      <c r="K999" s="123"/>
      <c r="L999" s="123"/>
      <c r="M999" s="123"/>
      <c r="N999" s="123"/>
      <c r="O999" s="123"/>
      <c r="P999" s="123"/>
      <c r="Q999" s="123"/>
      <c r="R999" s="123"/>
      <c r="S999" s="123"/>
      <c r="T999" s="123"/>
      <c r="U999" s="123"/>
      <c r="V999" s="123"/>
      <c r="W999" s="123"/>
      <c r="X999" s="123"/>
      <c r="Y999" s="123"/>
      <c r="Z999" s="123"/>
      <c r="AA999" s="123"/>
      <c r="AB999" s="123"/>
      <c r="AC999" s="123"/>
      <c r="AD999" s="123"/>
      <c r="AE999" s="123"/>
      <c r="AF999" s="123"/>
      <c r="AG999" s="123"/>
      <c r="AH999" s="123"/>
      <c r="AI999" s="123"/>
      <c r="AJ999" s="123"/>
      <c r="AK999" s="123"/>
      <c r="AL999" s="123"/>
      <c r="AM999" s="123"/>
      <c r="AN999" s="123"/>
      <c r="AO999" s="123"/>
      <c r="AP999" s="123"/>
      <c r="AQ999" s="123"/>
      <c r="AR999" s="123"/>
      <c r="AS999" s="123"/>
      <c r="AT999" s="123"/>
      <c r="AU999" s="123"/>
      <c r="AV999" s="123"/>
      <c r="AW999" s="123"/>
      <c r="AX999" s="123"/>
      <c r="AY999" s="123"/>
      <c r="AZ999" s="123"/>
      <c r="BA999" s="123"/>
      <c r="BB999" s="123"/>
      <c r="BC999" s="123"/>
      <c r="BD999" s="123"/>
      <c r="BE999" s="123"/>
      <c r="BF999" s="123"/>
      <c r="BG999" s="123"/>
      <c r="BH999" s="123"/>
      <c r="BI999" s="123"/>
    </row>
    <row r="1000" spans="3:61" hidden="1">
      <c r="C1000" s="1190">
        <v>11848</v>
      </c>
      <c r="D1000" s="332" t="s">
        <v>3624</v>
      </c>
      <c r="E1000" s="857">
        <v>30</v>
      </c>
      <c r="F1000" s="857">
        <v>0</v>
      </c>
      <c r="G1000" s="857">
        <v>34</v>
      </c>
      <c r="H1000" s="963">
        <f t="shared" si="42"/>
        <v>1.1333333333333333</v>
      </c>
      <c r="I1000" s="1180">
        <f t="shared" si="41"/>
        <v>0</v>
      </c>
    </row>
    <row r="1001" spans="3:61" hidden="1">
      <c r="C1001" s="1190">
        <v>4030</v>
      </c>
      <c r="D1001" s="332" t="s">
        <v>1885</v>
      </c>
      <c r="E1001" s="857"/>
      <c r="F1001" s="857"/>
      <c r="G1001" s="857"/>
      <c r="H1001" s="963" t="e">
        <f t="shared" si="42"/>
        <v>#DIV/0!</v>
      </c>
      <c r="I1001" s="1180">
        <f t="shared" si="41"/>
        <v>0</v>
      </c>
    </row>
    <row r="1002" spans="3:61" hidden="1">
      <c r="C1002" s="1190">
        <v>5047</v>
      </c>
      <c r="D1002" s="332" t="s">
        <v>2473</v>
      </c>
      <c r="E1002" s="857"/>
      <c r="F1002" s="857"/>
      <c r="G1002" s="857"/>
      <c r="H1002" s="963" t="e">
        <f t="shared" si="42"/>
        <v>#DIV/0!</v>
      </c>
      <c r="I1002" s="1180">
        <f t="shared" si="41"/>
        <v>0</v>
      </c>
    </row>
    <row r="1003" spans="3:61" hidden="1">
      <c r="C1003" s="1190">
        <v>10529</v>
      </c>
      <c r="D1003" s="332" t="s">
        <v>2472</v>
      </c>
      <c r="E1003" s="857"/>
      <c r="F1003" s="857"/>
      <c r="G1003" s="857"/>
      <c r="H1003" s="963" t="e">
        <f t="shared" si="42"/>
        <v>#DIV/0!</v>
      </c>
      <c r="I1003" s="1180">
        <f t="shared" si="41"/>
        <v>0</v>
      </c>
    </row>
    <row r="1004" spans="3:61" hidden="1">
      <c r="C1004" s="1190">
        <v>8036</v>
      </c>
      <c r="D1004" s="332" t="s">
        <v>2471</v>
      </c>
      <c r="E1004" s="857"/>
      <c r="F1004" s="857"/>
      <c r="G1004" s="857"/>
      <c r="H1004" s="963" t="e">
        <f t="shared" si="42"/>
        <v>#DIV/0!</v>
      </c>
      <c r="I1004" s="1180">
        <f t="shared" si="41"/>
        <v>0</v>
      </c>
    </row>
    <row r="1005" spans="3:61" hidden="1">
      <c r="C1005" s="1190">
        <v>8162</v>
      </c>
      <c r="D1005" s="332" t="s">
        <v>897</v>
      </c>
      <c r="E1005" s="857"/>
      <c r="F1005" s="857"/>
      <c r="G1005" s="857"/>
      <c r="H1005" s="963" t="e">
        <f t="shared" si="42"/>
        <v>#DIV/0!</v>
      </c>
      <c r="I1005" s="1180">
        <f t="shared" si="41"/>
        <v>0</v>
      </c>
    </row>
    <row r="1006" spans="3:61" hidden="1">
      <c r="C1006" s="1190">
        <v>17888</v>
      </c>
      <c r="D1006" s="332" t="s">
        <v>898</v>
      </c>
      <c r="E1006" s="857"/>
      <c r="F1006" s="857"/>
      <c r="G1006" s="857"/>
      <c r="H1006" s="963" t="e">
        <f t="shared" si="42"/>
        <v>#DIV/0!</v>
      </c>
      <c r="I1006" s="1180">
        <f t="shared" si="41"/>
        <v>0</v>
      </c>
    </row>
    <row r="1007" spans="3:61" hidden="1">
      <c r="C1007" s="1190">
        <v>9579</v>
      </c>
      <c r="D1007" s="332" t="s">
        <v>899</v>
      </c>
      <c r="E1007" s="857"/>
      <c r="F1007" s="857"/>
      <c r="G1007" s="857"/>
      <c r="H1007" s="963" t="e">
        <f t="shared" si="42"/>
        <v>#DIV/0!</v>
      </c>
      <c r="I1007" s="1180">
        <f t="shared" si="41"/>
        <v>0</v>
      </c>
    </row>
    <row r="1008" spans="3:61" hidden="1">
      <c r="C1008" s="1190">
        <v>7960</v>
      </c>
      <c r="D1008" s="332" t="s">
        <v>900</v>
      </c>
      <c r="E1008" s="857"/>
      <c r="F1008" s="857"/>
      <c r="G1008" s="857"/>
      <c r="H1008" s="963" t="e">
        <f t="shared" si="42"/>
        <v>#DIV/0!</v>
      </c>
      <c r="I1008" s="1180">
        <f t="shared" si="41"/>
        <v>0</v>
      </c>
    </row>
    <row r="1009" spans="3:9" hidden="1">
      <c r="C1009" s="1190">
        <v>950</v>
      </c>
      <c r="D1009" s="332" t="s">
        <v>1508</v>
      </c>
      <c r="E1009" s="857">
        <v>100</v>
      </c>
      <c r="F1009" s="857">
        <v>0</v>
      </c>
      <c r="G1009" s="857"/>
      <c r="H1009" s="963">
        <f t="shared" si="42"/>
        <v>0</v>
      </c>
      <c r="I1009" s="1180">
        <f t="shared" si="41"/>
        <v>0</v>
      </c>
    </row>
    <row r="1010" spans="3:9" hidden="1">
      <c r="C1010" s="1190">
        <v>21034</v>
      </c>
      <c r="D1010" s="332" t="s">
        <v>3170</v>
      </c>
      <c r="E1010" s="857">
        <v>100</v>
      </c>
      <c r="F1010" s="857">
        <v>0</v>
      </c>
      <c r="G1010" s="857"/>
      <c r="H1010" s="963">
        <f t="shared" si="42"/>
        <v>0</v>
      </c>
      <c r="I1010" s="1180">
        <f t="shared" si="41"/>
        <v>0</v>
      </c>
    </row>
    <row r="1011" spans="3:9" hidden="1">
      <c r="C1011" s="1190">
        <v>20010</v>
      </c>
      <c r="D1011" s="332" t="s">
        <v>2286</v>
      </c>
      <c r="E1011" s="857">
        <v>10</v>
      </c>
      <c r="F1011" s="857">
        <v>0</v>
      </c>
      <c r="G1011" s="857"/>
      <c r="H1011" s="963">
        <f t="shared" si="42"/>
        <v>0</v>
      </c>
      <c r="I1011" s="1180">
        <f t="shared" si="41"/>
        <v>0</v>
      </c>
    </row>
    <row r="1012" spans="3:9" hidden="1">
      <c r="C1012" s="1190">
        <v>16237</v>
      </c>
      <c r="D1012" s="332" t="s">
        <v>1886</v>
      </c>
      <c r="E1012" s="857"/>
      <c r="F1012" s="857"/>
      <c r="G1012" s="857"/>
      <c r="H1012" s="963" t="e">
        <f t="shared" si="42"/>
        <v>#DIV/0!</v>
      </c>
      <c r="I1012" s="1180">
        <f t="shared" si="41"/>
        <v>0</v>
      </c>
    </row>
    <row r="1013" spans="3:9" hidden="1">
      <c r="C1013" s="1190">
        <v>13717</v>
      </c>
      <c r="D1013" s="332" t="s">
        <v>2470</v>
      </c>
      <c r="E1013" s="857"/>
      <c r="F1013" s="857"/>
      <c r="G1013" s="857"/>
      <c r="H1013" s="963" t="e">
        <f t="shared" si="42"/>
        <v>#DIV/0!</v>
      </c>
      <c r="I1013" s="1180">
        <f t="shared" si="41"/>
        <v>0</v>
      </c>
    </row>
    <row r="1014" spans="3:9">
      <c r="C1014" s="1190">
        <v>13716</v>
      </c>
      <c r="D1014" s="332" t="s">
        <v>2796</v>
      </c>
      <c r="E1014" s="857">
        <v>12</v>
      </c>
      <c r="F1014" s="16">
        <v>30</v>
      </c>
      <c r="G1014" s="857">
        <v>12.5</v>
      </c>
      <c r="H1014" s="963">
        <f t="shared" si="42"/>
        <v>1.0416666666666667</v>
      </c>
      <c r="I1014" s="1180">
        <f t="shared" si="41"/>
        <v>375</v>
      </c>
    </row>
    <row r="1015" spans="3:9" hidden="1">
      <c r="C1015" s="1190">
        <v>14998</v>
      </c>
      <c r="D1015" s="332" t="s">
        <v>2468</v>
      </c>
      <c r="E1015" s="857"/>
      <c r="F1015" s="857"/>
      <c r="G1015" s="857"/>
      <c r="H1015" s="963" t="e">
        <f t="shared" si="42"/>
        <v>#DIV/0!</v>
      </c>
      <c r="I1015" s="1180">
        <f t="shared" si="41"/>
        <v>0</v>
      </c>
    </row>
    <row r="1016" spans="3:9" hidden="1">
      <c r="C1016" s="1190">
        <v>8256</v>
      </c>
      <c r="D1016" s="332" t="s">
        <v>2467</v>
      </c>
      <c r="E1016" s="857"/>
      <c r="F1016" s="857">
        <v>0</v>
      </c>
      <c r="G1016" s="857"/>
      <c r="H1016" s="963" t="e">
        <f t="shared" si="42"/>
        <v>#DIV/0!</v>
      </c>
      <c r="I1016" s="1180">
        <f t="shared" si="41"/>
        <v>0</v>
      </c>
    </row>
    <row r="1017" spans="3:9" hidden="1">
      <c r="C1017" s="1190">
        <v>20764</v>
      </c>
      <c r="D1017" s="332" t="s">
        <v>2466</v>
      </c>
      <c r="E1017" s="857"/>
      <c r="F1017" s="857">
        <v>0</v>
      </c>
      <c r="G1017" s="857"/>
      <c r="H1017" s="963" t="e">
        <f t="shared" si="42"/>
        <v>#DIV/0!</v>
      </c>
      <c r="I1017" s="1180">
        <f t="shared" si="41"/>
        <v>0</v>
      </c>
    </row>
    <row r="1018" spans="3:9" hidden="1">
      <c r="C1018" s="1190">
        <v>13570</v>
      </c>
      <c r="D1018" s="332" t="s">
        <v>2465</v>
      </c>
      <c r="E1018" s="857"/>
      <c r="F1018" s="857"/>
      <c r="G1018" s="857"/>
      <c r="H1018" s="963" t="e">
        <f t="shared" si="42"/>
        <v>#DIV/0!</v>
      </c>
      <c r="I1018" s="1180">
        <f t="shared" si="41"/>
        <v>0</v>
      </c>
    </row>
    <row r="1019" spans="3:9" hidden="1">
      <c r="C1019" s="1190">
        <v>12392</v>
      </c>
      <c r="D1019" s="332" t="s">
        <v>2464</v>
      </c>
      <c r="E1019" s="857"/>
      <c r="F1019" s="857"/>
      <c r="G1019" s="857"/>
      <c r="H1019" s="963" t="e">
        <f t="shared" si="42"/>
        <v>#DIV/0!</v>
      </c>
      <c r="I1019" s="1180">
        <f t="shared" si="41"/>
        <v>0</v>
      </c>
    </row>
    <row r="1020" spans="3:9" hidden="1">
      <c r="E1020" s="857"/>
      <c r="F1020" s="857"/>
      <c r="G1020" s="857"/>
      <c r="H1020" s="963" t="e">
        <f t="shared" si="42"/>
        <v>#DIV/0!</v>
      </c>
      <c r="I1020" s="1180">
        <f t="shared" si="41"/>
        <v>0</v>
      </c>
    </row>
    <row r="1021" spans="3:9" hidden="1">
      <c r="C1021" s="1190">
        <v>6706</v>
      </c>
      <c r="D1021" s="332" t="s">
        <v>2463</v>
      </c>
      <c r="E1021" s="857"/>
      <c r="F1021" s="857"/>
      <c r="G1021" s="857"/>
      <c r="H1021" s="963" t="e">
        <f t="shared" si="42"/>
        <v>#DIV/0!</v>
      </c>
      <c r="I1021" s="1180">
        <f t="shared" si="41"/>
        <v>0</v>
      </c>
    </row>
    <row r="1022" spans="3:9" hidden="1">
      <c r="E1022" s="857"/>
      <c r="F1022" s="857"/>
      <c r="G1022" s="857"/>
      <c r="H1022" s="963" t="e">
        <f t="shared" si="42"/>
        <v>#DIV/0!</v>
      </c>
      <c r="I1022" s="1180">
        <f t="shared" si="41"/>
        <v>0</v>
      </c>
    </row>
    <row r="1023" spans="3:9" hidden="1">
      <c r="C1023" s="1190">
        <v>8016</v>
      </c>
      <c r="D1023" s="332" t="s">
        <v>2393</v>
      </c>
      <c r="E1023" s="857"/>
      <c r="F1023" s="857"/>
      <c r="G1023" s="857"/>
      <c r="H1023" s="963" t="e">
        <f t="shared" si="42"/>
        <v>#DIV/0!</v>
      </c>
      <c r="I1023" s="1180">
        <f t="shared" si="41"/>
        <v>0</v>
      </c>
    </row>
    <row r="1024" spans="3:9" hidden="1">
      <c r="C1024" s="1190">
        <v>8117</v>
      </c>
      <c r="D1024" s="332" t="s">
        <v>2284</v>
      </c>
      <c r="E1024" s="857"/>
      <c r="F1024" s="857"/>
      <c r="G1024" s="857"/>
      <c r="H1024" s="963" t="e">
        <f t="shared" si="42"/>
        <v>#DIV/0!</v>
      </c>
      <c r="I1024" s="1180">
        <f t="shared" si="41"/>
        <v>0</v>
      </c>
    </row>
    <row r="1025" spans="3:9" hidden="1">
      <c r="C1025" s="1190">
        <v>8017</v>
      </c>
      <c r="D1025" s="332" t="s">
        <v>2283</v>
      </c>
      <c r="E1025" s="857"/>
      <c r="F1025" s="857"/>
      <c r="G1025" s="857"/>
      <c r="H1025" s="963" t="e">
        <f t="shared" si="42"/>
        <v>#DIV/0!</v>
      </c>
      <c r="I1025" s="1180">
        <f t="shared" si="41"/>
        <v>0</v>
      </c>
    </row>
    <row r="1026" spans="3:9" hidden="1">
      <c r="C1026" s="1190">
        <v>2026</v>
      </c>
      <c r="D1026" s="332" t="s">
        <v>421</v>
      </c>
      <c r="E1026" s="857"/>
      <c r="F1026" s="857"/>
      <c r="G1026" s="857"/>
      <c r="H1026" s="963" t="e">
        <f t="shared" si="42"/>
        <v>#DIV/0!</v>
      </c>
      <c r="I1026" s="1180">
        <f t="shared" si="41"/>
        <v>0</v>
      </c>
    </row>
    <row r="1027" spans="3:9" hidden="1">
      <c r="C1027" s="1190">
        <v>21025</v>
      </c>
      <c r="D1027" s="332" t="s">
        <v>3357</v>
      </c>
      <c r="E1027" s="857"/>
      <c r="F1027" s="857"/>
      <c r="G1027" s="857"/>
      <c r="H1027" s="963" t="e">
        <f t="shared" si="42"/>
        <v>#DIV/0!</v>
      </c>
      <c r="I1027" s="1180">
        <f t="shared" si="41"/>
        <v>0</v>
      </c>
    </row>
    <row r="1028" spans="3:9" hidden="1">
      <c r="C1028" s="1190">
        <v>21030</v>
      </c>
      <c r="D1028" s="332" t="s">
        <v>3447</v>
      </c>
      <c r="E1028" s="857"/>
      <c r="F1028" s="857"/>
      <c r="G1028" s="857"/>
      <c r="H1028" s="963" t="e">
        <f t="shared" si="42"/>
        <v>#DIV/0!</v>
      </c>
      <c r="I1028" s="1180">
        <f t="shared" si="41"/>
        <v>0</v>
      </c>
    </row>
    <row r="1029" spans="3:9" hidden="1">
      <c r="C1029" s="1190">
        <v>13836</v>
      </c>
      <c r="D1029" s="332" t="s">
        <v>2377</v>
      </c>
      <c r="E1029" s="857"/>
      <c r="F1029" s="857"/>
      <c r="G1029" s="857"/>
      <c r="H1029" s="963" t="e">
        <f t="shared" si="42"/>
        <v>#DIV/0!</v>
      </c>
      <c r="I1029" s="1180">
        <f t="shared" si="41"/>
        <v>0</v>
      </c>
    </row>
    <row r="1030" spans="3:9" hidden="1">
      <c r="C1030" s="1190">
        <v>14401</v>
      </c>
      <c r="D1030" s="332" t="s">
        <v>2378</v>
      </c>
      <c r="E1030" s="857"/>
      <c r="F1030" s="857"/>
      <c r="G1030" s="857"/>
      <c r="H1030" s="963" t="e">
        <f t="shared" si="42"/>
        <v>#DIV/0!</v>
      </c>
      <c r="I1030" s="1180">
        <f t="shared" si="41"/>
        <v>0</v>
      </c>
    </row>
    <row r="1031" spans="3:9" hidden="1">
      <c r="C1031" s="1190">
        <v>14399</v>
      </c>
      <c r="D1031" s="332" t="s">
        <v>2379</v>
      </c>
      <c r="E1031" s="857"/>
      <c r="F1031" s="857"/>
      <c r="G1031" s="857"/>
      <c r="H1031" s="963" t="e">
        <f t="shared" si="42"/>
        <v>#DIV/0!</v>
      </c>
      <c r="I1031" s="1180">
        <f t="shared" si="41"/>
        <v>0</v>
      </c>
    </row>
    <row r="1032" spans="3:9" hidden="1">
      <c r="C1032" s="1190">
        <v>14400</v>
      </c>
      <c r="D1032" s="332" t="s">
        <v>2380</v>
      </c>
      <c r="E1032" s="857"/>
      <c r="F1032" s="857"/>
      <c r="G1032" s="857"/>
      <c r="H1032" s="963" t="e">
        <f t="shared" si="42"/>
        <v>#DIV/0!</v>
      </c>
      <c r="I1032" s="1180">
        <f t="shared" si="41"/>
        <v>0</v>
      </c>
    </row>
    <row r="1033" spans="3:9" hidden="1">
      <c r="C1033" s="1190">
        <v>21023</v>
      </c>
      <c r="D1033" s="332" t="s">
        <v>3448</v>
      </c>
      <c r="E1033" s="857"/>
      <c r="F1033" s="857"/>
      <c r="G1033" s="857"/>
      <c r="H1033" s="963" t="e">
        <f t="shared" si="42"/>
        <v>#DIV/0!</v>
      </c>
      <c r="I1033" s="1180">
        <f t="shared" si="41"/>
        <v>0</v>
      </c>
    </row>
    <row r="1034" spans="3:9" hidden="1">
      <c r="C1034" s="1190">
        <v>13582</v>
      </c>
      <c r="D1034" s="332" t="s">
        <v>2462</v>
      </c>
      <c r="E1034" s="857"/>
      <c r="F1034" s="857"/>
      <c r="G1034" s="857"/>
      <c r="H1034" s="963" t="e">
        <f t="shared" si="42"/>
        <v>#DIV/0!</v>
      </c>
      <c r="I1034" s="1180">
        <f t="shared" si="41"/>
        <v>0</v>
      </c>
    </row>
    <row r="1035" spans="3:9" hidden="1">
      <c r="C1035" s="1190">
        <v>21029</v>
      </c>
      <c r="D1035" s="332" t="s">
        <v>3449</v>
      </c>
      <c r="E1035" s="857"/>
      <c r="F1035" s="857"/>
      <c r="G1035" s="857"/>
      <c r="H1035" s="963" t="e">
        <f t="shared" si="42"/>
        <v>#DIV/0!</v>
      </c>
      <c r="I1035" s="1180">
        <f t="shared" si="41"/>
        <v>0</v>
      </c>
    </row>
    <row r="1036" spans="3:9" hidden="1">
      <c r="C1036" s="1190">
        <v>13583</v>
      </c>
      <c r="D1036" s="332" t="s">
        <v>2461</v>
      </c>
      <c r="E1036" s="857"/>
      <c r="F1036" s="857"/>
      <c r="G1036" s="857"/>
      <c r="H1036" s="963" t="e">
        <f t="shared" si="42"/>
        <v>#DIV/0!</v>
      </c>
      <c r="I1036" s="1180">
        <f t="shared" si="41"/>
        <v>0</v>
      </c>
    </row>
    <row r="1037" spans="3:9" hidden="1">
      <c r="C1037" s="1190">
        <v>13585</v>
      </c>
      <c r="D1037" s="332" t="s">
        <v>2460</v>
      </c>
      <c r="E1037" s="857"/>
      <c r="F1037" s="857"/>
      <c r="G1037" s="857"/>
      <c r="H1037" s="963" t="e">
        <f t="shared" si="42"/>
        <v>#DIV/0!</v>
      </c>
      <c r="I1037" s="1180">
        <f t="shared" si="41"/>
        <v>0</v>
      </c>
    </row>
    <row r="1038" spans="3:9" hidden="1">
      <c r="C1038" s="1190">
        <v>13584</v>
      </c>
      <c r="D1038" s="332" t="s">
        <v>2459</v>
      </c>
      <c r="E1038" s="857"/>
      <c r="F1038" s="857"/>
      <c r="G1038" s="857"/>
      <c r="H1038" s="963" t="e">
        <f t="shared" si="42"/>
        <v>#DIV/0!</v>
      </c>
      <c r="I1038" s="1180">
        <f t="shared" si="41"/>
        <v>0</v>
      </c>
    </row>
    <row r="1039" spans="3:9" hidden="1">
      <c r="C1039" s="1190">
        <v>13581</v>
      </c>
      <c r="D1039" s="332" t="s">
        <v>2381</v>
      </c>
      <c r="E1039" s="857"/>
      <c r="F1039" s="857"/>
      <c r="G1039" s="857"/>
      <c r="H1039" s="963" t="e">
        <f t="shared" si="42"/>
        <v>#DIV/0!</v>
      </c>
      <c r="I1039" s="1180">
        <f t="shared" si="41"/>
        <v>0</v>
      </c>
    </row>
    <row r="1040" spans="3:9" hidden="1">
      <c r="C1040" s="1190">
        <v>18707</v>
      </c>
      <c r="D1040" s="332" t="s">
        <v>2797</v>
      </c>
      <c r="E1040" s="857"/>
      <c r="F1040" s="857"/>
      <c r="G1040" s="857"/>
      <c r="H1040" s="963" t="e">
        <f t="shared" si="42"/>
        <v>#DIV/0!</v>
      </c>
      <c r="I1040" s="1180">
        <f t="shared" si="41"/>
        <v>0</v>
      </c>
    </row>
    <row r="1041" spans="3:9" hidden="1">
      <c r="C1041" s="1190">
        <v>18714</v>
      </c>
      <c r="D1041" s="332" t="s">
        <v>2279</v>
      </c>
      <c r="E1041" s="857"/>
      <c r="F1041" s="857"/>
      <c r="G1041" s="857"/>
      <c r="H1041" s="963" t="e">
        <f t="shared" si="42"/>
        <v>#DIV/0!</v>
      </c>
      <c r="I1041" s="1180">
        <f t="shared" si="41"/>
        <v>0</v>
      </c>
    </row>
    <row r="1042" spans="3:9" hidden="1">
      <c r="C1042" s="1190">
        <v>16239</v>
      </c>
      <c r="D1042" s="332" t="s">
        <v>2798</v>
      </c>
      <c r="E1042" s="857"/>
      <c r="F1042" s="857"/>
      <c r="G1042" s="857"/>
      <c r="H1042" s="963" t="e">
        <f t="shared" si="42"/>
        <v>#DIV/0!</v>
      </c>
      <c r="I1042" s="1180">
        <f t="shared" si="41"/>
        <v>0</v>
      </c>
    </row>
    <row r="1043" spans="3:9" hidden="1">
      <c r="C1043" s="1190">
        <v>14766</v>
      </c>
      <c r="D1043" s="332" t="s">
        <v>2799</v>
      </c>
      <c r="E1043" s="857"/>
      <c r="F1043" s="857"/>
      <c r="G1043" s="857"/>
      <c r="H1043" s="963" t="e">
        <f t="shared" si="42"/>
        <v>#DIV/0!</v>
      </c>
      <c r="I1043" s="1180">
        <f t="shared" si="41"/>
        <v>0</v>
      </c>
    </row>
    <row r="1044" spans="3:9" hidden="1">
      <c r="C1044" s="1190">
        <v>9499</v>
      </c>
      <c r="D1044" s="332" t="s">
        <v>2458</v>
      </c>
      <c r="E1044" s="857"/>
      <c r="F1044" s="857"/>
      <c r="G1044" s="857"/>
      <c r="H1044" s="963" t="e">
        <f t="shared" si="42"/>
        <v>#DIV/0!</v>
      </c>
      <c r="I1044" s="1180">
        <f t="shared" si="41"/>
        <v>0</v>
      </c>
    </row>
    <row r="1045" spans="3:9" hidden="1">
      <c r="C1045" s="1190">
        <v>20012</v>
      </c>
      <c r="D1045" s="332" t="s">
        <v>2287</v>
      </c>
      <c r="E1045" s="857"/>
      <c r="F1045" s="857"/>
      <c r="G1045" s="857"/>
      <c r="H1045" s="963" t="e">
        <f t="shared" si="42"/>
        <v>#DIV/0!</v>
      </c>
      <c r="I1045" s="1180">
        <f t="shared" si="41"/>
        <v>0</v>
      </c>
    </row>
    <row r="1046" spans="3:9" hidden="1">
      <c r="C1046" s="1190">
        <v>15426</v>
      </c>
      <c r="D1046" s="332" t="s">
        <v>1887</v>
      </c>
      <c r="E1046" s="857"/>
      <c r="F1046" s="857"/>
      <c r="G1046" s="857"/>
      <c r="H1046" s="963" t="e">
        <f t="shared" si="42"/>
        <v>#DIV/0!</v>
      </c>
      <c r="I1046" s="1180">
        <f t="shared" si="41"/>
        <v>0</v>
      </c>
    </row>
    <row r="1047" spans="3:9" hidden="1">
      <c r="C1047" s="1190">
        <v>15430</v>
      </c>
      <c r="D1047" s="332" t="s">
        <v>2280</v>
      </c>
      <c r="E1047" s="857"/>
      <c r="F1047" s="857"/>
      <c r="G1047" s="857"/>
      <c r="H1047" s="963" t="e">
        <f t="shared" si="42"/>
        <v>#DIV/0!</v>
      </c>
      <c r="I1047" s="1180">
        <f t="shared" si="41"/>
        <v>0</v>
      </c>
    </row>
    <row r="1048" spans="3:9" hidden="1">
      <c r="C1048" s="1190">
        <v>15428</v>
      </c>
      <c r="D1048" s="332" t="s">
        <v>1888</v>
      </c>
      <c r="E1048" s="857"/>
      <c r="F1048" s="857"/>
      <c r="G1048" s="857"/>
      <c r="H1048" s="963" t="e">
        <f t="shared" si="42"/>
        <v>#DIV/0!</v>
      </c>
      <c r="I1048" s="1180">
        <f t="shared" si="41"/>
        <v>0</v>
      </c>
    </row>
    <row r="1049" spans="3:9" hidden="1">
      <c r="C1049" s="1190">
        <v>10416</v>
      </c>
      <c r="D1049" s="332" t="s">
        <v>2382</v>
      </c>
      <c r="E1049" s="857"/>
      <c r="F1049" s="857"/>
      <c r="G1049" s="857"/>
      <c r="H1049" s="963" t="e">
        <f t="shared" si="42"/>
        <v>#DIV/0!</v>
      </c>
      <c r="I1049" s="1180">
        <f t="shared" si="41"/>
        <v>0</v>
      </c>
    </row>
    <row r="1050" spans="3:9" hidden="1">
      <c r="C1050" s="1190">
        <v>15767</v>
      </c>
      <c r="D1050" s="332" t="s">
        <v>1889</v>
      </c>
      <c r="E1050" s="857"/>
      <c r="F1050" s="857"/>
      <c r="G1050" s="857"/>
      <c r="H1050" s="963" t="e">
        <f t="shared" si="42"/>
        <v>#DIV/0!</v>
      </c>
      <c r="I1050" s="1180">
        <f t="shared" si="41"/>
        <v>0</v>
      </c>
    </row>
    <row r="1051" spans="3:9" hidden="1">
      <c r="C1051" s="1190">
        <v>9500</v>
      </c>
      <c r="D1051" s="332" t="s">
        <v>2800</v>
      </c>
      <c r="E1051" s="857"/>
      <c r="F1051" s="857"/>
      <c r="G1051" s="857"/>
      <c r="H1051" s="963" t="e">
        <f t="shared" si="42"/>
        <v>#DIV/0!</v>
      </c>
      <c r="I1051" s="1180">
        <f t="shared" si="41"/>
        <v>0</v>
      </c>
    </row>
    <row r="1052" spans="3:9" hidden="1">
      <c r="C1052" s="1190">
        <v>15750</v>
      </c>
      <c r="D1052" s="332" t="s">
        <v>3164</v>
      </c>
      <c r="E1052" s="857"/>
      <c r="F1052" s="857"/>
      <c r="G1052" s="857"/>
      <c r="H1052" s="963" t="e">
        <f t="shared" si="42"/>
        <v>#DIV/0!</v>
      </c>
      <c r="I1052" s="1180">
        <f t="shared" si="41"/>
        <v>0</v>
      </c>
    </row>
    <row r="1053" spans="3:9" hidden="1">
      <c r="C1053" s="1190">
        <v>9252</v>
      </c>
      <c r="D1053" s="332" t="s">
        <v>2285</v>
      </c>
      <c r="E1053" s="857"/>
      <c r="F1053" s="857"/>
      <c r="G1053" s="857"/>
      <c r="H1053" s="963" t="e">
        <f t="shared" si="42"/>
        <v>#DIV/0!</v>
      </c>
      <c r="I1053" s="1180">
        <f t="shared" si="41"/>
        <v>0</v>
      </c>
    </row>
    <row r="1054" spans="3:9" hidden="1">
      <c r="C1054" s="1190">
        <v>13577</v>
      </c>
      <c r="D1054" s="332" t="s">
        <v>2275</v>
      </c>
      <c r="E1054" s="857"/>
      <c r="F1054" s="857">
        <v>0</v>
      </c>
      <c r="G1054" s="857"/>
      <c r="H1054" s="963" t="e">
        <f t="shared" si="42"/>
        <v>#DIV/0!</v>
      </c>
      <c r="I1054" s="1180">
        <f t="shared" si="41"/>
        <v>0</v>
      </c>
    </row>
    <row r="1055" spans="3:9" hidden="1">
      <c r="C1055" s="1190">
        <v>6901</v>
      </c>
      <c r="D1055" s="332" t="s">
        <v>1374</v>
      </c>
      <c r="E1055" s="857"/>
      <c r="F1055" s="857"/>
      <c r="G1055" s="857"/>
      <c r="H1055" s="963" t="e">
        <f t="shared" si="42"/>
        <v>#DIV/0!</v>
      </c>
      <c r="I1055" s="1180">
        <f t="shared" si="41"/>
        <v>0</v>
      </c>
    </row>
    <row r="1056" spans="3:9" hidden="1">
      <c r="C1056" s="1190">
        <v>8309</v>
      </c>
      <c r="D1056" s="332" t="s">
        <v>2457</v>
      </c>
      <c r="E1056" s="857"/>
      <c r="F1056" s="857"/>
      <c r="G1056" s="857"/>
      <c r="H1056" s="963" t="e">
        <f t="shared" si="42"/>
        <v>#DIV/0!</v>
      </c>
      <c r="I1056" s="1180">
        <f t="shared" si="41"/>
        <v>0</v>
      </c>
    </row>
    <row r="1057" spans="3:9">
      <c r="C1057" s="1190">
        <v>15403</v>
      </c>
      <c r="D1057" s="332" t="s">
        <v>3356</v>
      </c>
      <c r="E1057" s="857">
        <v>26</v>
      </c>
      <c r="F1057" s="16">
        <v>20</v>
      </c>
      <c r="G1057" s="857">
        <v>15.1</v>
      </c>
      <c r="H1057" s="963">
        <f t="shared" si="42"/>
        <v>0.5807692307692307</v>
      </c>
      <c r="I1057" s="1180">
        <f t="shared" si="41"/>
        <v>302</v>
      </c>
    </row>
    <row r="1058" spans="3:9" hidden="1">
      <c r="C1058" s="1190">
        <v>21032</v>
      </c>
      <c r="D1058" s="332" t="s">
        <v>3450</v>
      </c>
      <c r="E1058" s="857"/>
      <c r="F1058" s="857"/>
      <c r="G1058" s="857"/>
      <c r="H1058" s="963" t="e">
        <f t="shared" si="42"/>
        <v>#DIV/0!</v>
      </c>
      <c r="I1058" s="1180">
        <f t="shared" si="41"/>
        <v>0</v>
      </c>
    </row>
    <row r="1059" spans="3:9" hidden="1">
      <c r="C1059" s="1190">
        <v>9923</v>
      </c>
      <c r="D1059" s="332" t="s">
        <v>1890</v>
      </c>
      <c r="E1059" s="857"/>
      <c r="F1059" s="857"/>
      <c r="G1059" s="857"/>
      <c r="H1059" s="963" t="e">
        <f t="shared" si="42"/>
        <v>#DIV/0!</v>
      </c>
      <c r="I1059" s="1180">
        <f t="shared" ref="I1059:I1122" si="43">F1059*G1059</f>
        <v>0</v>
      </c>
    </row>
    <row r="1060" spans="3:9">
      <c r="C1060" s="1190">
        <v>106</v>
      </c>
      <c r="D1060" s="332" t="s">
        <v>3494</v>
      </c>
      <c r="E1060" s="857">
        <v>80</v>
      </c>
      <c r="F1060" s="16">
        <v>7</v>
      </c>
      <c r="G1060" s="857">
        <v>14.5</v>
      </c>
      <c r="H1060" s="963">
        <f t="shared" si="42"/>
        <v>0.18124999999999999</v>
      </c>
      <c r="I1060" s="1180">
        <f t="shared" si="43"/>
        <v>101.5</v>
      </c>
    </row>
    <row r="1061" spans="3:9" hidden="1">
      <c r="C1061" s="1190">
        <v>13568</v>
      </c>
      <c r="D1061" s="332" t="s">
        <v>2456</v>
      </c>
      <c r="E1061" s="857"/>
      <c r="F1061" s="857"/>
      <c r="G1061" s="857"/>
      <c r="H1061" s="963" t="e">
        <f t="shared" si="42"/>
        <v>#DIV/0!</v>
      </c>
      <c r="I1061" s="1180">
        <f t="shared" si="43"/>
        <v>0</v>
      </c>
    </row>
    <row r="1062" spans="3:9" hidden="1">
      <c r="C1062" s="1190">
        <v>21226</v>
      </c>
      <c r="D1062" s="332" t="s">
        <v>3619</v>
      </c>
      <c r="E1062" s="857">
        <v>6</v>
      </c>
      <c r="F1062" s="857"/>
      <c r="G1062" s="857">
        <v>23.5</v>
      </c>
      <c r="H1062" s="963">
        <f t="shared" ref="H1062:H1087" si="44">G1062/E1062</f>
        <v>3.9166666666666665</v>
      </c>
      <c r="I1062" s="1180">
        <f t="shared" si="43"/>
        <v>0</v>
      </c>
    </row>
    <row r="1063" spans="3:9" hidden="1">
      <c r="C1063" s="1190">
        <v>21227</v>
      </c>
      <c r="D1063" s="332" t="s">
        <v>3483</v>
      </c>
      <c r="E1063" s="857">
        <v>6</v>
      </c>
      <c r="F1063" s="857"/>
      <c r="G1063" s="857">
        <v>23.5</v>
      </c>
      <c r="H1063" s="963">
        <f t="shared" si="44"/>
        <v>3.9166666666666665</v>
      </c>
      <c r="I1063" s="1180">
        <f t="shared" si="43"/>
        <v>0</v>
      </c>
    </row>
    <row r="1064" spans="3:9" hidden="1">
      <c r="C1064" s="1190">
        <v>21228</v>
      </c>
      <c r="D1064" s="332" t="s">
        <v>3620</v>
      </c>
      <c r="E1064" s="857">
        <v>6</v>
      </c>
      <c r="F1064" s="857"/>
      <c r="G1064" s="857">
        <v>23.5</v>
      </c>
      <c r="H1064" s="963">
        <f t="shared" si="44"/>
        <v>3.9166666666666665</v>
      </c>
      <c r="I1064" s="1180">
        <f t="shared" si="43"/>
        <v>0</v>
      </c>
    </row>
    <row r="1065" spans="3:9" hidden="1">
      <c r="C1065" s="1190">
        <v>21229</v>
      </c>
      <c r="D1065" s="332" t="s">
        <v>3484</v>
      </c>
      <c r="E1065" s="857">
        <v>6</v>
      </c>
      <c r="F1065" s="857"/>
      <c r="G1065" s="857">
        <v>23.5</v>
      </c>
      <c r="H1065" s="963">
        <f t="shared" si="44"/>
        <v>3.9166666666666665</v>
      </c>
      <c r="I1065" s="1180">
        <f t="shared" si="43"/>
        <v>0</v>
      </c>
    </row>
    <row r="1066" spans="3:9" hidden="1">
      <c r="C1066" s="1190">
        <v>17887</v>
      </c>
      <c r="D1066" s="332" t="s">
        <v>1891</v>
      </c>
      <c r="E1066" s="857"/>
      <c r="F1066" s="857"/>
      <c r="G1066" s="857"/>
      <c r="H1066" s="963" t="e">
        <f t="shared" si="44"/>
        <v>#DIV/0!</v>
      </c>
      <c r="I1066" s="1180">
        <f t="shared" si="43"/>
        <v>0</v>
      </c>
    </row>
    <row r="1067" spans="3:9" hidden="1">
      <c r="C1067" s="1190">
        <v>21027</v>
      </c>
      <c r="D1067" s="332" t="s">
        <v>3451</v>
      </c>
      <c r="E1067" s="857"/>
      <c r="F1067" s="857"/>
      <c r="G1067" s="857"/>
      <c r="H1067" s="963" t="e">
        <f t="shared" si="44"/>
        <v>#DIV/0!</v>
      </c>
      <c r="I1067" s="1180">
        <f t="shared" si="43"/>
        <v>0</v>
      </c>
    </row>
    <row r="1068" spans="3:9" hidden="1">
      <c r="C1068" s="1190">
        <v>11384</v>
      </c>
      <c r="D1068" s="332" t="s">
        <v>1892</v>
      </c>
      <c r="E1068" s="857"/>
      <c r="F1068" s="857"/>
      <c r="G1068" s="857"/>
      <c r="H1068" s="963" t="e">
        <f t="shared" si="44"/>
        <v>#DIV/0!</v>
      </c>
      <c r="I1068" s="1180">
        <f t="shared" si="43"/>
        <v>0</v>
      </c>
    </row>
    <row r="1069" spans="3:9" hidden="1">
      <c r="C1069" s="1190">
        <v>13718</v>
      </c>
      <c r="D1069" s="332" t="s">
        <v>1893</v>
      </c>
      <c r="E1069" s="857"/>
      <c r="F1069" s="857"/>
      <c r="G1069" s="857"/>
      <c r="H1069" s="963" t="e">
        <f t="shared" si="44"/>
        <v>#DIV/0!</v>
      </c>
      <c r="I1069" s="1180">
        <f t="shared" si="43"/>
        <v>0</v>
      </c>
    </row>
    <row r="1070" spans="3:9" hidden="1">
      <c r="C1070" s="1190">
        <v>10228</v>
      </c>
      <c r="D1070" s="332" t="s">
        <v>1894</v>
      </c>
      <c r="E1070" s="857">
        <v>25</v>
      </c>
      <c r="F1070" s="857"/>
      <c r="G1070" s="857">
        <v>48</v>
      </c>
      <c r="H1070" s="963">
        <f t="shared" si="44"/>
        <v>1.92</v>
      </c>
      <c r="I1070" s="1180">
        <f t="shared" si="43"/>
        <v>0</v>
      </c>
    </row>
    <row r="1071" spans="3:9" hidden="1">
      <c r="C1071" s="1190">
        <v>10238</v>
      </c>
      <c r="D1071" s="332" t="s">
        <v>1491</v>
      </c>
      <c r="E1071" s="857"/>
      <c r="F1071" s="857"/>
      <c r="G1071" s="857"/>
      <c r="H1071" s="963" t="e">
        <f t="shared" si="44"/>
        <v>#DIV/0!</v>
      </c>
      <c r="I1071" s="1180">
        <f t="shared" si="43"/>
        <v>0</v>
      </c>
    </row>
    <row r="1072" spans="3:9" hidden="1">
      <c r="C1072" s="1190">
        <v>8000</v>
      </c>
      <c r="D1072" s="332" t="s">
        <v>2384</v>
      </c>
      <c r="E1072" s="857"/>
      <c r="F1072" s="857"/>
      <c r="G1072" s="857"/>
      <c r="H1072" s="963" t="e">
        <f t="shared" si="44"/>
        <v>#DIV/0!</v>
      </c>
      <c r="I1072" s="1180">
        <f t="shared" si="43"/>
        <v>0</v>
      </c>
    </row>
    <row r="1073" spans="3:61" hidden="1">
      <c r="C1073" s="1190">
        <v>20014</v>
      </c>
      <c r="D1073" s="332" t="s">
        <v>2295</v>
      </c>
      <c r="E1073" s="857"/>
      <c r="F1073" s="857"/>
      <c r="G1073" s="857"/>
      <c r="H1073" s="963" t="e">
        <f t="shared" si="44"/>
        <v>#DIV/0!</v>
      </c>
      <c r="I1073" s="1180">
        <f t="shared" si="43"/>
        <v>0</v>
      </c>
    </row>
    <row r="1074" spans="3:61" hidden="1">
      <c r="C1074" s="1190">
        <v>13719</v>
      </c>
      <c r="D1074" s="332" t="s">
        <v>1895</v>
      </c>
      <c r="E1074" s="857"/>
      <c r="F1074" s="857"/>
      <c r="G1074" s="857"/>
      <c r="H1074" s="963" t="e">
        <f t="shared" si="44"/>
        <v>#DIV/0!</v>
      </c>
      <c r="I1074" s="1180">
        <f t="shared" si="43"/>
        <v>0</v>
      </c>
    </row>
    <row r="1075" spans="3:61" hidden="1">
      <c r="C1075" s="1190">
        <v>13720</v>
      </c>
      <c r="D1075" s="332" t="s">
        <v>1896</v>
      </c>
      <c r="E1075" s="857"/>
      <c r="F1075" s="857"/>
      <c r="G1075" s="857"/>
      <c r="H1075" s="963" t="e">
        <f t="shared" si="44"/>
        <v>#DIV/0!</v>
      </c>
      <c r="I1075" s="1180">
        <f t="shared" si="43"/>
        <v>0</v>
      </c>
    </row>
    <row r="1076" spans="3:61" hidden="1">
      <c r="C1076" s="1190">
        <v>9755</v>
      </c>
      <c r="D1076" s="332" t="s">
        <v>1897</v>
      </c>
      <c r="E1076" s="857">
        <v>24</v>
      </c>
      <c r="F1076" s="857"/>
      <c r="G1076" s="857">
        <v>15</v>
      </c>
      <c r="H1076" s="963">
        <f t="shared" si="44"/>
        <v>0.625</v>
      </c>
      <c r="I1076" s="1180">
        <f t="shared" si="43"/>
        <v>0</v>
      </c>
    </row>
    <row r="1077" spans="3:61" hidden="1">
      <c r="C1077" s="1190">
        <v>10396</v>
      </c>
      <c r="D1077" s="332" t="s">
        <v>1898</v>
      </c>
      <c r="E1077" s="857">
        <v>0</v>
      </c>
      <c r="F1077" s="857"/>
      <c r="G1077" s="857">
        <v>0</v>
      </c>
      <c r="H1077" s="963" t="e">
        <f t="shared" si="44"/>
        <v>#DIV/0!</v>
      </c>
      <c r="I1077" s="1180">
        <f t="shared" si="43"/>
        <v>0</v>
      </c>
    </row>
    <row r="1078" spans="3:61" hidden="1">
      <c r="C1078" s="1190">
        <v>13580</v>
      </c>
      <c r="D1078" s="332" t="s">
        <v>2398</v>
      </c>
      <c r="E1078" s="857">
        <v>10</v>
      </c>
      <c r="F1078" s="857">
        <v>0</v>
      </c>
      <c r="G1078" s="857">
        <v>3.4</v>
      </c>
      <c r="H1078" s="963">
        <f t="shared" si="44"/>
        <v>0.33999999999999997</v>
      </c>
      <c r="I1078" s="1180">
        <f t="shared" si="43"/>
        <v>0</v>
      </c>
    </row>
    <row r="1079" spans="3:61" hidden="1">
      <c r="C1079" s="1190">
        <v>14308</v>
      </c>
      <c r="D1079" s="332" t="s">
        <v>2801</v>
      </c>
      <c r="E1079" s="857">
        <v>10</v>
      </c>
      <c r="F1079" s="857"/>
      <c r="G1079" s="857">
        <v>3.4</v>
      </c>
      <c r="H1079" s="963">
        <f t="shared" si="44"/>
        <v>0.33999999999999997</v>
      </c>
      <c r="I1079" s="1180">
        <f t="shared" si="43"/>
        <v>0</v>
      </c>
    </row>
    <row r="1080" spans="3:61" hidden="1">
      <c r="C1080" s="1190">
        <v>5864</v>
      </c>
      <c r="D1080" s="332" t="s">
        <v>2296</v>
      </c>
      <c r="E1080" s="857">
        <v>10</v>
      </c>
      <c r="F1080" s="857"/>
      <c r="G1080" s="857">
        <v>3.4</v>
      </c>
      <c r="H1080" s="963">
        <f t="shared" si="44"/>
        <v>0.33999999999999997</v>
      </c>
      <c r="I1080" s="1180">
        <f t="shared" si="43"/>
        <v>0</v>
      </c>
    </row>
    <row r="1081" spans="3:61" hidden="1">
      <c r="C1081" s="1190">
        <v>13569</v>
      </c>
      <c r="D1081" s="332" t="s">
        <v>2455</v>
      </c>
      <c r="E1081" s="857">
        <v>10</v>
      </c>
      <c r="F1081" s="857"/>
      <c r="G1081" s="857">
        <v>3.4</v>
      </c>
      <c r="H1081" s="963">
        <f t="shared" si="44"/>
        <v>0.33999999999999997</v>
      </c>
      <c r="I1081" s="1180">
        <f t="shared" si="43"/>
        <v>0</v>
      </c>
    </row>
    <row r="1082" spans="3:61" hidden="1">
      <c r="C1082" s="1190">
        <v>20892</v>
      </c>
      <c r="D1082" s="332" t="s">
        <v>3165</v>
      </c>
      <c r="E1082" s="857">
        <v>10</v>
      </c>
      <c r="F1082" s="857"/>
      <c r="G1082" s="857">
        <v>3.4</v>
      </c>
      <c r="H1082" s="963">
        <f t="shared" si="44"/>
        <v>0.33999999999999997</v>
      </c>
      <c r="I1082" s="1180">
        <f t="shared" si="43"/>
        <v>0</v>
      </c>
    </row>
    <row r="1083" spans="3:61" hidden="1">
      <c r="C1083" s="1190">
        <v>20893</v>
      </c>
      <c r="D1083" s="332" t="s">
        <v>3166</v>
      </c>
      <c r="E1083" s="857">
        <v>10</v>
      </c>
      <c r="F1083" s="857"/>
      <c r="G1083" s="857">
        <v>3.4</v>
      </c>
      <c r="H1083" s="963">
        <f t="shared" si="44"/>
        <v>0.33999999999999997</v>
      </c>
      <c r="I1083" s="1180">
        <f t="shared" si="43"/>
        <v>0</v>
      </c>
    </row>
    <row r="1084" spans="3:61" hidden="1">
      <c r="C1084" s="1190">
        <v>20894</v>
      </c>
      <c r="D1084" s="332" t="s">
        <v>3167</v>
      </c>
      <c r="E1084" s="857">
        <v>10</v>
      </c>
      <c r="F1084" s="857"/>
      <c r="G1084" s="857">
        <v>3.4</v>
      </c>
      <c r="H1084" s="963">
        <f t="shared" si="44"/>
        <v>0.33999999999999997</v>
      </c>
      <c r="I1084" s="1180">
        <f t="shared" si="43"/>
        <v>0</v>
      </c>
    </row>
    <row r="1085" spans="3:61" s="827" customFormat="1">
      <c r="C1085" s="1190">
        <v>16123</v>
      </c>
      <c r="D1085" s="332" t="s">
        <v>3628</v>
      </c>
      <c r="E1085" s="857">
        <v>10</v>
      </c>
      <c r="F1085" s="16">
        <v>15</v>
      </c>
      <c r="G1085" s="857">
        <v>3.4</v>
      </c>
      <c r="H1085" s="963">
        <f t="shared" si="44"/>
        <v>0.33999999999999997</v>
      </c>
      <c r="I1085" s="1180">
        <f t="shared" si="43"/>
        <v>51</v>
      </c>
      <c r="J1085" s="123"/>
      <c r="K1085" s="123"/>
      <c r="L1085" s="123"/>
      <c r="M1085" s="123"/>
      <c r="N1085" s="123"/>
      <c r="O1085" s="123"/>
      <c r="P1085" s="123"/>
      <c r="Q1085" s="123"/>
      <c r="R1085" s="123"/>
      <c r="S1085" s="123"/>
      <c r="T1085" s="123"/>
      <c r="U1085" s="123"/>
      <c r="V1085" s="123"/>
      <c r="W1085" s="123"/>
      <c r="X1085" s="123"/>
      <c r="Y1085" s="123"/>
      <c r="Z1085" s="123"/>
      <c r="AA1085" s="123"/>
      <c r="AB1085" s="123"/>
      <c r="AC1085" s="123"/>
      <c r="AD1085" s="123"/>
      <c r="AE1085" s="123"/>
      <c r="AF1085" s="123"/>
      <c r="AG1085" s="123"/>
      <c r="AH1085" s="123"/>
      <c r="AI1085" s="123"/>
      <c r="AJ1085" s="123"/>
      <c r="AK1085" s="123"/>
      <c r="AL1085" s="123"/>
      <c r="AM1085" s="123"/>
      <c r="AN1085" s="123"/>
      <c r="AO1085" s="123"/>
      <c r="AP1085" s="123"/>
      <c r="AQ1085" s="123"/>
      <c r="AR1085" s="123"/>
      <c r="AS1085" s="123"/>
      <c r="AT1085" s="123"/>
      <c r="AU1085" s="123"/>
      <c r="AV1085" s="123"/>
      <c r="AW1085" s="123"/>
      <c r="AX1085" s="123"/>
      <c r="AY1085" s="123"/>
      <c r="AZ1085" s="123"/>
      <c r="BA1085" s="123"/>
      <c r="BB1085" s="123"/>
      <c r="BC1085" s="123"/>
      <c r="BD1085" s="123"/>
      <c r="BE1085" s="123"/>
      <c r="BF1085" s="123"/>
      <c r="BG1085" s="123"/>
      <c r="BH1085" s="123"/>
      <c r="BI1085" s="123"/>
    </row>
    <row r="1086" spans="3:61" hidden="1">
      <c r="C1086" s="1190">
        <v>21256</v>
      </c>
      <c r="D1086" s="332" t="s">
        <v>3621</v>
      </c>
      <c r="E1086" s="857">
        <v>48</v>
      </c>
      <c r="F1086" s="857"/>
      <c r="G1086" s="857">
        <v>7</v>
      </c>
      <c r="H1086" s="963">
        <f t="shared" si="44"/>
        <v>0.14583333333333334</v>
      </c>
      <c r="I1086" s="1180">
        <f t="shared" si="43"/>
        <v>0</v>
      </c>
    </row>
    <row r="1087" spans="3:61" hidden="1">
      <c r="C1087" s="1190">
        <v>18135</v>
      </c>
      <c r="D1087" s="332" t="s">
        <v>2802</v>
      </c>
      <c r="E1087" s="857">
        <v>12</v>
      </c>
      <c r="F1087" s="857">
        <v>0</v>
      </c>
      <c r="G1087" s="857">
        <v>8.4</v>
      </c>
      <c r="H1087" s="963">
        <f t="shared" si="44"/>
        <v>0.70000000000000007</v>
      </c>
      <c r="I1087" s="1180">
        <f t="shared" si="43"/>
        <v>0</v>
      </c>
    </row>
    <row r="1088" spans="3:61" hidden="1">
      <c r="C1088" s="1190">
        <v>20803</v>
      </c>
      <c r="D1088" s="332" t="s">
        <v>3173</v>
      </c>
      <c r="E1088" s="857">
        <v>12</v>
      </c>
      <c r="F1088" s="857">
        <v>0</v>
      </c>
      <c r="G1088" s="857">
        <v>6.4</v>
      </c>
      <c r="H1088" s="963">
        <f t="shared" ref="H1088:H1098" si="45">G1088/E1088</f>
        <v>0.53333333333333333</v>
      </c>
      <c r="I1088" s="1180">
        <f t="shared" si="43"/>
        <v>0</v>
      </c>
    </row>
    <row r="1089" spans="3:61" hidden="1">
      <c r="C1089" s="1190">
        <v>2131</v>
      </c>
      <c r="D1089" s="332" t="s">
        <v>3452</v>
      </c>
      <c r="E1089" s="857"/>
      <c r="F1089" s="857"/>
      <c r="G1089" s="857"/>
      <c r="H1089" s="963" t="e">
        <f t="shared" si="45"/>
        <v>#DIV/0!</v>
      </c>
      <c r="I1089" s="1180">
        <f t="shared" si="43"/>
        <v>0</v>
      </c>
    </row>
    <row r="1090" spans="3:61" hidden="1">
      <c r="C1090" s="1190">
        <v>2647</v>
      </c>
      <c r="D1090" s="332" t="s">
        <v>1899</v>
      </c>
      <c r="E1090" s="857"/>
      <c r="F1090" s="857">
        <v>0</v>
      </c>
      <c r="G1090" s="857"/>
      <c r="H1090" s="963" t="e">
        <f t="shared" si="45"/>
        <v>#DIV/0!</v>
      </c>
      <c r="I1090" s="1180">
        <f t="shared" si="43"/>
        <v>0</v>
      </c>
    </row>
    <row r="1091" spans="3:61" hidden="1">
      <c r="E1091" s="857"/>
      <c r="F1091" s="857"/>
      <c r="G1091" s="857"/>
      <c r="H1091" s="963" t="e">
        <f t="shared" si="45"/>
        <v>#DIV/0!</v>
      </c>
      <c r="I1091" s="1180">
        <f t="shared" si="43"/>
        <v>0</v>
      </c>
    </row>
    <row r="1092" spans="3:61" hidden="1">
      <c r="C1092" s="1190">
        <v>7644</v>
      </c>
      <c r="D1092" s="332" t="s">
        <v>2454</v>
      </c>
      <c r="E1092" s="857"/>
      <c r="F1092" s="857"/>
      <c r="G1092" s="857"/>
      <c r="H1092" s="963" t="e">
        <f t="shared" si="45"/>
        <v>#DIV/0!</v>
      </c>
      <c r="I1092" s="1180">
        <f t="shared" si="43"/>
        <v>0</v>
      </c>
    </row>
    <row r="1093" spans="3:61" hidden="1">
      <c r="C1093" s="1190">
        <v>20011</v>
      </c>
      <c r="D1093" s="332" t="s">
        <v>2294</v>
      </c>
      <c r="E1093" s="857"/>
      <c r="F1093" s="857"/>
      <c r="G1093" s="857"/>
      <c r="H1093" s="963" t="e">
        <f t="shared" si="45"/>
        <v>#DIV/0!</v>
      </c>
      <c r="I1093" s="1180">
        <f t="shared" si="43"/>
        <v>0</v>
      </c>
    </row>
    <row r="1094" spans="3:61" hidden="1">
      <c r="C1094" s="1190">
        <v>6408</v>
      </c>
      <c r="D1094" s="332" t="s">
        <v>3453</v>
      </c>
      <c r="E1094" s="857"/>
      <c r="F1094" s="857"/>
      <c r="G1094" s="857"/>
      <c r="H1094" s="963" t="e">
        <f t="shared" si="45"/>
        <v>#DIV/0!</v>
      </c>
      <c r="I1094" s="1180">
        <f t="shared" si="43"/>
        <v>0</v>
      </c>
    </row>
    <row r="1095" spans="3:61" hidden="1">
      <c r="C1095" s="1190">
        <v>6407</v>
      </c>
      <c r="D1095" s="332" t="s">
        <v>3454</v>
      </c>
      <c r="E1095" s="857"/>
      <c r="F1095" s="857"/>
      <c r="G1095" s="857"/>
      <c r="H1095" s="963" t="e">
        <f t="shared" si="45"/>
        <v>#DIV/0!</v>
      </c>
      <c r="I1095" s="1180">
        <f t="shared" si="43"/>
        <v>0</v>
      </c>
    </row>
    <row r="1096" spans="3:61" hidden="1">
      <c r="C1096" s="1190">
        <v>14402</v>
      </c>
      <c r="D1096" s="332" t="s">
        <v>2453</v>
      </c>
      <c r="E1096" s="857"/>
      <c r="F1096" s="857"/>
      <c r="G1096" s="857"/>
      <c r="H1096" s="963" t="e">
        <f t="shared" si="45"/>
        <v>#DIV/0!</v>
      </c>
      <c r="I1096" s="1180">
        <f t="shared" si="43"/>
        <v>0</v>
      </c>
    </row>
    <row r="1097" spans="3:61" hidden="1">
      <c r="C1097" s="1190">
        <v>14403</v>
      </c>
      <c r="D1097" s="332" t="s">
        <v>2277</v>
      </c>
      <c r="E1097" s="857"/>
      <c r="F1097" s="857"/>
      <c r="G1097" s="857"/>
      <c r="H1097" s="963" t="e">
        <f t="shared" si="45"/>
        <v>#DIV/0!</v>
      </c>
      <c r="I1097" s="1180">
        <f t="shared" si="43"/>
        <v>0</v>
      </c>
    </row>
    <row r="1098" spans="3:61" hidden="1">
      <c r="C1098" s="1190">
        <v>21026</v>
      </c>
      <c r="D1098" s="332" t="s">
        <v>3455</v>
      </c>
      <c r="E1098" s="857"/>
      <c r="F1098" s="857"/>
      <c r="G1098" s="857"/>
      <c r="H1098" s="963" t="e">
        <f t="shared" si="45"/>
        <v>#DIV/0!</v>
      </c>
      <c r="I1098" s="1180">
        <f t="shared" si="43"/>
        <v>0</v>
      </c>
    </row>
    <row r="1099" spans="3:61" s="827" customFormat="1" hidden="1">
      <c r="C1099" s="1190"/>
      <c r="D1099" s="332" t="s">
        <v>3626</v>
      </c>
      <c r="E1099" s="857">
        <v>6</v>
      </c>
      <c r="F1099" s="857"/>
      <c r="G1099" s="857">
        <v>17.5</v>
      </c>
      <c r="H1099" s="963"/>
      <c r="I1099" s="1180">
        <f t="shared" si="43"/>
        <v>0</v>
      </c>
      <c r="J1099" s="123"/>
      <c r="K1099" s="123"/>
      <c r="L1099" s="123"/>
      <c r="M1099" s="123"/>
      <c r="N1099" s="123"/>
      <c r="O1099" s="123"/>
      <c r="P1099" s="123"/>
      <c r="Q1099" s="123"/>
      <c r="R1099" s="123"/>
      <c r="S1099" s="123"/>
      <c r="T1099" s="123"/>
      <c r="U1099" s="123"/>
      <c r="V1099" s="123"/>
      <c r="W1099" s="123"/>
      <c r="X1099" s="123"/>
      <c r="Y1099" s="123"/>
      <c r="Z1099" s="123"/>
      <c r="AA1099" s="123"/>
      <c r="AB1099" s="123"/>
      <c r="AC1099" s="123"/>
      <c r="AD1099" s="123"/>
      <c r="AE1099" s="123"/>
      <c r="AF1099" s="123"/>
      <c r="AG1099" s="123"/>
      <c r="AH1099" s="123"/>
      <c r="AI1099" s="123"/>
      <c r="AJ1099" s="123"/>
      <c r="AK1099" s="123"/>
      <c r="AL1099" s="123"/>
      <c r="AM1099" s="123"/>
      <c r="AN1099" s="123"/>
      <c r="AO1099" s="123"/>
      <c r="AP1099" s="123"/>
      <c r="AQ1099" s="123"/>
      <c r="AR1099" s="123"/>
      <c r="AS1099" s="123"/>
      <c r="AT1099" s="123"/>
      <c r="AU1099" s="123"/>
      <c r="AV1099" s="123"/>
      <c r="AW1099" s="123"/>
      <c r="AX1099" s="123"/>
      <c r="AY1099" s="123"/>
      <c r="AZ1099" s="123"/>
      <c r="BA1099" s="123"/>
      <c r="BB1099" s="123"/>
      <c r="BC1099" s="123"/>
      <c r="BD1099" s="123"/>
      <c r="BE1099" s="123"/>
      <c r="BF1099" s="123"/>
      <c r="BG1099" s="123"/>
      <c r="BH1099" s="123"/>
      <c r="BI1099" s="123"/>
    </row>
    <row r="1100" spans="3:61" s="827" customFormat="1" hidden="1">
      <c r="C1100" s="1190"/>
      <c r="D1100" s="332" t="s">
        <v>3626</v>
      </c>
      <c r="E1100" s="857">
        <v>6</v>
      </c>
      <c r="F1100" s="857"/>
      <c r="G1100" s="857">
        <v>17.5</v>
      </c>
      <c r="H1100" s="963"/>
      <c r="I1100" s="1180">
        <f t="shared" si="43"/>
        <v>0</v>
      </c>
      <c r="J1100" s="123"/>
      <c r="K1100" s="123"/>
      <c r="L1100" s="123"/>
      <c r="M1100" s="123"/>
      <c r="N1100" s="123"/>
      <c r="O1100" s="123"/>
      <c r="P1100" s="123"/>
      <c r="Q1100" s="123"/>
      <c r="R1100" s="123"/>
      <c r="S1100" s="123"/>
      <c r="T1100" s="123"/>
      <c r="U1100" s="123"/>
      <c r="V1100" s="123"/>
      <c r="W1100" s="123"/>
      <c r="X1100" s="123"/>
      <c r="Y1100" s="123"/>
      <c r="Z1100" s="123"/>
      <c r="AA1100" s="123"/>
      <c r="AB1100" s="123"/>
      <c r="AC1100" s="123"/>
      <c r="AD1100" s="123"/>
      <c r="AE1100" s="123"/>
      <c r="AF1100" s="123"/>
      <c r="AG1100" s="123"/>
      <c r="AH1100" s="123"/>
      <c r="AI1100" s="123"/>
      <c r="AJ1100" s="123"/>
      <c r="AK1100" s="123"/>
      <c r="AL1100" s="123"/>
      <c r="AM1100" s="123"/>
      <c r="AN1100" s="123"/>
      <c r="AO1100" s="123"/>
      <c r="AP1100" s="123"/>
      <c r="AQ1100" s="123"/>
      <c r="AR1100" s="123"/>
      <c r="AS1100" s="123"/>
      <c r="AT1100" s="123"/>
      <c r="AU1100" s="123"/>
      <c r="AV1100" s="123"/>
      <c r="AW1100" s="123"/>
      <c r="AX1100" s="123"/>
      <c r="AY1100" s="123"/>
      <c r="AZ1100" s="123"/>
      <c r="BA1100" s="123"/>
      <c r="BB1100" s="123"/>
      <c r="BC1100" s="123"/>
      <c r="BD1100" s="123"/>
      <c r="BE1100" s="123"/>
      <c r="BF1100" s="123"/>
      <c r="BG1100" s="123"/>
      <c r="BH1100" s="123"/>
      <c r="BI1100" s="123"/>
    </row>
    <row r="1101" spans="3:61" s="827" customFormat="1" hidden="1">
      <c r="C1101" s="1190"/>
      <c r="D1101" s="332" t="s">
        <v>3626</v>
      </c>
      <c r="E1101" s="857">
        <v>6</v>
      </c>
      <c r="F1101" s="857"/>
      <c r="G1101" s="857">
        <v>17.5</v>
      </c>
      <c r="H1101" s="963"/>
      <c r="I1101" s="1180">
        <f t="shared" si="43"/>
        <v>0</v>
      </c>
      <c r="J1101" s="123"/>
      <c r="K1101" s="123"/>
      <c r="L1101" s="123"/>
      <c r="M1101" s="123"/>
      <c r="N1101" s="123"/>
      <c r="O1101" s="123"/>
      <c r="P1101" s="123"/>
      <c r="Q1101" s="123"/>
      <c r="R1101" s="123"/>
      <c r="S1101" s="123"/>
      <c r="T1101" s="123"/>
      <c r="U1101" s="123"/>
      <c r="V1101" s="123"/>
      <c r="W1101" s="123"/>
      <c r="X1101" s="123"/>
      <c r="Y1101" s="123"/>
      <c r="Z1101" s="123"/>
      <c r="AA1101" s="123"/>
      <c r="AB1101" s="123"/>
      <c r="AC1101" s="123"/>
      <c r="AD1101" s="123"/>
      <c r="AE1101" s="123"/>
      <c r="AF1101" s="123"/>
      <c r="AG1101" s="123"/>
      <c r="AH1101" s="123"/>
      <c r="AI1101" s="123"/>
      <c r="AJ1101" s="123"/>
      <c r="AK1101" s="123"/>
      <c r="AL1101" s="123"/>
      <c r="AM1101" s="123"/>
      <c r="AN1101" s="123"/>
      <c r="AO1101" s="123"/>
      <c r="AP1101" s="123"/>
      <c r="AQ1101" s="123"/>
      <c r="AR1101" s="123"/>
      <c r="AS1101" s="123"/>
      <c r="AT1101" s="123"/>
      <c r="AU1101" s="123"/>
      <c r="AV1101" s="123"/>
      <c r="AW1101" s="123"/>
      <c r="AX1101" s="123"/>
      <c r="AY1101" s="123"/>
      <c r="AZ1101" s="123"/>
      <c r="BA1101" s="123"/>
      <c r="BB1101" s="123"/>
      <c r="BC1101" s="123"/>
      <c r="BD1101" s="123"/>
      <c r="BE1101" s="123"/>
      <c r="BF1101" s="123"/>
      <c r="BG1101" s="123"/>
      <c r="BH1101" s="123"/>
      <c r="BI1101" s="123"/>
    </row>
    <row r="1102" spans="3:61" hidden="1">
      <c r="C1102" s="1190">
        <v>21224</v>
      </c>
      <c r="D1102" s="332" t="s">
        <v>3622</v>
      </c>
      <c r="E1102" s="857">
        <v>6</v>
      </c>
      <c r="F1102" s="857"/>
      <c r="G1102" s="857">
        <v>17.5</v>
      </c>
      <c r="H1102" s="963">
        <f>G1102/E1102</f>
        <v>2.9166666666666665</v>
      </c>
      <c r="I1102" s="1180">
        <f t="shared" si="43"/>
        <v>0</v>
      </c>
    </row>
    <row r="1103" spans="3:61" hidden="1">
      <c r="I1103" s="1180">
        <f t="shared" si="43"/>
        <v>0</v>
      </c>
    </row>
    <row r="1104" spans="3:61" hidden="1">
      <c r="C1104" s="1190">
        <v>21232</v>
      </c>
      <c r="D1104" s="332" t="s">
        <v>3486</v>
      </c>
      <c r="E1104" s="857"/>
      <c r="F1104" s="857"/>
      <c r="G1104" s="857"/>
      <c r="H1104" s="963" t="e">
        <f t="shared" ref="H1104:H1109" si="46">G1104/E1104</f>
        <v>#DIV/0!</v>
      </c>
      <c r="I1104" s="1180">
        <f t="shared" si="43"/>
        <v>0</v>
      </c>
    </row>
    <row r="1105" spans="3:61" hidden="1">
      <c r="C1105" s="1190">
        <v>21231</v>
      </c>
      <c r="D1105" s="332" t="s">
        <v>3487</v>
      </c>
      <c r="E1105" s="857"/>
      <c r="F1105" s="857"/>
      <c r="G1105" s="857"/>
      <c r="H1105" s="963" t="e">
        <f t="shared" si="46"/>
        <v>#DIV/0!</v>
      </c>
      <c r="I1105" s="1180">
        <f t="shared" si="43"/>
        <v>0</v>
      </c>
    </row>
    <row r="1106" spans="3:61" hidden="1">
      <c r="C1106" s="1190">
        <v>9563</v>
      </c>
      <c r="D1106" s="332" t="s">
        <v>3623</v>
      </c>
      <c r="E1106" s="857"/>
      <c r="F1106" s="857"/>
      <c r="G1106" s="857"/>
      <c r="H1106" s="963" t="e">
        <f t="shared" si="46"/>
        <v>#DIV/0!</v>
      </c>
      <c r="I1106" s="1180">
        <f t="shared" si="43"/>
        <v>0</v>
      </c>
    </row>
    <row r="1107" spans="3:61" hidden="1">
      <c r="C1107" s="1190">
        <v>20005</v>
      </c>
      <c r="D1107" s="332" t="s">
        <v>2291</v>
      </c>
      <c r="E1107" s="857"/>
      <c r="F1107" s="857"/>
      <c r="G1107" s="857"/>
      <c r="H1107" s="963" t="e">
        <f t="shared" si="46"/>
        <v>#DIV/0!</v>
      </c>
      <c r="I1107" s="1180">
        <f t="shared" si="43"/>
        <v>0</v>
      </c>
    </row>
    <row r="1108" spans="3:61" hidden="1">
      <c r="C1108" s="1190">
        <v>20008</v>
      </c>
      <c r="D1108" s="332" t="s">
        <v>2292</v>
      </c>
      <c r="E1108" s="857"/>
      <c r="F1108" s="857"/>
      <c r="G1108" s="857"/>
      <c r="H1108" s="963" t="e">
        <f t="shared" si="46"/>
        <v>#DIV/0!</v>
      </c>
      <c r="I1108" s="1180">
        <f t="shared" si="43"/>
        <v>0</v>
      </c>
    </row>
    <row r="1109" spans="3:61" hidden="1">
      <c r="C1109" s="1190">
        <v>20009</v>
      </c>
      <c r="D1109" s="332" t="s">
        <v>2290</v>
      </c>
      <c r="E1109" s="857"/>
      <c r="F1109" s="857"/>
      <c r="G1109" s="857"/>
      <c r="H1109" s="963" t="e">
        <f t="shared" si="46"/>
        <v>#DIV/0!</v>
      </c>
      <c r="I1109" s="1180">
        <f t="shared" si="43"/>
        <v>0</v>
      </c>
    </row>
    <row r="1110" spans="3:61" s="827" customFormat="1" hidden="1">
      <c r="C1110" s="1190"/>
      <c r="D1110" s="332" t="s">
        <v>3627</v>
      </c>
      <c r="E1110" s="857">
        <v>96</v>
      </c>
      <c r="F1110" s="857"/>
      <c r="G1110" s="857">
        <v>52.7</v>
      </c>
      <c r="H1110" s="963">
        <f t="shared" ref="H1110:H1116" si="47">G1110/E1110</f>
        <v>0.54895833333333333</v>
      </c>
      <c r="I1110" s="1180">
        <f t="shared" si="43"/>
        <v>0</v>
      </c>
      <c r="J1110" s="123"/>
      <c r="K1110" s="123"/>
      <c r="L1110" s="123"/>
      <c r="M1110" s="123"/>
      <c r="N1110" s="123"/>
      <c r="O1110" s="123"/>
      <c r="P1110" s="123"/>
      <c r="Q1110" s="123"/>
      <c r="R1110" s="123"/>
      <c r="S1110" s="123"/>
      <c r="T1110" s="123"/>
      <c r="U1110" s="123"/>
      <c r="V1110" s="123"/>
      <c r="W1110" s="123"/>
      <c r="X1110" s="123"/>
      <c r="Y1110" s="123"/>
      <c r="Z1110" s="123"/>
      <c r="AA1110" s="123"/>
      <c r="AB1110" s="123"/>
      <c r="AC1110" s="123"/>
      <c r="AD1110" s="123"/>
      <c r="AE1110" s="123"/>
      <c r="AF1110" s="123"/>
      <c r="AG1110" s="123"/>
      <c r="AH1110" s="123"/>
      <c r="AI1110" s="123"/>
      <c r="AJ1110" s="123"/>
      <c r="AK1110" s="123"/>
      <c r="AL1110" s="123"/>
      <c r="AM1110" s="123"/>
      <c r="AN1110" s="123"/>
      <c r="AO1110" s="123"/>
      <c r="AP1110" s="123"/>
      <c r="AQ1110" s="123"/>
      <c r="AR1110" s="123"/>
      <c r="AS1110" s="123"/>
      <c r="AT1110" s="123"/>
      <c r="AU1110" s="123"/>
      <c r="AV1110" s="123"/>
      <c r="AW1110" s="123"/>
      <c r="AX1110" s="123"/>
      <c r="AY1110" s="123"/>
      <c r="AZ1110" s="123"/>
      <c r="BA1110" s="123"/>
      <c r="BB1110" s="123"/>
      <c r="BC1110" s="123"/>
      <c r="BD1110" s="123"/>
      <c r="BE1110" s="123"/>
      <c r="BF1110" s="123"/>
      <c r="BG1110" s="123"/>
      <c r="BH1110" s="123"/>
      <c r="BI1110" s="123"/>
    </row>
    <row r="1111" spans="3:61" s="827" customFormat="1" hidden="1">
      <c r="C1111" s="1190">
        <v>20007</v>
      </c>
      <c r="D1111" s="332" t="s">
        <v>2293</v>
      </c>
      <c r="E1111" s="857"/>
      <c r="F1111" s="857"/>
      <c r="G1111" s="857"/>
      <c r="H1111" s="963" t="e">
        <f t="shared" si="47"/>
        <v>#DIV/0!</v>
      </c>
      <c r="I1111" s="1180">
        <f t="shared" si="43"/>
        <v>0</v>
      </c>
      <c r="J1111" s="123"/>
      <c r="K1111" s="123"/>
      <c r="L1111" s="123"/>
      <c r="M1111" s="123"/>
      <c r="N1111" s="123"/>
      <c r="O1111" s="123"/>
      <c r="P1111" s="123"/>
      <c r="Q1111" s="123"/>
      <c r="R1111" s="123"/>
      <c r="S1111" s="123"/>
      <c r="T1111" s="123"/>
      <c r="U1111" s="123"/>
      <c r="V1111" s="123"/>
      <c r="W1111" s="123"/>
      <c r="X1111" s="123"/>
      <c r="Y1111" s="123"/>
      <c r="Z1111" s="123"/>
      <c r="AA1111" s="123"/>
      <c r="AB1111" s="123"/>
      <c r="AC1111" s="123"/>
      <c r="AD1111" s="123"/>
      <c r="AE1111" s="123"/>
      <c r="AF1111" s="123"/>
      <c r="AG1111" s="123"/>
      <c r="AH1111" s="123"/>
      <c r="AI1111" s="123"/>
      <c r="AJ1111" s="123"/>
      <c r="AK1111" s="123"/>
      <c r="AL1111" s="123"/>
      <c r="AM1111" s="123"/>
      <c r="AN1111" s="123"/>
      <c r="AO1111" s="123"/>
      <c r="AP1111" s="123"/>
      <c r="AQ1111" s="123"/>
      <c r="AR1111" s="123"/>
      <c r="AS1111" s="123"/>
      <c r="AT1111" s="123"/>
      <c r="AU1111" s="123"/>
      <c r="AV1111" s="123"/>
      <c r="AW1111" s="123"/>
      <c r="AX1111" s="123"/>
      <c r="AY1111" s="123"/>
      <c r="AZ1111" s="123"/>
      <c r="BA1111" s="123"/>
      <c r="BB1111" s="123"/>
      <c r="BC1111" s="123"/>
      <c r="BD1111" s="123"/>
      <c r="BE1111" s="123"/>
      <c r="BF1111" s="123"/>
      <c r="BG1111" s="123"/>
      <c r="BH1111" s="123"/>
      <c r="BI1111" s="123"/>
    </row>
    <row r="1112" spans="3:61" s="827" customFormat="1" hidden="1">
      <c r="C1112" s="1190">
        <v>10427</v>
      </c>
      <c r="D1112" s="332" t="s">
        <v>2297</v>
      </c>
      <c r="E1112" s="857"/>
      <c r="F1112" s="857"/>
      <c r="G1112" s="857"/>
      <c r="H1112" s="963" t="e">
        <f t="shared" si="47"/>
        <v>#DIV/0!</v>
      </c>
      <c r="I1112" s="1180">
        <f t="shared" si="43"/>
        <v>0</v>
      </c>
      <c r="J1112" s="123"/>
      <c r="K1112" s="123"/>
      <c r="L1112" s="123"/>
      <c r="M1112" s="123"/>
      <c r="N1112" s="123"/>
      <c r="O1112" s="123"/>
      <c r="P1112" s="123"/>
      <c r="Q1112" s="123"/>
      <c r="R1112" s="123"/>
      <c r="S1112" s="123"/>
      <c r="T1112" s="123"/>
      <c r="U1112" s="123"/>
      <c r="V1112" s="123"/>
      <c r="W1112" s="123"/>
      <c r="X1112" s="123"/>
      <c r="Y1112" s="123"/>
      <c r="Z1112" s="123"/>
      <c r="AA1112" s="123"/>
      <c r="AB1112" s="123"/>
      <c r="AC1112" s="123"/>
      <c r="AD1112" s="123"/>
      <c r="AE1112" s="123"/>
      <c r="AF1112" s="123"/>
      <c r="AG1112" s="123"/>
      <c r="AH1112" s="123"/>
      <c r="AI1112" s="123"/>
      <c r="AJ1112" s="123"/>
      <c r="AK1112" s="123"/>
      <c r="AL1112" s="123"/>
      <c r="AM1112" s="123"/>
      <c r="AN1112" s="123"/>
      <c r="AO1112" s="123"/>
      <c r="AP1112" s="123"/>
      <c r="AQ1112" s="123"/>
      <c r="AR1112" s="123"/>
      <c r="AS1112" s="123"/>
      <c r="AT1112" s="123"/>
      <c r="AU1112" s="123"/>
      <c r="AV1112" s="123"/>
      <c r="AW1112" s="123"/>
      <c r="AX1112" s="123"/>
      <c r="AY1112" s="123"/>
      <c r="AZ1112" s="123"/>
      <c r="BA1112" s="123"/>
      <c r="BB1112" s="123"/>
      <c r="BC1112" s="123"/>
      <c r="BD1112" s="123"/>
      <c r="BE1112" s="123"/>
      <c r="BF1112" s="123"/>
      <c r="BG1112" s="123"/>
      <c r="BH1112" s="123"/>
      <c r="BI1112" s="123"/>
    </row>
    <row r="1113" spans="3:61" s="827" customFormat="1" hidden="1">
      <c r="C1113" s="1190">
        <v>20006</v>
      </c>
      <c r="D1113" s="332" t="s">
        <v>2289</v>
      </c>
      <c r="E1113" s="857"/>
      <c r="F1113" s="857"/>
      <c r="G1113" s="857"/>
      <c r="H1113" s="963"/>
      <c r="I1113" s="1180">
        <f t="shared" si="43"/>
        <v>0</v>
      </c>
      <c r="J1113" s="123"/>
      <c r="K1113" s="123"/>
      <c r="L1113" s="123"/>
      <c r="M1113" s="123"/>
      <c r="N1113" s="123"/>
      <c r="O1113" s="123"/>
      <c r="P1113" s="123"/>
      <c r="Q1113" s="123"/>
      <c r="R1113" s="123"/>
      <c r="S1113" s="123"/>
      <c r="T1113" s="123"/>
      <c r="U1113" s="123"/>
      <c r="V1113" s="123"/>
      <c r="W1113" s="123"/>
      <c r="X1113" s="123"/>
      <c r="Y1113" s="123"/>
      <c r="Z1113" s="123"/>
      <c r="AA1113" s="123"/>
      <c r="AB1113" s="123"/>
      <c r="AC1113" s="123"/>
      <c r="AD1113" s="123"/>
      <c r="AE1113" s="123"/>
      <c r="AF1113" s="123"/>
      <c r="AG1113" s="123"/>
      <c r="AH1113" s="123"/>
      <c r="AI1113" s="123"/>
      <c r="AJ1113" s="123"/>
      <c r="AK1113" s="123"/>
      <c r="AL1113" s="123"/>
      <c r="AM1113" s="123"/>
      <c r="AN1113" s="123"/>
      <c r="AO1113" s="123"/>
      <c r="AP1113" s="123"/>
      <c r="AQ1113" s="123"/>
      <c r="AR1113" s="123"/>
      <c r="AS1113" s="123"/>
      <c r="AT1113" s="123"/>
      <c r="AU1113" s="123"/>
      <c r="AV1113" s="123"/>
      <c r="AW1113" s="123"/>
      <c r="AX1113" s="123"/>
      <c r="AY1113" s="123"/>
      <c r="AZ1113" s="123"/>
      <c r="BA1113" s="123"/>
      <c r="BB1113" s="123"/>
      <c r="BC1113" s="123"/>
      <c r="BD1113" s="123"/>
      <c r="BE1113" s="123"/>
      <c r="BF1113" s="123"/>
      <c r="BG1113" s="123"/>
      <c r="BH1113" s="123"/>
      <c r="BI1113" s="123"/>
    </row>
    <row r="1114" spans="3:61" s="827" customFormat="1" hidden="1">
      <c r="C1114" s="1190"/>
      <c r="D1114" s="332"/>
      <c r="E1114" s="857"/>
      <c r="F1114" s="857"/>
      <c r="G1114" s="857"/>
      <c r="H1114" s="963"/>
      <c r="I1114" s="1180">
        <f t="shared" si="43"/>
        <v>0</v>
      </c>
      <c r="J1114" s="123"/>
      <c r="K1114" s="123"/>
      <c r="L1114" s="123"/>
      <c r="M1114" s="123"/>
      <c r="N1114" s="123"/>
      <c r="O1114" s="123"/>
      <c r="P1114" s="123"/>
      <c r="Q1114" s="123"/>
      <c r="R1114" s="123"/>
      <c r="S1114" s="123"/>
      <c r="T1114" s="123"/>
      <c r="U1114" s="123"/>
      <c r="V1114" s="123"/>
      <c r="W1114" s="123"/>
      <c r="X1114" s="123"/>
      <c r="Y1114" s="123"/>
      <c r="Z1114" s="123"/>
      <c r="AA1114" s="123"/>
      <c r="AB1114" s="123"/>
      <c r="AC1114" s="123"/>
      <c r="AD1114" s="123"/>
      <c r="AE1114" s="123"/>
      <c r="AF1114" s="123"/>
      <c r="AG1114" s="123"/>
      <c r="AH1114" s="123"/>
      <c r="AI1114" s="123"/>
      <c r="AJ1114" s="123"/>
      <c r="AK1114" s="123"/>
      <c r="AL1114" s="123"/>
      <c r="AM1114" s="123"/>
      <c r="AN1114" s="123"/>
      <c r="AO1114" s="123"/>
      <c r="AP1114" s="123"/>
      <c r="AQ1114" s="123"/>
      <c r="AR1114" s="123"/>
      <c r="AS1114" s="123"/>
      <c r="AT1114" s="123"/>
      <c r="AU1114" s="123"/>
      <c r="AV1114" s="123"/>
      <c r="AW1114" s="123"/>
      <c r="AX1114" s="123"/>
      <c r="AY1114" s="123"/>
      <c r="AZ1114" s="123"/>
      <c r="BA1114" s="123"/>
      <c r="BB1114" s="123"/>
      <c r="BC1114" s="123"/>
      <c r="BD1114" s="123"/>
      <c r="BE1114" s="123"/>
      <c r="BF1114" s="123"/>
      <c r="BG1114" s="123"/>
      <c r="BH1114" s="123"/>
      <c r="BI1114" s="123"/>
    </row>
    <row r="1115" spans="3:61" s="827" customFormat="1" hidden="1">
      <c r="C1115" s="1190"/>
      <c r="D1115" s="332"/>
      <c r="E1115" s="857"/>
      <c r="F1115" s="857"/>
      <c r="G1115" s="857"/>
      <c r="H1115" s="963"/>
      <c r="I1115" s="1180">
        <f t="shared" si="43"/>
        <v>0</v>
      </c>
      <c r="J1115" s="123"/>
      <c r="K1115" s="123"/>
      <c r="L1115" s="123"/>
      <c r="M1115" s="123"/>
      <c r="N1115" s="123"/>
      <c r="O1115" s="123"/>
      <c r="P1115" s="123"/>
      <c r="Q1115" s="123"/>
      <c r="R1115" s="123"/>
      <c r="S1115" s="123"/>
      <c r="T1115" s="123"/>
      <c r="U1115" s="123"/>
      <c r="V1115" s="123"/>
      <c r="W1115" s="123"/>
      <c r="X1115" s="123"/>
      <c r="Y1115" s="123"/>
      <c r="Z1115" s="123"/>
      <c r="AA1115" s="123"/>
      <c r="AB1115" s="123"/>
      <c r="AC1115" s="123"/>
      <c r="AD1115" s="123"/>
      <c r="AE1115" s="123"/>
      <c r="AF1115" s="123"/>
      <c r="AG1115" s="123"/>
      <c r="AH1115" s="123"/>
      <c r="AI1115" s="123"/>
      <c r="AJ1115" s="123"/>
      <c r="AK1115" s="123"/>
      <c r="AL1115" s="123"/>
      <c r="AM1115" s="123"/>
      <c r="AN1115" s="123"/>
      <c r="AO1115" s="123"/>
      <c r="AP1115" s="123"/>
      <c r="AQ1115" s="123"/>
      <c r="AR1115" s="123"/>
      <c r="AS1115" s="123"/>
      <c r="AT1115" s="123"/>
      <c r="AU1115" s="123"/>
      <c r="AV1115" s="123"/>
      <c r="AW1115" s="123"/>
      <c r="AX1115" s="123"/>
      <c r="AY1115" s="123"/>
      <c r="AZ1115" s="123"/>
      <c r="BA1115" s="123"/>
      <c r="BB1115" s="123"/>
      <c r="BC1115" s="123"/>
      <c r="BD1115" s="123"/>
      <c r="BE1115" s="123"/>
      <c r="BF1115" s="123"/>
      <c r="BG1115" s="123"/>
      <c r="BH1115" s="123"/>
      <c r="BI1115" s="123"/>
    </row>
    <row r="1116" spans="3:61" s="827" customFormat="1" hidden="1">
      <c r="C1116" s="1190"/>
      <c r="D1116" s="332"/>
      <c r="E1116" s="857"/>
      <c r="F1116" s="857"/>
      <c r="G1116" s="857"/>
      <c r="H1116" s="963" t="e">
        <f t="shared" si="47"/>
        <v>#DIV/0!</v>
      </c>
      <c r="I1116" s="1180">
        <f t="shared" si="43"/>
        <v>0</v>
      </c>
      <c r="J1116" s="123"/>
      <c r="K1116" s="123"/>
      <c r="L1116" s="123"/>
      <c r="M1116" s="123"/>
      <c r="N1116" s="123"/>
      <c r="O1116" s="123"/>
      <c r="P1116" s="123"/>
      <c r="Q1116" s="123"/>
      <c r="R1116" s="123"/>
      <c r="S1116" s="123"/>
      <c r="T1116" s="123"/>
      <c r="U1116" s="123"/>
      <c r="V1116" s="123"/>
      <c r="W1116" s="123"/>
      <c r="X1116" s="123"/>
      <c r="Y1116" s="123"/>
      <c r="Z1116" s="123"/>
      <c r="AA1116" s="123"/>
      <c r="AB1116" s="123"/>
      <c r="AC1116" s="123"/>
      <c r="AD1116" s="123"/>
      <c r="AE1116" s="123"/>
      <c r="AF1116" s="123"/>
      <c r="AG1116" s="123"/>
      <c r="AH1116" s="123"/>
      <c r="AI1116" s="123"/>
      <c r="AJ1116" s="123"/>
      <c r="AK1116" s="123"/>
      <c r="AL1116" s="123"/>
      <c r="AM1116" s="123"/>
      <c r="AN1116" s="123"/>
      <c r="AO1116" s="123"/>
      <c r="AP1116" s="123"/>
      <c r="AQ1116" s="123"/>
      <c r="AR1116" s="123"/>
      <c r="AS1116" s="123"/>
      <c r="AT1116" s="123"/>
      <c r="AU1116" s="123"/>
      <c r="AV1116" s="123"/>
      <c r="AW1116" s="123"/>
      <c r="AX1116" s="123"/>
      <c r="AY1116" s="123"/>
      <c r="AZ1116" s="123"/>
      <c r="BA1116" s="123"/>
      <c r="BB1116" s="123"/>
      <c r="BC1116" s="123"/>
      <c r="BD1116" s="123"/>
      <c r="BE1116" s="123"/>
      <c r="BF1116" s="123"/>
      <c r="BG1116" s="123"/>
      <c r="BH1116" s="123"/>
      <c r="BI1116" s="123"/>
    </row>
    <row r="1117" spans="3:61" s="827" customFormat="1" hidden="1">
      <c r="C1117" s="1190">
        <v>13579</v>
      </c>
      <c r="D1117" s="332" t="s">
        <v>2385</v>
      </c>
      <c r="E1117" s="857"/>
      <c r="F1117" s="857"/>
      <c r="G1117" s="857"/>
      <c r="H1117" s="963" t="e">
        <f t="shared" ref="H1117:H1140" si="48">G1117/E1117</f>
        <v>#DIV/0!</v>
      </c>
      <c r="I1117" s="1180">
        <f t="shared" si="43"/>
        <v>0</v>
      </c>
      <c r="J1117" s="123"/>
      <c r="K1117" s="123"/>
      <c r="L1117" s="123"/>
      <c r="M1117" s="123"/>
      <c r="N1117" s="123"/>
      <c r="O1117" s="123"/>
      <c r="P1117" s="123"/>
      <c r="Q1117" s="123"/>
      <c r="R1117" s="123"/>
      <c r="S1117" s="123"/>
      <c r="T1117" s="123"/>
      <c r="U1117" s="123"/>
      <c r="V1117" s="123"/>
      <c r="W1117" s="123"/>
      <c r="X1117" s="123"/>
      <c r="Y1117" s="123"/>
      <c r="Z1117" s="123"/>
      <c r="AA1117" s="123"/>
      <c r="AB1117" s="123"/>
      <c r="AC1117" s="123"/>
      <c r="AD1117" s="123"/>
      <c r="AE1117" s="123"/>
      <c r="AF1117" s="123"/>
      <c r="AG1117" s="123"/>
      <c r="AH1117" s="123"/>
      <c r="AI1117" s="123"/>
      <c r="AJ1117" s="123"/>
      <c r="AK1117" s="123"/>
      <c r="AL1117" s="123"/>
      <c r="AM1117" s="123"/>
      <c r="AN1117" s="123"/>
      <c r="AO1117" s="123"/>
      <c r="AP1117" s="123"/>
      <c r="AQ1117" s="123"/>
      <c r="AR1117" s="123"/>
      <c r="AS1117" s="123"/>
      <c r="AT1117" s="123"/>
      <c r="AU1117" s="123"/>
      <c r="AV1117" s="123"/>
      <c r="AW1117" s="123"/>
      <c r="AX1117" s="123"/>
      <c r="AY1117" s="123"/>
      <c r="AZ1117" s="123"/>
      <c r="BA1117" s="123"/>
      <c r="BB1117" s="123"/>
      <c r="BC1117" s="123"/>
      <c r="BD1117" s="123"/>
      <c r="BE1117" s="123"/>
      <c r="BF1117" s="123"/>
      <c r="BG1117" s="123"/>
      <c r="BH1117" s="123"/>
      <c r="BI1117" s="123"/>
    </row>
    <row r="1118" spans="3:61" hidden="1">
      <c r="C1118" s="1190">
        <v>14481</v>
      </c>
      <c r="D1118" s="332" t="s">
        <v>2386</v>
      </c>
      <c r="E1118" s="857"/>
      <c r="F1118" s="857"/>
      <c r="G1118" s="857"/>
      <c r="H1118" s="963" t="e">
        <f t="shared" si="48"/>
        <v>#DIV/0!</v>
      </c>
      <c r="I1118" s="1180">
        <f t="shared" si="43"/>
        <v>0</v>
      </c>
    </row>
    <row r="1119" spans="3:61" hidden="1">
      <c r="C1119" s="1190">
        <v>13964</v>
      </c>
      <c r="D1119" s="332" t="s">
        <v>2387</v>
      </c>
      <c r="E1119" s="857"/>
      <c r="F1119" s="857"/>
      <c r="G1119" s="857"/>
      <c r="H1119" s="963" t="e">
        <f t="shared" si="48"/>
        <v>#DIV/0!</v>
      </c>
      <c r="I1119" s="1180">
        <f t="shared" si="43"/>
        <v>0</v>
      </c>
    </row>
    <row r="1120" spans="3:61" ht="28.5" hidden="1" customHeight="1">
      <c r="C1120" s="1190">
        <v>14479</v>
      </c>
      <c r="D1120" s="332" t="s">
        <v>2452</v>
      </c>
      <c r="E1120" s="857"/>
      <c r="F1120" s="857"/>
      <c r="G1120" s="857"/>
      <c r="H1120" s="963" t="e">
        <f t="shared" si="48"/>
        <v>#DIV/0!</v>
      </c>
      <c r="I1120" s="1180">
        <f t="shared" si="43"/>
        <v>0</v>
      </c>
    </row>
    <row r="1121" spans="3:9" hidden="1">
      <c r="C1121" s="1190">
        <v>15000</v>
      </c>
      <c r="D1121" s="332" t="s">
        <v>2388</v>
      </c>
      <c r="E1121" s="857"/>
      <c r="F1121" s="857"/>
      <c r="G1121" s="857"/>
      <c r="H1121" s="963" t="e">
        <f t="shared" si="48"/>
        <v>#DIV/0!</v>
      </c>
      <c r="I1121" s="1180">
        <f t="shared" si="43"/>
        <v>0</v>
      </c>
    </row>
    <row r="1122" spans="3:9" hidden="1">
      <c r="C1122" s="1190">
        <v>14999</v>
      </c>
      <c r="D1122" s="332" t="s">
        <v>2276</v>
      </c>
      <c r="E1122" s="857"/>
      <c r="F1122" s="857"/>
      <c r="G1122" s="857"/>
      <c r="H1122" s="963" t="e">
        <f t="shared" si="48"/>
        <v>#DIV/0!</v>
      </c>
      <c r="I1122" s="1180">
        <f t="shared" si="43"/>
        <v>0</v>
      </c>
    </row>
    <row r="1123" spans="3:9" hidden="1">
      <c r="C1123" s="1190">
        <v>14480</v>
      </c>
      <c r="D1123" s="332" t="s">
        <v>2451</v>
      </c>
      <c r="E1123" s="857"/>
      <c r="F1123" s="857"/>
      <c r="G1123" s="857"/>
      <c r="H1123" s="963" t="e">
        <f t="shared" si="48"/>
        <v>#DIV/0!</v>
      </c>
      <c r="I1123" s="1180">
        <f t="shared" ref="I1123:I1128" si="49">F1123*G1123</f>
        <v>0</v>
      </c>
    </row>
    <row r="1124" spans="3:9" hidden="1">
      <c r="C1124" s="1190">
        <v>20801</v>
      </c>
      <c r="D1124" s="332" t="s">
        <v>2803</v>
      </c>
      <c r="E1124" s="857"/>
      <c r="F1124" s="857"/>
      <c r="G1124" s="857"/>
      <c r="H1124" s="963" t="e">
        <f t="shared" si="48"/>
        <v>#DIV/0!</v>
      </c>
      <c r="I1124" s="1180">
        <f t="shared" si="49"/>
        <v>0</v>
      </c>
    </row>
    <row r="1125" spans="3:9" hidden="1">
      <c r="C1125" s="1190">
        <v>20802</v>
      </c>
      <c r="D1125" s="332" t="s">
        <v>2804</v>
      </c>
      <c r="E1125" s="857"/>
      <c r="F1125" s="857"/>
      <c r="G1125" s="857"/>
      <c r="H1125" s="963" t="e">
        <f t="shared" si="48"/>
        <v>#DIV/0!</v>
      </c>
      <c r="I1125" s="1180">
        <f t="shared" si="49"/>
        <v>0</v>
      </c>
    </row>
    <row r="1126" spans="3:9" hidden="1">
      <c r="C1126" s="1190">
        <v>17889</v>
      </c>
      <c r="D1126" s="332" t="s">
        <v>1509</v>
      </c>
      <c r="E1126" s="857"/>
      <c r="F1126" s="857"/>
      <c r="G1126" s="857"/>
      <c r="H1126" s="963" t="e">
        <f t="shared" si="48"/>
        <v>#DIV/0!</v>
      </c>
      <c r="I1126" s="1180">
        <f t="shared" si="49"/>
        <v>0</v>
      </c>
    </row>
    <row r="1127" spans="3:9">
      <c r="C1127" s="1190">
        <v>21028</v>
      </c>
      <c r="D1127" s="332" t="s">
        <v>3456</v>
      </c>
      <c r="E1127" s="857">
        <v>60</v>
      </c>
      <c r="F1127" s="16">
        <v>11</v>
      </c>
      <c r="G1127" s="857">
        <v>23</v>
      </c>
      <c r="H1127" s="963">
        <f t="shared" si="48"/>
        <v>0.38333333333333336</v>
      </c>
      <c r="I1127" s="1180">
        <f t="shared" si="49"/>
        <v>253</v>
      </c>
    </row>
    <row r="1128" spans="3:9" hidden="1">
      <c r="C1128" s="1190">
        <v>7101</v>
      </c>
      <c r="D1128" s="332" t="s">
        <v>2450</v>
      </c>
      <c r="E1128" s="857"/>
      <c r="F1128" s="857">
        <v>0</v>
      </c>
      <c r="G1128" s="857"/>
      <c r="H1128" s="963" t="e">
        <f t="shared" si="48"/>
        <v>#DIV/0!</v>
      </c>
      <c r="I1128" s="1180">
        <f t="shared" si="49"/>
        <v>0</v>
      </c>
    </row>
    <row r="1129" spans="3:9" hidden="1">
      <c r="C1129" s="1190">
        <v>9772</v>
      </c>
      <c r="D1129" s="332" t="s">
        <v>3186</v>
      </c>
      <c r="E1129" s="857">
        <v>288</v>
      </c>
      <c r="F1129" s="857"/>
      <c r="G1129" s="857">
        <v>80</v>
      </c>
      <c r="H1129" s="963">
        <f t="shared" si="48"/>
        <v>0.27777777777777779</v>
      </c>
      <c r="I1129" s="1180"/>
    </row>
    <row r="1130" spans="3:9" hidden="1">
      <c r="C1130" s="1190">
        <v>13331</v>
      </c>
      <c r="D1130" s="332" t="s">
        <v>2389</v>
      </c>
      <c r="E1130" s="857">
        <v>288</v>
      </c>
      <c r="F1130" s="857"/>
      <c r="G1130" s="857">
        <v>80</v>
      </c>
      <c r="H1130" s="963">
        <f t="shared" si="48"/>
        <v>0.27777777777777779</v>
      </c>
      <c r="I1130" s="1180"/>
    </row>
    <row r="1131" spans="3:9" hidden="1">
      <c r="C1131" s="1190">
        <v>13578</v>
      </c>
      <c r="D1131" s="332" t="s">
        <v>3625</v>
      </c>
      <c r="E1131" s="857">
        <v>288</v>
      </c>
      <c r="F1131" s="857"/>
      <c r="G1131" s="857">
        <v>80</v>
      </c>
      <c r="H1131" s="963">
        <f t="shared" si="48"/>
        <v>0.27777777777777779</v>
      </c>
      <c r="I1131" s="1180"/>
    </row>
    <row r="1132" spans="3:9" hidden="1">
      <c r="C1132" s="1190">
        <v>13329</v>
      </c>
      <c r="D1132" s="332" t="s">
        <v>2390</v>
      </c>
      <c r="E1132" s="857">
        <v>288</v>
      </c>
      <c r="F1132" s="857"/>
      <c r="G1132" s="857">
        <v>80</v>
      </c>
      <c r="H1132" s="963">
        <f t="shared" si="48"/>
        <v>0.27777777777777779</v>
      </c>
      <c r="I1132" s="1180"/>
    </row>
    <row r="1133" spans="3:9" hidden="1">
      <c r="C1133" s="1190">
        <v>13330</v>
      </c>
      <c r="D1133" s="332" t="s">
        <v>3187</v>
      </c>
      <c r="E1133" s="857">
        <v>288</v>
      </c>
      <c r="F1133" s="857"/>
      <c r="G1133" s="857">
        <v>80</v>
      </c>
      <c r="H1133" s="963">
        <f t="shared" si="48"/>
        <v>0.27777777777777779</v>
      </c>
      <c r="I1133" s="1180"/>
    </row>
    <row r="1134" spans="3:9" hidden="1">
      <c r="C1134" s="1190">
        <v>9771</v>
      </c>
      <c r="D1134" s="332" t="s">
        <v>3185</v>
      </c>
      <c r="E1134" s="857">
        <v>288</v>
      </c>
      <c r="F1134" s="857"/>
      <c r="G1134" s="857">
        <v>80</v>
      </c>
      <c r="H1134" s="963">
        <f t="shared" si="48"/>
        <v>0.27777777777777779</v>
      </c>
      <c r="I1134" s="1180"/>
    </row>
    <row r="1135" spans="3:9" hidden="1">
      <c r="C1135" s="1190">
        <v>13695</v>
      </c>
      <c r="D1135" s="332" t="s">
        <v>3457</v>
      </c>
      <c r="E1135" s="857"/>
      <c r="F1135" s="857"/>
      <c r="G1135" s="857"/>
      <c r="H1135" s="963" t="e">
        <f t="shared" si="48"/>
        <v>#DIV/0!</v>
      </c>
      <c r="I1135" s="1180"/>
    </row>
    <row r="1136" spans="3:9" hidden="1">
      <c r="C1136" s="1190">
        <v>20805</v>
      </c>
      <c r="D1136" s="332" t="s">
        <v>2805</v>
      </c>
      <c r="E1136" s="857"/>
      <c r="F1136" s="857"/>
      <c r="G1136" s="857"/>
      <c r="H1136" s="963" t="e">
        <f t="shared" si="48"/>
        <v>#DIV/0!</v>
      </c>
      <c r="I1136" s="1180"/>
    </row>
    <row r="1137" spans="3:9" hidden="1">
      <c r="C1137" s="1190">
        <v>20804</v>
      </c>
      <c r="D1137" s="332" t="s">
        <v>2806</v>
      </c>
      <c r="E1137" s="857"/>
      <c r="F1137" s="857"/>
      <c r="G1137" s="857"/>
      <c r="H1137" s="963" t="e">
        <f t="shared" si="48"/>
        <v>#DIV/0!</v>
      </c>
      <c r="I1137" s="1180"/>
    </row>
    <row r="1138" spans="3:9" hidden="1">
      <c r="C1138" s="1190">
        <v>9209</v>
      </c>
      <c r="D1138" s="332" t="s">
        <v>3458</v>
      </c>
      <c r="E1138" s="857"/>
      <c r="F1138" s="857"/>
      <c r="G1138" s="857"/>
      <c r="H1138" s="963" t="e">
        <f t="shared" si="48"/>
        <v>#DIV/0!</v>
      </c>
      <c r="I1138" s="1180"/>
    </row>
    <row r="1139" spans="3:9" hidden="1">
      <c r="C1139" s="1190">
        <v>20013</v>
      </c>
      <c r="D1139" s="332" t="s">
        <v>2288</v>
      </c>
      <c r="E1139" s="857"/>
      <c r="F1139" s="857"/>
      <c r="G1139" s="857"/>
      <c r="H1139" s="963" t="e">
        <f t="shared" si="48"/>
        <v>#DIV/0!</v>
      </c>
      <c r="I1139" s="1180"/>
    </row>
    <row r="1140" spans="3:9" hidden="1">
      <c r="C1140" s="1190">
        <v>13721</v>
      </c>
      <c r="D1140" s="332" t="s">
        <v>2391</v>
      </c>
      <c r="E1140" s="857"/>
      <c r="F1140" s="857"/>
      <c r="G1140" s="857"/>
      <c r="H1140" s="963" t="e">
        <f t="shared" si="48"/>
        <v>#DIV/0!</v>
      </c>
      <c r="I1140" s="1180"/>
    </row>
    <row r="1141" spans="3:9">
      <c r="I1141" s="101">
        <f>SUM(I994:I1140)</f>
        <v>1436.5</v>
      </c>
    </row>
    <row r="1143" spans="3:9" ht="15.75" thickBot="1"/>
    <row r="1144" spans="3:9" ht="72.75" customHeight="1">
      <c r="C1144" s="1191" t="s">
        <v>0</v>
      </c>
      <c r="D1144" s="1044" t="s">
        <v>3951</v>
      </c>
      <c r="E1144" s="1045" t="s">
        <v>916</v>
      </c>
      <c r="F1144" s="1046" t="s">
        <v>68</v>
      </c>
      <c r="G1144" s="1045" t="s">
        <v>903</v>
      </c>
      <c r="H1144" s="1047" t="s">
        <v>559</v>
      </c>
      <c r="I1144" s="1048" t="s">
        <v>917</v>
      </c>
    </row>
    <row r="1145" spans="3:9" hidden="1">
      <c r="C1145" s="1191">
        <v>13121</v>
      </c>
      <c r="D1145" s="1264" t="s">
        <v>3359</v>
      </c>
      <c r="E1145" s="1016">
        <v>0</v>
      </c>
      <c r="F1145" s="1016"/>
      <c r="G1145" s="1016">
        <v>0</v>
      </c>
      <c r="H1145" s="978" t="e">
        <f>+G1145/E1145</f>
        <v>#DIV/0!</v>
      </c>
      <c r="I1145" s="759">
        <f>+G1145*F1145</f>
        <v>0</v>
      </c>
    </row>
    <row r="1146" spans="3:9" hidden="1">
      <c r="C1146" s="1191">
        <v>13926</v>
      </c>
      <c r="D1146" s="1264" t="s">
        <v>1884</v>
      </c>
      <c r="E1146" s="1016"/>
      <c r="F1146" s="1016"/>
      <c r="G1146" s="1016"/>
      <c r="H1146" s="978" t="e">
        <f t="shared" ref="H1146:H1210" si="50">+G1146/E1146</f>
        <v>#DIV/0!</v>
      </c>
      <c r="I1146" s="759">
        <f t="shared" ref="I1146:I1210" si="51">+G1146*F1146</f>
        <v>0</v>
      </c>
    </row>
    <row r="1147" spans="3:9" hidden="1">
      <c r="C1147" s="1191">
        <v>9756</v>
      </c>
      <c r="D1147" s="1264" t="s">
        <v>2474</v>
      </c>
      <c r="E1147" s="1016"/>
      <c r="F1147" s="1016"/>
      <c r="G1147" s="1016"/>
      <c r="H1147" s="978" t="e">
        <f t="shared" si="50"/>
        <v>#DIV/0!</v>
      </c>
      <c r="I1147" s="759">
        <f t="shared" si="51"/>
        <v>0</v>
      </c>
    </row>
    <row r="1148" spans="3:9" hidden="1">
      <c r="C1148" s="1191">
        <v>9734</v>
      </c>
      <c r="D1148" s="1264" t="s">
        <v>2794</v>
      </c>
      <c r="E1148" s="1016"/>
      <c r="F1148" s="1016"/>
      <c r="G1148" s="1016"/>
      <c r="H1148" s="978" t="e">
        <f t="shared" si="50"/>
        <v>#DIV/0!</v>
      </c>
      <c r="I1148" s="759">
        <f t="shared" si="51"/>
        <v>0</v>
      </c>
    </row>
    <row r="1149" spans="3:9" hidden="1">
      <c r="C1149" s="1191">
        <v>15807</v>
      </c>
      <c r="D1149" s="1264" t="s">
        <v>2795</v>
      </c>
      <c r="E1149" s="1016">
        <v>20</v>
      </c>
      <c r="F1149" s="1016">
        <v>0</v>
      </c>
      <c r="G1149" s="1016">
        <v>41.5</v>
      </c>
      <c r="H1149" s="978">
        <f t="shared" si="50"/>
        <v>2.0750000000000002</v>
      </c>
      <c r="I1149" s="759">
        <f t="shared" si="51"/>
        <v>0</v>
      </c>
    </row>
    <row r="1150" spans="3:9" hidden="1">
      <c r="C1150" s="1191">
        <v>21024</v>
      </c>
      <c r="D1150" s="1264" t="s">
        <v>3446</v>
      </c>
      <c r="E1150" s="1016"/>
      <c r="F1150" s="1016"/>
      <c r="G1150" s="1016"/>
      <c r="H1150" s="978" t="e">
        <f t="shared" si="50"/>
        <v>#DIV/0!</v>
      </c>
      <c r="I1150" s="759">
        <f t="shared" si="51"/>
        <v>0</v>
      </c>
    </row>
    <row r="1151" spans="3:9" hidden="1">
      <c r="C1151" s="1191">
        <v>10069</v>
      </c>
      <c r="D1151" s="1264" t="s">
        <v>3358</v>
      </c>
      <c r="E1151" s="1016">
        <v>864</v>
      </c>
      <c r="F1151" s="1016">
        <v>0</v>
      </c>
      <c r="G1151" s="1016">
        <v>177</v>
      </c>
      <c r="H1151" s="978">
        <f t="shared" si="50"/>
        <v>0.2048611111111111</v>
      </c>
      <c r="I1151" s="759">
        <f t="shared" si="51"/>
        <v>0</v>
      </c>
    </row>
    <row r="1152" spans="3:9" hidden="1">
      <c r="C1152" s="1191">
        <v>10068</v>
      </c>
      <c r="D1152" s="1264" t="s">
        <v>2394</v>
      </c>
      <c r="E1152" s="1016">
        <v>864</v>
      </c>
      <c r="F1152" s="1016">
        <v>0</v>
      </c>
      <c r="G1152" s="1016">
        <v>177</v>
      </c>
      <c r="H1152" s="978">
        <f t="shared" si="50"/>
        <v>0.2048611111111111</v>
      </c>
      <c r="I1152" s="759">
        <f t="shared" si="51"/>
        <v>0</v>
      </c>
    </row>
    <row r="1153" spans="3:61" hidden="1">
      <c r="C1153" s="1191">
        <v>20003</v>
      </c>
      <c r="D1153" s="1264" t="s">
        <v>2298</v>
      </c>
      <c r="E1153" s="1016"/>
      <c r="F1153" s="1016"/>
      <c r="G1153" s="1016"/>
      <c r="H1153" s="978" t="e">
        <f t="shared" si="50"/>
        <v>#DIV/0!</v>
      </c>
      <c r="I1153" s="759">
        <f t="shared" si="51"/>
        <v>0</v>
      </c>
    </row>
    <row r="1154" spans="3:61" hidden="1">
      <c r="C1154" s="1191">
        <v>21236</v>
      </c>
      <c r="D1154" s="1264" t="s">
        <v>3618</v>
      </c>
      <c r="E1154" s="1016">
        <v>50</v>
      </c>
      <c r="F1154" s="1016">
        <v>0</v>
      </c>
      <c r="G1154" s="1016">
        <v>51</v>
      </c>
      <c r="H1154" s="978">
        <f t="shared" si="50"/>
        <v>1.02</v>
      </c>
      <c r="I1154" s="759">
        <f t="shared" si="51"/>
        <v>0</v>
      </c>
    </row>
    <row r="1155" spans="3:61" hidden="1">
      <c r="C1155" s="1191">
        <v>4030</v>
      </c>
      <c r="D1155" s="1264" t="s">
        <v>1885</v>
      </c>
      <c r="E1155" s="1016"/>
      <c r="F1155" s="1016"/>
      <c r="G1155" s="1016"/>
      <c r="H1155" s="978" t="e">
        <f t="shared" si="50"/>
        <v>#DIV/0!</v>
      </c>
      <c r="I1155" s="759">
        <f t="shared" si="51"/>
        <v>0</v>
      </c>
    </row>
    <row r="1156" spans="3:61" hidden="1">
      <c r="C1156" s="1191">
        <v>5047</v>
      </c>
      <c r="D1156" s="1264" t="s">
        <v>2473</v>
      </c>
      <c r="E1156" s="1016"/>
      <c r="F1156" s="1016"/>
      <c r="G1156" s="1016"/>
      <c r="H1156" s="978" t="e">
        <f t="shared" si="50"/>
        <v>#DIV/0!</v>
      </c>
      <c r="I1156" s="759">
        <f t="shared" si="51"/>
        <v>0</v>
      </c>
    </row>
    <row r="1157" spans="3:61" hidden="1">
      <c r="C1157" s="1191">
        <v>10529</v>
      </c>
      <c r="D1157" s="1264" t="s">
        <v>2472</v>
      </c>
      <c r="E1157" s="1016"/>
      <c r="F1157" s="1016"/>
      <c r="G1157" s="1016"/>
      <c r="H1157" s="978" t="e">
        <f t="shared" si="50"/>
        <v>#DIV/0!</v>
      </c>
      <c r="I1157" s="759">
        <f t="shared" si="51"/>
        <v>0</v>
      </c>
    </row>
    <row r="1158" spans="3:61" hidden="1">
      <c r="C1158" s="1191">
        <v>8036</v>
      </c>
      <c r="D1158" s="1264" t="s">
        <v>2471</v>
      </c>
      <c r="E1158" s="1016"/>
      <c r="F1158" s="1016"/>
      <c r="G1158" s="1016"/>
      <c r="H1158" s="978" t="e">
        <f t="shared" si="50"/>
        <v>#DIV/0!</v>
      </c>
      <c r="I1158" s="759">
        <f t="shared" si="51"/>
        <v>0</v>
      </c>
    </row>
    <row r="1159" spans="3:61" hidden="1">
      <c r="C1159" s="1191">
        <v>8162</v>
      </c>
      <c r="D1159" s="1264" t="s">
        <v>897</v>
      </c>
      <c r="E1159" s="1016"/>
      <c r="F1159" s="1016"/>
      <c r="G1159" s="1016"/>
      <c r="H1159" s="978" t="e">
        <f t="shared" si="50"/>
        <v>#DIV/0!</v>
      </c>
      <c r="I1159" s="759">
        <f t="shared" si="51"/>
        <v>0</v>
      </c>
    </row>
    <row r="1160" spans="3:61" hidden="1">
      <c r="C1160" s="1191">
        <v>17888</v>
      </c>
      <c r="D1160" s="1264" t="s">
        <v>898</v>
      </c>
      <c r="E1160" s="1016"/>
      <c r="F1160" s="1016"/>
      <c r="G1160" s="1016"/>
      <c r="H1160" s="978" t="e">
        <f t="shared" si="50"/>
        <v>#DIV/0!</v>
      </c>
      <c r="I1160" s="759">
        <f t="shared" si="51"/>
        <v>0</v>
      </c>
    </row>
    <row r="1161" spans="3:61" hidden="1">
      <c r="C1161" s="1191">
        <v>9579</v>
      </c>
      <c r="D1161" s="1264" t="s">
        <v>899</v>
      </c>
      <c r="E1161" s="1016"/>
      <c r="F1161" s="1016"/>
      <c r="G1161" s="1016"/>
      <c r="H1161" s="978" t="e">
        <f t="shared" si="50"/>
        <v>#DIV/0!</v>
      </c>
      <c r="I1161" s="759">
        <f t="shared" si="51"/>
        <v>0</v>
      </c>
    </row>
    <row r="1162" spans="3:61" hidden="1">
      <c r="C1162" s="1191">
        <v>7960</v>
      </c>
      <c r="D1162" s="1264" t="s">
        <v>900</v>
      </c>
      <c r="E1162" s="1016"/>
      <c r="F1162" s="1016"/>
      <c r="G1162" s="1016"/>
      <c r="H1162" s="978" t="e">
        <f t="shared" si="50"/>
        <v>#DIV/0!</v>
      </c>
      <c r="I1162" s="759">
        <f t="shared" si="51"/>
        <v>0</v>
      </c>
    </row>
    <row r="1163" spans="3:61" hidden="1">
      <c r="C1163" s="1191">
        <v>950</v>
      </c>
      <c r="D1163" s="1264" t="s">
        <v>1508</v>
      </c>
      <c r="E1163" s="1016"/>
      <c r="F1163" s="1016"/>
      <c r="G1163" s="1016"/>
      <c r="H1163" s="978" t="e">
        <f t="shared" si="50"/>
        <v>#DIV/0!</v>
      </c>
      <c r="I1163" s="759">
        <f t="shared" si="51"/>
        <v>0</v>
      </c>
    </row>
    <row r="1164" spans="3:61" hidden="1">
      <c r="C1164" s="1191">
        <v>21034</v>
      </c>
      <c r="D1164" s="1264" t="s">
        <v>3170</v>
      </c>
      <c r="E1164" s="1016">
        <v>100</v>
      </c>
      <c r="F1164" s="1016">
        <v>0</v>
      </c>
      <c r="G1164" s="1016">
        <v>105.9</v>
      </c>
      <c r="H1164" s="978">
        <f t="shared" si="50"/>
        <v>1.0590000000000002</v>
      </c>
      <c r="I1164" s="759">
        <f t="shared" si="51"/>
        <v>0</v>
      </c>
    </row>
    <row r="1165" spans="3:61" hidden="1">
      <c r="C1165" s="1191">
        <v>20010</v>
      </c>
      <c r="D1165" s="1264" t="s">
        <v>2286</v>
      </c>
      <c r="E1165" s="1016"/>
      <c r="F1165" s="1016"/>
      <c r="G1165" s="1016"/>
      <c r="H1165" s="978" t="e">
        <f t="shared" si="50"/>
        <v>#DIV/0!</v>
      </c>
      <c r="I1165" s="759">
        <f t="shared" si="51"/>
        <v>0</v>
      </c>
    </row>
    <row r="1166" spans="3:61" hidden="1">
      <c r="C1166" s="1191">
        <v>16237</v>
      </c>
      <c r="D1166" s="1264" t="s">
        <v>1886</v>
      </c>
      <c r="E1166" s="1016"/>
      <c r="F1166" s="1016"/>
      <c r="G1166" s="1016"/>
      <c r="H1166" s="978" t="e">
        <f t="shared" si="50"/>
        <v>#DIV/0!</v>
      </c>
      <c r="I1166" s="759">
        <f t="shared" si="51"/>
        <v>0</v>
      </c>
    </row>
    <row r="1167" spans="3:61" hidden="1">
      <c r="C1167" s="1191">
        <v>13717</v>
      </c>
      <c r="D1167" s="1264" t="s">
        <v>2470</v>
      </c>
      <c r="E1167" s="1016"/>
      <c r="F1167" s="1016"/>
      <c r="G1167" s="1016"/>
      <c r="H1167" s="978" t="e">
        <f t="shared" si="50"/>
        <v>#DIV/0!</v>
      </c>
      <c r="I1167" s="759">
        <f t="shared" si="51"/>
        <v>0</v>
      </c>
    </row>
    <row r="1168" spans="3:61" s="1052" customFormat="1">
      <c r="C1168" s="1192">
        <v>13716</v>
      </c>
      <c r="D1168" s="1265" t="s">
        <v>2796</v>
      </c>
      <c r="E1168" s="326">
        <v>12</v>
      </c>
      <c r="F1168" s="326">
        <v>40</v>
      </c>
      <c r="G1168" s="326">
        <v>12.5</v>
      </c>
      <c r="H1168" s="1053">
        <f t="shared" si="50"/>
        <v>1.0416666666666667</v>
      </c>
      <c r="I1168" s="1054">
        <f t="shared" si="51"/>
        <v>500</v>
      </c>
      <c r="J1168" s="123"/>
      <c r="K1168" s="123"/>
      <c r="L1168" s="123"/>
      <c r="M1168" s="123"/>
      <c r="N1168" s="123"/>
      <c r="O1168" s="123"/>
      <c r="P1168" s="123"/>
      <c r="Q1168" s="123"/>
      <c r="R1168" s="123"/>
      <c r="S1168" s="123"/>
      <c r="T1168" s="123"/>
      <c r="U1168" s="123"/>
      <c r="V1168" s="123"/>
      <c r="W1168" s="123"/>
      <c r="X1168" s="123"/>
      <c r="Y1168" s="123"/>
      <c r="Z1168" s="123"/>
      <c r="AA1168" s="123"/>
      <c r="AB1168" s="123"/>
      <c r="AC1168" s="123"/>
      <c r="AD1168" s="123"/>
      <c r="AE1168" s="123"/>
      <c r="AF1168" s="123"/>
      <c r="AG1168" s="123"/>
      <c r="AH1168" s="123"/>
      <c r="AI1168" s="123"/>
      <c r="AJ1168" s="123"/>
      <c r="AK1168" s="123"/>
      <c r="AL1168" s="123"/>
      <c r="AM1168" s="123"/>
      <c r="AN1168" s="123"/>
      <c r="AO1168" s="123"/>
      <c r="AP1168" s="123"/>
      <c r="AQ1168" s="123"/>
      <c r="AR1168" s="123"/>
      <c r="AS1168" s="123"/>
      <c r="AT1168" s="123"/>
      <c r="AU1168" s="123"/>
      <c r="AV1168" s="123"/>
      <c r="AW1168" s="123"/>
      <c r="AX1168" s="123"/>
      <c r="AY1168" s="123"/>
      <c r="AZ1168" s="123"/>
      <c r="BA1168" s="123"/>
      <c r="BB1168" s="123"/>
      <c r="BC1168" s="123"/>
      <c r="BD1168" s="123"/>
      <c r="BE1168" s="123"/>
      <c r="BF1168" s="123"/>
      <c r="BG1168" s="123"/>
      <c r="BH1168" s="123"/>
      <c r="BI1168" s="123"/>
    </row>
    <row r="1169" spans="3:61" s="1052" customFormat="1">
      <c r="C1169" s="1192">
        <v>6650</v>
      </c>
      <c r="D1169" s="1265" t="s">
        <v>3801</v>
      </c>
      <c r="E1169" s="326">
        <v>20</v>
      </c>
      <c r="F1169" s="326">
        <v>30</v>
      </c>
      <c r="G1169" s="326">
        <v>16.8</v>
      </c>
      <c r="H1169" s="1053">
        <f t="shared" si="50"/>
        <v>0.84000000000000008</v>
      </c>
      <c r="I1169" s="1054">
        <f t="shared" si="51"/>
        <v>504</v>
      </c>
      <c r="J1169" s="123"/>
      <c r="K1169" s="123"/>
      <c r="L1169" s="123"/>
      <c r="M1169" s="123"/>
      <c r="N1169" s="123"/>
      <c r="O1169" s="123"/>
      <c r="P1169" s="123"/>
      <c r="Q1169" s="123"/>
      <c r="R1169" s="123"/>
      <c r="S1169" s="123"/>
      <c r="T1169" s="123"/>
      <c r="U1169" s="123"/>
      <c r="V1169" s="123"/>
      <c r="W1169" s="123"/>
      <c r="X1169" s="123"/>
      <c r="Y1169" s="123"/>
      <c r="Z1169" s="123"/>
      <c r="AA1169" s="123"/>
      <c r="AB1169" s="123"/>
      <c r="AC1169" s="123"/>
      <c r="AD1169" s="123"/>
      <c r="AE1169" s="123"/>
      <c r="AF1169" s="123"/>
      <c r="AG1169" s="123"/>
      <c r="AH1169" s="123"/>
      <c r="AI1169" s="123"/>
      <c r="AJ1169" s="123"/>
      <c r="AK1169" s="123"/>
      <c r="AL1169" s="123"/>
      <c r="AM1169" s="123"/>
      <c r="AN1169" s="123"/>
      <c r="AO1169" s="123"/>
      <c r="AP1169" s="123"/>
      <c r="AQ1169" s="123"/>
      <c r="AR1169" s="123"/>
      <c r="AS1169" s="123"/>
      <c r="AT1169" s="123"/>
      <c r="AU1169" s="123"/>
      <c r="AV1169" s="123"/>
      <c r="AW1169" s="123"/>
      <c r="AX1169" s="123"/>
      <c r="AY1169" s="123"/>
      <c r="AZ1169" s="123"/>
      <c r="BA1169" s="123"/>
      <c r="BB1169" s="123"/>
      <c r="BC1169" s="123"/>
      <c r="BD1169" s="123"/>
      <c r="BE1169" s="123"/>
      <c r="BF1169" s="123"/>
      <c r="BG1169" s="123"/>
      <c r="BH1169" s="123"/>
      <c r="BI1169" s="123"/>
    </row>
    <row r="1170" spans="3:61" s="827" customFormat="1" hidden="1">
      <c r="C1170" s="1191"/>
      <c r="D1170" s="1264" t="s">
        <v>3802</v>
      </c>
      <c r="E1170" s="1016">
        <v>25</v>
      </c>
      <c r="F1170" s="1016">
        <v>0</v>
      </c>
      <c r="G1170" s="1016">
        <v>20.5</v>
      </c>
      <c r="H1170" s="978">
        <f t="shared" si="50"/>
        <v>0.82</v>
      </c>
      <c r="I1170" s="759">
        <f t="shared" si="51"/>
        <v>0</v>
      </c>
      <c r="J1170" s="123"/>
      <c r="K1170" s="123"/>
      <c r="L1170" s="123"/>
      <c r="M1170" s="123"/>
      <c r="N1170" s="123"/>
      <c r="O1170" s="123"/>
      <c r="P1170" s="123"/>
      <c r="Q1170" s="123"/>
      <c r="R1170" s="123"/>
      <c r="S1170" s="123"/>
      <c r="T1170" s="123"/>
      <c r="U1170" s="123"/>
      <c r="V1170" s="123"/>
      <c r="W1170" s="123"/>
      <c r="X1170" s="123"/>
      <c r="Y1170" s="123"/>
      <c r="Z1170" s="123"/>
      <c r="AA1170" s="123"/>
      <c r="AB1170" s="123"/>
      <c r="AC1170" s="123"/>
      <c r="AD1170" s="123"/>
      <c r="AE1170" s="123"/>
      <c r="AF1170" s="123"/>
      <c r="AG1170" s="123"/>
      <c r="AH1170" s="123"/>
      <c r="AI1170" s="123"/>
      <c r="AJ1170" s="123"/>
      <c r="AK1170" s="123"/>
      <c r="AL1170" s="123"/>
      <c r="AM1170" s="123"/>
      <c r="AN1170" s="123"/>
      <c r="AO1170" s="123"/>
      <c r="AP1170" s="123"/>
      <c r="AQ1170" s="123"/>
      <c r="AR1170" s="123"/>
      <c r="AS1170" s="123"/>
      <c r="AT1170" s="123"/>
      <c r="AU1170" s="123"/>
      <c r="AV1170" s="123"/>
      <c r="AW1170" s="123"/>
      <c r="AX1170" s="123"/>
      <c r="AY1170" s="123"/>
      <c r="AZ1170" s="123"/>
      <c r="BA1170" s="123"/>
      <c r="BB1170" s="123"/>
      <c r="BC1170" s="123"/>
      <c r="BD1170" s="123"/>
      <c r="BE1170" s="123"/>
      <c r="BF1170" s="123"/>
      <c r="BG1170" s="123"/>
      <c r="BH1170" s="123"/>
      <c r="BI1170" s="123"/>
    </row>
    <row r="1171" spans="3:61">
      <c r="C1171" s="1192">
        <v>14998</v>
      </c>
      <c r="D1171" s="1265" t="s">
        <v>2468</v>
      </c>
      <c r="E1171" s="326">
        <v>12</v>
      </c>
      <c r="F1171" s="326">
        <v>10</v>
      </c>
      <c r="G1171" s="326">
        <v>17.8</v>
      </c>
      <c r="H1171" s="1053">
        <f t="shared" si="50"/>
        <v>1.4833333333333334</v>
      </c>
      <c r="I1171" s="1054">
        <f t="shared" si="51"/>
        <v>178</v>
      </c>
    </row>
    <row r="1172" spans="3:61" s="827" customFormat="1">
      <c r="C1172" s="1181">
        <v>21497</v>
      </c>
      <c r="D1172" s="65" t="s">
        <v>3960</v>
      </c>
      <c r="E1172" s="1016">
        <v>24</v>
      </c>
      <c r="F1172" s="1016">
        <v>2</v>
      </c>
      <c r="G1172" s="1016">
        <v>32.5</v>
      </c>
      <c r="H1172" s="978">
        <f t="shared" si="50"/>
        <v>1.3541666666666667</v>
      </c>
      <c r="I1172" s="759">
        <f t="shared" si="51"/>
        <v>65</v>
      </c>
      <c r="J1172" s="123"/>
      <c r="K1172" s="123"/>
      <c r="L1172" s="123"/>
      <c r="M1172" s="123"/>
      <c r="N1172" s="123"/>
      <c r="O1172" s="123"/>
      <c r="P1172" s="123"/>
      <c r="Q1172" s="123"/>
      <c r="R1172" s="123"/>
      <c r="S1172" s="123"/>
      <c r="T1172" s="123"/>
      <c r="U1172" s="123"/>
      <c r="V1172" s="123"/>
      <c r="W1172" s="123"/>
      <c r="X1172" s="123"/>
      <c r="Y1172" s="123"/>
      <c r="Z1172" s="123"/>
      <c r="AA1172" s="123"/>
      <c r="AB1172" s="123"/>
      <c r="AC1172" s="123"/>
      <c r="AD1172" s="123"/>
      <c r="AE1172" s="123"/>
      <c r="AF1172" s="123"/>
      <c r="AG1172" s="123"/>
      <c r="AH1172" s="123"/>
      <c r="AI1172" s="123"/>
      <c r="AJ1172" s="123"/>
      <c r="AK1172" s="123"/>
      <c r="AL1172" s="123"/>
      <c r="AM1172" s="123"/>
      <c r="AN1172" s="123"/>
      <c r="AO1172" s="123"/>
      <c r="AP1172" s="123"/>
      <c r="AQ1172" s="123"/>
      <c r="AR1172" s="123"/>
      <c r="AS1172" s="123"/>
      <c r="AT1172" s="123"/>
      <c r="AU1172" s="123"/>
      <c r="AV1172" s="123"/>
      <c r="AW1172" s="123"/>
      <c r="AX1172" s="123"/>
      <c r="AY1172" s="123"/>
      <c r="AZ1172" s="123"/>
      <c r="BA1172" s="123"/>
      <c r="BB1172" s="123"/>
      <c r="BC1172" s="123"/>
      <c r="BD1172" s="123"/>
      <c r="BE1172" s="123"/>
      <c r="BF1172" s="123"/>
      <c r="BG1172" s="123"/>
      <c r="BH1172" s="123"/>
      <c r="BI1172" s="123"/>
    </row>
    <row r="1173" spans="3:61" s="827" customFormat="1">
      <c r="C1173" s="1181">
        <v>1145</v>
      </c>
      <c r="D1173" s="65" t="s">
        <v>3961</v>
      </c>
      <c r="E1173" s="1016">
        <v>12</v>
      </c>
      <c r="F1173" s="1016">
        <v>2</v>
      </c>
      <c r="G1173" s="1016">
        <v>16</v>
      </c>
      <c r="H1173" s="978">
        <f t="shared" si="50"/>
        <v>1.3333333333333333</v>
      </c>
      <c r="I1173" s="759">
        <f t="shared" si="51"/>
        <v>32</v>
      </c>
      <c r="J1173" s="123"/>
      <c r="K1173" s="123"/>
      <c r="L1173" s="123"/>
      <c r="M1173" s="123"/>
      <c r="N1173" s="123"/>
      <c r="O1173" s="123"/>
      <c r="P1173" s="123"/>
      <c r="Q1173" s="123"/>
      <c r="R1173" s="123"/>
      <c r="S1173" s="123"/>
      <c r="T1173" s="123"/>
      <c r="U1173" s="123"/>
      <c r="V1173" s="123"/>
      <c r="W1173" s="123"/>
      <c r="X1173" s="123"/>
      <c r="Y1173" s="123"/>
      <c r="Z1173" s="123"/>
      <c r="AA1173" s="123"/>
      <c r="AB1173" s="123"/>
      <c r="AC1173" s="123"/>
      <c r="AD1173" s="123"/>
      <c r="AE1173" s="123"/>
      <c r="AF1173" s="123"/>
      <c r="AG1173" s="123"/>
      <c r="AH1173" s="123"/>
      <c r="AI1173" s="123"/>
      <c r="AJ1173" s="123"/>
      <c r="AK1173" s="123"/>
      <c r="AL1173" s="123"/>
      <c r="AM1173" s="123"/>
      <c r="AN1173" s="123"/>
      <c r="AO1173" s="123"/>
      <c r="AP1173" s="123"/>
      <c r="AQ1173" s="123"/>
      <c r="AR1173" s="123"/>
      <c r="AS1173" s="123"/>
      <c r="AT1173" s="123"/>
      <c r="AU1173" s="123"/>
      <c r="AV1173" s="123"/>
      <c r="AW1173" s="123"/>
      <c r="AX1173" s="123"/>
      <c r="AY1173" s="123"/>
      <c r="AZ1173" s="123"/>
      <c r="BA1173" s="123"/>
      <c r="BB1173" s="123"/>
      <c r="BC1173" s="123"/>
      <c r="BD1173" s="123"/>
      <c r="BE1173" s="123"/>
      <c r="BF1173" s="123"/>
      <c r="BG1173" s="123"/>
      <c r="BH1173" s="123"/>
      <c r="BI1173" s="123"/>
    </row>
    <row r="1174" spans="3:61" hidden="1">
      <c r="C1174" s="1191">
        <v>20764</v>
      </c>
      <c r="D1174" s="1264" t="s">
        <v>2466</v>
      </c>
      <c r="E1174" s="1016"/>
      <c r="F1174" s="1016"/>
      <c r="G1174" s="1016"/>
      <c r="H1174" s="978" t="e">
        <f t="shared" si="50"/>
        <v>#DIV/0!</v>
      </c>
      <c r="I1174" s="759">
        <f t="shared" si="51"/>
        <v>0</v>
      </c>
    </row>
    <row r="1175" spans="3:61" hidden="1">
      <c r="C1175" s="1191">
        <v>13570</v>
      </c>
      <c r="D1175" s="1264" t="s">
        <v>2465</v>
      </c>
      <c r="E1175" s="1016"/>
      <c r="F1175" s="1016"/>
      <c r="G1175" s="1016"/>
      <c r="H1175" s="978" t="e">
        <f t="shared" si="50"/>
        <v>#DIV/0!</v>
      </c>
      <c r="I1175" s="759">
        <f t="shared" si="51"/>
        <v>0</v>
      </c>
    </row>
    <row r="1176" spans="3:61" hidden="1">
      <c r="C1176" s="1191">
        <v>12392</v>
      </c>
      <c r="D1176" s="1264" t="s">
        <v>2464</v>
      </c>
      <c r="E1176" s="1016"/>
      <c r="F1176" s="1016"/>
      <c r="G1176" s="1016"/>
      <c r="H1176" s="978" t="e">
        <f t="shared" si="50"/>
        <v>#DIV/0!</v>
      </c>
      <c r="I1176" s="759">
        <f t="shared" si="51"/>
        <v>0</v>
      </c>
    </row>
    <row r="1177" spans="3:61" hidden="1">
      <c r="C1177" s="1191">
        <v>10427</v>
      </c>
      <c r="D1177" s="1264" t="s">
        <v>2297</v>
      </c>
      <c r="E1177" s="1016"/>
      <c r="F1177" s="1016"/>
      <c r="G1177" s="1016"/>
      <c r="H1177" s="978" t="e">
        <f t="shared" si="50"/>
        <v>#DIV/0!</v>
      </c>
      <c r="I1177" s="759">
        <f t="shared" si="51"/>
        <v>0</v>
      </c>
    </row>
    <row r="1178" spans="3:61" hidden="1">
      <c r="C1178" s="1191">
        <v>6706</v>
      </c>
      <c r="D1178" s="1264" t="s">
        <v>2463</v>
      </c>
      <c r="E1178" s="1016"/>
      <c r="F1178" s="1016"/>
      <c r="G1178" s="1016"/>
      <c r="H1178" s="978" t="e">
        <f t="shared" si="50"/>
        <v>#DIV/0!</v>
      </c>
      <c r="I1178" s="759">
        <f t="shared" si="51"/>
        <v>0</v>
      </c>
    </row>
    <row r="1179" spans="3:61" hidden="1">
      <c r="C1179" s="1191">
        <v>20006</v>
      </c>
      <c r="D1179" s="1264" t="s">
        <v>2289</v>
      </c>
      <c r="E1179" s="1016"/>
      <c r="F1179" s="1016"/>
      <c r="G1179" s="1016"/>
      <c r="H1179" s="978" t="e">
        <f t="shared" si="50"/>
        <v>#DIV/0!</v>
      </c>
      <c r="I1179" s="759">
        <f t="shared" si="51"/>
        <v>0</v>
      </c>
    </row>
    <row r="1180" spans="3:61" hidden="1">
      <c r="C1180" s="1191">
        <v>8016</v>
      </c>
      <c r="D1180" s="1264" t="s">
        <v>2393</v>
      </c>
      <c r="E1180" s="1016"/>
      <c r="F1180" s="1016"/>
      <c r="G1180" s="1016"/>
      <c r="H1180" s="978" t="e">
        <f t="shared" si="50"/>
        <v>#DIV/0!</v>
      </c>
      <c r="I1180" s="759">
        <f t="shared" si="51"/>
        <v>0</v>
      </c>
    </row>
    <row r="1181" spans="3:61" hidden="1">
      <c r="C1181" s="1191">
        <v>8117</v>
      </c>
      <c r="D1181" s="1264" t="s">
        <v>2284</v>
      </c>
      <c r="E1181" s="1016"/>
      <c r="F1181" s="1016"/>
      <c r="G1181" s="1016"/>
      <c r="H1181" s="978" t="e">
        <f t="shared" si="50"/>
        <v>#DIV/0!</v>
      </c>
      <c r="I1181" s="759">
        <f t="shared" si="51"/>
        <v>0</v>
      </c>
    </row>
    <row r="1182" spans="3:61" hidden="1">
      <c r="C1182" s="1191">
        <v>8017</v>
      </c>
      <c r="D1182" s="1264" t="s">
        <v>2283</v>
      </c>
      <c r="E1182" s="1016"/>
      <c r="F1182" s="1016"/>
      <c r="G1182" s="1016"/>
      <c r="H1182" s="978" t="e">
        <f t="shared" si="50"/>
        <v>#DIV/0!</v>
      </c>
      <c r="I1182" s="759">
        <f t="shared" si="51"/>
        <v>0</v>
      </c>
    </row>
    <row r="1183" spans="3:61" hidden="1">
      <c r="C1183" s="1191">
        <v>2026</v>
      </c>
      <c r="D1183" s="1264" t="s">
        <v>421</v>
      </c>
      <c r="E1183" s="1016"/>
      <c r="F1183" s="1016"/>
      <c r="G1183" s="1016"/>
      <c r="H1183" s="978" t="e">
        <f t="shared" si="50"/>
        <v>#DIV/0!</v>
      </c>
      <c r="I1183" s="759">
        <f t="shared" si="51"/>
        <v>0</v>
      </c>
    </row>
    <row r="1184" spans="3:61" hidden="1">
      <c r="C1184" s="1191">
        <v>21025</v>
      </c>
      <c r="D1184" s="1264" t="s">
        <v>3357</v>
      </c>
      <c r="E1184" s="1016"/>
      <c r="F1184" s="1016"/>
      <c r="G1184" s="1016"/>
      <c r="H1184" s="978" t="e">
        <f t="shared" si="50"/>
        <v>#DIV/0!</v>
      </c>
      <c r="I1184" s="759">
        <f t="shared" si="51"/>
        <v>0</v>
      </c>
    </row>
    <row r="1185" spans="3:9" hidden="1">
      <c r="C1185" s="1191">
        <v>21030</v>
      </c>
      <c r="D1185" s="1264" t="s">
        <v>3447</v>
      </c>
      <c r="E1185" s="1016"/>
      <c r="F1185" s="1016"/>
      <c r="G1185" s="1016"/>
      <c r="H1185" s="978" t="e">
        <f t="shared" si="50"/>
        <v>#DIV/0!</v>
      </c>
      <c r="I1185" s="759">
        <f t="shared" si="51"/>
        <v>0</v>
      </c>
    </row>
    <row r="1186" spans="3:9" hidden="1">
      <c r="C1186" s="1191">
        <v>13836</v>
      </c>
      <c r="D1186" s="1264" t="s">
        <v>2377</v>
      </c>
      <c r="E1186" s="1016"/>
      <c r="F1186" s="1016"/>
      <c r="G1186" s="1016"/>
      <c r="H1186" s="978" t="e">
        <f t="shared" si="50"/>
        <v>#DIV/0!</v>
      </c>
      <c r="I1186" s="759">
        <f t="shared" si="51"/>
        <v>0</v>
      </c>
    </row>
    <row r="1187" spans="3:9" hidden="1">
      <c r="C1187" s="1191">
        <v>14401</v>
      </c>
      <c r="D1187" s="1264" t="s">
        <v>2378</v>
      </c>
      <c r="E1187" s="1016"/>
      <c r="F1187" s="1016"/>
      <c r="G1187" s="1016"/>
      <c r="H1187" s="978" t="e">
        <f t="shared" si="50"/>
        <v>#DIV/0!</v>
      </c>
      <c r="I1187" s="759">
        <f t="shared" si="51"/>
        <v>0</v>
      </c>
    </row>
    <row r="1188" spans="3:9" hidden="1">
      <c r="C1188" s="1191">
        <v>14399</v>
      </c>
      <c r="D1188" s="1264" t="s">
        <v>2379</v>
      </c>
      <c r="E1188" s="1016"/>
      <c r="F1188" s="1016"/>
      <c r="G1188" s="1016"/>
      <c r="H1188" s="978" t="e">
        <f t="shared" si="50"/>
        <v>#DIV/0!</v>
      </c>
      <c r="I1188" s="759">
        <f t="shared" si="51"/>
        <v>0</v>
      </c>
    </row>
    <row r="1189" spans="3:9" hidden="1">
      <c r="C1189" s="1191">
        <v>14400</v>
      </c>
      <c r="D1189" s="1264" t="s">
        <v>2380</v>
      </c>
      <c r="E1189" s="1016"/>
      <c r="F1189" s="1016"/>
      <c r="G1189" s="1016"/>
      <c r="H1189" s="978" t="e">
        <f t="shared" si="50"/>
        <v>#DIV/0!</v>
      </c>
      <c r="I1189" s="759">
        <f t="shared" si="51"/>
        <v>0</v>
      </c>
    </row>
    <row r="1190" spans="3:9" hidden="1">
      <c r="C1190" s="1191">
        <v>21023</v>
      </c>
      <c r="D1190" s="1264" t="s">
        <v>3448</v>
      </c>
      <c r="E1190" s="1016">
        <v>30</v>
      </c>
      <c r="F1190" s="1016"/>
      <c r="G1190" s="1016">
        <v>22.2</v>
      </c>
      <c r="H1190" s="978">
        <f t="shared" si="50"/>
        <v>0.74</v>
      </c>
      <c r="I1190" s="759">
        <f t="shared" si="51"/>
        <v>0</v>
      </c>
    </row>
    <row r="1191" spans="3:9" hidden="1">
      <c r="C1191" s="1191">
        <v>13582</v>
      </c>
      <c r="D1191" s="1264" t="s">
        <v>2462</v>
      </c>
      <c r="E1191" s="1016"/>
      <c r="F1191" s="1016"/>
      <c r="G1191" s="1016"/>
      <c r="H1191" s="978" t="e">
        <f t="shared" si="50"/>
        <v>#DIV/0!</v>
      </c>
      <c r="I1191" s="759">
        <f t="shared" si="51"/>
        <v>0</v>
      </c>
    </row>
    <row r="1192" spans="3:9" hidden="1">
      <c r="C1192" s="1191">
        <v>21029</v>
      </c>
      <c r="D1192" s="1264" t="s">
        <v>3449</v>
      </c>
      <c r="E1192" s="1016"/>
      <c r="F1192" s="1016"/>
      <c r="G1192" s="1016"/>
      <c r="H1192" s="978" t="e">
        <f t="shared" si="50"/>
        <v>#DIV/0!</v>
      </c>
      <c r="I1192" s="759">
        <f t="shared" si="51"/>
        <v>0</v>
      </c>
    </row>
    <row r="1193" spans="3:9" hidden="1">
      <c r="C1193" s="1191">
        <v>13583</v>
      </c>
      <c r="D1193" s="1264" t="s">
        <v>2461</v>
      </c>
      <c r="E1193" s="1016"/>
      <c r="F1193" s="1016"/>
      <c r="G1193" s="1016"/>
      <c r="H1193" s="978" t="e">
        <f t="shared" si="50"/>
        <v>#DIV/0!</v>
      </c>
      <c r="I1193" s="759">
        <f t="shared" si="51"/>
        <v>0</v>
      </c>
    </row>
    <row r="1194" spans="3:9" hidden="1">
      <c r="C1194" s="1191">
        <v>13585</v>
      </c>
      <c r="D1194" s="1264" t="s">
        <v>2460</v>
      </c>
      <c r="E1194" s="1016"/>
      <c r="F1194" s="1016"/>
      <c r="G1194" s="1016"/>
      <c r="H1194" s="978" t="e">
        <f t="shared" si="50"/>
        <v>#DIV/0!</v>
      </c>
      <c r="I1194" s="759">
        <f t="shared" si="51"/>
        <v>0</v>
      </c>
    </row>
    <row r="1195" spans="3:9" hidden="1">
      <c r="C1195" s="1191">
        <v>13584</v>
      </c>
      <c r="D1195" s="1264" t="s">
        <v>2459</v>
      </c>
      <c r="E1195" s="1016"/>
      <c r="F1195" s="1016"/>
      <c r="G1195" s="1016"/>
      <c r="H1195" s="978" t="e">
        <f t="shared" si="50"/>
        <v>#DIV/0!</v>
      </c>
      <c r="I1195" s="759">
        <f t="shared" si="51"/>
        <v>0</v>
      </c>
    </row>
    <row r="1196" spans="3:9" hidden="1">
      <c r="C1196" s="1191">
        <v>13581</v>
      </c>
      <c r="D1196" s="1264" t="s">
        <v>2381</v>
      </c>
      <c r="E1196" s="1016"/>
      <c r="F1196" s="1016"/>
      <c r="G1196" s="1016"/>
      <c r="H1196" s="978" t="e">
        <f t="shared" si="50"/>
        <v>#DIV/0!</v>
      </c>
      <c r="I1196" s="759">
        <f t="shared" si="51"/>
        <v>0</v>
      </c>
    </row>
    <row r="1197" spans="3:9" hidden="1">
      <c r="C1197" s="1191">
        <v>18707</v>
      </c>
      <c r="D1197" s="1264" t="s">
        <v>2797</v>
      </c>
      <c r="E1197" s="1016"/>
      <c r="F1197" s="1016"/>
      <c r="G1197" s="1016"/>
      <c r="H1197" s="978" t="e">
        <f t="shared" si="50"/>
        <v>#DIV/0!</v>
      </c>
      <c r="I1197" s="759">
        <f t="shared" si="51"/>
        <v>0</v>
      </c>
    </row>
    <row r="1198" spans="3:9" hidden="1">
      <c r="C1198" s="1191">
        <v>18714</v>
      </c>
      <c r="D1198" s="1264" t="s">
        <v>2279</v>
      </c>
      <c r="E1198" s="1016"/>
      <c r="F1198" s="1016"/>
      <c r="G1198" s="1016"/>
      <c r="H1198" s="978" t="e">
        <f t="shared" si="50"/>
        <v>#DIV/0!</v>
      </c>
      <c r="I1198" s="759">
        <f t="shared" si="51"/>
        <v>0</v>
      </c>
    </row>
    <row r="1199" spans="3:9" hidden="1">
      <c r="C1199" s="1191">
        <v>16239</v>
      </c>
      <c r="D1199" s="1264" t="s">
        <v>2798</v>
      </c>
      <c r="E1199" s="1016"/>
      <c r="F1199" s="1016"/>
      <c r="G1199" s="1016"/>
      <c r="H1199" s="978" t="e">
        <f t="shared" si="50"/>
        <v>#DIV/0!</v>
      </c>
      <c r="I1199" s="759">
        <f t="shared" si="51"/>
        <v>0</v>
      </c>
    </row>
    <row r="1200" spans="3:9" hidden="1">
      <c r="C1200" s="1191">
        <v>14766</v>
      </c>
      <c r="D1200" s="1264" t="s">
        <v>2799</v>
      </c>
      <c r="E1200" s="1016"/>
      <c r="F1200" s="1016"/>
      <c r="G1200" s="1016"/>
      <c r="H1200" s="978" t="e">
        <f t="shared" si="50"/>
        <v>#DIV/0!</v>
      </c>
      <c r="I1200" s="759">
        <f t="shared" si="51"/>
        <v>0</v>
      </c>
    </row>
    <row r="1201" spans="3:61" hidden="1">
      <c r="C1201" s="1191">
        <v>9499</v>
      </c>
      <c r="D1201" s="1264" t="s">
        <v>2458</v>
      </c>
      <c r="E1201" s="1016"/>
      <c r="F1201" s="1016"/>
      <c r="G1201" s="1016"/>
      <c r="H1201" s="978" t="e">
        <f t="shared" si="50"/>
        <v>#DIV/0!</v>
      </c>
      <c r="I1201" s="759">
        <f t="shared" si="51"/>
        <v>0</v>
      </c>
    </row>
    <row r="1202" spans="3:61" hidden="1">
      <c r="C1202" s="1191">
        <v>20012</v>
      </c>
      <c r="D1202" s="1264" t="s">
        <v>2287</v>
      </c>
      <c r="E1202" s="1016"/>
      <c r="F1202" s="1016"/>
      <c r="G1202" s="1016"/>
      <c r="H1202" s="978" t="e">
        <f t="shared" si="50"/>
        <v>#DIV/0!</v>
      </c>
      <c r="I1202" s="759">
        <f t="shared" si="51"/>
        <v>0</v>
      </c>
    </row>
    <row r="1203" spans="3:61" hidden="1">
      <c r="C1203" s="1191">
        <v>15426</v>
      </c>
      <c r="D1203" s="1264" t="s">
        <v>1887</v>
      </c>
      <c r="E1203" s="1016"/>
      <c r="F1203" s="1016"/>
      <c r="G1203" s="1016"/>
      <c r="H1203" s="978" t="e">
        <f t="shared" si="50"/>
        <v>#DIV/0!</v>
      </c>
      <c r="I1203" s="759">
        <f t="shared" si="51"/>
        <v>0</v>
      </c>
    </row>
    <row r="1204" spans="3:61" hidden="1">
      <c r="C1204" s="1191">
        <v>15430</v>
      </c>
      <c r="D1204" s="1264" t="s">
        <v>2280</v>
      </c>
      <c r="E1204" s="1016"/>
      <c r="F1204" s="1016"/>
      <c r="G1204" s="1016"/>
      <c r="H1204" s="978" t="e">
        <f t="shared" si="50"/>
        <v>#DIV/0!</v>
      </c>
      <c r="I1204" s="759">
        <f t="shared" si="51"/>
        <v>0</v>
      </c>
    </row>
    <row r="1205" spans="3:61" hidden="1">
      <c r="C1205" s="1191">
        <v>15428</v>
      </c>
      <c r="D1205" s="1264" t="s">
        <v>1888</v>
      </c>
      <c r="E1205" s="1016"/>
      <c r="F1205" s="1016"/>
      <c r="G1205" s="1016"/>
      <c r="H1205" s="978" t="e">
        <f t="shared" si="50"/>
        <v>#DIV/0!</v>
      </c>
      <c r="I1205" s="759">
        <f t="shared" si="51"/>
        <v>0</v>
      </c>
    </row>
    <row r="1206" spans="3:61" s="85" customFormat="1">
      <c r="C1206" s="366">
        <v>10416</v>
      </c>
      <c r="D1206" s="1266" t="s">
        <v>2382</v>
      </c>
      <c r="E1206" s="297">
        <v>12</v>
      </c>
      <c r="F1206" s="297">
        <v>30</v>
      </c>
      <c r="G1206" s="297">
        <v>17.899999999999999</v>
      </c>
      <c r="H1206" s="301">
        <f t="shared" si="50"/>
        <v>1.4916666666666665</v>
      </c>
      <c r="I1206" s="832">
        <f t="shared" si="51"/>
        <v>537</v>
      </c>
      <c r="J1206" s="123"/>
      <c r="K1206" s="123"/>
      <c r="L1206" s="123"/>
      <c r="M1206" s="123"/>
      <c r="N1206" s="123"/>
      <c r="O1206" s="123"/>
      <c r="P1206" s="123"/>
      <c r="Q1206" s="123"/>
      <c r="R1206" s="123"/>
      <c r="S1206" s="123"/>
      <c r="T1206" s="123"/>
      <c r="U1206" s="123"/>
      <c r="V1206" s="123"/>
      <c r="W1206" s="123"/>
      <c r="X1206" s="123"/>
      <c r="Y1206" s="123"/>
      <c r="Z1206" s="123"/>
      <c r="AA1206" s="123"/>
      <c r="AB1206" s="123"/>
      <c r="AC1206" s="123"/>
      <c r="AD1206" s="123"/>
      <c r="AE1206" s="123"/>
      <c r="AF1206" s="123"/>
      <c r="AG1206" s="123"/>
      <c r="AH1206" s="123"/>
      <c r="AI1206" s="123"/>
      <c r="AJ1206" s="123"/>
      <c r="AK1206" s="123"/>
      <c r="AL1206" s="123"/>
      <c r="AM1206" s="123"/>
      <c r="AN1206" s="123"/>
      <c r="AO1206" s="123"/>
      <c r="AP1206" s="123"/>
      <c r="AQ1206" s="123"/>
      <c r="AR1206" s="123"/>
      <c r="AS1206" s="123"/>
      <c r="AT1206" s="123"/>
      <c r="AU1206" s="123"/>
      <c r="AV1206" s="123"/>
      <c r="AW1206" s="123"/>
      <c r="AX1206" s="123"/>
      <c r="AY1206" s="123"/>
      <c r="AZ1206" s="123"/>
      <c r="BA1206" s="123"/>
      <c r="BB1206" s="123"/>
      <c r="BC1206" s="123"/>
      <c r="BD1206" s="123"/>
      <c r="BE1206" s="123"/>
      <c r="BF1206" s="123"/>
      <c r="BG1206" s="123"/>
      <c r="BH1206" s="123"/>
      <c r="BI1206" s="123"/>
    </row>
    <row r="1207" spans="3:61" hidden="1">
      <c r="C1207" s="1191">
        <v>15767</v>
      </c>
      <c r="D1207" s="1264" t="s">
        <v>1889</v>
      </c>
      <c r="E1207" s="1016"/>
      <c r="F1207" s="1016"/>
      <c r="G1207" s="1016"/>
      <c r="H1207" s="978" t="e">
        <f t="shared" si="50"/>
        <v>#DIV/0!</v>
      </c>
      <c r="I1207" s="759">
        <f t="shared" si="51"/>
        <v>0</v>
      </c>
    </row>
    <row r="1208" spans="3:61" hidden="1">
      <c r="C1208" s="1191">
        <v>9500</v>
      </c>
      <c r="D1208" s="1264" t="s">
        <v>2800</v>
      </c>
      <c r="E1208" s="1016"/>
      <c r="F1208" s="1016"/>
      <c r="G1208" s="1016"/>
      <c r="H1208" s="978" t="e">
        <f t="shared" si="50"/>
        <v>#DIV/0!</v>
      </c>
      <c r="I1208" s="759">
        <f t="shared" si="51"/>
        <v>0</v>
      </c>
    </row>
    <row r="1209" spans="3:61" hidden="1">
      <c r="C1209" s="1191">
        <v>15750</v>
      </c>
      <c r="D1209" s="1264" t="s">
        <v>3164</v>
      </c>
      <c r="E1209" s="1016"/>
      <c r="F1209" s="1016"/>
      <c r="G1209" s="1016"/>
      <c r="H1209" s="978" t="e">
        <f t="shared" si="50"/>
        <v>#DIV/0!</v>
      </c>
      <c r="I1209" s="759">
        <f t="shared" si="51"/>
        <v>0</v>
      </c>
    </row>
    <row r="1210" spans="3:61" hidden="1">
      <c r="C1210" s="1191">
        <v>9252</v>
      </c>
      <c r="D1210" s="1264" t="s">
        <v>3798</v>
      </c>
      <c r="E1210" s="1016"/>
      <c r="F1210" s="1016"/>
      <c r="G1210" s="1016"/>
      <c r="H1210" s="978" t="e">
        <f t="shared" si="50"/>
        <v>#DIV/0!</v>
      </c>
      <c r="I1210" s="759">
        <f t="shared" si="51"/>
        <v>0</v>
      </c>
    </row>
    <row r="1211" spans="3:61" hidden="1">
      <c r="C1211" s="1191">
        <v>13577</v>
      </c>
      <c r="D1211" s="1264" t="s">
        <v>2275</v>
      </c>
      <c r="E1211" s="1016"/>
      <c r="F1211" s="1016"/>
      <c r="G1211" s="1016"/>
      <c r="H1211" s="978" t="e">
        <f t="shared" ref="H1211:H1278" si="52">+G1211/E1211</f>
        <v>#DIV/0!</v>
      </c>
      <c r="I1211" s="759">
        <f t="shared" ref="I1211:I1274" si="53">+G1211*F1211</f>
        <v>0</v>
      </c>
    </row>
    <row r="1212" spans="3:61" hidden="1">
      <c r="C1212" s="1191">
        <v>6901</v>
      </c>
      <c r="D1212" s="1264" t="s">
        <v>1374</v>
      </c>
      <c r="E1212" s="1016"/>
      <c r="F1212" s="1016"/>
      <c r="G1212" s="1016"/>
      <c r="H1212" s="978" t="e">
        <f t="shared" si="52"/>
        <v>#DIV/0!</v>
      </c>
      <c r="I1212" s="759">
        <f t="shared" si="53"/>
        <v>0</v>
      </c>
    </row>
    <row r="1213" spans="3:61" hidden="1">
      <c r="C1213" s="1191">
        <v>8309</v>
      </c>
      <c r="D1213" s="1264" t="s">
        <v>2457</v>
      </c>
      <c r="E1213" s="1016"/>
      <c r="F1213" s="1016"/>
      <c r="G1213" s="1016"/>
      <c r="H1213" s="978" t="e">
        <f t="shared" si="52"/>
        <v>#DIV/0!</v>
      </c>
      <c r="I1213" s="759">
        <f t="shared" si="53"/>
        <v>0</v>
      </c>
    </row>
    <row r="1214" spans="3:61" hidden="1">
      <c r="C1214" s="1191">
        <v>106</v>
      </c>
      <c r="D1214" s="1264" t="s">
        <v>3806</v>
      </c>
      <c r="E1214" s="1016">
        <v>80</v>
      </c>
      <c r="F1214" s="1016"/>
      <c r="G1214" s="1016">
        <v>14.5</v>
      </c>
      <c r="H1214" s="978">
        <f t="shared" si="52"/>
        <v>0.18124999999999999</v>
      </c>
      <c r="I1214" s="759">
        <f t="shared" si="53"/>
        <v>0</v>
      </c>
    </row>
    <row r="1215" spans="3:61" s="85" customFormat="1">
      <c r="C1215" s="366">
        <v>15403</v>
      </c>
      <c r="D1215" s="1266" t="s">
        <v>3356</v>
      </c>
      <c r="E1215" s="297">
        <v>26</v>
      </c>
      <c r="F1215" s="297">
        <v>40</v>
      </c>
      <c r="G1215" s="297">
        <v>15.1</v>
      </c>
      <c r="H1215" s="301">
        <f t="shared" si="52"/>
        <v>0.5807692307692307</v>
      </c>
      <c r="I1215" s="832">
        <f t="shared" si="53"/>
        <v>604</v>
      </c>
      <c r="J1215" s="123"/>
      <c r="K1215" s="123"/>
      <c r="L1215" s="123"/>
      <c r="M1215" s="123"/>
      <c r="N1215" s="123"/>
      <c r="O1215" s="123"/>
      <c r="P1215" s="123"/>
      <c r="Q1215" s="123"/>
      <c r="R1215" s="123"/>
      <c r="S1215" s="123"/>
      <c r="T1215" s="123"/>
      <c r="U1215" s="123"/>
      <c r="V1215" s="123"/>
      <c r="W1215" s="123"/>
      <c r="X1215" s="123"/>
      <c r="Y1215" s="123"/>
      <c r="Z1215" s="123"/>
      <c r="AA1215" s="123"/>
      <c r="AB1215" s="123"/>
      <c r="AC1215" s="123"/>
      <c r="AD1215" s="123"/>
      <c r="AE1215" s="123"/>
      <c r="AF1215" s="123"/>
      <c r="AG1215" s="123"/>
      <c r="AH1215" s="123"/>
      <c r="AI1215" s="123"/>
      <c r="AJ1215" s="123"/>
      <c r="AK1215" s="123"/>
      <c r="AL1215" s="123"/>
      <c r="AM1215" s="123"/>
      <c r="AN1215" s="123"/>
      <c r="AO1215" s="123"/>
      <c r="AP1215" s="123"/>
      <c r="AQ1215" s="123"/>
      <c r="AR1215" s="123"/>
      <c r="AS1215" s="123"/>
      <c r="AT1215" s="123"/>
      <c r="AU1215" s="123"/>
      <c r="AV1215" s="123"/>
      <c r="AW1215" s="123"/>
      <c r="AX1215" s="123"/>
      <c r="AY1215" s="123"/>
      <c r="AZ1215" s="123"/>
      <c r="BA1215" s="123"/>
      <c r="BB1215" s="123"/>
      <c r="BC1215" s="123"/>
      <c r="BD1215" s="123"/>
      <c r="BE1215" s="123"/>
      <c r="BF1215" s="123"/>
      <c r="BG1215" s="123"/>
      <c r="BH1215" s="123"/>
      <c r="BI1215" s="123"/>
    </row>
    <row r="1216" spans="3:61" hidden="1">
      <c r="C1216" s="1191">
        <v>21032</v>
      </c>
      <c r="D1216" s="1264" t="s">
        <v>3356</v>
      </c>
      <c r="E1216" s="1016"/>
      <c r="F1216" s="1016"/>
      <c r="G1216" s="1016">
        <v>15.1</v>
      </c>
      <c r="H1216" s="978" t="e">
        <f t="shared" si="52"/>
        <v>#DIV/0!</v>
      </c>
      <c r="I1216" s="759">
        <f t="shared" si="53"/>
        <v>0</v>
      </c>
    </row>
    <row r="1217" spans="3:61" s="85" customFormat="1">
      <c r="C1217" s="366">
        <v>9923</v>
      </c>
      <c r="D1217" s="1266" t="s">
        <v>1890</v>
      </c>
      <c r="E1217" s="297">
        <v>72</v>
      </c>
      <c r="F1217" s="297">
        <v>3</v>
      </c>
      <c r="G1217" s="297">
        <v>21.6</v>
      </c>
      <c r="H1217" s="301">
        <f t="shared" si="52"/>
        <v>0.30000000000000004</v>
      </c>
      <c r="I1217" s="832">
        <f t="shared" si="53"/>
        <v>64.800000000000011</v>
      </c>
      <c r="J1217" s="123"/>
      <c r="K1217" s="123"/>
      <c r="L1217" s="123"/>
      <c r="M1217" s="123"/>
      <c r="N1217" s="123"/>
      <c r="O1217" s="123"/>
      <c r="P1217" s="123"/>
      <c r="Q1217" s="123"/>
      <c r="R1217" s="123"/>
      <c r="S1217" s="123"/>
      <c r="T1217" s="123"/>
      <c r="U1217" s="123"/>
      <c r="V1217" s="123"/>
      <c r="W1217" s="123"/>
      <c r="X1217" s="123"/>
      <c r="Y1217" s="123"/>
      <c r="Z1217" s="123"/>
      <c r="AA1217" s="123"/>
      <c r="AB1217" s="123"/>
      <c r="AC1217" s="123"/>
      <c r="AD1217" s="123"/>
      <c r="AE1217" s="123"/>
      <c r="AF1217" s="123"/>
      <c r="AG1217" s="123"/>
      <c r="AH1217" s="123"/>
      <c r="AI1217" s="123"/>
      <c r="AJ1217" s="123"/>
      <c r="AK1217" s="123"/>
      <c r="AL1217" s="123"/>
      <c r="AM1217" s="123"/>
      <c r="AN1217" s="123"/>
      <c r="AO1217" s="123"/>
      <c r="AP1217" s="123"/>
      <c r="AQ1217" s="123"/>
      <c r="AR1217" s="123"/>
      <c r="AS1217" s="123"/>
      <c r="AT1217" s="123"/>
      <c r="AU1217" s="123"/>
      <c r="AV1217" s="123"/>
      <c r="AW1217" s="123"/>
      <c r="AX1217" s="123"/>
      <c r="AY1217" s="123"/>
      <c r="AZ1217" s="123"/>
      <c r="BA1217" s="123"/>
      <c r="BB1217" s="123"/>
      <c r="BC1217" s="123"/>
      <c r="BD1217" s="123"/>
      <c r="BE1217" s="123"/>
      <c r="BF1217" s="123"/>
      <c r="BG1217" s="123"/>
      <c r="BH1217" s="123"/>
      <c r="BI1217" s="123"/>
    </row>
    <row r="1218" spans="3:61" hidden="1">
      <c r="C1218" s="1191">
        <v>13568</v>
      </c>
      <c r="D1218" s="1264" t="s">
        <v>2456</v>
      </c>
      <c r="E1218" s="1016"/>
      <c r="F1218" s="1016"/>
      <c r="G1218" s="1016"/>
      <c r="H1218" s="978" t="e">
        <f t="shared" si="52"/>
        <v>#DIV/0!</v>
      </c>
      <c r="I1218" s="759">
        <f t="shared" si="53"/>
        <v>0</v>
      </c>
    </row>
    <row r="1219" spans="3:61" hidden="1">
      <c r="C1219" s="1191">
        <v>21226</v>
      </c>
      <c r="D1219" s="1264" t="s">
        <v>3619</v>
      </c>
      <c r="E1219" s="1016">
        <v>6</v>
      </c>
      <c r="F1219" s="1016"/>
      <c r="G1219" s="1016">
        <v>23.5</v>
      </c>
      <c r="H1219" s="978">
        <f t="shared" si="52"/>
        <v>3.9166666666666665</v>
      </c>
      <c r="I1219" s="759">
        <f t="shared" si="53"/>
        <v>0</v>
      </c>
    </row>
    <row r="1220" spans="3:61" hidden="1">
      <c r="C1220" s="1191">
        <v>21227</v>
      </c>
      <c r="D1220" s="1264" t="s">
        <v>3483</v>
      </c>
      <c r="E1220" s="1016">
        <v>6</v>
      </c>
      <c r="F1220" s="1016"/>
      <c r="G1220" s="1016">
        <v>23.5</v>
      </c>
      <c r="H1220" s="978">
        <f t="shared" si="52"/>
        <v>3.9166666666666665</v>
      </c>
      <c r="I1220" s="759">
        <f t="shared" si="53"/>
        <v>0</v>
      </c>
    </row>
    <row r="1221" spans="3:61" hidden="1">
      <c r="C1221" s="1191">
        <v>21228</v>
      </c>
      <c r="D1221" s="1264" t="s">
        <v>3620</v>
      </c>
      <c r="E1221" s="1016">
        <v>6</v>
      </c>
      <c r="F1221" s="1016"/>
      <c r="G1221" s="1016">
        <v>23.5</v>
      </c>
      <c r="H1221" s="978">
        <f t="shared" si="52"/>
        <v>3.9166666666666665</v>
      </c>
      <c r="I1221" s="759">
        <f t="shared" si="53"/>
        <v>0</v>
      </c>
    </row>
    <row r="1222" spans="3:61" hidden="1">
      <c r="C1222" s="1191">
        <v>21229</v>
      </c>
      <c r="D1222" s="1264" t="s">
        <v>3484</v>
      </c>
      <c r="E1222" s="1016">
        <v>6</v>
      </c>
      <c r="F1222" s="1016"/>
      <c r="G1222" s="1016">
        <v>23.5</v>
      </c>
      <c r="H1222" s="978">
        <f t="shared" si="52"/>
        <v>3.9166666666666665</v>
      </c>
      <c r="I1222" s="759">
        <f t="shared" si="53"/>
        <v>0</v>
      </c>
    </row>
    <row r="1223" spans="3:61" hidden="1">
      <c r="C1223" s="1191">
        <v>17887</v>
      </c>
      <c r="D1223" s="1264" t="s">
        <v>1891</v>
      </c>
      <c r="E1223" s="1016"/>
      <c r="F1223" s="1016"/>
      <c r="G1223" s="1016"/>
      <c r="H1223" s="978" t="e">
        <f t="shared" si="52"/>
        <v>#DIV/0!</v>
      </c>
      <c r="I1223" s="759">
        <f t="shared" si="53"/>
        <v>0</v>
      </c>
    </row>
    <row r="1224" spans="3:61" hidden="1">
      <c r="C1224" s="1191">
        <v>21027</v>
      </c>
      <c r="D1224" s="1264" t="s">
        <v>3451</v>
      </c>
      <c r="E1224" s="1016"/>
      <c r="F1224" s="1016"/>
      <c r="G1224" s="1016"/>
      <c r="H1224" s="978" t="e">
        <f t="shared" si="52"/>
        <v>#DIV/0!</v>
      </c>
      <c r="I1224" s="759">
        <f t="shared" si="53"/>
        <v>0</v>
      </c>
    </row>
    <row r="1225" spans="3:61" hidden="1">
      <c r="C1225" s="1191">
        <v>11384</v>
      </c>
      <c r="D1225" s="1264" t="s">
        <v>1892</v>
      </c>
      <c r="E1225" s="1016"/>
      <c r="F1225" s="1016"/>
      <c r="G1225" s="1016"/>
      <c r="H1225" s="978" t="e">
        <f t="shared" si="52"/>
        <v>#DIV/0!</v>
      </c>
      <c r="I1225" s="759">
        <f t="shared" si="53"/>
        <v>0</v>
      </c>
    </row>
    <row r="1226" spans="3:61" hidden="1">
      <c r="C1226" s="1191">
        <v>13718</v>
      </c>
      <c r="D1226" s="1264" t="s">
        <v>1893</v>
      </c>
      <c r="E1226" s="1016"/>
      <c r="F1226" s="1016"/>
      <c r="G1226" s="1016"/>
      <c r="H1226" s="978" t="e">
        <f t="shared" si="52"/>
        <v>#DIV/0!</v>
      </c>
      <c r="I1226" s="759">
        <f t="shared" si="53"/>
        <v>0</v>
      </c>
    </row>
    <row r="1227" spans="3:61" s="1052" customFormat="1">
      <c r="C1227" s="1192">
        <v>10228</v>
      </c>
      <c r="D1227" s="1265" t="s">
        <v>1894</v>
      </c>
      <c r="E1227" s="326">
        <v>25</v>
      </c>
      <c r="F1227" s="326">
        <v>10</v>
      </c>
      <c r="G1227" s="326">
        <v>48</v>
      </c>
      <c r="H1227" s="1053">
        <f t="shared" si="52"/>
        <v>1.92</v>
      </c>
      <c r="I1227" s="1054">
        <f t="shared" si="53"/>
        <v>480</v>
      </c>
      <c r="J1227" s="123"/>
      <c r="K1227" s="123"/>
      <c r="L1227" s="123"/>
      <c r="M1227" s="123"/>
      <c r="N1227" s="123"/>
      <c r="O1227" s="123"/>
      <c r="P1227" s="123"/>
      <c r="Q1227" s="123"/>
      <c r="R1227" s="123"/>
      <c r="S1227" s="123"/>
      <c r="T1227" s="123"/>
      <c r="U1227" s="123"/>
      <c r="V1227" s="123"/>
      <c r="W1227" s="123"/>
      <c r="X1227" s="123"/>
      <c r="Y1227" s="123"/>
      <c r="Z1227" s="123"/>
      <c r="AA1227" s="123"/>
      <c r="AB1227" s="123"/>
      <c r="AC1227" s="123"/>
      <c r="AD1227" s="123"/>
      <c r="AE1227" s="123"/>
      <c r="AF1227" s="123"/>
      <c r="AG1227" s="123"/>
      <c r="AH1227" s="123"/>
      <c r="AI1227" s="123"/>
      <c r="AJ1227" s="123"/>
      <c r="AK1227" s="123"/>
      <c r="AL1227" s="123"/>
      <c r="AM1227" s="123"/>
      <c r="AN1227" s="123"/>
      <c r="AO1227" s="123"/>
      <c r="AP1227" s="123"/>
      <c r="AQ1227" s="123"/>
      <c r="AR1227" s="123"/>
      <c r="AS1227" s="123"/>
      <c r="AT1227" s="123"/>
      <c r="AU1227" s="123"/>
      <c r="AV1227" s="123"/>
      <c r="AW1227" s="123"/>
      <c r="AX1227" s="123"/>
      <c r="AY1227" s="123"/>
      <c r="AZ1227" s="123"/>
      <c r="BA1227" s="123"/>
      <c r="BB1227" s="123"/>
      <c r="BC1227" s="123"/>
      <c r="BD1227" s="123"/>
      <c r="BE1227" s="123"/>
      <c r="BF1227" s="123"/>
      <c r="BG1227" s="123"/>
      <c r="BH1227" s="123"/>
      <c r="BI1227" s="123"/>
    </row>
    <row r="1228" spans="3:61" hidden="1">
      <c r="C1228" s="1191">
        <v>10238</v>
      </c>
      <c r="D1228" s="1264" t="s">
        <v>1491</v>
      </c>
      <c r="E1228" s="1016"/>
      <c r="F1228" s="1016"/>
      <c r="G1228" s="1016"/>
      <c r="H1228" s="978" t="e">
        <f t="shared" si="52"/>
        <v>#DIV/0!</v>
      </c>
      <c r="I1228" s="759">
        <f t="shared" si="53"/>
        <v>0</v>
      </c>
    </row>
    <row r="1229" spans="3:61" hidden="1">
      <c r="C1229" s="1191">
        <v>8000</v>
      </c>
      <c r="D1229" s="1264" t="s">
        <v>2384</v>
      </c>
      <c r="E1229" s="1016"/>
      <c r="F1229" s="1016"/>
      <c r="G1229" s="1016"/>
      <c r="H1229" s="978" t="e">
        <f t="shared" si="52"/>
        <v>#DIV/0!</v>
      </c>
      <c r="I1229" s="759">
        <f t="shared" si="53"/>
        <v>0</v>
      </c>
    </row>
    <row r="1230" spans="3:61" hidden="1">
      <c r="C1230" s="1191">
        <v>20014</v>
      </c>
      <c r="D1230" s="1264" t="s">
        <v>2295</v>
      </c>
      <c r="E1230" s="1016"/>
      <c r="F1230" s="1016"/>
      <c r="G1230" s="1016"/>
      <c r="H1230" s="978" t="e">
        <f t="shared" si="52"/>
        <v>#DIV/0!</v>
      </c>
      <c r="I1230" s="759">
        <f t="shared" si="53"/>
        <v>0</v>
      </c>
    </row>
    <row r="1231" spans="3:61" hidden="1">
      <c r="C1231" s="1191">
        <v>13719</v>
      </c>
      <c r="D1231" s="1264" t="s">
        <v>1895</v>
      </c>
      <c r="E1231" s="1016"/>
      <c r="F1231" s="1016"/>
      <c r="G1231" s="1016"/>
      <c r="H1231" s="978" t="e">
        <f t="shared" si="52"/>
        <v>#DIV/0!</v>
      </c>
      <c r="I1231" s="759">
        <f t="shared" si="53"/>
        <v>0</v>
      </c>
    </row>
    <row r="1232" spans="3:61" hidden="1">
      <c r="C1232" s="1191">
        <v>13720</v>
      </c>
      <c r="D1232" s="1264" t="s">
        <v>1896</v>
      </c>
      <c r="E1232" s="1016"/>
      <c r="F1232" s="1016"/>
      <c r="G1232" s="1016"/>
      <c r="H1232" s="978" t="e">
        <f t="shared" si="52"/>
        <v>#DIV/0!</v>
      </c>
      <c r="I1232" s="759">
        <f t="shared" si="53"/>
        <v>0</v>
      </c>
    </row>
    <row r="1233" spans="3:61" s="1052" customFormat="1">
      <c r="C1233" s="1192">
        <v>9755</v>
      </c>
      <c r="D1233" s="1265" t="s">
        <v>1897</v>
      </c>
      <c r="E1233" s="326">
        <v>24</v>
      </c>
      <c r="F1233" s="326">
        <v>100</v>
      </c>
      <c r="G1233" s="326">
        <v>15</v>
      </c>
      <c r="H1233" s="1053">
        <f t="shared" si="52"/>
        <v>0.625</v>
      </c>
      <c r="I1233" s="1054">
        <f t="shared" si="53"/>
        <v>1500</v>
      </c>
      <c r="J1233" s="123"/>
      <c r="K1233" s="123"/>
      <c r="L1233" s="123"/>
      <c r="M1233" s="123"/>
      <c r="N1233" s="123"/>
      <c r="O1233" s="123"/>
      <c r="P1233" s="123"/>
      <c r="Q1233" s="123"/>
      <c r="R1233" s="123"/>
      <c r="S1233" s="123"/>
      <c r="T1233" s="123"/>
      <c r="U1233" s="123"/>
      <c r="V1233" s="123"/>
      <c r="W1233" s="123"/>
      <c r="X1233" s="123"/>
      <c r="Y1233" s="123"/>
      <c r="Z1233" s="123"/>
      <c r="AA1233" s="123"/>
      <c r="AB1233" s="123"/>
      <c r="AC1233" s="123"/>
      <c r="AD1233" s="123"/>
      <c r="AE1233" s="123"/>
      <c r="AF1233" s="123"/>
      <c r="AG1233" s="123"/>
      <c r="AH1233" s="123"/>
      <c r="AI1233" s="123"/>
      <c r="AJ1233" s="123"/>
      <c r="AK1233" s="123"/>
      <c r="AL1233" s="123"/>
      <c r="AM1233" s="123"/>
      <c r="AN1233" s="123"/>
      <c r="AO1233" s="123"/>
      <c r="AP1233" s="123"/>
      <c r="AQ1233" s="123"/>
      <c r="AR1233" s="123"/>
      <c r="AS1233" s="123"/>
      <c r="AT1233" s="123"/>
      <c r="AU1233" s="123"/>
      <c r="AV1233" s="123"/>
      <c r="AW1233" s="123"/>
      <c r="AX1233" s="123"/>
      <c r="AY1233" s="123"/>
      <c r="AZ1233" s="123"/>
      <c r="BA1233" s="123"/>
      <c r="BB1233" s="123"/>
      <c r="BC1233" s="123"/>
      <c r="BD1233" s="123"/>
      <c r="BE1233" s="123"/>
      <c r="BF1233" s="123"/>
      <c r="BG1233" s="123"/>
      <c r="BH1233" s="123"/>
      <c r="BI1233" s="123"/>
    </row>
    <row r="1234" spans="3:61" hidden="1">
      <c r="C1234" s="1191">
        <v>10396</v>
      </c>
      <c r="D1234" s="1264" t="s">
        <v>1898</v>
      </c>
      <c r="E1234" s="1016"/>
      <c r="F1234" s="1016"/>
      <c r="G1234" s="1016"/>
      <c r="H1234" s="978" t="e">
        <f t="shared" si="52"/>
        <v>#DIV/0!</v>
      </c>
      <c r="I1234" s="759">
        <f t="shared" si="53"/>
        <v>0</v>
      </c>
    </row>
    <row r="1235" spans="3:61" hidden="1">
      <c r="C1235" s="1191">
        <v>13580</v>
      </c>
      <c r="D1235" s="1264" t="s">
        <v>2398</v>
      </c>
      <c r="E1235" s="1016"/>
      <c r="F1235" s="1016"/>
      <c r="G1235" s="1016"/>
      <c r="H1235" s="978" t="e">
        <f t="shared" si="52"/>
        <v>#DIV/0!</v>
      </c>
      <c r="I1235" s="759">
        <f t="shared" si="53"/>
        <v>0</v>
      </c>
    </row>
    <row r="1236" spans="3:61" hidden="1">
      <c r="C1236" s="1191">
        <v>14308</v>
      </c>
      <c r="D1236" s="1264" t="s">
        <v>2801</v>
      </c>
      <c r="E1236" s="1016"/>
      <c r="F1236" s="1016"/>
      <c r="G1236" s="1016"/>
      <c r="H1236" s="978" t="e">
        <f t="shared" si="52"/>
        <v>#DIV/0!</v>
      </c>
      <c r="I1236" s="759">
        <f t="shared" si="53"/>
        <v>0</v>
      </c>
    </row>
    <row r="1237" spans="3:61" hidden="1">
      <c r="C1237" s="1191">
        <v>5864</v>
      </c>
      <c r="D1237" s="1264" t="s">
        <v>2296</v>
      </c>
      <c r="E1237" s="1016"/>
      <c r="F1237" s="1016"/>
      <c r="G1237" s="1016"/>
      <c r="H1237" s="978" t="e">
        <f t="shared" si="52"/>
        <v>#DIV/0!</v>
      </c>
      <c r="I1237" s="759">
        <f t="shared" si="53"/>
        <v>0</v>
      </c>
    </row>
    <row r="1238" spans="3:61" hidden="1">
      <c r="C1238" s="1191">
        <v>13569</v>
      </c>
      <c r="D1238" s="1264" t="s">
        <v>2455</v>
      </c>
      <c r="E1238" s="1016"/>
      <c r="F1238" s="1016"/>
      <c r="G1238" s="1016"/>
      <c r="H1238" s="978" t="e">
        <f t="shared" si="52"/>
        <v>#DIV/0!</v>
      </c>
      <c r="I1238" s="759">
        <f t="shared" si="53"/>
        <v>0</v>
      </c>
    </row>
    <row r="1239" spans="3:61" hidden="1">
      <c r="C1239" s="1191">
        <v>13578</v>
      </c>
      <c r="D1239" s="1264" t="s">
        <v>2282</v>
      </c>
      <c r="E1239" s="1016"/>
      <c r="F1239" s="1016"/>
      <c r="G1239" s="1016"/>
      <c r="H1239" s="978" t="e">
        <f t="shared" si="52"/>
        <v>#DIV/0!</v>
      </c>
      <c r="I1239" s="759">
        <f t="shared" si="53"/>
        <v>0</v>
      </c>
    </row>
    <row r="1240" spans="3:61" hidden="1">
      <c r="C1240" s="1191">
        <v>20892</v>
      </c>
      <c r="D1240" s="1264" t="s">
        <v>3165</v>
      </c>
      <c r="E1240" s="1016"/>
      <c r="F1240" s="1016"/>
      <c r="G1240" s="1016"/>
      <c r="H1240" s="978" t="e">
        <f t="shared" si="52"/>
        <v>#DIV/0!</v>
      </c>
      <c r="I1240" s="759">
        <f t="shared" si="53"/>
        <v>0</v>
      </c>
    </row>
    <row r="1241" spans="3:61" hidden="1">
      <c r="C1241" s="1191">
        <v>20893</v>
      </c>
      <c r="D1241" s="1264" t="s">
        <v>3166</v>
      </c>
      <c r="E1241" s="1016"/>
      <c r="F1241" s="1016"/>
      <c r="G1241" s="1016"/>
      <c r="H1241" s="978" t="e">
        <f t="shared" si="52"/>
        <v>#DIV/0!</v>
      </c>
      <c r="I1241" s="759">
        <f t="shared" si="53"/>
        <v>0</v>
      </c>
    </row>
    <row r="1242" spans="3:61" hidden="1">
      <c r="C1242" s="1191">
        <v>20894</v>
      </c>
      <c r="D1242" s="1264" t="s">
        <v>3167</v>
      </c>
      <c r="E1242" s="1016"/>
      <c r="F1242" s="1016"/>
      <c r="G1242" s="1016"/>
      <c r="H1242" s="978" t="e">
        <f t="shared" si="52"/>
        <v>#DIV/0!</v>
      </c>
      <c r="I1242" s="759">
        <f t="shared" si="53"/>
        <v>0</v>
      </c>
    </row>
    <row r="1243" spans="3:61" hidden="1">
      <c r="C1243" s="1191">
        <v>21256</v>
      </c>
      <c r="D1243" s="1264" t="s">
        <v>3621</v>
      </c>
      <c r="E1243" s="1016"/>
      <c r="F1243" s="1016"/>
      <c r="G1243" s="1016"/>
      <c r="H1243" s="978" t="e">
        <f t="shared" si="52"/>
        <v>#DIV/0!</v>
      </c>
      <c r="I1243" s="759">
        <f t="shared" si="53"/>
        <v>0</v>
      </c>
    </row>
    <row r="1244" spans="3:61" hidden="1">
      <c r="C1244" s="1191">
        <v>21255</v>
      </c>
      <c r="D1244" s="1264" t="s">
        <v>3804</v>
      </c>
      <c r="E1244" s="1016">
        <v>12</v>
      </c>
      <c r="F1244" s="1016">
        <v>0</v>
      </c>
      <c r="G1244" s="1016">
        <v>9.6</v>
      </c>
      <c r="H1244" s="978">
        <f t="shared" si="52"/>
        <v>0.79999999999999993</v>
      </c>
      <c r="I1244" s="759">
        <f t="shared" si="53"/>
        <v>0</v>
      </c>
    </row>
    <row r="1245" spans="3:61" s="827" customFormat="1" hidden="1">
      <c r="C1245" s="1191"/>
      <c r="D1245" s="1264" t="s">
        <v>3805</v>
      </c>
      <c r="E1245" s="1016">
        <v>12</v>
      </c>
      <c r="F1245" s="1016">
        <v>20</v>
      </c>
      <c r="G1245" s="1016">
        <v>18.8</v>
      </c>
      <c r="H1245" s="978"/>
      <c r="I1245" s="759">
        <f t="shared" si="53"/>
        <v>376</v>
      </c>
      <c r="J1245" s="123"/>
      <c r="K1245" s="123"/>
      <c r="L1245" s="123"/>
      <c r="M1245" s="123"/>
      <c r="N1245" s="123"/>
      <c r="O1245" s="123"/>
      <c r="P1245" s="123"/>
      <c r="Q1245" s="123"/>
      <c r="R1245" s="123"/>
      <c r="S1245" s="123"/>
      <c r="T1245" s="123"/>
      <c r="U1245" s="123"/>
      <c r="V1245" s="123"/>
      <c r="W1245" s="123"/>
      <c r="X1245" s="123"/>
      <c r="Y1245" s="123"/>
      <c r="Z1245" s="123"/>
      <c r="AA1245" s="123"/>
      <c r="AB1245" s="123"/>
      <c r="AC1245" s="123"/>
      <c r="AD1245" s="123"/>
      <c r="AE1245" s="123"/>
      <c r="AF1245" s="123"/>
      <c r="AG1245" s="123"/>
      <c r="AH1245" s="123"/>
      <c r="AI1245" s="123"/>
      <c r="AJ1245" s="123"/>
      <c r="AK1245" s="123"/>
      <c r="AL1245" s="123"/>
      <c r="AM1245" s="123"/>
      <c r="AN1245" s="123"/>
      <c r="AO1245" s="123"/>
      <c r="AP1245" s="123"/>
      <c r="AQ1245" s="123"/>
      <c r="AR1245" s="123"/>
      <c r="AS1245" s="123"/>
      <c r="AT1245" s="123"/>
      <c r="AU1245" s="123"/>
      <c r="AV1245" s="123"/>
      <c r="AW1245" s="123"/>
      <c r="AX1245" s="123"/>
      <c r="AY1245" s="123"/>
      <c r="AZ1245" s="123"/>
      <c r="BA1245" s="123"/>
      <c r="BB1245" s="123"/>
      <c r="BC1245" s="123"/>
      <c r="BD1245" s="123"/>
      <c r="BE1245" s="123"/>
      <c r="BF1245" s="123"/>
      <c r="BG1245" s="123"/>
      <c r="BH1245" s="123"/>
      <c r="BI1245" s="123"/>
    </row>
    <row r="1246" spans="3:61" s="827" customFormat="1" hidden="1">
      <c r="C1246" s="1191"/>
      <c r="D1246" s="1264"/>
      <c r="E1246" s="1016"/>
      <c r="F1246" s="1016"/>
      <c r="G1246" s="1016"/>
      <c r="H1246" s="978"/>
      <c r="I1246" s="759">
        <f t="shared" si="53"/>
        <v>0</v>
      </c>
      <c r="J1246" s="123"/>
      <c r="K1246" s="123"/>
      <c r="L1246" s="123"/>
      <c r="M1246" s="123"/>
      <c r="N1246" s="123"/>
      <c r="O1246" s="123"/>
      <c r="P1246" s="123"/>
      <c r="Q1246" s="123"/>
      <c r="R1246" s="123"/>
      <c r="S1246" s="123"/>
      <c r="T1246" s="123"/>
      <c r="U1246" s="123"/>
      <c r="V1246" s="123"/>
      <c r="W1246" s="123"/>
      <c r="X1246" s="123"/>
      <c r="Y1246" s="123"/>
      <c r="Z1246" s="123"/>
      <c r="AA1246" s="123"/>
      <c r="AB1246" s="123"/>
      <c r="AC1246" s="123"/>
      <c r="AD1246" s="123"/>
      <c r="AE1246" s="123"/>
      <c r="AF1246" s="123"/>
      <c r="AG1246" s="123"/>
      <c r="AH1246" s="123"/>
      <c r="AI1246" s="123"/>
      <c r="AJ1246" s="123"/>
      <c r="AK1246" s="123"/>
      <c r="AL1246" s="123"/>
      <c r="AM1246" s="123"/>
      <c r="AN1246" s="123"/>
      <c r="AO1246" s="123"/>
      <c r="AP1246" s="123"/>
      <c r="AQ1246" s="123"/>
      <c r="AR1246" s="123"/>
      <c r="AS1246" s="123"/>
      <c r="AT1246" s="123"/>
      <c r="AU1246" s="123"/>
      <c r="AV1246" s="123"/>
      <c r="AW1246" s="123"/>
      <c r="AX1246" s="123"/>
      <c r="AY1246" s="123"/>
      <c r="AZ1246" s="123"/>
      <c r="BA1246" s="123"/>
      <c r="BB1246" s="123"/>
      <c r="BC1246" s="123"/>
      <c r="BD1246" s="123"/>
      <c r="BE1246" s="123"/>
      <c r="BF1246" s="123"/>
      <c r="BG1246" s="123"/>
      <c r="BH1246" s="123"/>
      <c r="BI1246" s="123"/>
    </row>
    <row r="1247" spans="3:61" s="827" customFormat="1" hidden="1">
      <c r="C1247" s="1191"/>
      <c r="D1247" s="1264"/>
      <c r="E1247" s="1016"/>
      <c r="F1247" s="1016"/>
      <c r="G1247" s="1016"/>
      <c r="H1247" s="978"/>
      <c r="I1247" s="759">
        <f t="shared" si="53"/>
        <v>0</v>
      </c>
      <c r="J1247" s="123"/>
      <c r="K1247" s="123"/>
      <c r="L1247" s="123"/>
      <c r="M1247" s="123"/>
      <c r="N1247" s="123"/>
      <c r="O1247" s="123"/>
      <c r="P1247" s="123"/>
      <c r="Q1247" s="123"/>
      <c r="R1247" s="123"/>
      <c r="S1247" s="123"/>
      <c r="T1247" s="123"/>
      <c r="U1247" s="123"/>
      <c r="V1247" s="123"/>
      <c r="W1247" s="123"/>
      <c r="X1247" s="123"/>
      <c r="Y1247" s="123"/>
      <c r="Z1247" s="123"/>
      <c r="AA1247" s="123"/>
      <c r="AB1247" s="123"/>
      <c r="AC1247" s="123"/>
      <c r="AD1247" s="123"/>
      <c r="AE1247" s="123"/>
      <c r="AF1247" s="123"/>
      <c r="AG1247" s="123"/>
      <c r="AH1247" s="123"/>
      <c r="AI1247" s="123"/>
      <c r="AJ1247" s="123"/>
      <c r="AK1247" s="123"/>
      <c r="AL1247" s="123"/>
      <c r="AM1247" s="123"/>
      <c r="AN1247" s="123"/>
      <c r="AO1247" s="123"/>
      <c r="AP1247" s="123"/>
      <c r="AQ1247" s="123"/>
      <c r="AR1247" s="123"/>
      <c r="AS1247" s="123"/>
      <c r="AT1247" s="123"/>
      <c r="AU1247" s="123"/>
      <c r="AV1247" s="123"/>
      <c r="AW1247" s="123"/>
      <c r="AX1247" s="123"/>
      <c r="AY1247" s="123"/>
      <c r="AZ1247" s="123"/>
      <c r="BA1247" s="123"/>
      <c r="BB1247" s="123"/>
      <c r="BC1247" s="123"/>
      <c r="BD1247" s="123"/>
      <c r="BE1247" s="123"/>
      <c r="BF1247" s="123"/>
      <c r="BG1247" s="123"/>
      <c r="BH1247" s="123"/>
      <c r="BI1247" s="123"/>
    </row>
    <row r="1248" spans="3:61" hidden="1">
      <c r="C1248" s="1191">
        <v>18135</v>
      </c>
      <c r="D1248" s="1264" t="s">
        <v>2802</v>
      </c>
      <c r="E1248" s="1016">
        <v>12</v>
      </c>
      <c r="F1248" s="1016">
        <v>0</v>
      </c>
      <c r="G1248" s="1016">
        <v>8.5</v>
      </c>
      <c r="H1248" s="978">
        <f t="shared" si="52"/>
        <v>0.70833333333333337</v>
      </c>
      <c r="I1248" s="759">
        <f t="shared" si="53"/>
        <v>0</v>
      </c>
    </row>
    <row r="1249" spans="3:61" hidden="1">
      <c r="C1249" s="1191">
        <v>20803</v>
      </c>
      <c r="D1249" s="1264" t="s">
        <v>3173</v>
      </c>
      <c r="E1249" s="1016">
        <v>12</v>
      </c>
      <c r="F1249" s="1016">
        <v>0</v>
      </c>
      <c r="G1249" s="1016">
        <v>6.5</v>
      </c>
      <c r="H1249" s="978">
        <f t="shared" si="52"/>
        <v>0.54166666666666663</v>
      </c>
      <c r="I1249" s="759">
        <f t="shared" si="53"/>
        <v>0</v>
      </c>
    </row>
    <row r="1250" spans="3:61" s="827" customFormat="1" hidden="1">
      <c r="C1250" s="1191"/>
      <c r="D1250" s="1264" t="s">
        <v>3803</v>
      </c>
      <c r="E1250" s="1016">
        <v>12</v>
      </c>
      <c r="F1250" s="1016">
        <v>0</v>
      </c>
      <c r="G1250" s="1016">
        <v>9.1</v>
      </c>
      <c r="H1250" s="978">
        <f t="shared" si="52"/>
        <v>0.7583333333333333</v>
      </c>
      <c r="I1250" s="759">
        <f t="shared" si="53"/>
        <v>0</v>
      </c>
      <c r="J1250" s="123"/>
      <c r="K1250" s="123"/>
      <c r="L1250" s="123"/>
      <c r="M1250" s="123"/>
      <c r="N1250" s="123"/>
      <c r="O1250" s="123"/>
      <c r="P1250" s="123"/>
      <c r="Q1250" s="123"/>
      <c r="R1250" s="123"/>
      <c r="S1250" s="123"/>
      <c r="T1250" s="123"/>
      <c r="U1250" s="123"/>
      <c r="V1250" s="123"/>
      <c r="W1250" s="123"/>
      <c r="X1250" s="123"/>
      <c r="Y1250" s="123"/>
      <c r="Z1250" s="123"/>
      <c r="AA1250" s="123"/>
      <c r="AB1250" s="123"/>
      <c r="AC1250" s="123"/>
      <c r="AD1250" s="123"/>
      <c r="AE1250" s="123"/>
      <c r="AF1250" s="123"/>
      <c r="AG1250" s="123"/>
      <c r="AH1250" s="123"/>
      <c r="AI1250" s="123"/>
      <c r="AJ1250" s="123"/>
      <c r="AK1250" s="123"/>
      <c r="AL1250" s="123"/>
      <c r="AM1250" s="123"/>
      <c r="AN1250" s="123"/>
      <c r="AO1250" s="123"/>
      <c r="AP1250" s="123"/>
      <c r="AQ1250" s="123"/>
      <c r="AR1250" s="123"/>
      <c r="AS1250" s="123"/>
      <c r="AT1250" s="123"/>
      <c r="AU1250" s="123"/>
      <c r="AV1250" s="123"/>
      <c r="AW1250" s="123"/>
      <c r="AX1250" s="123"/>
      <c r="AY1250" s="123"/>
      <c r="AZ1250" s="123"/>
      <c r="BA1250" s="123"/>
      <c r="BB1250" s="123"/>
      <c r="BC1250" s="123"/>
      <c r="BD1250" s="123"/>
      <c r="BE1250" s="123"/>
      <c r="BF1250" s="123"/>
      <c r="BG1250" s="123"/>
      <c r="BH1250" s="123"/>
      <c r="BI1250" s="123"/>
    </row>
    <row r="1251" spans="3:61" hidden="1">
      <c r="C1251" s="1191">
        <v>2131</v>
      </c>
      <c r="D1251" s="1264" t="s">
        <v>3452</v>
      </c>
      <c r="E1251" s="1016"/>
      <c r="F1251" s="1016"/>
      <c r="G1251" s="1016"/>
      <c r="H1251" s="978" t="e">
        <f t="shared" si="52"/>
        <v>#DIV/0!</v>
      </c>
      <c r="I1251" s="759">
        <f t="shared" si="53"/>
        <v>0</v>
      </c>
    </row>
    <row r="1252" spans="3:61" hidden="1">
      <c r="C1252" s="1191">
        <v>2647</v>
      </c>
      <c r="D1252" s="1264" t="s">
        <v>1899</v>
      </c>
      <c r="E1252" s="1016"/>
      <c r="F1252" s="1016"/>
      <c r="G1252" s="1016"/>
      <c r="H1252" s="978" t="e">
        <f t="shared" si="52"/>
        <v>#DIV/0!</v>
      </c>
      <c r="I1252" s="759">
        <f t="shared" si="53"/>
        <v>0</v>
      </c>
    </row>
    <row r="1253" spans="3:61" hidden="1">
      <c r="C1253" s="1191">
        <v>20007</v>
      </c>
      <c r="D1253" s="1264" t="s">
        <v>2293</v>
      </c>
      <c r="E1253" s="1016"/>
      <c r="F1253" s="1016"/>
      <c r="G1253" s="1016"/>
      <c r="H1253" s="978" t="e">
        <f t="shared" si="52"/>
        <v>#DIV/0!</v>
      </c>
      <c r="I1253" s="759">
        <f t="shared" si="53"/>
        <v>0</v>
      </c>
    </row>
    <row r="1254" spans="3:61" hidden="1">
      <c r="C1254" s="1191">
        <v>7644</v>
      </c>
      <c r="D1254" s="1264" t="s">
        <v>2454</v>
      </c>
      <c r="E1254" s="1016"/>
      <c r="F1254" s="1016"/>
      <c r="G1254" s="1016"/>
      <c r="H1254" s="978" t="e">
        <f t="shared" si="52"/>
        <v>#DIV/0!</v>
      </c>
      <c r="I1254" s="759">
        <f t="shared" si="53"/>
        <v>0</v>
      </c>
    </row>
    <row r="1255" spans="3:61" hidden="1">
      <c r="C1255" s="1191">
        <v>20011</v>
      </c>
      <c r="D1255" s="1264" t="s">
        <v>2294</v>
      </c>
      <c r="E1255" s="1016"/>
      <c r="F1255" s="1016"/>
      <c r="G1255" s="1016"/>
      <c r="H1255" s="978" t="e">
        <f t="shared" si="52"/>
        <v>#DIV/0!</v>
      </c>
      <c r="I1255" s="759">
        <f t="shared" si="53"/>
        <v>0</v>
      </c>
    </row>
    <row r="1256" spans="3:61" hidden="1">
      <c r="C1256" s="1191">
        <v>6408</v>
      </c>
      <c r="D1256" s="1264" t="s">
        <v>3453</v>
      </c>
      <c r="E1256" s="1016"/>
      <c r="F1256" s="1016"/>
      <c r="G1256" s="1016"/>
      <c r="H1256" s="978" t="e">
        <f t="shared" si="52"/>
        <v>#DIV/0!</v>
      </c>
      <c r="I1256" s="759">
        <f t="shared" si="53"/>
        <v>0</v>
      </c>
    </row>
    <row r="1257" spans="3:61" hidden="1">
      <c r="C1257" s="1191">
        <v>6407</v>
      </c>
      <c r="D1257" s="1264" t="s">
        <v>3454</v>
      </c>
      <c r="E1257" s="1016"/>
      <c r="F1257" s="1016"/>
      <c r="G1257" s="1016"/>
      <c r="H1257" s="978" t="e">
        <f t="shared" si="52"/>
        <v>#DIV/0!</v>
      </c>
      <c r="I1257" s="759">
        <f t="shared" si="53"/>
        <v>0</v>
      </c>
    </row>
    <row r="1258" spans="3:61" hidden="1">
      <c r="C1258" s="1191">
        <v>14402</v>
      </c>
      <c r="D1258" s="1264" t="s">
        <v>2453</v>
      </c>
      <c r="E1258" s="1016"/>
      <c r="F1258" s="1016"/>
      <c r="G1258" s="1016"/>
      <c r="H1258" s="978" t="e">
        <f t="shared" si="52"/>
        <v>#DIV/0!</v>
      </c>
      <c r="I1258" s="759">
        <f t="shared" si="53"/>
        <v>0</v>
      </c>
    </row>
    <row r="1259" spans="3:61" hidden="1">
      <c r="C1259" s="1191">
        <v>14403</v>
      </c>
      <c r="D1259" s="1264" t="s">
        <v>2277</v>
      </c>
      <c r="E1259" s="1016"/>
      <c r="F1259" s="1016"/>
      <c r="G1259" s="1016"/>
      <c r="H1259" s="978" t="e">
        <f t="shared" si="52"/>
        <v>#DIV/0!</v>
      </c>
      <c r="I1259" s="759">
        <f t="shared" si="53"/>
        <v>0</v>
      </c>
    </row>
    <row r="1260" spans="3:61" hidden="1">
      <c r="C1260" s="1191">
        <v>21026</v>
      </c>
      <c r="D1260" s="1264" t="s">
        <v>3455</v>
      </c>
      <c r="E1260" s="1016"/>
      <c r="F1260" s="1016"/>
      <c r="G1260" s="1016"/>
      <c r="H1260" s="978" t="e">
        <f t="shared" si="52"/>
        <v>#DIV/0!</v>
      </c>
      <c r="I1260" s="759">
        <f t="shared" si="53"/>
        <v>0</v>
      </c>
    </row>
    <row r="1261" spans="3:61" hidden="1">
      <c r="C1261" s="1191">
        <v>21224</v>
      </c>
      <c r="D1261" s="1264" t="s">
        <v>3622</v>
      </c>
      <c r="E1261" s="1016">
        <v>6</v>
      </c>
      <c r="F1261" s="1016"/>
      <c r="G1261" s="1016">
        <v>17.5</v>
      </c>
      <c r="H1261" s="978">
        <f t="shared" si="52"/>
        <v>2.9166666666666665</v>
      </c>
      <c r="I1261" s="759">
        <f t="shared" si="53"/>
        <v>0</v>
      </c>
    </row>
    <row r="1262" spans="3:61" hidden="1">
      <c r="C1262" s="1191">
        <v>21225</v>
      </c>
      <c r="D1262" s="1264" t="s">
        <v>3799</v>
      </c>
      <c r="E1262" s="1016">
        <v>6</v>
      </c>
      <c r="F1262" s="1016"/>
      <c r="G1262" s="1016">
        <v>17.5</v>
      </c>
      <c r="H1262" s="978">
        <f t="shared" si="52"/>
        <v>2.9166666666666665</v>
      </c>
      <c r="I1262" s="759">
        <f t="shared" si="53"/>
        <v>0</v>
      </c>
    </row>
    <row r="1263" spans="3:61" hidden="1">
      <c r="C1263" s="1191">
        <v>21232</v>
      </c>
      <c r="D1263" s="1264" t="s">
        <v>3486</v>
      </c>
      <c r="E1263" s="1016"/>
      <c r="F1263" s="1016"/>
      <c r="G1263" s="1016"/>
      <c r="H1263" s="978" t="e">
        <f t="shared" si="52"/>
        <v>#DIV/0!</v>
      </c>
      <c r="I1263" s="759">
        <f t="shared" si="53"/>
        <v>0</v>
      </c>
    </row>
    <row r="1264" spans="3:61" hidden="1">
      <c r="C1264" s="1191">
        <v>21231</v>
      </c>
      <c r="D1264" s="1264" t="s">
        <v>3487</v>
      </c>
      <c r="E1264" s="1016"/>
      <c r="F1264" s="1016"/>
      <c r="G1264" s="1016"/>
      <c r="H1264" s="978" t="e">
        <f t="shared" si="52"/>
        <v>#DIV/0!</v>
      </c>
      <c r="I1264" s="759">
        <f t="shared" si="53"/>
        <v>0</v>
      </c>
    </row>
    <row r="1265" spans="3:9" hidden="1">
      <c r="C1265" s="1191">
        <v>9563</v>
      </c>
      <c r="D1265" s="1264" t="s">
        <v>3623</v>
      </c>
      <c r="E1265" s="1016"/>
      <c r="F1265" s="1016"/>
      <c r="G1265" s="1016"/>
      <c r="H1265" s="978" t="e">
        <f t="shared" si="52"/>
        <v>#DIV/0!</v>
      </c>
      <c r="I1265" s="759">
        <f t="shared" si="53"/>
        <v>0</v>
      </c>
    </row>
    <row r="1266" spans="3:9" hidden="1">
      <c r="C1266" s="1191">
        <v>16123</v>
      </c>
      <c r="D1266" s="1264" t="s">
        <v>3800</v>
      </c>
      <c r="E1266" s="1016"/>
      <c r="F1266" s="1016"/>
      <c r="G1266" s="1016"/>
      <c r="H1266" s="978" t="e">
        <f t="shared" si="52"/>
        <v>#DIV/0!</v>
      </c>
      <c r="I1266" s="759">
        <f t="shared" si="53"/>
        <v>0</v>
      </c>
    </row>
    <row r="1267" spans="3:9" hidden="1">
      <c r="C1267" s="1191">
        <v>20005</v>
      </c>
      <c r="D1267" s="1264" t="s">
        <v>2291</v>
      </c>
      <c r="E1267" s="1016"/>
      <c r="F1267" s="1016"/>
      <c r="G1267" s="1016"/>
      <c r="H1267" s="978" t="e">
        <f t="shared" si="52"/>
        <v>#DIV/0!</v>
      </c>
      <c r="I1267" s="759">
        <f t="shared" si="53"/>
        <v>0</v>
      </c>
    </row>
    <row r="1268" spans="3:9" hidden="1">
      <c r="C1268" s="1191">
        <v>20008</v>
      </c>
      <c r="D1268" s="1264" t="s">
        <v>2292</v>
      </c>
      <c r="E1268" s="1016"/>
      <c r="F1268" s="1016"/>
      <c r="G1268" s="1016"/>
      <c r="H1268" s="978" t="e">
        <f t="shared" si="52"/>
        <v>#DIV/0!</v>
      </c>
      <c r="I1268" s="759">
        <f t="shared" si="53"/>
        <v>0</v>
      </c>
    </row>
    <row r="1269" spans="3:9" hidden="1">
      <c r="C1269" s="1191">
        <v>20009</v>
      </c>
      <c r="D1269" s="1264" t="s">
        <v>2290</v>
      </c>
      <c r="E1269" s="1016"/>
      <c r="F1269" s="1016"/>
      <c r="G1269" s="1016"/>
      <c r="H1269" s="978" t="e">
        <f t="shared" si="52"/>
        <v>#DIV/0!</v>
      </c>
      <c r="I1269" s="759">
        <f t="shared" si="53"/>
        <v>0</v>
      </c>
    </row>
    <row r="1270" spans="3:9" hidden="1">
      <c r="C1270" s="1191">
        <v>13579</v>
      </c>
      <c r="D1270" s="1264" t="s">
        <v>2385</v>
      </c>
      <c r="E1270" s="1016"/>
      <c r="F1270" s="1016"/>
      <c r="G1270" s="1016"/>
      <c r="H1270" s="978" t="e">
        <f t="shared" si="52"/>
        <v>#DIV/0!</v>
      </c>
      <c r="I1270" s="759">
        <f t="shared" si="53"/>
        <v>0</v>
      </c>
    </row>
    <row r="1271" spans="3:9" hidden="1">
      <c r="C1271" s="1191">
        <v>14481</v>
      </c>
      <c r="D1271" s="1264" t="s">
        <v>2386</v>
      </c>
      <c r="E1271" s="1016"/>
      <c r="F1271" s="1016">
        <v>20</v>
      </c>
      <c r="G1271" s="1016"/>
      <c r="H1271" s="978" t="e">
        <f t="shared" si="52"/>
        <v>#DIV/0!</v>
      </c>
      <c r="I1271" s="759">
        <f t="shared" si="53"/>
        <v>0</v>
      </c>
    </row>
    <row r="1272" spans="3:9" hidden="1">
      <c r="C1272" s="1191">
        <v>13964</v>
      </c>
      <c r="D1272" s="1264" t="s">
        <v>2387</v>
      </c>
      <c r="E1272" s="1016"/>
      <c r="F1272" s="1016"/>
      <c r="G1272" s="1016"/>
      <c r="H1272" s="978" t="e">
        <f t="shared" si="52"/>
        <v>#DIV/0!</v>
      </c>
      <c r="I1272" s="759">
        <f t="shared" si="53"/>
        <v>0</v>
      </c>
    </row>
    <row r="1273" spans="3:9" hidden="1">
      <c r="C1273" s="1191">
        <v>14479</v>
      </c>
      <c r="D1273" s="1264" t="s">
        <v>2452</v>
      </c>
      <c r="E1273" s="1016"/>
      <c r="F1273" s="1016"/>
      <c r="G1273" s="1016"/>
      <c r="H1273" s="978" t="e">
        <f t="shared" si="52"/>
        <v>#DIV/0!</v>
      </c>
      <c r="I1273" s="759">
        <f t="shared" si="53"/>
        <v>0</v>
      </c>
    </row>
    <row r="1274" spans="3:9" hidden="1">
      <c r="C1274" s="1191">
        <v>15000</v>
      </c>
      <c r="D1274" s="1264" t="s">
        <v>2388</v>
      </c>
      <c r="E1274" s="1016"/>
      <c r="F1274" s="1016"/>
      <c r="G1274" s="1016"/>
      <c r="H1274" s="978" t="e">
        <f t="shared" si="52"/>
        <v>#DIV/0!</v>
      </c>
      <c r="I1274" s="759">
        <f t="shared" si="53"/>
        <v>0</v>
      </c>
    </row>
    <row r="1275" spans="3:9" hidden="1">
      <c r="C1275" s="1191">
        <v>14999</v>
      </c>
      <c r="D1275" s="1264" t="s">
        <v>2276</v>
      </c>
      <c r="E1275" s="1016"/>
      <c r="F1275" s="1016"/>
      <c r="G1275" s="1016"/>
      <c r="H1275" s="978" t="e">
        <f t="shared" si="52"/>
        <v>#DIV/0!</v>
      </c>
      <c r="I1275" s="759">
        <f t="shared" ref="I1275:I1293" si="54">+G1275*F1275</f>
        <v>0</v>
      </c>
    </row>
    <row r="1276" spans="3:9" hidden="1">
      <c r="C1276" s="1191">
        <v>14480</v>
      </c>
      <c r="D1276" s="1264" t="s">
        <v>2451</v>
      </c>
      <c r="E1276" s="1016"/>
      <c r="F1276" s="1016"/>
      <c r="G1276" s="1016"/>
      <c r="H1276" s="978" t="e">
        <f t="shared" si="52"/>
        <v>#DIV/0!</v>
      </c>
      <c r="I1276" s="759">
        <f t="shared" si="54"/>
        <v>0</v>
      </c>
    </row>
    <row r="1277" spans="3:9" hidden="1">
      <c r="C1277" s="1191">
        <v>20801</v>
      </c>
      <c r="D1277" s="1264" t="s">
        <v>2803</v>
      </c>
      <c r="E1277" s="1016"/>
      <c r="F1277" s="1016">
        <v>10</v>
      </c>
      <c r="G1277" s="1016"/>
      <c r="H1277" s="978" t="e">
        <f t="shared" si="52"/>
        <v>#DIV/0!</v>
      </c>
      <c r="I1277" s="759">
        <f t="shared" si="54"/>
        <v>0</v>
      </c>
    </row>
    <row r="1278" spans="3:9" hidden="1">
      <c r="C1278" s="1191">
        <v>20802</v>
      </c>
      <c r="D1278" s="1264" t="s">
        <v>2804</v>
      </c>
      <c r="E1278" s="1016"/>
      <c r="F1278" s="1016">
        <v>10</v>
      </c>
      <c r="G1278" s="1016"/>
      <c r="H1278" s="978" t="e">
        <f t="shared" si="52"/>
        <v>#DIV/0!</v>
      </c>
      <c r="I1278" s="759">
        <f t="shared" si="54"/>
        <v>0</v>
      </c>
    </row>
    <row r="1279" spans="3:9" hidden="1">
      <c r="C1279" s="1191">
        <v>17889</v>
      </c>
      <c r="D1279" s="1264" t="s">
        <v>1509</v>
      </c>
      <c r="E1279" s="1016"/>
      <c r="F1279" s="1016">
        <v>10</v>
      </c>
      <c r="G1279" s="1016"/>
      <c r="H1279" s="978" t="e">
        <f t="shared" ref="H1279:H1299" si="55">+G1279/E1279</f>
        <v>#DIV/0!</v>
      </c>
      <c r="I1279" s="759">
        <f t="shared" si="54"/>
        <v>0</v>
      </c>
    </row>
    <row r="1280" spans="3:9" hidden="1">
      <c r="C1280" s="1191">
        <v>21028</v>
      </c>
      <c r="D1280" s="1264" t="s">
        <v>3456</v>
      </c>
      <c r="E1280" s="1016"/>
      <c r="F1280" s="1016">
        <v>10</v>
      </c>
      <c r="G1280" s="1016"/>
      <c r="H1280" s="978" t="e">
        <f t="shared" si="55"/>
        <v>#DIV/0!</v>
      </c>
      <c r="I1280" s="759">
        <f t="shared" si="54"/>
        <v>0</v>
      </c>
    </row>
    <row r="1281" spans="2:61" hidden="1">
      <c r="C1281" s="1191">
        <v>7101</v>
      </c>
      <c r="D1281" s="1264" t="s">
        <v>2450</v>
      </c>
      <c r="E1281" s="1016"/>
      <c r="F1281" s="1016"/>
      <c r="G1281" s="1016"/>
      <c r="H1281" s="978" t="e">
        <f t="shared" si="55"/>
        <v>#DIV/0!</v>
      </c>
      <c r="I1281" s="759">
        <f t="shared" si="54"/>
        <v>0</v>
      </c>
    </row>
    <row r="1282" spans="2:61" hidden="1">
      <c r="C1282" s="1191">
        <v>9772</v>
      </c>
      <c r="D1282" s="1264" t="s">
        <v>3186</v>
      </c>
      <c r="E1282" s="1016">
        <v>288</v>
      </c>
      <c r="F1282" s="1016"/>
      <c r="G1282" s="1016">
        <v>80</v>
      </c>
      <c r="H1282" s="978">
        <f t="shared" si="55"/>
        <v>0.27777777777777779</v>
      </c>
      <c r="I1282" s="759">
        <f t="shared" si="54"/>
        <v>0</v>
      </c>
    </row>
    <row r="1283" spans="2:61" hidden="1">
      <c r="B1283" s="982"/>
      <c r="C1283" s="1191">
        <v>13331</v>
      </c>
      <c r="D1283" s="1264" t="s">
        <v>2389</v>
      </c>
      <c r="E1283" s="1016">
        <v>288</v>
      </c>
      <c r="F1283" s="1016"/>
      <c r="G1283" s="1016">
        <v>80</v>
      </c>
      <c r="H1283" s="978">
        <f t="shared" si="55"/>
        <v>0.27777777777777779</v>
      </c>
      <c r="I1283" s="759">
        <f t="shared" si="54"/>
        <v>0</v>
      </c>
    </row>
    <row r="1284" spans="2:61" s="827" customFormat="1" ht="15" hidden="1" customHeight="1">
      <c r="C1284" s="1241">
        <v>20006</v>
      </c>
      <c r="D1284" s="1267" t="s">
        <v>1915</v>
      </c>
      <c r="E1284" s="453">
        <v>40</v>
      </c>
      <c r="F1284" s="453">
        <v>0</v>
      </c>
      <c r="G1284" s="453">
        <v>33.4</v>
      </c>
      <c r="H1284" s="970">
        <f t="shared" ref="H1284:H1289" si="56">G1284/E1284</f>
        <v>0.83499999999999996</v>
      </c>
      <c r="I1284" s="759">
        <f t="shared" si="54"/>
        <v>0</v>
      </c>
      <c r="J1284" s="123"/>
      <c r="K1284" s="123"/>
      <c r="L1284" s="123"/>
      <c r="M1284" s="123"/>
      <c r="N1284" s="123"/>
      <c r="O1284" s="123"/>
      <c r="P1284" s="123"/>
      <c r="Q1284" s="123"/>
      <c r="R1284" s="123"/>
      <c r="S1284" s="123"/>
      <c r="T1284" s="123"/>
      <c r="U1284" s="123"/>
      <c r="V1284" s="123"/>
      <c r="W1284" s="123"/>
      <c r="X1284" s="123"/>
      <c r="Y1284" s="123"/>
      <c r="Z1284" s="123"/>
      <c r="AA1284" s="123"/>
      <c r="AB1284" s="123"/>
      <c r="AC1284" s="123"/>
      <c r="AD1284" s="123"/>
      <c r="AE1284" s="123"/>
      <c r="AF1284" s="123"/>
      <c r="AG1284" s="123"/>
      <c r="AH1284" s="123"/>
      <c r="AI1284" s="123"/>
      <c r="AJ1284" s="123"/>
      <c r="AK1284" s="123"/>
      <c r="AL1284" s="123"/>
      <c r="AM1284" s="123"/>
      <c r="AN1284" s="123"/>
      <c r="AO1284" s="123"/>
      <c r="AP1284" s="123"/>
      <c r="AQ1284" s="123"/>
      <c r="AR1284" s="123"/>
      <c r="AS1284" s="123"/>
      <c r="AT1284" s="123"/>
      <c r="AU1284" s="123"/>
      <c r="AV1284" s="123"/>
      <c r="AW1284" s="123"/>
      <c r="AX1284" s="123"/>
      <c r="AY1284" s="123"/>
      <c r="AZ1284" s="123"/>
      <c r="BA1284" s="123"/>
      <c r="BB1284" s="123"/>
      <c r="BC1284" s="123"/>
      <c r="BD1284" s="123"/>
      <c r="BE1284" s="123"/>
      <c r="BF1284" s="123"/>
      <c r="BG1284" s="123"/>
      <c r="BH1284" s="123"/>
      <c r="BI1284" s="123"/>
    </row>
    <row r="1285" spans="2:61" s="1052" customFormat="1">
      <c r="C1285" s="1192">
        <v>20009</v>
      </c>
      <c r="D1285" s="1265" t="s">
        <v>1916</v>
      </c>
      <c r="E1285" s="326">
        <v>96</v>
      </c>
      <c r="F1285" s="326">
        <v>1</v>
      </c>
      <c r="G1285" s="326">
        <v>24.5</v>
      </c>
      <c r="H1285" s="1053">
        <f t="shared" si="56"/>
        <v>0.25520833333333331</v>
      </c>
      <c r="I1285" s="1054">
        <f t="shared" si="54"/>
        <v>24.5</v>
      </c>
      <c r="J1285" s="123"/>
      <c r="K1285" s="123"/>
      <c r="L1285" s="123"/>
      <c r="M1285" s="123"/>
      <c r="N1285" s="123"/>
      <c r="O1285" s="123"/>
      <c r="P1285" s="123"/>
      <c r="Q1285" s="123"/>
      <c r="R1285" s="123"/>
      <c r="S1285" s="123"/>
      <c r="T1285" s="123"/>
      <c r="U1285" s="123"/>
      <c r="V1285" s="123"/>
      <c r="W1285" s="123"/>
      <c r="X1285" s="123"/>
      <c r="Y1285" s="123"/>
      <c r="Z1285" s="123"/>
      <c r="AA1285" s="123"/>
      <c r="AB1285" s="123"/>
      <c r="AC1285" s="123"/>
      <c r="AD1285" s="123"/>
      <c r="AE1285" s="123"/>
      <c r="AF1285" s="123"/>
      <c r="AG1285" s="123"/>
      <c r="AH1285" s="123"/>
      <c r="AI1285" s="123"/>
      <c r="AJ1285" s="123"/>
      <c r="AK1285" s="123"/>
      <c r="AL1285" s="123"/>
      <c r="AM1285" s="123"/>
      <c r="AN1285" s="123"/>
      <c r="AO1285" s="123"/>
      <c r="AP1285" s="123"/>
      <c r="AQ1285" s="123"/>
      <c r="AR1285" s="123"/>
      <c r="AS1285" s="123"/>
      <c r="AT1285" s="123"/>
      <c r="AU1285" s="123"/>
      <c r="AV1285" s="123"/>
      <c r="AW1285" s="123"/>
      <c r="AX1285" s="123"/>
      <c r="AY1285" s="123"/>
      <c r="AZ1285" s="123"/>
      <c r="BA1285" s="123"/>
      <c r="BB1285" s="123"/>
      <c r="BC1285" s="123"/>
      <c r="BD1285" s="123"/>
      <c r="BE1285" s="123"/>
      <c r="BF1285" s="123"/>
      <c r="BG1285" s="123"/>
      <c r="BH1285" s="123"/>
      <c r="BI1285" s="123"/>
    </row>
    <row r="1286" spans="2:61" s="827" customFormat="1" ht="15" hidden="1" customHeight="1">
      <c r="C1286" s="1241">
        <v>20005</v>
      </c>
      <c r="D1286" s="1267" t="s">
        <v>1918</v>
      </c>
      <c r="E1286" s="453">
        <v>48</v>
      </c>
      <c r="F1286" s="453">
        <v>0</v>
      </c>
      <c r="G1286" s="453">
        <v>27.7</v>
      </c>
      <c r="H1286" s="970">
        <f t="shared" si="56"/>
        <v>0.57708333333333328</v>
      </c>
      <c r="I1286" s="759">
        <f t="shared" si="54"/>
        <v>0</v>
      </c>
      <c r="J1286" s="123"/>
      <c r="K1286" s="123"/>
      <c r="L1286" s="123"/>
      <c r="M1286" s="123"/>
      <c r="N1286" s="123"/>
      <c r="O1286" s="123"/>
      <c r="P1286" s="123"/>
      <c r="Q1286" s="123"/>
      <c r="R1286" s="123"/>
      <c r="S1286" s="123"/>
      <c r="T1286" s="123"/>
      <c r="U1286" s="123"/>
      <c r="V1286" s="123"/>
      <c r="W1286" s="123"/>
      <c r="X1286" s="123"/>
      <c r="Y1286" s="123"/>
      <c r="Z1286" s="123"/>
      <c r="AA1286" s="123"/>
      <c r="AB1286" s="123"/>
      <c r="AC1286" s="123"/>
      <c r="AD1286" s="123"/>
      <c r="AE1286" s="123"/>
      <c r="AF1286" s="123"/>
      <c r="AG1286" s="123"/>
      <c r="AH1286" s="123"/>
      <c r="AI1286" s="123"/>
      <c r="AJ1286" s="123"/>
      <c r="AK1286" s="123"/>
      <c r="AL1286" s="123"/>
      <c r="AM1286" s="123"/>
      <c r="AN1286" s="123"/>
      <c r="AO1286" s="123"/>
      <c r="AP1286" s="123"/>
      <c r="AQ1286" s="123"/>
      <c r="AR1286" s="123"/>
      <c r="AS1286" s="123"/>
      <c r="AT1286" s="123"/>
      <c r="AU1286" s="123"/>
      <c r="AV1286" s="123"/>
      <c r="AW1286" s="123"/>
      <c r="AX1286" s="123"/>
      <c r="AY1286" s="123"/>
      <c r="AZ1286" s="123"/>
      <c r="BA1286" s="123"/>
      <c r="BB1286" s="123"/>
      <c r="BC1286" s="123"/>
      <c r="BD1286" s="123"/>
      <c r="BE1286" s="123"/>
      <c r="BF1286" s="123"/>
      <c r="BG1286" s="123"/>
      <c r="BH1286" s="123"/>
      <c r="BI1286" s="123"/>
    </row>
    <row r="1287" spans="2:61" s="1052" customFormat="1">
      <c r="C1287" s="1192">
        <v>20008</v>
      </c>
      <c r="D1287" s="1265" t="s">
        <v>1917</v>
      </c>
      <c r="E1287" s="326">
        <v>48</v>
      </c>
      <c r="F1287" s="326">
        <v>1</v>
      </c>
      <c r="G1287" s="326">
        <v>21.7</v>
      </c>
      <c r="H1287" s="1053">
        <f t="shared" si="56"/>
        <v>0.45208333333333334</v>
      </c>
      <c r="I1287" s="1054">
        <f t="shared" si="54"/>
        <v>21.7</v>
      </c>
      <c r="J1287" s="123"/>
      <c r="K1287" s="123"/>
      <c r="L1287" s="123"/>
      <c r="M1287" s="123"/>
      <c r="N1287" s="123"/>
      <c r="O1287" s="123"/>
      <c r="P1287" s="123"/>
      <c r="Q1287" s="123"/>
      <c r="R1287" s="123"/>
      <c r="S1287" s="123"/>
      <c r="T1287" s="123"/>
      <c r="U1287" s="123"/>
      <c r="V1287" s="123"/>
      <c r="W1287" s="123"/>
      <c r="X1287" s="123"/>
      <c r="Y1287" s="123"/>
      <c r="Z1287" s="123"/>
      <c r="AA1287" s="123"/>
      <c r="AB1287" s="123"/>
      <c r="AC1287" s="123"/>
      <c r="AD1287" s="123"/>
      <c r="AE1287" s="123"/>
      <c r="AF1287" s="123"/>
      <c r="AG1287" s="123"/>
      <c r="AH1287" s="123"/>
      <c r="AI1287" s="123"/>
      <c r="AJ1287" s="123"/>
      <c r="AK1287" s="123"/>
      <c r="AL1287" s="123"/>
      <c r="AM1287" s="123"/>
      <c r="AN1287" s="123"/>
      <c r="AO1287" s="123"/>
      <c r="AP1287" s="123"/>
      <c r="AQ1287" s="123"/>
      <c r="AR1287" s="123"/>
      <c r="AS1287" s="123"/>
      <c r="AT1287" s="123"/>
      <c r="AU1287" s="123"/>
      <c r="AV1287" s="123"/>
      <c r="AW1287" s="123"/>
      <c r="AX1287" s="123"/>
      <c r="AY1287" s="123"/>
      <c r="AZ1287" s="123"/>
      <c r="BA1287" s="123"/>
      <c r="BB1287" s="123"/>
      <c r="BC1287" s="123"/>
      <c r="BD1287" s="123"/>
      <c r="BE1287" s="123"/>
      <c r="BF1287" s="123"/>
      <c r="BG1287" s="123"/>
      <c r="BH1287" s="123"/>
      <c r="BI1287" s="123"/>
    </row>
    <row r="1288" spans="2:61" s="1052" customFormat="1">
      <c r="C1288" s="1192">
        <v>20007</v>
      </c>
      <c r="D1288" s="1265" t="s">
        <v>1919</v>
      </c>
      <c r="E1288" s="326">
        <v>30</v>
      </c>
      <c r="F1288" s="326">
        <v>1</v>
      </c>
      <c r="G1288" s="326">
        <v>19.399999999999999</v>
      </c>
      <c r="H1288" s="1053">
        <f t="shared" si="56"/>
        <v>0.64666666666666661</v>
      </c>
      <c r="I1288" s="1054">
        <f t="shared" si="54"/>
        <v>19.399999999999999</v>
      </c>
      <c r="J1288" s="123"/>
      <c r="K1288" s="123"/>
      <c r="L1288" s="123"/>
      <c r="M1288" s="123"/>
      <c r="N1288" s="123"/>
      <c r="O1288" s="123"/>
      <c r="P1288" s="123"/>
      <c r="Q1288" s="123"/>
      <c r="R1288" s="123"/>
      <c r="S1288" s="123"/>
      <c r="T1288" s="123"/>
      <c r="U1288" s="123"/>
      <c r="V1288" s="123"/>
      <c r="W1288" s="123"/>
      <c r="X1288" s="123"/>
      <c r="Y1288" s="123"/>
      <c r="Z1288" s="123"/>
      <c r="AA1288" s="123"/>
      <c r="AB1288" s="123"/>
      <c r="AC1288" s="123"/>
      <c r="AD1288" s="123"/>
      <c r="AE1288" s="123"/>
      <c r="AF1288" s="123"/>
      <c r="AG1288" s="123"/>
      <c r="AH1288" s="123"/>
      <c r="AI1288" s="123"/>
      <c r="AJ1288" s="123"/>
      <c r="AK1288" s="123"/>
      <c r="AL1288" s="123"/>
      <c r="AM1288" s="123"/>
      <c r="AN1288" s="123"/>
      <c r="AO1288" s="123"/>
      <c r="AP1288" s="123"/>
      <c r="AQ1288" s="123"/>
      <c r="AR1288" s="123"/>
      <c r="AS1288" s="123"/>
      <c r="AT1288" s="123"/>
      <c r="AU1288" s="123"/>
      <c r="AV1288" s="123"/>
      <c r="AW1288" s="123"/>
      <c r="AX1288" s="123"/>
      <c r="AY1288" s="123"/>
      <c r="AZ1288" s="123"/>
      <c r="BA1288" s="123"/>
      <c r="BB1288" s="123"/>
      <c r="BC1288" s="123"/>
      <c r="BD1288" s="123"/>
      <c r="BE1288" s="123"/>
      <c r="BF1288" s="123"/>
      <c r="BG1288" s="123"/>
      <c r="BH1288" s="123"/>
      <c r="BI1288" s="123"/>
    </row>
    <row r="1289" spans="2:61" s="1052" customFormat="1" ht="15.75" thickBot="1">
      <c r="C1289" s="1192">
        <v>20011</v>
      </c>
      <c r="D1289" s="1265" t="s">
        <v>3807</v>
      </c>
      <c r="E1289" s="326">
        <v>36</v>
      </c>
      <c r="F1289" s="326">
        <v>1</v>
      </c>
      <c r="G1289" s="326">
        <v>13.9</v>
      </c>
      <c r="H1289" s="1053">
        <f t="shared" si="56"/>
        <v>0.38611111111111113</v>
      </c>
      <c r="I1289" s="1054">
        <f t="shared" si="54"/>
        <v>13.9</v>
      </c>
      <c r="J1289" s="123"/>
      <c r="K1289" s="123"/>
      <c r="L1289" s="123"/>
      <c r="M1289" s="123"/>
      <c r="N1289" s="123"/>
      <c r="O1289" s="123"/>
      <c r="P1289" s="123"/>
      <c r="Q1289" s="123"/>
      <c r="R1289" s="123"/>
      <c r="S1289" s="123"/>
      <c r="T1289" s="123"/>
      <c r="U1289" s="123"/>
      <c r="V1289" s="123"/>
      <c r="W1289" s="123"/>
      <c r="X1289" s="123"/>
      <c r="Y1289" s="123"/>
      <c r="Z1289" s="123"/>
      <c r="AA1289" s="123"/>
      <c r="AB1289" s="123"/>
      <c r="AC1289" s="123"/>
      <c r="AD1289" s="123"/>
      <c r="AE1289" s="123"/>
      <c r="AF1289" s="123"/>
      <c r="AG1289" s="123"/>
      <c r="AH1289" s="123"/>
      <c r="AI1289" s="123"/>
      <c r="AJ1289" s="123"/>
      <c r="AK1289" s="123"/>
      <c r="AL1289" s="123"/>
      <c r="AM1289" s="123"/>
      <c r="AN1289" s="123"/>
      <c r="AO1289" s="123"/>
      <c r="AP1289" s="123"/>
      <c r="AQ1289" s="123"/>
      <c r="AR1289" s="123"/>
      <c r="AS1289" s="123"/>
      <c r="AT1289" s="123"/>
      <c r="AU1289" s="123"/>
      <c r="AV1289" s="123"/>
      <c r="AW1289" s="123"/>
      <c r="AX1289" s="123"/>
      <c r="AY1289" s="123"/>
      <c r="AZ1289" s="123"/>
      <c r="BA1289" s="123"/>
      <c r="BB1289" s="123"/>
      <c r="BC1289" s="123"/>
      <c r="BD1289" s="123"/>
      <c r="BE1289" s="123"/>
      <c r="BF1289" s="123"/>
      <c r="BG1289" s="123"/>
      <c r="BH1289" s="123"/>
      <c r="BI1289" s="123"/>
    </row>
    <row r="1290" spans="2:61" s="827" customFormat="1" ht="15.75" hidden="1" thickBot="1">
      <c r="C1290" s="1191"/>
      <c r="D1290" s="1264"/>
      <c r="E1290" s="1016"/>
      <c r="F1290" s="1016"/>
      <c r="G1290" s="1016"/>
      <c r="H1290" s="978"/>
      <c r="I1290" s="759">
        <f t="shared" si="54"/>
        <v>0</v>
      </c>
      <c r="J1290" s="123"/>
      <c r="K1290" s="123"/>
      <c r="L1290" s="123"/>
      <c r="M1290" s="123"/>
      <c r="N1290" s="123"/>
      <c r="O1290" s="123"/>
      <c r="P1290" s="123"/>
      <c r="Q1290" s="123"/>
      <c r="R1290" s="123"/>
      <c r="S1290" s="123"/>
      <c r="T1290" s="123"/>
      <c r="U1290" s="123"/>
      <c r="V1290" s="123"/>
      <c r="W1290" s="123"/>
      <c r="X1290" s="123"/>
      <c r="Y1290" s="123"/>
      <c r="Z1290" s="123"/>
      <c r="AA1290" s="123"/>
      <c r="AB1290" s="123"/>
      <c r="AC1290" s="123"/>
      <c r="AD1290" s="123"/>
      <c r="AE1290" s="123"/>
      <c r="AF1290" s="123"/>
      <c r="AG1290" s="123"/>
      <c r="AH1290" s="123"/>
      <c r="AI1290" s="123"/>
      <c r="AJ1290" s="123"/>
      <c r="AK1290" s="123"/>
      <c r="AL1290" s="123"/>
      <c r="AM1290" s="123"/>
      <c r="AN1290" s="123"/>
      <c r="AO1290" s="123"/>
      <c r="AP1290" s="123"/>
      <c r="AQ1290" s="123"/>
      <c r="AR1290" s="123"/>
      <c r="AS1290" s="123"/>
      <c r="AT1290" s="123"/>
      <c r="AU1290" s="123"/>
      <c r="AV1290" s="123"/>
      <c r="AW1290" s="123"/>
      <c r="AX1290" s="123"/>
      <c r="AY1290" s="123"/>
      <c r="AZ1290" s="123"/>
      <c r="BA1290" s="123"/>
      <c r="BB1290" s="123"/>
      <c r="BC1290" s="123"/>
      <c r="BD1290" s="123"/>
      <c r="BE1290" s="123"/>
      <c r="BF1290" s="123"/>
      <c r="BG1290" s="123"/>
      <c r="BH1290" s="123"/>
      <c r="BI1290" s="123"/>
    </row>
    <row r="1291" spans="2:61" ht="15.75" hidden="1" thickBot="1">
      <c r="C1291" s="1191">
        <v>13329</v>
      </c>
      <c r="D1291" s="1264" t="s">
        <v>2390</v>
      </c>
      <c r="E1291" s="1016">
        <v>288</v>
      </c>
      <c r="F1291" s="1016"/>
      <c r="G1291" s="1016">
        <v>80</v>
      </c>
      <c r="H1291" s="978">
        <f t="shared" si="55"/>
        <v>0.27777777777777779</v>
      </c>
      <c r="I1291" s="759">
        <f t="shared" si="54"/>
        <v>0</v>
      </c>
    </row>
    <row r="1292" spans="2:61" ht="15.75" hidden="1" thickBot="1">
      <c r="C1292" s="1191">
        <v>13330</v>
      </c>
      <c r="D1292" s="1264" t="s">
        <v>3187</v>
      </c>
      <c r="E1292" s="1016">
        <v>288</v>
      </c>
      <c r="F1292" s="1016"/>
      <c r="G1292" s="1016">
        <v>80</v>
      </c>
      <c r="H1292" s="978">
        <f t="shared" si="55"/>
        <v>0.27777777777777779</v>
      </c>
      <c r="I1292" s="759">
        <f t="shared" si="54"/>
        <v>0</v>
      </c>
    </row>
    <row r="1293" spans="2:61" ht="15.75" hidden="1" thickBot="1">
      <c r="C1293" s="1191">
        <v>9771</v>
      </c>
      <c r="D1293" s="1264" t="s">
        <v>3185</v>
      </c>
      <c r="E1293" s="1016">
        <v>288</v>
      </c>
      <c r="F1293" s="1016">
        <v>0</v>
      </c>
      <c r="G1293" s="1016">
        <v>80</v>
      </c>
      <c r="H1293" s="978">
        <f t="shared" si="55"/>
        <v>0.27777777777777779</v>
      </c>
      <c r="I1293" s="759">
        <f t="shared" si="54"/>
        <v>0</v>
      </c>
    </row>
    <row r="1294" spans="2:61" ht="15.75" hidden="1" thickBot="1">
      <c r="C1294" s="1191">
        <v>13695</v>
      </c>
      <c r="D1294" s="1268" t="s">
        <v>3457</v>
      </c>
      <c r="E1294" s="524"/>
      <c r="F1294" s="524"/>
      <c r="G1294" s="524"/>
      <c r="H1294" s="1049" t="e">
        <f t="shared" si="55"/>
        <v>#DIV/0!</v>
      </c>
      <c r="I1294" s="1050">
        <f t="shared" ref="I1294:I1299" si="57">+G1294*F1294</f>
        <v>0</v>
      </c>
    </row>
    <row r="1295" spans="2:61" ht="15.75" hidden="1" thickBot="1">
      <c r="C1295" s="1191">
        <v>20805</v>
      </c>
      <c r="D1295" s="1264" t="s">
        <v>2805</v>
      </c>
      <c r="E1295" s="1016"/>
      <c r="F1295" s="1016"/>
      <c r="G1295" s="1016"/>
      <c r="H1295" s="978" t="e">
        <f t="shared" si="55"/>
        <v>#DIV/0!</v>
      </c>
      <c r="I1295" s="759">
        <f t="shared" si="57"/>
        <v>0</v>
      </c>
    </row>
    <row r="1296" spans="2:61" ht="15.75" hidden="1" thickBot="1">
      <c r="C1296" s="1191">
        <v>20804</v>
      </c>
      <c r="D1296" s="1264" t="s">
        <v>2806</v>
      </c>
      <c r="E1296" s="1016"/>
      <c r="F1296" s="1016"/>
      <c r="G1296" s="1016"/>
      <c r="H1296" s="978" t="e">
        <f t="shared" si="55"/>
        <v>#DIV/0!</v>
      </c>
      <c r="I1296" s="759">
        <f t="shared" si="57"/>
        <v>0</v>
      </c>
    </row>
    <row r="1297" spans="3:9" ht="15.75" hidden="1" thickBot="1">
      <c r="C1297" s="1191">
        <v>9209</v>
      </c>
      <c r="D1297" s="1264" t="s">
        <v>3458</v>
      </c>
      <c r="E1297" s="1016"/>
      <c r="F1297" s="1016"/>
      <c r="G1297" s="1016"/>
      <c r="H1297" s="978" t="e">
        <f t="shared" si="55"/>
        <v>#DIV/0!</v>
      </c>
      <c r="I1297" s="759">
        <f t="shared" si="57"/>
        <v>0</v>
      </c>
    </row>
    <row r="1298" spans="3:9" ht="15.75" hidden="1" thickBot="1">
      <c r="C1298" s="1191">
        <v>20013</v>
      </c>
      <c r="D1298" s="1264" t="s">
        <v>2288</v>
      </c>
      <c r="E1298" s="1016"/>
      <c r="F1298" s="1016"/>
      <c r="G1298" s="1016"/>
      <c r="H1298" s="978" t="e">
        <f t="shared" si="55"/>
        <v>#DIV/0!</v>
      </c>
      <c r="I1298" s="759">
        <f t="shared" si="57"/>
        <v>0</v>
      </c>
    </row>
    <row r="1299" spans="3:9" ht="15.75" hidden="1" thickBot="1">
      <c r="C1299" s="1191">
        <v>13721</v>
      </c>
      <c r="D1299" s="1264" t="s">
        <v>2391</v>
      </c>
      <c r="E1299" s="1016"/>
      <c r="F1299" s="1016"/>
      <c r="G1299" s="1016"/>
      <c r="H1299" s="978" t="e">
        <f t="shared" si="55"/>
        <v>#DIV/0!</v>
      </c>
      <c r="I1299" s="759">
        <f t="shared" si="57"/>
        <v>0</v>
      </c>
    </row>
    <row r="1300" spans="3:9" ht="15.75" thickBot="1">
      <c r="D1300" s="1269"/>
      <c r="E1300" s="1020"/>
      <c r="F1300" s="1020"/>
      <c r="G1300" s="2326" t="s">
        <v>74</v>
      </c>
      <c r="H1300" s="2327"/>
      <c r="I1300" s="1051">
        <f>+I1168+I1169+I1171+I1172+I1173+I1206+I1215+I1217+I1227+I1233+I1285+I1287+I1288+I1289</f>
        <v>4544.2999999999993</v>
      </c>
    </row>
    <row r="1301" spans="3:9">
      <c r="D1301" s="1266" t="s">
        <v>3356</v>
      </c>
      <c r="F1301" s="301">
        <v>0.57999999999999996</v>
      </c>
      <c r="G1301" s="491">
        <v>7</v>
      </c>
      <c r="I1301" s="101">
        <f>+F1301*G1301</f>
        <v>4.0599999999999996</v>
      </c>
    </row>
    <row r="1302" spans="3:9">
      <c r="I1302" s="101">
        <f>+I1300-I1301</f>
        <v>4540.2399999999989</v>
      </c>
    </row>
    <row r="1306" spans="3:9" ht="59.25" customHeight="1">
      <c r="C1306" s="1180" t="s">
        <v>3318</v>
      </c>
      <c r="D1306" s="1089" t="s">
        <v>4243</v>
      </c>
      <c r="E1306" s="310" t="s">
        <v>3978</v>
      </c>
      <c r="F1306" s="528" t="s">
        <v>68</v>
      </c>
      <c r="G1306" s="310" t="s">
        <v>903</v>
      </c>
      <c r="H1306" s="900" t="s">
        <v>559</v>
      </c>
      <c r="I1306" s="310" t="s">
        <v>560</v>
      </c>
    </row>
    <row r="1307" spans="3:9" hidden="1">
      <c r="C1307" s="1180">
        <v>13121</v>
      </c>
      <c r="D1307" s="275" t="s">
        <v>3359</v>
      </c>
      <c r="E1307" s="1074"/>
      <c r="F1307" s="1090"/>
      <c r="G1307" s="1074"/>
      <c r="H1307" s="978" t="e">
        <f>+G1307/E1307</f>
        <v>#DIV/0!</v>
      </c>
      <c r="I1307" s="1180">
        <f>+G1307*F1307</f>
        <v>0</v>
      </c>
    </row>
    <row r="1308" spans="3:9" hidden="1">
      <c r="C1308" s="1180">
        <v>13926</v>
      </c>
      <c r="D1308" s="275" t="s">
        <v>1884</v>
      </c>
      <c r="E1308" s="1074"/>
      <c r="F1308" s="1074"/>
      <c r="G1308" s="1074"/>
      <c r="H1308" s="978" t="e">
        <f t="shared" ref="H1308:H1371" si="58">+G1308/E1308</f>
        <v>#DIV/0!</v>
      </c>
      <c r="I1308" s="1180">
        <f t="shared" ref="I1308:I1371" si="59">+G1308*F1308</f>
        <v>0</v>
      </c>
    </row>
    <row r="1309" spans="3:9" hidden="1">
      <c r="C1309" s="1180">
        <v>9756</v>
      </c>
      <c r="D1309" s="275" t="s">
        <v>2474</v>
      </c>
      <c r="E1309" s="1074"/>
      <c r="F1309" s="1074"/>
      <c r="G1309" s="1074"/>
      <c r="H1309" s="978" t="e">
        <f t="shared" si="58"/>
        <v>#DIV/0!</v>
      </c>
      <c r="I1309" s="1180">
        <f t="shared" si="59"/>
        <v>0</v>
      </c>
    </row>
    <row r="1310" spans="3:9" hidden="1">
      <c r="C1310" s="1180">
        <v>9734</v>
      </c>
      <c r="D1310" s="275" t="s">
        <v>2794</v>
      </c>
      <c r="E1310" s="1074"/>
      <c r="F1310" s="1074"/>
      <c r="G1310" s="1074"/>
      <c r="H1310" s="978" t="e">
        <f t="shared" si="58"/>
        <v>#DIV/0!</v>
      </c>
      <c r="I1310" s="1180">
        <f t="shared" si="59"/>
        <v>0</v>
      </c>
    </row>
    <row r="1311" spans="3:9" hidden="1">
      <c r="C1311" s="1180">
        <v>15807</v>
      </c>
      <c r="D1311" s="275" t="s">
        <v>2795</v>
      </c>
      <c r="E1311" s="1074"/>
      <c r="F1311" s="1074"/>
      <c r="G1311" s="1074"/>
      <c r="H1311" s="978" t="e">
        <f t="shared" si="58"/>
        <v>#DIV/0!</v>
      </c>
      <c r="I1311" s="1180">
        <f t="shared" si="59"/>
        <v>0</v>
      </c>
    </row>
    <row r="1312" spans="3:9" hidden="1">
      <c r="C1312" s="1180">
        <v>21024</v>
      </c>
      <c r="D1312" s="275" t="s">
        <v>3446</v>
      </c>
      <c r="E1312" s="1074"/>
      <c r="F1312" s="1074"/>
      <c r="G1312" s="1074"/>
      <c r="H1312" s="978" t="e">
        <f t="shared" si="58"/>
        <v>#DIV/0!</v>
      </c>
      <c r="I1312" s="1180">
        <f t="shared" si="59"/>
        <v>0</v>
      </c>
    </row>
    <row r="1313" spans="3:9" hidden="1">
      <c r="C1313" s="1194">
        <v>10069</v>
      </c>
      <c r="D1313" s="1270" t="s">
        <v>3358</v>
      </c>
      <c r="E1313" s="1082">
        <v>864</v>
      </c>
      <c r="F1313" s="1082">
        <v>0</v>
      </c>
      <c r="G1313" s="1082">
        <v>177</v>
      </c>
      <c r="H1313" s="978">
        <f t="shared" si="58"/>
        <v>0.2048611111111111</v>
      </c>
      <c r="I1313" s="1180">
        <f t="shared" si="59"/>
        <v>0</v>
      </c>
    </row>
    <row r="1314" spans="3:9" hidden="1">
      <c r="C1314" s="1194">
        <v>10068</v>
      </c>
      <c r="D1314" s="1270" t="s">
        <v>2394</v>
      </c>
      <c r="E1314" s="1082">
        <v>864</v>
      </c>
      <c r="F1314" s="1082">
        <v>0</v>
      </c>
      <c r="G1314" s="1082">
        <v>177</v>
      </c>
      <c r="H1314" s="978">
        <f t="shared" si="58"/>
        <v>0.2048611111111111</v>
      </c>
      <c r="I1314" s="1180">
        <f t="shared" si="59"/>
        <v>0</v>
      </c>
    </row>
    <row r="1315" spans="3:9" hidden="1">
      <c r="C1315" s="1180">
        <v>20003</v>
      </c>
      <c r="D1315" s="275" t="s">
        <v>2298</v>
      </c>
      <c r="E1315" s="1074"/>
      <c r="F1315" s="1074"/>
      <c r="G1315" s="1074"/>
      <c r="H1315" s="978" t="e">
        <f t="shared" si="58"/>
        <v>#DIV/0!</v>
      </c>
      <c r="I1315" s="1180">
        <f t="shared" si="59"/>
        <v>0</v>
      </c>
    </row>
    <row r="1316" spans="3:9" hidden="1">
      <c r="C1316" s="1180">
        <v>21236</v>
      </c>
      <c r="D1316" s="275" t="s">
        <v>3618</v>
      </c>
      <c r="E1316" s="1074"/>
      <c r="F1316" s="1074"/>
      <c r="G1316" s="1074"/>
      <c r="H1316" s="978" t="e">
        <f t="shared" si="58"/>
        <v>#DIV/0!</v>
      </c>
      <c r="I1316" s="1180">
        <f t="shared" si="59"/>
        <v>0</v>
      </c>
    </row>
    <row r="1317" spans="3:9" hidden="1">
      <c r="C1317" s="1194">
        <v>4030</v>
      </c>
      <c r="D1317" s="1270" t="s">
        <v>1885</v>
      </c>
      <c r="E1317" s="1082">
        <v>1</v>
      </c>
      <c r="F1317" s="1082">
        <v>0</v>
      </c>
      <c r="G1317" s="1082">
        <v>4.4000000000000004</v>
      </c>
      <c r="H1317" s="978">
        <f t="shared" si="58"/>
        <v>4.4000000000000004</v>
      </c>
      <c r="I1317" s="1180">
        <f t="shared" si="59"/>
        <v>0</v>
      </c>
    </row>
    <row r="1318" spans="3:9" hidden="1">
      <c r="C1318" s="1194">
        <v>10529</v>
      </c>
      <c r="D1318" s="1270" t="s">
        <v>2472</v>
      </c>
      <c r="E1318" s="1082"/>
      <c r="F1318" s="1082"/>
      <c r="G1318" s="1082"/>
      <c r="H1318" s="978" t="e">
        <f t="shared" si="58"/>
        <v>#DIV/0!</v>
      </c>
      <c r="I1318" s="1180">
        <f t="shared" si="59"/>
        <v>0</v>
      </c>
    </row>
    <row r="1319" spans="3:9" hidden="1">
      <c r="C1319" s="1194">
        <v>8036</v>
      </c>
      <c r="D1319" s="1270" t="s">
        <v>2471</v>
      </c>
      <c r="E1319" s="1082"/>
      <c r="F1319" s="1082"/>
      <c r="G1319" s="1082"/>
      <c r="H1319" s="978" t="e">
        <f t="shared" si="58"/>
        <v>#DIV/0!</v>
      </c>
      <c r="I1319" s="1180">
        <f t="shared" si="59"/>
        <v>0</v>
      </c>
    </row>
    <row r="1320" spans="3:9" hidden="1">
      <c r="C1320" s="1194">
        <v>8162</v>
      </c>
      <c r="D1320" s="1270" t="s">
        <v>897</v>
      </c>
      <c r="E1320" s="1082"/>
      <c r="F1320" s="1082"/>
      <c r="G1320" s="1082"/>
      <c r="H1320" s="978" t="e">
        <f t="shared" si="58"/>
        <v>#DIV/0!</v>
      </c>
      <c r="I1320" s="1180">
        <f t="shared" si="59"/>
        <v>0</v>
      </c>
    </row>
    <row r="1321" spans="3:9" hidden="1">
      <c r="C1321" s="1194">
        <v>17888</v>
      </c>
      <c r="D1321" s="1270" t="s">
        <v>898</v>
      </c>
      <c r="E1321" s="1082"/>
      <c r="F1321" s="1082"/>
      <c r="G1321" s="1082"/>
      <c r="H1321" s="978" t="e">
        <f t="shared" si="58"/>
        <v>#DIV/0!</v>
      </c>
      <c r="I1321" s="1180">
        <f t="shared" si="59"/>
        <v>0</v>
      </c>
    </row>
    <row r="1322" spans="3:9" hidden="1">
      <c r="C1322" s="1194">
        <v>9579</v>
      </c>
      <c r="D1322" s="1270" t="s">
        <v>899</v>
      </c>
      <c r="E1322" s="1082"/>
      <c r="F1322" s="1082"/>
      <c r="G1322" s="1082"/>
      <c r="H1322" s="978" t="e">
        <f t="shared" si="58"/>
        <v>#DIV/0!</v>
      </c>
      <c r="I1322" s="1180">
        <f t="shared" si="59"/>
        <v>0</v>
      </c>
    </row>
    <row r="1323" spans="3:9" hidden="1">
      <c r="C1323" s="1194">
        <v>7960</v>
      </c>
      <c r="D1323" s="1270" t="s">
        <v>900</v>
      </c>
      <c r="E1323" s="1082"/>
      <c r="F1323" s="1082"/>
      <c r="G1323" s="1082"/>
      <c r="H1323" s="978" t="e">
        <f t="shared" si="58"/>
        <v>#DIV/0!</v>
      </c>
      <c r="I1323" s="1180">
        <f t="shared" si="59"/>
        <v>0</v>
      </c>
    </row>
    <row r="1324" spans="3:9" hidden="1">
      <c r="C1324" s="1194">
        <v>950</v>
      </c>
      <c r="D1324" s="1270" t="s">
        <v>1508</v>
      </c>
      <c r="E1324" s="1082"/>
      <c r="F1324" s="1082"/>
      <c r="G1324" s="1082"/>
      <c r="H1324" s="978" t="e">
        <f t="shared" si="58"/>
        <v>#DIV/0!</v>
      </c>
      <c r="I1324" s="1180">
        <f t="shared" si="59"/>
        <v>0</v>
      </c>
    </row>
    <row r="1325" spans="3:9" hidden="1">
      <c r="C1325" s="1194">
        <v>21034</v>
      </c>
      <c r="D1325" s="1270" t="s">
        <v>3170</v>
      </c>
      <c r="E1325" s="1082"/>
      <c r="F1325" s="1082"/>
      <c r="G1325" s="1082"/>
      <c r="H1325" s="978" t="e">
        <f t="shared" si="58"/>
        <v>#DIV/0!</v>
      </c>
      <c r="I1325" s="1180">
        <f t="shared" si="59"/>
        <v>0</v>
      </c>
    </row>
    <row r="1326" spans="3:9" hidden="1">
      <c r="C1326" s="1194">
        <v>20010</v>
      </c>
      <c r="D1326" s="1270" t="s">
        <v>2286</v>
      </c>
      <c r="E1326" s="1082"/>
      <c r="F1326" s="1082"/>
      <c r="G1326" s="1082"/>
      <c r="H1326" s="978" t="e">
        <f t="shared" si="58"/>
        <v>#DIV/0!</v>
      </c>
      <c r="I1326" s="1180">
        <f t="shared" si="59"/>
        <v>0</v>
      </c>
    </row>
    <row r="1327" spans="3:9" hidden="1">
      <c r="C1327" s="1194">
        <v>16237</v>
      </c>
      <c r="D1327" s="1270" t="s">
        <v>1886</v>
      </c>
      <c r="E1327" s="1082"/>
      <c r="F1327" s="1082"/>
      <c r="G1327" s="1082"/>
      <c r="H1327" s="978" t="e">
        <f t="shared" si="58"/>
        <v>#DIV/0!</v>
      </c>
      <c r="I1327" s="1180">
        <f t="shared" si="59"/>
        <v>0</v>
      </c>
    </row>
    <row r="1328" spans="3:9">
      <c r="C1328" s="326">
        <v>6650</v>
      </c>
      <c r="D1328" s="1215" t="s">
        <v>3958</v>
      </c>
      <c r="E1328" s="326">
        <v>20</v>
      </c>
      <c r="F1328" s="326">
        <v>50</v>
      </c>
      <c r="G1328" s="326">
        <v>16.8</v>
      </c>
      <c r="H1328" s="1053">
        <f t="shared" si="58"/>
        <v>0.84000000000000008</v>
      </c>
      <c r="I1328" s="326">
        <f t="shared" si="59"/>
        <v>840</v>
      </c>
    </row>
    <row r="1329" spans="3:9" hidden="1">
      <c r="C1329" s="1180">
        <v>13717</v>
      </c>
      <c r="D1329" s="275" t="s">
        <v>2470</v>
      </c>
      <c r="E1329" s="1074"/>
      <c r="F1329" s="1074"/>
      <c r="G1329" s="1074"/>
      <c r="H1329" s="978" t="e">
        <f t="shared" si="58"/>
        <v>#DIV/0!</v>
      </c>
      <c r="I1329" s="1180">
        <f t="shared" si="59"/>
        <v>0</v>
      </c>
    </row>
    <row r="1330" spans="3:9">
      <c r="C1330" s="326">
        <v>13716</v>
      </c>
      <c r="D1330" s="1215" t="s">
        <v>2796</v>
      </c>
      <c r="E1330" s="326">
        <v>12</v>
      </c>
      <c r="F1330" s="326">
        <v>5</v>
      </c>
      <c r="G1330" s="326">
        <v>14.5</v>
      </c>
      <c r="H1330" s="1053">
        <f t="shared" si="58"/>
        <v>1.2083333333333333</v>
      </c>
      <c r="I1330" s="326">
        <f t="shared" si="59"/>
        <v>72.5</v>
      </c>
    </row>
    <row r="1331" spans="3:9" hidden="1">
      <c r="C1331" s="1180">
        <v>14998</v>
      </c>
      <c r="D1331" s="275" t="s">
        <v>2468</v>
      </c>
      <c r="E1331" s="1074"/>
      <c r="F1331" s="1074"/>
      <c r="G1331" s="1074"/>
      <c r="H1331" s="978" t="e">
        <f t="shared" si="58"/>
        <v>#DIV/0!</v>
      </c>
      <c r="I1331" s="1180">
        <f t="shared" si="59"/>
        <v>0</v>
      </c>
    </row>
    <row r="1332" spans="3:9" hidden="1">
      <c r="C1332" s="1180">
        <v>8256</v>
      </c>
      <c r="D1332" s="275" t="s">
        <v>2467</v>
      </c>
      <c r="E1332" s="1074"/>
      <c r="F1332" s="1074"/>
      <c r="G1332" s="1074"/>
      <c r="H1332" s="978" t="e">
        <f t="shared" si="58"/>
        <v>#DIV/0!</v>
      </c>
      <c r="I1332" s="1180">
        <f t="shared" si="59"/>
        <v>0</v>
      </c>
    </row>
    <row r="1333" spans="3:9" hidden="1">
      <c r="C1333" s="1180">
        <v>20764</v>
      </c>
      <c r="D1333" s="275" t="s">
        <v>2466</v>
      </c>
      <c r="E1333" s="1074"/>
      <c r="F1333" s="1074"/>
      <c r="G1333" s="1074"/>
      <c r="H1333" s="978" t="e">
        <f t="shared" si="58"/>
        <v>#DIV/0!</v>
      </c>
      <c r="I1333" s="1180">
        <f t="shared" si="59"/>
        <v>0</v>
      </c>
    </row>
    <row r="1334" spans="3:9" hidden="1">
      <c r="C1334" s="1194">
        <v>21497</v>
      </c>
      <c r="D1334" s="1270" t="s">
        <v>3960</v>
      </c>
      <c r="E1334" s="1082">
        <v>24</v>
      </c>
      <c r="F1334" s="1082">
        <v>0</v>
      </c>
      <c r="G1334" s="1082">
        <v>32.5</v>
      </c>
      <c r="H1334" s="978">
        <f t="shared" si="58"/>
        <v>1.3541666666666667</v>
      </c>
      <c r="I1334" s="1180">
        <f t="shared" si="59"/>
        <v>0</v>
      </c>
    </row>
    <row r="1335" spans="3:9" hidden="1">
      <c r="C1335" s="1180">
        <v>1134</v>
      </c>
      <c r="D1335" s="275" t="s">
        <v>3959</v>
      </c>
      <c r="E1335" s="1074"/>
      <c r="F1335" s="1074"/>
      <c r="G1335" s="1074"/>
      <c r="H1335" s="978" t="e">
        <f t="shared" si="58"/>
        <v>#DIV/0!</v>
      </c>
      <c r="I1335" s="1180">
        <f t="shared" si="59"/>
        <v>0</v>
      </c>
    </row>
    <row r="1336" spans="3:9" hidden="1">
      <c r="C1336" s="1180">
        <v>13570</v>
      </c>
      <c r="D1336" s="275" t="s">
        <v>2465</v>
      </c>
      <c r="E1336" s="1074"/>
      <c r="F1336" s="1074"/>
      <c r="G1336" s="1074"/>
      <c r="H1336" s="978" t="e">
        <f t="shared" si="58"/>
        <v>#DIV/0!</v>
      </c>
      <c r="I1336" s="1180">
        <f t="shared" si="59"/>
        <v>0</v>
      </c>
    </row>
    <row r="1337" spans="3:9" hidden="1">
      <c r="C1337" s="1180">
        <v>12392</v>
      </c>
      <c r="D1337" s="275" t="s">
        <v>2464</v>
      </c>
      <c r="E1337" s="1074"/>
      <c r="F1337" s="1074"/>
      <c r="G1337" s="1074"/>
      <c r="H1337" s="978" t="e">
        <f t="shared" si="58"/>
        <v>#DIV/0!</v>
      </c>
      <c r="I1337" s="1180">
        <f t="shared" si="59"/>
        <v>0</v>
      </c>
    </row>
    <row r="1338" spans="3:9" hidden="1">
      <c r="C1338" s="1180">
        <v>10427</v>
      </c>
      <c r="D1338" s="275" t="s">
        <v>2297</v>
      </c>
      <c r="E1338" s="1074"/>
      <c r="F1338" s="1074"/>
      <c r="G1338" s="1074"/>
      <c r="H1338" s="978" t="e">
        <f t="shared" si="58"/>
        <v>#DIV/0!</v>
      </c>
      <c r="I1338" s="1180">
        <f t="shared" si="59"/>
        <v>0</v>
      </c>
    </row>
    <row r="1339" spans="3:9" hidden="1">
      <c r="C1339" s="1180">
        <v>6706</v>
      </c>
      <c r="D1339" s="275" t="s">
        <v>2463</v>
      </c>
      <c r="E1339" s="1074"/>
      <c r="F1339" s="1074"/>
      <c r="G1339" s="1074"/>
      <c r="H1339" s="978" t="e">
        <f t="shared" si="58"/>
        <v>#DIV/0!</v>
      </c>
      <c r="I1339" s="1180">
        <f t="shared" si="59"/>
        <v>0</v>
      </c>
    </row>
    <row r="1340" spans="3:9" hidden="1">
      <c r="C1340" s="1180">
        <v>20006</v>
      </c>
      <c r="D1340" s="275" t="s">
        <v>2289</v>
      </c>
      <c r="E1340" s="1074"/>
      <c r="F1340" s="1074"/>
      <c r="G1340" s="1074"/>
      <c r="H1340" s="978" t="e">
        <f t="shared" si="58"/>
        <v>#DIV/0!</v>
      </c>
      <c r="I1340" s="1180">
        <f t="shared" si="59"/>
        <v>0</v>
      </c>
    </row>
    <row r="1341" spans="3:9" hidden="1">
      <c r="C1341" s="1180">
        <v>8016</v>
      </c>
      <c r="D1341" s="275" t="s">
        <v>2393</v>
      </c>
      <c r="E1341" s="1074"/>
      <c r="F1341" s="1074"/>
      <c r="G1341" s="1074"/>
      <c r="H1341" s="978" t="e">
        <f t="shared" si="58"/>
        <v>#DIV/0!</v>
      </c>
      <c r="I1341" s="1180">
        <f t="shared" si="59"/>
        <v>0</v>
      </c>
    </row>
    <row r="1342" spans="3:9" hidden="1">
      <c r="C1342" s="1180">
        <v>8117</v>
      </c>
      <c r="D1342" s="275" t="s">
        <v>2284</v>
      </c>
      <c r="E1342" s="1074"/>
      <c r="F1342" s="1074"/>
      <c r="G1342" s="1074"/>
      <c r="H1342" s="978" t="e">
        <f t="shared" si="58"/>
        <v>#DIV/0!</v>
      </c>
      <c r="I1342" s="1180">
        <f t="shared" si="59"/>
        <v>0</v>
      </c>
    </row>
    <row r="1343" spans="3:9" hidden="1">
      <c r="C1343" s="1180">
        <v>8017</v>
      </c>
      <c r="D1343" s="275" t="s">
        <v>2283</v>
      </c>
      <c r="E1343" s="1074"/>
      <c r="F1343" s="1074"/>
      <c r="G1343" s="1074"/>
      <c r="H1343" s="978" t="e">
        <f t="shared" si="58"/>
        <v>#DIV/0!</v>
      </c>
      <c r="I1343" s="1180">
        <f t="shared" si="59"/>
        <v>0</v>
      </c>
    </row>
    <row r="1344" spans="3:9" hidden="1">
      <c r="C1344" s="1180">
        <v>21025</v>
      </c>
      <c r="D1344" s="275" t="s">
        <v>3357</v>
      </c>
      <c r="E1344" s="1074"/>
      <c r="F1344" s="1074"/>
      <c r="G1344" s="1074"/>
      <c r="H1344" s="978" t="e">
        <f t="shared" si="58"/>
        <v>#DIV/0!</v>
      </c>
      <c r="I1344" s="1180">
        <f t="shared" si="59"/>
        <v>0</v>
      </c>
    </row>
    <row r="1345" spans="3:9" hidden="1">
      <c r="C1345" s="1180">
        <v>21030</v>
      </c>
      <c r="D1345" s="275" t="s">
        <v>3447</v>
      </c>
      <c r="E1345" s="1074"/>
      <c r="F1345" s="1074"/>
      <c r="G1345" s="1074"/>
      <c r="H1345" s="978" t="e">
        <f t="shared" si="58"/>
        <v>#DIV/0!</v>
      </c>
      <c r="I1345" s="1180">
        <f t="shared" si="59"/>
        <v>0</v>
      </c>
    </row>
    <row r="1346" spans="3:9" hidden="1">
      <c r="C1346" s="1180">
        <v>13836</v>
      </c>
      <c r="D1346" s="275" t="s">
        <v>2377</v>
      </c>
      <c r="E1346" s="1074"/>
      <c r="F1346" s="1074"/>
      <c r="G1346" s="1074"/>
      <c r="H1346" s="978" t="e">
        <f t="shared" si="58"/>
        <v>#DIV/0!</v>
      </c>
      <c r="I1346" s="1180">
        <f t="shared" si="59"/>
        <v>0</v>
      </c>
    </row>
    <row r="1347" spans="3:9" hidden="1">
      <c r="C1347" s="1180">
        <v>14401</v>
      </c>
      <c r="D1347" s="275" t="s">
        <v>2378</v>
      </c>
      <c r="E1347" s="1074"/>
      <c r="F1347" s="1074"/>
      <c r="G1347" s="1074"/>
      <c r="H1347" s="978" t="e">
        <f t="shared" si="58"/>
        <v>#DIV/0!</v>
      </c>
      <c r="I1347" s="1180">
        <f t="shared" si="59"/>
        <v>0</v>
      </c>
    </row>
    <row r="1348" spans="3:9" hidden="1">
      <c r="C1348" s="1180">
        <v>14399</v>
      </c>
      <c r="D1348" s="275" t="s">
        <v>2379</v>
      </c>
      <c r="E1348" s="1074"/>
      <c r="F1348" s="1074"/>
      <c r="G1348" s="1074"/>
      <c r="H1348" s="978" t="e">
        <f t="shared" si="58"/>
        <v>#DIV/0!</v>
      </c>
      <c r="I1348" s="1180">
        <f t="shared" si="59"/>
        <v>0</v>
      </c>
    </row>
    <row r="1349" spans="3:9" hidden="1">
      <c r="C1349" s="1180">
        <v>14400</v>
      </c>
      <c r="D1349" s="275" t="s">
        <v>2380</v>
      </c>
      <c r="E1349" s="1074"/>
      <c r="F1349" s="1074"/>
      <c r="G1349" s="1074"/>
      <c r="H1349" s="978" t="e">
        <f t="shared" si="58"/>
        <v>#DIV/0!</v>
      </c>
      <c r="I1349" s="1180">
        <f t="shared" si="59"/>
        <v>0</v>
      </c>
    </row>
    <row r="1350" spans="3:9" hidden="1">
      <c r="C1350" s="1180">
        <v>21023</v>
      </c>
      <c r="D1350" s="275" t="s">
        <v>3448</v>
      </c>
      <c r="E1350" s="1074"/>
      <c r="F1350" s="1074"/>
      <c r="G1350" s="1074"/>
      <c r="H1350" s="978" t="e">
        <f t="shared" si="58"/>
        <v>#DIV/0!</v>
      </c>
      <c r="I1350" s="1180">
        <f t="shared" si="59"/>
        <v>0</v>
      </c>
    </row>
    <row r="1351" spans="3:9" hidden="1">
      <c r="C1351" s="1180">
        <v>13582</v>
      </c>
      <c r="D1351" s="275" t="s">
        <v>2462</v>
      </c>
      <c r="E1351" s="1074"/>
      <c r="F1351" s="1074"/>
      <c r="G1351" s="1074"/>
      <c r="H1351" s="978" t="e">
        <f t="shared" si="58"/>
        <v>#DIV/0!</v>
      </c>
      <c r="I1351" s="1180">
        <f t="shared" si="59"/>
        <v>0</v>
      </c>
    </row>
    <row r="1352" spans="3:9" hidden="1">
      <c r="C1352" s="1180">
        <v>21029</v>
      </c>
      <c r="D1352" s="275" t="s">
        <v>3449</v>
      </c>
      <c r="E1352" s="1074"/>
      <c r="F1352" s="1074"/>
      <c r="G1352" s="1074"/>
      <c r="H1352" s="978" t="e">
        <f t="shared" si="58"/>
        <v>#DIV/0!</v>
      </c>
      <c r="I1352" s="1180">
        <f t="shared" si="59"/>
        <v>0</v>
      </c>
    </row>
    <row r="1353" spans="3:9" hidden="1">
      <c r="C1353" s="1180">
        <v>13583</v>
      </c>
      <c r="D1353" s="275" t="s">
        <v>2461</v>
      </c>
      <c r="E1353" s="1074"/>
      <c r="F1353" s="1074"/>
      <c r="G1353" s="1074"/>
      <c r="H1353" s="978" t="e">
        <f t="shared" si="58"/>
        <v>#DIV/0!</v>
      </c>
      <c r="I1353" s="1180">
        <f t="shared" si="59"/>
        <v>0</v>
      </c>
    </row>
    <row r="1354" spans="3:9" hidden="1">
      <c r="C1354" s="1180">
        <v>13585</v>
      </c>
      <c r="D1354" s="275" t="s">
        <v>2460</v>
      </c>
      <c r="E1354" s="1074"/>
      <c r="F1354" s="1074"/>
      <c r="G1354" s="1074"/>
      <c r="H1354" s="978" t="e">
        <f t="shared" si="58"/>
        <v>#DIV/0!</v>
      </c>
      <c r="I1354" s="1180">
        <f t="shared" si="59"/>
        <v>0</v>
      </c>
    </row>
    <row r="1355" spans="3:9" hidden="1">
      <c r="C1355" s="1180">
        <v>13584</v>
      </c>
      <c r="D1355" s="275" t="s">
        <v>2459</v>
      </c>
      <c r="E1355" s="1074"/>
      <c r="F1355" s="1074"/>
      <c r="G1355" s="1074"/>
      <c r="H1355" s="978" t="e">
        <f t="shared" si="58"/>
        <v>#DIV/0!</v>
      </c>
      <c r="I1355" s="1180">
        <f t="shared" si="59"/>
        <v>0</v>
      </c>
    </row>
    <row r="1356" spans="3:9" hidden="1">
      <c r="C1356" s="1180">
        <v>13581</v>
      </c>
      <c r="D1356" s="275" t="s">
        <v>2381</v>
      </c>
      <c r="E1356" s="1074"/>
      <c r="F1356" s="1074"/>
      <c r="G1356" s="1074"/>
      <c r="H1356" s="978" t="e">
        <f t="shared" si="58"/>
        <v>#DIV/0!</v>
      </c>
      <c r="I1356" s="1180">
        <f t="shared" si="59"/>
        <v>0</v>
      </c>
    </row>
    <row r="1357" spans="3:9" hidden="1">
      <c r="C1357" s="1180">
        <v>18707</v>
      </c>
      <c r="D1357" s="275" t="s">
        <v>2797</v>
      </c>
      <c r="E1357" s="1074"/>
      <c r="F1357" s="1074"/>
      <c r="G1357" s="1074"/>
      <c r="H1357" s="978" t="e">
        <f t="shared" si="58"/>
        <v>#DIV/0!</v>
      </c>
      <c r="I1357" s="1180">
        <f t="shared" si="59"/>
        <v>0</v>
      </c>
    </row>
    <row r="1358" spans="3:9" hidden="1">
      <c r="C1358" s="1180">
        <v>18714</v>
      </c>
      <c r="D1358" s="275" t="s">
        <v>2279</v>
      </c>
      <c r="E1358" s="1074"/>
      <c r="F1358" s="1074"/>
      <c r="G1358" s="1074"/>
      <c r="H1358" s="978" t="e">
        <f t="shared" si="58"/>
        <v>#DIV/0!</v>
      </c>
      <c r="I1358" s="1180">
        <f t="shared" si="59"/>
        <v>0</v>
      </c>
    </row>
    <row r="1359" spans="3:9" hidden="1">
      <c r="C1359" s="1180">
        <v>16239</v>
      </c>
      <c r="D1359" s="275" t="s">
        <v>2798</v>
      </c>
      <c r="E1359" s="1074"/>
      <c r="F1359" s="1074"/>
      <c r="G1359" s="1074"/>
      <c r="H1359" s="978" t="e">
        <f t="shared" si="58"/>
        <v>#DIV/0!</v>
      </c>
      <c r="I1359" s="1180">
        <f t="shared" si="59"/>
        <v>0</v>
      </c>
    </row>
    <row r="1360" spans="3:9" hidden="1">
      <c r="C1360" s="1180">
        <v>14766</v>
      </c>
      <c r="D1360" s="275" t="s">
        <v>2799</v>
      </c>
      <c r="E1360" s="1074"/>
      <c r="F1360" s="1074"/>
      <c r="G1360" s="1074"/>
      <c r="H1360" s="978" t="e">
        <f t="shared" si="58"/>
        <v>#DIV/0!</v>
      </c>
      <c r="I1360" s="1180">
        <f t="shared" si="59"/>
        <v>0</v>
      </c>
    </row>
    <row r="1361" spans="3:9" hidden="1">
      <c r="C1361" s="1180">
        <v>9499</v>
      </c>
      <c r="D1361" s="275" t="s">
        <v>2458</v>
      </c>
      <c r="E1361" s="1074"/>
      <c r="F1361" s="1074"/>
      <c r="G1361" s="1074"/>
      <c r="H1361" s="978" t="e">
        <f t="shared" si="58"/>
        <v>#DIV/0!</v>
      </c>
      <c r="I1361" s="1180">
        <f t="shared" si="59"/>
        <v>0</v>
      </c>
    </row>
    <row r="1362" spans="3:9" hidden="1">
      <c r="C1362" s="1180">
        <v>20012</v>
      </c>
      <c r="D1362" s="275" t="s">
        <v>2287</v>
      </c>
      <c r="E1362" s="1074"/>
      <c r="F1362" s="1074"/>
      <c r="G1362" s="1074"/>
      <c r="H1362" s="978" t="e">
        <f t="shared" si="58"/>
        <v>#DIV/0!</v>
      </c>
      <c r="I1362" s="1180">
        <f t="shared" si="59"/>
        <v>0</v>
      </c>
    </row>
    <row r="1363" spans="3:9" hidden="1">
      <c r="C1363" s="1180">
        <v>15426</v>
      </c>
      <c r="D1363" s="275" t="s">
        <v>1887</v>
      </c>
      <c r="E1363" s="1074"/>
      <c r="F1363" s="1074"/>
      <c r="G1363" s="1074"/>
      <c r="H1363" s="978" t="e">
        <f t="shared" si="58"/>
        <v>#DIV/0!</v>
      </c>
      <c r="I1363" s="1180">
        <f t="shared" si="59"/>
        <v>0</v>
      </c>
    </row>
    <row r="1364" spans="3:9" hidden="1">
      <c r="C1364" s="1180">
        <v>15430</v>
      </c>
      <c r="D1364" s="275" t="s">
        <v>2280</v>
      </c>
      <c r="E1364" s="1074"/>
      <c r="F1364" s="1074"/>
      <c r="G1364" s="1074"/>
      <c r="H1364" s="978" t="e">
        <f t="shared" si="58"/>
        <v>#DIV/0!</v>
      </c>
      <c r="I1364" s="1180">
        <f t="shared" si="59"/>
        <v>0</v>
      </c>
    </row>
    <row r="1365" spans="3:9" hidden="1">
      <c r="C1365" s="1180">
        <v>15428</v>
      </c>
      <c r="D1365" s="275" t="s">
        <v>1888</v>
      </c>
      <c r="E1365" s="1074"/>
      <c r="F1365" s="1074"/>
      <c r="G1365" s="1074"/>
      <c r="H1365" s="978" t="e">
        <f t="shared" si="58"/>
        <v>#DIV/0!</v>
      </c>
      <c r="I1365" s="1180">
        <f t="shared" si="59"/>
        <v>0</v>
      </c>
    </row>
    <row r="1366" spans="3:9" hidden="1">
      <c r="C1366" s="1180">
        <v>10416</v>
      </c>
      <c r="D1366" s="275" t="s">
        <v>2382</v>
      </c>
      <c r="E1366" s="1074"/>
      <c r="F1366" s="1074"/>
      <c r="G1366" s="1074"/>
      <c r="H1366" s="978" t="e">
        <f t="shared" si="58"/>
        <v>#DIV/0!</v>
      </c>
      <c r="I1366" s="1180">
        <f t="shared" si="59"/>
        <v>0</v>
      </c>
    </row>
    <row r="1367" spans="3:9" hidden="1">
      <c r="C1367" s="1180">
        <v>15767</v>
      </c>
      <c r="D1367" s="275" t="s">
        <v>1889</v>
      </c>
      <c r="E1367" s="1074"/>
      <c r="F1367" s="1074"/>
      <c r="G1367" s="1074"/>
      <c r="H1367" s="978" t="e">
        <f t="shared" si="58"/>
        <v>#DIV/0!</v>
      </c>
      <c r="I1367" s="1180">
        <f t="shared" si="59"/>
        <v>0</v>
      </c>
    </row>
    <row r="1368" spans="3:9">
      <c r="C1368" s="326">
        <v>9500</v>
      </c>
      <c r="D1368" s="1215" t="s">
        <v>2800</v>
      </c>
      <c r="E1368" s="326">
        <v>24</v>
      </c>
      <c r="F1368" s="326">
        <v>20</v>
      </c>
      <c r="G1368" s="326">
        <v>17.899999999999999</v>
      </c>
      <c r="H1368" s="1053">
        <f t="shared" si="58"/>
        <v>0.74583333333333324</v>
      </c>
      <c r="I1368" s="326">
        <f t="shared" si="59"/>
        <v>358</v>
      </c>
    </row>
    <row r="1369" spans="3:9" hidden="1">
      <c r="C1369" s="1180">
        <v>15750</v>
      </c>
      <c r="D1369" s="275" t="s">
        <v>3164</v>
      </c>
      <c r="E1369" s="1074"/>
      <c r="F1369" s="1074"/>
      <c r="G1369" s="1074"/>
      <c r="H1369" s="978" t="e">
        <f t="shared" si="58"/>
        <v>#DIV/0!</v>
      </c>
      <c r="I1369" s="1180">
        <f t="shared" si="59"/>
        <v>0</v>
      </c>
    </row>
    <row r="1370" spans="3:9" hidden="1">
      <c r="C1370" s="1180">
        <v>9252</v>
      </c>
      <c r="D1370" s="275" t="s">
        <v>3798</v>
      </c>
      <c r="E1370" s="1074"/>
      <c r="F1370" s="1074"/>
      <c r="G1370" s="1074"/>
      <c r="H1370" s="978" t="e">
        <f t="shared" si="58"/>
        <v>#DIV/0!</v>
      </c>
      <c r="I1370" s="1180">
        <f t="shared" si="59"/>
        <v>0</v>
      </c>
    </row>
    <row r="1371" spans="3:9" hidden="1">
      <c r="C1371" s="1180">
        <v>13577</v>
      </c>
      <c r="D1371" s="275" t="s">
        <v>2275</v>
      </c>
      <c r="E1371" s="1074"/>
      <c r="F1371" s="1074"/>
      <c r="G1371" s="1074"/>
      <c r="H1371" s="978" t="e">
        <f t="shared" si="58"/>
        <v>#DIV/0!</v>
      </c>
      <c r="I1371" s="1180">
        <f t="shared" si="59"/>
        <v>0</v>
      </c>
    </row>
    <row r="1372" spans="3:9">
      <c r="C1372" s="326">
        <v>6901</v>
      </c>
      <c r="D1372" s="1215" t="s">
        <v>1374</v>
      </c>
      <c r="E1372" s="326">
        <v>10</v>
      </c>
      <c r="F1372" s="326">
        <v>100</v>
      </c>
      <c r="G1372" s="326">
        <v>10</v>
      </c>
      <c r="H1372" s="1053">
        <f t="shared" ref="H1372:H1439" si="60">+G1372/E1372</f>
        <v>1</v>
      </c>
      <c r="I1372" s="326">
        <f t="shared" ref="I1372:I1439" si="61">+G1372*F1372</f>
        <v>1000</v>
      </c>
    </row>
    <row r="1373" spans="3:9" hidden="1">
      <c r="C1373" s="1180">
        <v>8309</v>
      </c>
      <c r="D1373" s="275" t="s">
        <v>2457</v>
      </c>
      <c r="E1373" s="1074"/>
      <c r="F1373" s="1074"/>
      <c r="G1373" s="1074"/>
      <c r="H1373" s="978" t="e">
        <f t="shared" si="60"/>
        <v>#DIV/0!</v>
      </c>
      <c r="I1373" s="1180">
        <f t="shared" si="61"/>
        <v>0</v>
      </c>
    </row>
    <row r="1374" spans="3:9" hidden="1">
      <c r="C1374" s="1180">
        <v>106</v>
      </c>
      <c r="D1374" s="275" t="s">
        <v>3976</v>
      </c>
      <c r="E1374" s="1074"/>
      <c r="F1374" s="1074"/>
      <c r="G1374" s="1074"/>
      <c r="H1374" s="978" t="e">
        <f t="shared" si="60"/>
        <v>#DIV/0!</v>
      </c>
      <c r="I1374" s="1180">
        <f t="shared" si="61"/>
        <v>0</v>
      </c>
    </row>
    <row r="1375" spans="3:9">
      <c r="C1375" s="326">
        <v>15403</v>
      </c>
      <c r="D1375" s="1215" t="s">
        <v>3356</v>
      </c>
      <c r="E1375" s="326">
        <v>26</v>
      </c>
      <c r="F1375" s="326">
        <v>34</v>
      </c>
      <c r="G1375" s="326">
        <v>15.1</v>
      </c>
      <c r="H1375" s="1053">
        <f t="shared" si="60"/>
        <v>0.5807692307692307</v>
      </c>
      <c r="I1375" s="326">
        <f t="shared" si="61"/>
        <v>513.4</v>
      </c>
    </row>
    <row r="1376" spans="3:9" hidden="1">
      <c r="C1376" s="1180">
        <v>21032</v>
      </c>
      <c r="D1376" s="275" t="s">
        <v>3450</v>
      </c>
      <c r="E1376" s="1074"/>
      <c r="F1376" s="1074"/>
      <c r="G1376" s="1074"/>
      <c r="H1376" s="978" t="e">
        <f t="shared" si="60"/>
        <v>#DIV/0!</v>
      </c>
      <c r="I1376" s="1180">
        <f t="shared" si="61"/>
        <v>0</v>
      </c>
    </row>
    <row r="1377" spans="3:9" hidden="1">
      <c r="C1377" s="1194">
        <v>9923</v>
      </c>
      <c r="D1377" s="1270" t="s">
        <v>1890</v>
      </c>
      <c r="E1377" s="1082">
        <v>72</v>
      </c>
      <c r="F1377" s="1082">
        <v>0</v>
      </c>
      <c r="G1377" s="1082">
        <v>21.6</v>
      </c>
      <c r="H1377" s="978">
        <f t="shared" si="60"/>
        <v>0.30000000000000004</v>
      </c>
      <c r="I1377" s="1180">
        <f t="shared" si="61"/>
        <v>0</v>
      </c>
    </row>
    <row r="1378" spans="3:9" hidden="1">
      <c r="C1378" s="1180">
        <v>13568</v>
      </c>
      <c r="D1378" s="275" t="s">
        <v>2456</v>
      </c>
      <c r="E1378" s="1074"/>
      <c r="F1378" s="1074"/>
      <c r="G1378" s="1074"/>
      <c r="H1378" s="978" t="e">
        <f t="shared" si="60"/>
        <v>#DIV/0!</v>
      </c>
      <c r="I1378" s="1180">
        <f t="shared" si="61"/>
        <v>0</v>
      </c>
    </row>
    <row r="1379" spans="3:9" hidden="1">
      <c r="C1379" s="1180">
        <v>21226</v>
      </c>
      <c r="D1379" s="275" t="s">
        <v>3619</v>
      </c>
      <c r="E1379" s="1074"/>
      <c r="F1379" s="1074"/>
      <c r="G1379" s="1074"/>
      <c r="H1379" s="978" t="e">
        <f t="shared" si="60"/>
        <v>#DIV/0!</v>
      </c>
      <c r="I1379" s="1180">
        <f t="shared" si="61"/>
        <v>0</v>
      </c>
    </row>
    <row r="1380" spans="3:9" hidden="1">
      <c r="C1380" s="1180">
        <v>21227</v>
      </c>
      <c r="D1380" s="275" t="s">
        <v>3483</v>
      </c>
      <c r="E1380" s="1074"/>
      <c r="F1380" s="1074"/>
      <c r="G1380" s="1074"/>
      <c r="H1380" s="978" t="e">
        <f t="shared" si="60"/>
        <v>#DIV/0!</v>
      </c>
      <c r="I1380" s="1180">
        <f t="shared" si="61"/>
        <v>0</v>
      </c>
    </row>
    <row r="1381" spans="3:9" hidden="1">
      <c r="C1381" s="1180">
        <v>21228</v>
      </c>
      <c r="D1381" s="275" t="s">
        <v>3620</v>
      </c>
      <c r="E1381" s="1074"/>
      <c r="F1381" s="1074"/>
      <c r="G1381" s="1074"/>
      <c r="H1381" s="978" t="e">
        <f t="shared" si="60"/>
        <v>#DIV/0!</v>
      </c>
      <c r="I1381" s="1180">
        <f t="shared" si="61"/>
        <v>0</v>
      </c>
    </row>
    <row r="1382" spans="3:9" hidden="1">
      <c r="C1382" s="1180">
        <v>21229</v>
      </c>
      <c r="D1382" s="275" t="s">
        <v>3484</v>
      </c>
      <c r="E1382" s="1074"/>
      <c r="F1382" s="1074"/>
      <c r="G1382" s="1074"/>
      <c r="H1382" s="978" t="e">
        <f t="shared" si="60"/>
        <v>#DIV/0!</v>
      </c>
      <c r="I1382" s="1180">
        <f t="shared" si="61"/>
        <v>0</v>
      </c>
    </row>
    <row r="1383" spans="3:9" hidden="1">
      <c r="C1383" s="1180">
        <v>17887</v>
      </c>
      <c r="D1383" s="275" t="s">
        <v>1891</v>
      </c>
      <c r="E1383" s="1074"/>
      <c r="F1383" s="1074"/>
      <c r="G1383" s="1074"/>
      <c r="H1383" s="978" t="e">
        <f t="shared" si="60"/>
        <v>#DIV/0!</v>
      </c>
      <c r="I1383" s="1180">
        <f t="shared" si="61"/>
        <v>0</v>
      </c>
    </row>
    <row r="1384" spans="3:9" hidden="1">
      <c r="C1384" s="1180">
        <v>21027</v>
      </c>
      <c r="D1384" s="275" t="s">
        <v>3451</v>
      </c>
      <c r="E1384" s="1074"/>
      <c r="F1384" s="1074"/>
      <c r="G1384" s="1074"/>
      <c r="H1384" s="978" t="e">
        <f t="shared" si="60"/>
        <v>#DIV/0!</v>
      </c>
      <c r="I1384" s="1180">
        <f t="shared" si="61"/>
        <v>0</v>
      </c>
    </row>
    <row r="1385" spans="3:9" hidden="1">
      <c r="C1385" s="1180">
        <v>11384</v>
      </c>
      <c r="D1385" s="275" t="s">
        <v>1892</v>
      </c>
      <c r="E1385" s="1074"/>
      <c r="F1385" s="1074"/>
      <c r="G1385" s="1074"/>
      <c r="H1385" s="978" t="e">
        <f t="shared" si="60"/>
        <v>#DIV/0!</v>
      </c>
      <c r="I1385" s="1180">
        <f t="shared" si="61"/>
        <v>0</v>
      </c>
    </row>
    <row r="1386" spans="3:9" hidden="1">
      <c r="C1386" s="1180">
        <v>13718</v>
      </c>
      <c r="D1386" s="275" t="s">
        <v>1893</v>
      </c>
      <c r="E1386" s="1074"/>
      <c r="F1386" s="1074"/>
      <c r="G1386" s="1074"/>
      <c r="H1386" s="978" t="e">
        <f t="shared" si="60"/>
        <v>#DIV/0!</v>
      </c>
      <c r="I1386" s="1180">
        <f t="shared" si="61"/>
        <v>0</v>
      </c>
    </row>
    <row r="1387" spans="3:9">
      <c r="C1387" s="326">
        <v>10228</v>
      </c>
      <c r="D1387" s="1215" t="s">
        <v>1894</v>
      </c>
      <c r="E1387" s="326">
        <v>25</v>
      </c>
      <c r="F1387" s="326">
        <v>20</v>
      </c>
      <c r="G1387" s="326">
        <v>48</v>
      </c>
      <c r="H1387" s="1053">
        <f t="shared" si="60"/>
        <v>1.92</v>
      </c>
      <c r="I1387" s="326">
        <f t="shared" si="61"/>
        <v>960</v>
      </c>
    </row>
    <row r="1388" spans="3:9" hidden="1">
      <c r="C1388" s="1180">
        <v>10238</v>
      </c>
      <c r="D1388" s="275" t="s">
        <v>1491</v>
      </c>
      <c r="E1388" s="1074"/>
      <c r="F1388" s="1074"/>
      <c r="G1388" s="1074"/>
      <c r="H1388" s="978" t="e">
        <f t="shared" si="60"/>
        <v>#DIV/0!</v>
      </c>
      <c r="I1388" s="1180">
        <f t="shared" si="61"/>
        <v>0</v>
      </c>
    </row>
    <row r="1389" spans="3:9" hidden="1">
      <c r="C1389" s="1180">
        <v>8000</v>
      </c>
      <c r="D1389" s="275" t="s">
        <v>2384</v>
      </c>
      <c r="E1389" s="1074"/>
      <c r="F1389" s="1074"/>
      <c r="G1389" s="1074"/>
      <c r="H1389" s="978" t="e">
        <f t="shared" si="60"/>
        <v>#DIV/0!</v>
      </c>
      <c r="I1389" s="1180">
        <f t="shared" si="61"/>
        <v>0</v>
      </c>
    </row>
    <row r="1390" spans="3:9">
      <c r="C1390" s="326">
        <v>20014</v>
      </c>
      <c r="D1390" s="1215" t="s">
        <v>3977</v>
      </c>
      <c r="E1390" s="326">
        <v>20</v>
      </c>
      <c r="F1390" s="326">
        <v>10</v>
      </c>
      <c r="G1390" s="326">
        <v>43</v>
      </c>
      <c r="H1390" s="1053">
        <f t="shared" si="60"/>
        <v>2.15</v>
      </c>
      <c r="I1390" s="326">
        <f t="shared" si="61"/>
        <v>430</v>
      </c>
    </row>
    <row r="1391" spans="3:9" hidden="1">
      <c r="C1391" s="1180">
        <v>13719</v>
      </c>
      <c r="D1391" s="275" t="s">
        <v>1895</v>
      </c>
      <c r="E1391" s="1074"/>
      <c r="F1391" s="1074"/>
      <c r="G1391" s="1074"/>
      <c r="H1391" s="978" t="e">
        <f t="shared" si="60"/>
        <v>#DIV/0!</v>
      </c>
      <c r="I1391" s="1180">
        <f t="shared" si="61"/>
        <v>0</v>
      </c>
    </row>
    <row r="1392" spans="3:9" hidden="1">
      <c r="C1392" s="1180">
        <v>13720</v>
      </c>
      <c r="D1392" s="275" t="s">
        <v>1896</v>
      </c>
      <c r="E1392" s="1074"/>
      <c r="F1392" s="1074"/>
      <c r="G1392" s="1074"/>
      <c r="H1392" s="978" t="e">
        <f t="shared" si="60"/>
        <v>#DIV/0!</v>
      </c>
      <c r="I1392" s="1180">
        <f t="shared" si="61"/>
        <v>0</v>
      </c>
    </row>
    <row r="1393" spans="3:61">
      <c r="C1393" s="326">
        <v>9755</v>
      </c>
      <c r="D1393" s="1215" t="s">
        <v>1897</v>
      </c>
      <c r="E1393" s="326">
        <v>24</v>
      </c>
      <c r="F1393" s="326">
        <v>100</v>
      </c>
      <c r="G1393" s="326">
        <v>15</v>
      </c>
      <c r="H1393" s="1053">
        <f t="shared" si="60"/>
        <v>0.625</v>
      </c>
      <c r="I1393" s="326">
        <f t="shared" si="61"/>
        <v>1500</v>
      </c>
    </row>
    <row r="1394" spans="3:61">
      <c r="C1394" s="326">
        <v>10396</v>
      </c>
      <c r="D1394" s="1215" t="s">
        <v>1898</v>
      </c>
      <c r="E1394" s="326">
        <v>12</v>
      </c>
      <c r="F1394" s="326">
        <v>20</v>
      </c>
      <c r="G1394" s="326">
        <v>14.9</v>
      </c>
      <c r="H1394" s="1053">
        <f t="shared" si="60"/>
        <v>1.2416666666666667</v>
      </c>
      <c r="I1394" s="326">
        <f t="shared" si="61"/>
        <v>298</v>
      </c>
    </row>
    <row r="1395" spans="3:61" s="827" customFormat="1">
      <c r="C1395" s="326">
        <v>21867</v>
      </c>
      <c r="D1395" s="1215" t="s">
        <v>4015</v>
      </c>
      <c r="E1395" s="326">
        <v>24</v>
      </c>
      <c r="F1395" s="326">
        <v>20</v>
      </c>
      <c r="G1395" s="326">
        <v>12</v>
      </c>
      <c r="H1395" s="1053">
        <f t="shared" si="60"/>
        <v>0.5</v>
      </c>
      <c r="I1395" s="326">
        <f t="shared" si="61"/>
        <v>240</v>
      </c>
      <c r="J1395" s="123"/>
      <c r="K1395" s="123"/>
      <c r="L1395" s="123"/>
      <c r="M1395" s="123"/>
      <c r="N1395" s="123"/>
      <c r="O1395" s="123"/>
      <c r="P1395" s="123"/>
      <c r="Q1395" s="123"/>
      <c r="R1395" s="123"/>
      <c r="S1395" s="123"/>
      <c r="T1395" s="123"/>
      <c r="U1395" s="123"/>
      <c r="V1395" s="123"/>
      <c r="W1395" s="123"/>
      <c r="X1395" s="123"/>
      <c r="Y1395" s="123"/>
      <c r="Z1395" s="123"/>
      <c r="AA1395" s="123"/>
      <c r="AB1395" s="123"/>
      <c r="AC1395" s="123"/>
      <c r="AD1395" s="123"/>
      <c r="AE1395" s="123"/>
      <c r="AF1395" s="123"/>
      <c r="AG1395" s="123"/>
      <c r="AH1395" s="123"/>
      <c r="AI1395" s="123"/>
      <c r="AJ1395" s="123"/>
      <c r="AK1395" s="123"/>
      <c r="AL1395" s="123"/>
      <c r="AM1395" s="123"/>
      <c r="AN1395" s="123"/>
      <c r="AO1395" s="123"/>
      <c r="AP1395" s="123"/>
      <c r="AQ1395" s="123"/>
      <c r="AR1395" s="123"/>
      <c r="AS1395" s="123"/>
      <c r="AT1395" s="123"/>
      <c r="AU1395" s="123"/>
      <c r="AV1395" s="123"/>
      <c r="AW1395" s="123"/>
      <c r="AX1395" s="123"/>
      <c r="AY1395" s="123"/>
      <c r="AZ1395" s="123"/>
      <c r="BA1395" s="123"/>
      <c r="BB1395" s="123"/>
      <c r="BC1395" s="123"/>
      <c r="BD1395" s="123"/>
      <c r="BE1395" s="123"/>
      <c r="BF1395" s="123"/>
      <c r="BG1395" s="123"/>
      <c r="BH1395" s="123"/>
      <c r="BI1395" s="123"/>
    </row>
    <row r="1396" spans="3:61">
      <c r="C1396" s="326">
        <v>16123</v>
      </c>
      <c r="D1396" s="1215" t="s">
        <v>4033</v>
      </c>
      <c r="E1396" s="326">
        <v>10</v>
      </c>
      <c r="F1396" s="326">
        <v>5</v>
      </c>
      <c r="G1396" s="326">
        <v>4</v>
      </c>
      <c r="H1396" s="1053">
        <f t="shared" si="60"/>
        <v>0.4</v>
      </c>
      <c r="I1396" s="326">
        <f t="shared" si="61"/>
        <v>20</v>
      </c>
    </row>
    <row r="1397" spans="3:61" s="827" customFormat="1">
      <c r="C1397" s="326">
        <v>21869</v>
      </c>
      <c r="D1397" s="1215" t="s">
        <v>4032</v>
      </c>
      <c r="E1397" s="326">
        <v>50</v>
      </c>
      <c r="F1397" s="326">
        <v>40</v>
      </c>
      <c r="G1397" s="326">
        <v>2.99</v>
      </c>
      <c r="H1397" s="1053">
        <f t="shared" si="60"/>
        <v>5.9800000000000006E-2</v>
      </c>
      <c r="I1397" s="326">
        <f t="shared" si="61"/>
        <v>119.60000000000001</v>
      </c>
      <c r="J1397" s="123"/>
      <c r="K1397" s="123"/>
      <c r="L1397" s="123"/>
      <c r="M1397" s="123"/>
      <c r="N1397" s="123"/>
      <c r="O1397" s="123"/>
      <c r="P1397" s="123"/>
      <c r="Q1397" s="123"/>
      <c r="R1397" s="123"/>
      <c r="S1397" s="123"/>
      <c r="T1397" s="123"/>
      <c r="U1397" s="123"/>
      <c r="V1397" s="123"/>
      <c r="W1397" s="123"/>
      <c r="X1397" s="123"/>
      <c r="Y1397" s="123"/>
      <c r="Z1397" s="123"/>
      <c r="AA1397" s="123"/>
      <c r="AB1397" s="123"/>
      <c r="AC1397" s="123"/>
      <c r="AD1397" s="123"/>
      <c r="AE1397" s="123"/>
      <c r="AF1397" s="123"/>
      <c r="AG1397" s="123"/>
      <c r="AH1397" s="123"/>
      <c r="AI1397" s="123"/>
      <c r="AJ1397" s="123"/>
      <c r="AK1397" s="123"/>
      <c r="AL1397" s="123"/>
      <c r="AM1397" s="123"/>
      <c r="AN1397" s="123"/>
      <c r="AO1397" s="123"/>
      <c r="AP1397" s="123"/>
      <c r="AQ1397" s="123"/>
      <c r="AR1397" s="123"/>
      <c r="AS1397" s="123"/>
      <c r="AT1397" s="123"/>
      <c r="AU1397" s="123"/>
      <c r="AV1397" s="123"/>
      <c r="AW1397" s="123"/>
      <c r="AX1397" s="123"/>
      <c r="AY1397" s="123"/>
      <c r="AZ1397" s="123"/>
      <c r="BA1397" s="123"/>
      <c r="BB1397" s="123"/>
      <c r="BC1397" s="123"/>
      <c r="BD1397" s="123"/>
      <c r="BE1397" s="123"/>
      <c r="BF1397" s="123"/>
      <c r="BG1397" s="123"/>
      <c r="BH1397" s="123"/>
      <c r="BI1397" s="123"/>
    </row>
    <row r="1398" spans="3:61" s="827" customFormat="1" hidden="1">
      <c r="C1398" s="1180"/>
      <c r="D1398" s="275"/>
      <c r="E1398" s="1074"/>
      <c r="F1398" s="1074"/>
      <c r="G1398" s="1074"/>
      <c r="H1398" s="978"/>
      <c r="I1398" s="1180">
        <f t="shared" si="61"/>
        <v>0</v>
      </c>
      <c r="J1398" s="123"/>
      <c r="K1398" s="123"/>
      <c r="L1398" s="123"/>
      <c r="M1398" s="123"/>
      <c r="N1398" s="123"/>
      <c r="O1398" s="123"/>
      <c r="P1398" s="123"/>
      <c r="Q1398" s="123"/>
      <c r="R1398" s="123"/>
      <c r="S1398" s="123"/>
      <c r="T1398" s="123"/>
      <c r="U1398" s="123"/>
      <c r="V1398" s="123"/>
      <c r="W1398" s="123"/>
      <c r="X1398" s="123"/>
      <c r="Y1398" s="123"/>
      <c r="Z1398" s="123"/>
      <c r="AA1398" s="123"/>
      <c r="AB1398" s="123"/>
      <c r="AC1398" s="123"/>
      <c r="AD1398" s="123"/>
      <c r="AE1398" s="123"/>
      <c r="AF1398" s="123"/>
      <c r="AG1398" s="123"/>
      <c r="AH1398" s="123"/>
      <c r="AI1398" s="123"/>
      <c r="AJ1398" s="123"/>
      <c r="AK1398" s="123"/>
      <c r="AL1398" s="123"/>
      <c r="AM1398" s="123"/>
      <c r="AN1398" s="123"/>
      <c r="AO1398" s="123"/>
      <c r="AP1398" s="123"/>
      <c r="AQ1398" s="123"/>
      <c r="AR1398" s="123"/>
      <c r="AS1398" s="123"/>
      <c r="AT1398" s="123"/>
      <c r="AU1398" s="123"/>
      <c r="AV1398" s="123"/>
      <c r="AW1398" s="123"/>
      <c r="AX1398" s="123"/>
      <c r="AY1398" s="123"/>
      <c r="AZ1398" s="123"/>
      <c r="BA1398" s="123"/>
      <c r="BB1398" s="123"/>
      <c r="BC1398" s="123"/>
      <c r="BD1398" s="123"/>
      <c r="BE1398" s="123"/>
      <c r="BF1398" s="123"/>
      <c r="BG1398" s="123"/>
      <c r="BH1398" s="123"/>
      <c r="BI1398" s="123"/>
    </row>
    <row r="1399" spans="3:61" hidden="1">
      <c r="C1399" s="1180">
        <v>14308</v>
      </c>
      <c r="D1399" s="275" t="s">
        <v>2801</v>
      </c>
      <c r="E1399" s="1074"/>
      <c r="F1399" s="1074"/>
      <c r="G1399" s="1074"/>
      <c r="H1399" s="978" t="e">
        <f t="shared" si="60"/>
        <v>#DIV/0!</v>
      </c>
      <c r="I1399" s="1180">
        <f t="shared" si="61"/>
        <v>0</v>
      </c>
    </row>
    <row r="1400" spans="3:61" hidden="1">
      <c r="C1400" s="1180">
        <v>13569</v>
      </c>
      <c r="D1400" s="275" t="s">
        <v>2455</v>
      </c>
      <c r="E1400" s="1074"/>
      <c r="F1400" s="1074"/>
      <c r="G1400" s="1074"/>
      <c r="H1400" s="978" t="e">
        <f t="shared" si="60"/>
        <v>#DIV/0!</v>
      </c>
      <c r="I1400" s="1180">
        <f t="shared" si="61"/>
        <v>0</v>
      </c>
    </row>
    <row r="1401" spans="3:61" hidden="1">
      <c r="C1401" s="1194">
        <v>13578</v>
      </c>
      <c r="D1401" s="1270" t="s">
        <v>2282</v>
      </c>
      <c r="E1401" s="1082">
        <v>288</v>
      </c>
      <c r="F1401" s="1082">
        <v>0</v>
      </c>
      <c r="G1401" s="1082">
        <v>78.900000000000006</v>
      </c>
      <c r="H1401" s="978">
        <f t="shared" si="60"/>
        <v>0.27395833333333336</v>
      </c>
      <c r="I1401" s="1180">
        <f t="shared" si="61"/>
        <v>0</v>
      </c>
    </row>
    <row r="1402" spans="3:61" hidden="1">
      <c r="C1402" s="1194">
        <v>1145</v>
      </c>
      <c r="D1402" s="1270" t="s">
        <v>3961</v>
      </c>
      <c r="E1402" s="1082">
        <v>12</v>
      </c>
      <c r="F1402" s="1082">
        <v>0</v>
      </c>
      <c r="G1402" s="1082">
        <v>16</v>
      </c>
      <c r="H1402" s="978">
        <f t="shared" si="60"/>
        <v>1.3333333333333333</v>
      </c>
      <c r="I1402" s="1180">
        <f t="shared" si="61"/>
        <v>0</v>
      </c>
    </row>
    <row r="1403" spans="3:61" hidden="1">
      <c r="C1403" s="1180">
        <v>20892</v>
      </c>
      <c r="D1403" s="275" t="s">
        <v>3165</v>
      </c>
      <c r="E1403" s="1074"/>
      <c r="F1403" s="1074"/>
      <c r="G1403" s="1074"/>
      <c r="H1403" s="978" t="e">
        <f t="shared" si="60"/>
        <v>#DIV/0!</v>
      </c>
      <c r="I1403" s="1180">
        <f t="shared" si="61"/>
        <v>0</v>
      </c>
    </row>
    <row r="1404" spans="3:61" hidden="1">
      <c r="C1404" s="1180">
        <v>20893</v>
      </c>
      <c r="D1404" s="275" t="s">
        <v>3166</v>
      </c>
      <c r="E1404" s="1074"/>
      <c r="F1404" s="1074"/>
      <c r="G1404" s="1074"/>
      <c r="H1404" s="978" t="e">
        <f t="shared" si="60"/>
        <v>#DIV/0!</v>
      </c>
      <c r="I1404" s="1180">
        <f t="shared" si="61"/>
        <v>0</v>
      </c>
    </row>
    <row r="1405" spans="3:61" hidden="1">
      <c r="C1405" s="1180">
        <v>20894</v>
      </c>
      <c r="D1405" s="275" t="s">
        <v>3167</v>
      </c>
      <c r="E1405" s="1074"/>
      <c r="F1405" s="1074"/>
      <c r="G1405" s="1074"/>
      <c r="H1405" s="978" t="e">
        <f t="shared" si="60"/>
        <v>#DIV/0!</v>
      </c>
      <c r="I1405" s="1180">
        <f t="shared" si="61"/>
        <v>0</v>
      </c>
    </row>
    <row r="1406" spans="3:61" hidden="1">
      <c r="C1406" s="1180">
        <v>21256</v>
      </c>
      <c r="D1406" s="275" t="s">
        <v>3621</v>
      </c>
      <c r="E1406" s="1074"/>
      <c r="F1406" s="1074"/>
      <c r="G1406" s="1074"/>
      <c r="H1406" s="978" t="e">
        <f t="shared" si="60"/>
        <v>#DIV/0!</v>
      </c>
      <c r="I1406" s="1180">
        <f t="shared" si="61"/>
        <v>0</v>
      </c>
    </row>
    <row r="1407" spans="3:61">
      <c r="C1407" s="326">
        <v>21255</v>
      </c>
      <c r="D1407" s="1215" t="s">
        <v>4017</v>
      </c>
      <c r="E1407" s="326">
        <v>12</v>
      </c>
      <c r="F1407" s="326">
        <v>15</v>
      </c>
      <c r="G1407" s="326">
        <v>9.6</v>
      </c>
      <c r="H1407" s="1053">
        <f t="shared" si="60"/>
        <v>0.79999999999999993</v>
      </c>
      <c r="I1407" s="326">
        <f t="shared" si="61"/>
        <v>144</v>
      </c>
    </row>
    <row r="1408" spans="3:61" hidden="1">
      <c r="C1408" s="1194">
        <v>18135</v>
      </c>
      <c r="D1408" s="1270" t="s">
        <v>2802</v>
      </c>
      <c r="E1408" s="1082">
        <v>12</v>
      </c>
      <c r="F1408" s="1082">
        <v>0</v>
      </c>
      <c r="G1408" s="1082">
        <v>8.5</v>
      </c>
      <c r="H1408" s="978">
        <f t="shared" si="60"/>
        <v>0.70833333333333337</v>
      </c>
      <c r="I1408" s="1180">
        <f t="shared" si="61"/>
        <v>0</v>
      </c>
    </row>
    <row r="1409" spans="3:61" hidden="1">
      <c r="C1409" s="1194">
        <v>20803</v>
      </c>
      <c r="D1409" s="1270" t="s">
        <v>3173</v>
      </c>
      <c r="E1409" s="1082">
        <v>12</v>
      </c>
      <c r="F1409" s="1082">
        <v>0</v>
      </c>
      <c r="G1409" s="1082">
        <v>6.5</v>
      </c>
      <c r="H1409" s="978">
        <f t="shared" si="60"/>
        <v>0.54166666666666663</v>
      </c>
      <c r="I1409" s="1180">
        <f t="shared" si="61"/>
        <v>0</v>
      </c>
    </row>
    <row r="1410" spans="3:61" s="827" customFormat="1">
      <c r="C1410" s="326">
        <v>9362</v>
      </c>
      <c r="D1410" s="1215" t="s">
        <v>4016</v>
      </c>
      <c r="E1410" s="326">
        <v>12</v>
      </c>
      <c r="F1410" s="326">
        <v>9</v>
      </c>
      <c r="G1410" s="326">
        <v>9.1</v>
      </c>
      <c r="H1410" s="1053">
        <f t="shared" si="60"/>
        <v>0.7583333333333333</v>
      </c>
      <c r="I1410" s="326">
        <f t="shared" si="61"/>
        <v>81.899999999999991</v>
      </c>
      <c r="J1410" s="123"/>
      <c r="K1410" s="123"/>
      <c r="L1410" s="123"/>
      <c r="M1410" s="123"/>
      <c r="N1410" s="123"/>
      <c r="O1410" s="123"/>
      <c r="P1410" s="123"/>
      <c r="Q1410" s="123"/>
      <c r="R1410" s="123"/>
      <c r="S1410" s="123"/>
      <c r="T1410" s="123"/>
      <c r="U1410" s="123"/>
      <c r="V1410" s="123"/>
      <c r="W1410" s="123"/>
      <c r="X1410" s="123"/>
      <c r="Y1410" s="123"/>
      <c r="Z1410" s="123"/>
      <c r="AA1410" s="123"/>
      <c r="AB1410" s="123"/>
      <c r="AC1410" s="123"/>
      <c r="AD1410" s="123"/>
      <c r="AE1410" s="123"/>
      <c r="AF1410" s="123"/>
      <c r="AG1410" s="123"/>
      <c r="AH1410" s="123"/>
      <c r="AI1410" s="123"/>
      <c r="AJ1410" s="123"/>
      <c r="AK1410" s="123"/>
      <c r="AL1410" s="123"/>
      <c r="AM1410" s="123"/>
      <c r="AN1410" s="123"/>
      <c r="AO1410" s="123"/>
      <c r="AP1410" s="123"/>
      <c r="AQ1410" s="123"/>
      <c r="AR1410" s="123"/>
      <c r="AS1410" s="123"/>
      <c r="AT1410" s="123"/>
      <c r="AU1410" s="123"/>
      <c r="AV1410" s="123"/>
      <c r="AW1410" s="123"/>
      <c r="AX1410" s="123"/>
      <c r="AY1410" s="123"/>
      <c r="AZ1410" s="123"/>
      <c r="BA1410" s="123"/>
      <c r="BB1410" s="123"/>
      <c r="BC1410" s="123"/>
      <c r="BD1410" s="123"/>
      <c r="BE1410" s="123"/>
      <c r="BF1410" s="123"/>
      <c r="BG1410" s="123"/>
      <c r="BH1410" s="123"/>
      <c r="BI1410" s="123"/>
    </row>
    <row r="1411" spans="3:61" hidden="1">
      <c r="C1411" s="1180">
        <v>2647</v>
      </c>
      <c r="D1411" s="275" t="s">
        <v>1899</v>
      </c>
      <c r="E1411" s="1074"/>
      <c r="F1411" s="1074"/>
      <c r="G1411" s="1074"/>
      <c r="H1411" s="978" t="e">
        <f t="shared" si="60"/>
        <v>#DIV/0!</v>
      </c>
      <c r="I1411" s="1180">
        <f t="shared" si="61"/>
        <v>0</v>
      </c>
    </row>
    <row r="1412" spans="3:61" hidden="1">
      <c r="C1412" s="1180">
        <v>20007</v>
      </c>
      <c r="D1412" s="275" t="s">
        <v>2293</v>
      </c>
      <c r="E1412" s="1074"/>
      <c r="F1412" s="1074"/>
      <c r="G1412" s="1074"/>
      <c r="H1412" s="978" t="e">
        <f t="shared" si="60"/>
        <v>#DIV/0!</v>
      </c>
      <c r="I1412" s="1180">
        <f t="shared" si="61"/>
        <v>0</v>
      </c>
    </row>
    <row r="1413" spans="3:61" hidden="1">
      <c r="C1413" s="1180">
        <v>7644</v>
      </c>
      <c r="D1413" s="275" t="s">
        <v>2454</v>
      </c>
      <c r="E1413" s="1074"/>
      <c r="F1413" s="1074"/>
      <c r="G1413" s="1074"/>
      <c r="H1413" s="978" t="e">
        <f t="shared" si="60"/>
        <v>#DIV/0!</v>
      </c>
      <c r="I1413" s="1180">
        <f t="shared" si="61"/>
        <v>0</v>
      </c>
    </row>
    <row r="1414" spans="3:61" hidden="1">
      <c r="C1414" s="1180">
        <v>20011</v>
      </c>
      <c r="D1414" s="275" t="s">
        <v>2294</v>
      </c>
      <c r="E1414" s="1074"/>
      <c r="F1414" s="1074"/>
      <c r="G1414" s="1074"/>
      <c r="H1414" s="978" t="e">
        <f t="shared" si="60"/>
        <v>#DIV/0!</v>
      </c>
      <c r="I1414" s="1180">
        <f t="shared" si="61"/>
        <v>0</v>
      </c>
    </row>
    <row r="1415" spans="3:61" hidden="1">
      <c r="C1415" s="1180">
        <v>14402</v>
      </c>
      <c r="D1415" s="275" t="s">
        <v>2453</v>
      </c>
      <c r="E1415" s="1074"/>
      <c r="F1415" s="1074"/>
      <c r="G1415" s="1074"/>
      <c r="H1415" s="978" t="e">
        <f t="shared" si="60"/>
        <v>#DIV/0!</v>
      </c>
      <c r="I1415" s="1180">
        <f t="shared" si="61"/>
        <v>0</v>
      </c>
    </row>
    <row r="1416" spans="3:61" hidden="1">
      <c r="C1416" s="1180">
        <v>14403</v>
      </c>
      <c r="D1416" s="275" t="s">
        <v>2277</v>
      </c>
      <c r="E1416" s="1074"/>
      <c r="F1416" s="1074"/>
      <c r="G1416" s="1074"/>
      <c r="H1416" s="978" t="e">
        <f t="shared" si="60"/>
        <v>#DIV/0!</v>
      </c>
      <c r="I1416" s="1180">
        <f t="shared" si="61"/>
        <v>0</v>
      </c>
    </row>
    <row r="1417" spans="3:61" hidden="1">
      <c r="C1417" s="1180">
        <v>21026</v>
      </c>
      <c r="D1417" s="275" t="s">
        <v>3455</v>
      </c>
      <c r="E1417" s="1074"/>
      <c r="F1417" s="1074"/>
      <c r="G1417" s="1074"/>
      <c r="H1417" s="978" t="e">
        <f t="shared" si="60"/>
        <v>#DIV/0!</v>
      </c>
      <c r="I1417" s="1180">
        <f t="shared" si="61"/>
        <v>0</v>
      </c>
    </row>
    <row r="1418" spans="3:61" hidden="1">
      <c r="C1418" s="1180">
        <v>21224</v>
      </c>
      <c r="D1418" s="275" t="s">
        <v>3622</v>
      </c>
      <c r="E1418" s="1074"/>
      <c r="F1418" s="1074"/>
      <c r="G1418" s="1074"/>
      <c r="H1418" s="978" t="e">
        <f t="shared" si="60"/>
        <v>#DIV/0!</v>
      </c>
      <c r="I1418" s="1180">
        <f t="shared" si="61"/>
        <v>0</v>
      </c>
    </row>
    <row r="1419" spans="3:61" hidden="1">
      <c r="C1419" s="1180">
        <v>21225</v>
      </c>
      <c r="D1419" s="275" t="s">
        <v>3799</v>
      </c>
      <c r="E1419" s="1074"/>
      <c r="F1419" s="1074"/>
      <c r="G1419" s="1074"/>
      <c r="H1419" s="978" t="e">
        <f t="shared" si="60"/>
        <v>#DIV/0!</v>
      </c>
      <c r="I1419" s="1180">
        <f t="shared" si="61"/>
        <v>0</v>
      </c>
    </row>
    <row r="1420" spans="3:61" hidden="1">
      <c r="C1420" s="1180">
        <v>21232</v>
      </c>
      <c r="D1420" s="275" t="s">
        <v>3486</v>
      </c>
      <c r="E1420" s="1074"/>
      <c r="F1420" s="1074"/>
      <c r="G1420" s="1074"/>
      <c r="H1420" s="978" t="e">
        <f t="shared" si="60"/>
        <v>#DIV/0!</v>
      </c>
      <c r="I1420" s="1180">
        <f t="shared" si="61"/>
        <v>0</v>
      </c>
    </row>
    <row r="1421" spans="3:61" hidden="1">
      <c r="C1421" s="1180">
        <v>21231</v>
      </c>
      <c r="D1421" s="275" t="s">
        <v>3487</v>
      </c>
      <c r="E1421" s="1074"/>
      <c r="F1421" s="1074"/>
      <c r="G1421" s="1074"/>
      <c r="H1421" s="978" t="e">
        <f t="shared" si="60"/>
        <v>#DIV/0!</v>
      </c>
      <c r="I1421" s="1180">
        <f t="shared" si="61"/>
        <v>0</v>
      </c>
    </row>
    <row r="1422" spans="3:61" hidden="1">
      <c r="C1422" s="1180">
        <v>9563</v>
      </c>
      <c r="D1422" s="275" t="s">
        <v>3623</v>
      </c>
      <c r="E1422" s="1074"/>
      <c r="F1422" s="1074"/>
      <c r="G1422" s="1074"/>
      <c r="H1422" s="978" t="e">
        <f t="shared" si="60"/>
        <v>#DIV/0!</v>
      </c>
      <c r="I1422" s="1180">
        <f t="shared" si="61"/>
        <v>0</v>
      </c>
    </row>
    <row r="1423" spans="3:61" hidden="1">
      <c r="C1423" s="1180">
        <v>16123</v>
      </c>
      <c r="D1423" s="275" t="s">
        <v>3800</v>
      </c>
      <c r="E1423" s="1074"/>
      <c r="F1423" s="1074"/>
      <c r="G1423" s="1074"/>
      <c r="H1423" s="978" t="e">
        <f t="shared" si="60"/>
        <v>#DIV/0!</v>
      </c>
      <c r="I1423" s="1180">
        <f t="shared" si="61"/>
        <v>0</v>
      </c>
    </row>
    <row r="1424" spans="3:61" hidden="1">
      <c r="C1424" s="1180">
        <v>20005</v>
      </c>
      <c r="D1424" s="275" t="s">
        <v>2291</v>
      </c>
      <c r="E1424" s="1074"/>
      <c r="F1424" s="1074"/>
      <c r="G1424" s="1074"/>
      <c r="H1424" s="978" t="e">
        <f t="shared" si="60"/>
        <v>#DIV/0!</v>
      </c>
      <c r="I1424" s="1180">
        <f t="shared" si="61"/>
        <v>0</v>
      </c>
    </row>
    <row r="1425" spans="3:9" hidden="1">
      <c r="C1425" s="1180">
        <v>20008</v>
      </c>
      <c r="D1425" s="275" t="s">
        <v>2292</v>
      </c>
      <c r="E1425" s="1074"/>
      <c r="F1425" s="1074"/>
      <c r="G1425" s="1074"/>
      <c r="H1425" s="978" t="e">
        <f t="shared" si="60"/>
        <v>#DIV/0!</v>
      </c>
      <c r="I1425" s="1180">
        <f t="shared" si="61"/>
        <v>0</v>
      </c>
    </row>
    <row r="1426" spans="3:9" hidden="1">
      <c r="C1426" s="1180">
        <v>20009</v>
      </c>
      <c r="D1426" s="275" t="s">
        <v>2290</v>
      </c>
      <c r="E1426" s="1074"/>
      <c r="F1426" s="1074"/>
      <c r="G1426" s="1074"/>
      <c r="H1426" s="978" t="e">
        <f t="shared" si="60"/>
        <v>#DIV/0!</v>
      </c>
      <c r="I1426" s="1180">
        <f t="shared" si="61"/>
        <v>0</v>
      </c>
    </row>
    <row r="1427" spans="3:9" hidden="1">
      <c r="C1427" s="1180">
        <v>13579</v>
      </c>
      <c r="D1427" s="275" t="s">
        <v>2385</v>
      </c>
      <c r="E1427" s="1074"/>
      <c r="F1427" s="1074"/>
      <c r="G1427" s="1074"/>
      <c r="H1427" s="978" t="e">
        <f t="shared" si="60"/>
        <v>#DIV/0!</v>
      </c>
      <c r="I1427" s="1180">
        <f t="shared" si="61"/>
        <v>0</v>
      </c>
    </row>
    <row r="1428" spans="3:9" hidden="1">
      <c r="C1428" s="1180">
        <v>14481</v>
      </c>
      <c r="D1428" s="275" t="s">
        <v>2386</v>
      </c>
      <c r="E1428" s="1074"/>
      <c r="F1428" s="1074"/>
      <c r="G1428" s="1074"/>
      <c r="H1428" s="978" t="e">
        <f t="shared" si="60"/>
        <v>#DIV/0!</v>
      </c>
      <c r="I1428" s="1180">
        <f t="shared" si="61"/>
        <v>0</v>
      </c>
    </row>
    <row r="1429" spans="3:9" hidden="1">
      <c r="C1429" s="1180">
        <v>13964</v>
      </c>
      <c r="D1429" s="275" t="s">
        <v>2387</v>
      </c>
      <c r="E1429" s="1074"/>
      <c r="F1429" s="1074"/>
      <c r="G1429" s="1074"/>
      <c r="H1429" s="978" t="e">
        <f t="shared" si="60"/>
        <v>#DIV/0!</v>
      </c>
      <c r="I1429" s="1180">
        <f t="shared" si="61"/>
        <v>0</v>
      </c>
    </row>
    <row r="1430" spans="3:9" hidden="1">
      <c r="C1430" s="1180">
        <v>14479</v>
      </c>
      <c r="D1430" s="275" t="s">
        <v>2452</v>
      </c>
      <c r="E1430" s="1074"/>
      <c r="F1430" s="1074"/>
      <c r="G1430" s="1074"/>
      <c r="H1430" s="978" t="e">
        <f t="shared" si="60"/>
        <v>#DIV/0!</v>
      </c>
      <c r="I1430" s="1180">
        <f t="shared" si="61"/>
        <v>0</v>
      </c>
    </row>
    <row r="1431" spans="3:9" hidden="1">
      <c r="C1431" s="1180">
        <v>15000</v>
      </c>
      <c r="D1431" s="275" t="s">
        <v>2388</v>
      </c>
      <c r="E1431" s="1074"/>
      <c r="F1431" s="1074"/>
      <c r="G1431" s="1074"/>
      <c r="H1431" s="978" t="e">
        <f t="shared" si="60"/>
        <v>#DIV/0!</v>
      </c>
      <c r="I1431" s="1180">
        <f t="shared" si="61"/>
        <v>0</v>
      </c>
    </row>
    <row r="1432" spans="3:9" hidden="1">
      <c r="C1432" s="1180">
        <v>14999</v>
      </c>
      <c r="D1432" s="275" t="s">
        <v>2276</v>
      </c>
      <c r="E1432" s="1074"/>
      <c r="F1432" s="1074"/>
      <c r="G1432" s="1074"/>
      <c r="H1432" s="978" t="e">
        <f t="shared" si="60"/>
        <v>#DIV/0!</v>
      </c>
      <c r="I1432" s="1180">
        <f t="shared" si="61"/>
        <v>0</v>
      </c>
    </row>
    <row r="1433" spans="3:9" hidden="1">
      <c r="C1433" s="1180">
        <v>14480</v>
      </c>
      <c r="D1433" s="275" t="s">
        <v>2451</v>
      </c>
      <c r="E1433" s="1074"/>
      <c r="F1433" s="1074"/>
      <c r="G1433" s="1074"/>
      <c r="H1433" s="978" t="e">
        <f t="shared" si="60"/>
        <v>#DIV/0!</v>
      </c>
      <c r="I1433" s="1180">
        <f t="shared" si="61"/>
        <v>0</v>
      </c>
    </row>
    <row r="1434" spans="3:9" hidden="1">
      <c r="C1434" s="1180">
        <v>20801</v>
      </c>
      <c r="D1434" s="275" t="s">
        <v>2803</v>
      </c>
      <c r="E1434" s="1074"/>
      <c r="F1434" s="1074"/>
      <c r="G1434" s="1074"/>
      <c r="H1434" s="978" t="e">
        <f t="shared" si="60"/>
        <v>#DIV/0!</v>
      </c>
      <c r="I1434" s="1180">
        <f t="shared" si="61"/>
        <v>0</v>
      </c>
    </row>
    <row r="1435" spans="3:9" hidden="1">
      <c r="C1435" s="1180">
        <v>20802</v>
      </c>
      <c r="D1435" s="275" t="s">
        <v>2804</v>
      </c>
      <c r="E1435" s="1074"/>
      <c r="F1435" s="1074"/>
      <c r="G1435" s="1074"/>
      <c r="H1435" s="978" t="e">
        <f t="shared" si="60"/>
        <v>#DIV/0!</v>
      </c>
      <c r="I1435" s="1180">
        <f t="shared" si="61"/>
        <v>0</v>
      </c>
    </row>
    <row r="1436" spans="3:9" hidden="1">
      <c r="C1436" s="1180">
        <v>17889</v>
      </c>
      <c r="D1436" s="275" t="s">
        <v>1509</v>
      </c>
      <c r="E1436" s="1074"/>
      <c r="F1436" s="1074"/>
      <c r="G1436" s="1074"/>
      <c r="H1436" s="978" t="e">
        <f t="shared" si="60"/>
        <v>#DIV/0!</v>
      </c>
      <c r="I1436" s="1180">
        <f t="shared" si="61"/>
        <v>0</v>
      </c>
    </row>
    <row r="1437" spans="3:9" hidden="1">
      <c r="C1437" s="1180">
        <v>21028</v>
      </c>
      <c r="D1437" s="275" t="s">
        <v>3456</v>
      </c>
      <c r="E1437" s="1074"/>
      <c r="F1437" s="1074"/>
      <c r="G1437" s="1074"/>
      <c r="H1437" s="978" t="e">
        <f t="shared" si="60"/>
        <v>#DIV/0!</v>
      </c>
      <c r="I1437" s="1180">
        <f t="shared" si="61"/>
        <v>0</v>
      </c>
    </row>
    <row r="1438" spans="3:9" hidden="1">
      <c r="C1438" s="1180">
        <v>7101</v>
      </c>
      <c r="D1438" s="275" t="s">
        <v>2450</v>
      </c>
      <c r="E1438" s="1074"/>
      <c r="F1438" s="1074"/>
      <c r="G1438" s="1074"/>
      <c r="H1438" s="978" t="e">
        <f t="shared" si="60"/>
        <v>#DIV/0!</v>
      </c>
      <c r="I1438" s="1180">
        <f t="shared" si="61"/>
        <v>0</v>
      </c>
    </row>
    <row r="1439" spans="3:9">
      <c r="C1439" s="326">
        <v>13578</v>
      </c>
      <c r="D1439" s="1215" t="s">
        <v>3186</v>
      </c>
      <c r="E1439" s="326">
        <v>288</v>
      </c>
      <c r="F1439" s="326">
        <v>1</v>
      </c>
      <c r="G1439" s="326">
        <v>78.900000000000006</v>
      </c>
      <c r="H1439" s="1053">
        <f t="shared" si="60"/>
        <v>0.27395833333333336</v>
      </c>
      <c r="I1439" s="326">
        <f t="shared" si="61"/>
        <v>78.900000000000006</v>
      </c>
    </row>
    <row r="1440" spans="3:9" hidden="1">
      <c r="C1440" s="1194">
        <v>13331</v>
      </c>
      <c r="D1440" s="1270" t="s">
        <v>2389</v>
      </c>
      <c r="E1440" s="1082">
        <v>288</v>
      </c>
      <c r="F1440" s="1082">
        <v>0</v>
      </c>
      <c r="G1440" s="1082">
        <v>78.900000000000006</v>
      </c>
      <c r="H1440" s="978">
        <f t="shared" ref="H1440:H1463" si="62">+G1440/E1440</f>
        <v>0.27395833333333336</v>
      </c>
      <c r="I1440" s="1180">
        <f t="shared" ref="I1440:I1463" si="63">+G1440*F1440</f>
        <v>0</v>
      </c>
    </row>
    <row r="1441" spans="3:61" hidden="1">
      <c r="C1441" s="1194">
        <v>13329</v>
      </c>
      <c r="D1441" s="1270" t="s">
        <v>2390</v>
      </c>
      <c r="E1441" s="1082">
        <v>288</v>
      </c>
      <c r="F1441" s="1082">
        <v>0</v>
      </c>
      <c r="G1441" s="1082">
        <v>78.900000000000006</v>
      </c>
      <c r="H1441" s="978">
        <f t="shared" si="62"/>
        <v>0.27395833333333336</v>
      </c>
      <c r="I1441" s="1180">
        <f t="shared" si="63"/>
        <v>0</v>
      </c>
    </row>
    <row r="1442" spans="3:61">
      <c r="C1442" s="326">
        <v>13330</v>
      </c>
      <c r="D1442" s="1215" t="s">
        <v>3187</v>
      </c>
      <c r="E1442" s="326">
        <v>288</v>
      </c>
      <c r="F1442" s="326">
        <v>1</v>
      </c>
      <c r="G1442" s="326">
        <v>78.900000000000006</v>
      </c>
      <c r="H1442" s="1053">
        <f t="shared" si="62"/>
        <v>0.27395833333333336</v>
      </c>
      <c r="I1442" s="326">
        <f t="shared" si="63"/>
        <v>78.900000000000006</v>
      </c>
    </row>
    <row r="1443" spans="3:61">
      <c r="C1443" s="326">
        <v>9771</v>
      </c>
      <c r="D1443" s="1215" t="s">
        <v>3185</v>
      </c>
      <c r="E1443" s="326">
        <v>288</v>
      </c>
      <c r="F1443" s="326">
        <v>1</v>
      </c>
      <c r="G1443" s="326">
        <v>78.900000000000006</v>
      </c>
      <c r="H1443" s="1053">
        <f t="shared" si="62"/>
        <v>0.27395833333333336</v>
      </c>
      <c r="I1443" s="326">
        <f t="shared" si="63"/>
        <v>78.900000000000006</v>
      </c>
    </row>
    <row r="1444" spans="3:61" s="827" customFormat="1" hidden="1">
      <c r="C1444" s="1194"/>
      <c r="D1444" s="1270" t="s">
        <v>4018</v>
      </c>
      <c r="E1444" s="1082">
        <v>12</v>
      </c>
      <c r="F1444" s="1082">
        <v>0</v>
      </c>
      <c r="G1444" s="1082">
        <v>8.6999999999999993</v>
      </c>
      <c r="H1444" s="978">
        <f t="shared" si="62"/>
        <v>0.72499999999999998</v>
      </c>
      <c r="I1444" s="1180">
        <f t="shared" si="63"/>
        <v>0</v>
      </c>
      <c r="J1444" s="123"/>
      <c r="K1444" s="123"/>
      <c r="L1444" s="123"/>
      <c r="M1444" s="123"/>
      <c r="N1444" s="123"/>
      <c r="O1444" s="123"/>
      <c r="P1444" s="123"/>
      <c r="Q1444" s="123"/>
      <c r="R1444" s="123"/>
      <c r="S1444" s="123"/>
      <c r="T1444" s="123"/>
      <c r="U1444" s="123"/>
      <c r="V1444" s="123"/>
      <c r="W1444" s="123"/>
      <c r="X1444" s="123"/>
      <c r="Y1444" s="123"/>
      <c r="Z1444" s="123"/>
      <c r="AA1444" s="123"/>
      <c r="AB1444" s="123"/>
      <c r="AC1444" s="123"/>
      <c r="AD1444" s="123"/>
      <c r="AE1444" s="123"/>
      <c r="AF1444" s="123"/>
      <c r="AG1444" s="123"/>
      <c r="AH1444" s="123"/>
      <c r="AI1444" s="123"/>
      <c r="AJ1444" s="123"/>
      <c r="AK1444" s="123"/>
      <c r="AL1444" s="123"/>
      <c r="AM1444" s="123"/>
      <c r="AN1444" s="123"/>
      <c r="AO1444" s="123"/>
      <c r="AP1444" s="123"/>
      <c r="AQ1444" s="123"/>
      <c r="AR1444" s="123"/>
      <c r="AS1444" s="123"/>
      <c r="AT1444" s="123"/>
      <c r="AU1444" s="123"/>
      <c r="AV1444" s="123"/>
      <c r="AW1444" s="123"/>
      <c r="AX1444" s="123"/>
      <c r="AY1444" s="123"/>
      <c r="AZ1444" s="123"/>
      <c r="BA1444" s="123"/>
      <c r="BB1444" s="123"/>
      <c r="BC1444" s="123"/>
      <c r="BD1444" s="123"/>
      <c r="BE1444" s="123"/>
      <c r="BF1444" s="123"/>
      <c r="BG1444" s="123"/>
      <c r="BH1444" s="123"/>
      <c r="BI1444" s="123"/>
    </row>
    <row r="1445" spans="3:61" s="827" customFormat="1">
      <c r="C1445" s="326">
        <v>21868</v>
      </c>
      <c r="D1445" s="1215" t="s">
        <v>4019</v>
      </c>
      <c r="E1445" s="326">
        <v>96</v>
      </c>
      <c r="F1445" s="326">
        <v>2</v>
      </c>
      <c r="G1445" s="326">
        <v>17.8</v>
      </c>
      <c r="H1445" s="1053">
        <f t="shared" si="62"/>
        <v>0.18541666666666667</v>
      </c>
      <c r="I1445" s="326">
        <f t="shared" si="63"/>
        <v>35.6</v>
      </c>
      <c r="J1445" s="123"/>
      <c r="K1445" s="123"/>
      <c r="L1445" s="123"/>
      <c r="M1445" s="123"/>
      <c r="N1445" s="123"/>
      <c r="O1445" s="123"/>
      <c r="P1445" s="123"/>
      <c r="Q1445" s="123"/>
      <c r="R1445" s="123"/>
      <c r="S1445" s="123"/>
      <c r="T1445" s="123"/>
      <c r="U1445" s="123"/>
      <c r="V1445" s="123"/>
      <c r="W1445" s="123"/>
      <c r="X1445" s="123"/>
      <c r="Y1445" s="123"/>
      <c r="Z1445" s="123"/>
      <c r="AA1445" s="123"/>
      <c r="AB1445" s="123"/>
      <c r="AC1445" s="123"/>
      <c r="AD1445" s="123"/>
      <c r="AE1445" s="123"/>
      <c r="AF1445" s="123"/>
      <c r="AG1445" s="123"/>
      <c r="AH1445" s="123"/>
      <c r="AI1445" s="123"/>
      <c r="AJ1445" s="123"/>
      <c r="AK1445" s="123"/>
      <c r="AL1445" s="123"/>
      <c r="AM1445" s="123"/>
      <c r="AN1445" s="123"/>
      <c r="AO1445" s="123"/>
      <c r="AP1445" s="123"/>
      <c r="AQ1445" s="123"/>
      <c r="AR1445" s="123"/>
      <c r="AS1445" s="123"/>
      <c r="AT1445" s="123"/>
      <c r="AU1445" s="123"/>
      <c r="AV1445" s="123"/>
      <c r="AW1445" s="123"/>
      <c r="AX1445" s="123"/>
      <c r="AY1445" s="123"/>
      <c r="AZ1445" s="123"/>
      <c r="BA1445" s="123"/>
      <c r="BB1445" s="123"/>
      <c r="BC1445" s="123"/>
      <c r="BD1445" s="123"/>
      <c r="BE1445" s="123"/>
      <c r="BF1445" s="123"/>
      <c r="BG1445" s="123"/>
      <c r="BH1445" s="123"/>
      <c r="BI1445" s="123"/>
    </row>
    <row r="1446" spans="3:61" s="827" customFormat="1">
      <c r="C1446" s="326">
        <v>6330</v>
      </c>
      <c r="D1446" s="1215" t="s">
        <v>4020</v>
      </c>
      <c r="E1446" s="326">
        <v>12</v>
      </c>
      <c r="F1446" s="326">
        <v>10</v>
      </c>
      <c r="G1446" s="326">
        <v>2.8</v>
      </c>
      <c r="H1446" s="1053">
        <f t="shared" si="62"/>
        <v>0.23333333333333331</v>
      </c>
      <c r="I1446" s="326">
        <f t="shared" si="63"/>
        <v>28</v>
      </c>
      <c r="J1446" s="123"/>
      <c r="K1446" s="123"/>
      <c r="L1446" s="123"/>
      <c r="M1446" s="123"/>
      <c r="N1446" s="123"/>
      <c r="O1446" s="123"/>
      <c r="P1446" s="123"/>
      <c r="Q1446" s="123"/>
      <c r="R1446" s="123"/>
      <c r="S1446" s="123"/>
      <c r="T1446" s="123"/>
      <c r="U1446" s="123"/>
      <c r="V1446" s="123"/>
      <c r="W1446" s="123"/>
      <c r="X1446" s="123"/>
      <c r="Y1446" s="123"/>
      <c r="Z1446" s="123"/>
      <c r="AA1446" s="123"/>
      <c r="AB1446" s="123"/>
      <c r="AC1446" s="123"/>
      <c r="AD1446" s="123"/>
      <c r="AE1446" s="123"/>
      <c r="AF1446" s="123"/>
      <c r="AG1446" s="123"/>
      <c r="AH1446" s="123"/>
      <c r="AI1446" s="123"/>
      <c r="AJ1446" s="123"/>
      <c r="AK1446" s="123"/>
      <c r="AL1446" s="123"/>
      <c r="AM1446" s="123"/>
      <c r="AN1446" s="123"/>
      <c r="AO1446" s="123"/>
      <c r="AP1446" s="123"/>
      <c r="AQ1446" s="123"/>
      <c r="AR1446" s="123"/>
      <c r="AS1446" s="123"/>
      <c r="AT1446" s="123"/>
      <c r="AU1446" s="123"/>
      <c r="AV1446" s="123"/>
      <c r="AW1446" s="123"/>
      <c r="AX1446" s="123"/>
      <c r="AY1446" s="123"/>
      <c r="AZ1446" s="123"/>
      <c r="BA1446" s="123"/>
      <c r="BB1446" s="123"/>
      <c r="BC1446" s="123"/>
      <c r="BD1446" s="123"/>
      <c r="BE1446" s="123"/>
      <c r="BF1446" s="123"/>
      <c r="BG1446" s="123"/>
      <c r="BH1446" s="123"/>
      <c r="BI1446" s="123"/>
    </row>
    <row r="1447" spans="3:61" s="827" customFormat="1" hidden="1">
      <c r="C1447" s="1194"/>
      <c r="D1447" s="1270" t="s">
        <v>4021</v>
      </c>
      <c r="E1447" s="1082">
        <v>48</v>
      </c>
      <c r="F1447" s="1082">
        <v>0</v>
      </c>
      <c r="G1447" s="1082">
        <v>28.2</v>
      </c>
      <c r="H1447" s="978">
        <f t="shared" si="62"/>
        <v>0.58750000000000002</v>
      </c>
      <c r="I1447" s="1180">
        <f t="shared" si="63"/>
        <v>0</v>
      </c>
      <c r="J1447" s="123"/>
      <c r="K1447" s="123"/>
      <c r="L1447" s="123"/>
      <c r="M1447" s="123"/>
      <c r="N1447" s="123"/>
      <c r="O1447" s="123"/>
      <c r="P1447" s="123"/>
      <c r="Q1447" s="123"/>
      <c r="R1447" s="123"/>
      <c r="S1447" s="123"/>
      <c r="T1447" s="123"/>
      <c r="U1447" s="123"/>
      <c r="V1447" s="123"/>
      <c r="W1447" s="123"/>
      <c r="X1447" s="123"/>
      <c r="Y1447" s="123"/>
      <c r="Z1447" s="123"/>
      <c r="AA1447" s="123"/>
      <c r="AB1447" s="123"/>
      <c r="AC1447" s="123"/>
      <c r="AD1447" s="123"/>
      <c r="AE1447" s="123"/>
      <c r="AF1447" s="123"/>
      <c r="AG1447" s="123"/>
      <c r="AH1447" s="123"/>
      <c r="AI1447" s="123"/>
      <c r="AJ1447" s="123"/>
      <c r="AK1447" s="123"/>
      <c r="AL1447" s="123"/>
      <c r="AM1447" s="123"/>
      <c r="AN1447" s="123"/>
      <c r="AO1447" s="123"/>
      <c r="AP1447" s="123"/>
      <c r="AQ1447" s="123"/>
      <c r="AR1447" s="123"/>
      <c r="AS1447" s="123"/>
      <c r="AT1447" s="123"/>
      <c r="AU1447" s="123"/>
      <c r="AV1447" s="123"/>
      <c r="AW1447" s="123"/>
      <c r="AX1447" s="123"/>
      <c r="AY1447" s="123"/>
      <c r="AZ1447" s="123"/>
      <c r="BA1447" s="123"/>
      <c r="BB1447" s="123"/>
      <c r="BC1447" s="123"/>
      <c r="BD1447" s="123"/>
      <c r="BE1447" s="123"/>
      <c r="BF1447" s="123"/>
      <c r="BG1447" s="123"/>
      <c r="BH1447" s="123"/>
      <c r="BI1447" s="123"/>
    </row>
    <row r="1448" spans="3:61" s="827" customFormat="1" hidden="1">
      <c r="C1448" s="1194"/>
      <c r="D1448" s="1270" t="s">
        <v>4022</v>
      </c>
      <c r="E1448" s="1082">
        <v>12</v>
      </c>
      <c r="F1448" s="1082">
        <v>0</v>
      </c>
      <c r="G1448" s="1082">
        <v>38.799999999999997</v>
      </c>
      <c r="H1448" s="978">
        <f t="shared" si="62"/>
        <v>3.2333333333333329</v>
      </c>
      <c r="I1448" s="1180">
        <f t="shared" si="63"/>
        <v>0</v>
      </c>
      <c r="J1448" s="123"/>
      <c r="K1448" s="123"/>
      <c r="L1448" s="123"/>
      <c r="M1448" s="123"/>
      <c r="N1448" s="123"/>
      <c r="O1448" s="123"/>
      <c r="P1448" s="123"/>
      <c r="Q1448" s="123"/>
      <c r="R1448" s="123"/>
      <c r="S1448" s="123"/>
      <c r="T1448" s="123"/>
      <c r="U1448" s="123"/>
      <c r="V1448" s="123"/>
      <c r="W1448" s="123"/>
      <c r="X1448" s="123"/>
      <c r="Y1448" s="123"/>
      <c r="Z1448" s="123"/>
      <c r="AA1448" s="123"/>
      <c r="AB1448" s="123"/>
      <c r="AC1448" s="123"/>
      <c r="AD1448" s="123"/>
      <c r="AE1448" s="123"/>
      <c r="AF1448" s="123"/>
      <c r="AG1448" s="123"/>
      <c r="AH1448" s="123"/>
      <c r="AI1448" s="123"/>
      <c r="AJ1448" s="123"/>
      <c r="AK1448" s="123"/>
      <c r="AL1448" s="123"/>
      <c r="AM1448" s="123"/>
      <c r="AN1448" s="123"/>
      <c r="AO1448" s="123"/>
      <c r="AP1448" s="123"/>
      <c r="AQ1448" s="123"/>
      <c r="AR1448" s="123"/>
      <c r="AS1448" s="123"/>
      <c r="AT1448" s="123"/>
      <c r="AU1448" s="123"/>
      <c r="AV1448" s="123"/>
      <c r="AW1448" s="123"/>
      <c r="AX1448" s="123"/>
      <c r="AY1448" s="123"/>
      <c r="AZ1448" s="123"/>
      <c r="BA1448" s="123"/>
      <c r="BB1448" s="123"/>
      <c r="BC1448" s="123"/>
      <c r="BD1448" s="123"/>
      <c r="BE1448" s="123"/>
      <c r="BF1448" s="123"/>
      <c r="BG1448" s="123"/>
      <c r="BH1448" s="123"/>
      <c r="BI1448" s="123"/>
    </row>
    <row r="1449" spans="3:61" s="827" customFormat="1">
      <c r="C1449" s="326">
        <v>5426</v>
      </c>
      <c r="D1449" s="1215" t="s">
        <v>4023</v>
      </c>
      <c r="E1449" s="326">
        <v>1000</v>
      </c>
      <c r="F1449" s="326">
        <v>10</v>
      </c>
      <c r="G1449" s="326">
        <v>23</v>
      </c>
      <c r="H1449" s="1053">
        <f t="shared" si="62"/>
        <v>2.3E-2</v>
      </c>
      <c r="I1449" s="326">
        <f t="shared" si="63"/>
        <v>230</v>
      </c>
      <c r="J1449" s="123"/>
      <c r="K1449" s="123"/>
      <c r="L1449" s="123"/>
      <c r="M1449" s="123"/>
      <c r="N1449" s="123"/>
      <c r="O1449" s="123"/>
      <c r="P1449" s="123"/>
      <c r="Q1449" s="123"/>
      <c r="R1449" s="123"/>
      <c r="S1449" s="123"/>
      <c r="T1449" s="123"/>
      <c r="U1449" s="123"/>
      <c r="V1449" s="123"/>
      <c r="W1449" s="123"/>
      <c r="X1449" s="123"/>
      <c r="Y1449" s="123"/>
      <c r="Z1449" s="123"/>
      <c r="AA1449" s="123"/>
      <c r="AB1449" s="123"/>
      <c r="AC1449" s="123"/>
      <c r="AD1449" s="123"/>
      <c r="AE1449" s="123"/>
      <c r="AF1449" s="123"/>
      <c r="AG1449" s="123"/>
      <c r="AH1449" s="123"/>
      <c r="AI1449" s="123"/>
      <c r="AJ1449" s="123"/>
      <c r="AK1449" s="123"/>
      <c r="AL1449" s="123"/>
      <c r="AM1449" s="123"/>
      <c r="AN1449" s="123"/>
      <c r="AO1449" s="123"/>
      <c r="AP1449" s="123"/>
      <c r="AQ1449" s="123"/>
      <c r="AR1449" s="123"/>
      <c r="AS1449" s="123"/>
      <c r="AT1449" s="123"/>
      <c r="AU1449" s="123"/>
      <c r="AV1449" s="123"/>
      <c r="AW1449" s="123"/>
      <c r="AX1449" s="123"/>
      <c r="AY1449" s="123"/>
      <c r="AZ1449" s="123"/>
      <c r="BA1449" s="123"/>
      <c r="BB1449" s="123"/>
      <c r="BC1449" s="123"/>
      <c r="BD1449" s="123"/>
      <c r="BE1449" s="123"/>
      <c r="BF1449" s="123"/>
      <c r="BG1449" s="123"/>
      <c r="BH1449" s="123"/>
      <c r="BI1449" s="123"/>
    </row>
    <row r="1450" spans="3:61" s="827" customFormat="1">
      <c r="C1450" s="326">
        <v>5424</v>
      </c>
      <c r="D1450" s="1215" t="s">
        <v>4024</v>
      </c>
      <c r="E1450" s="326">
        <v>1000</v>
      </c>
      <c r="F1450" s="326">
        <v>10</v>
      </c>
      <c r="G1450" s="326">
        <v>9.9</v>
      </c>
      <c r="H1450" s="1053">
        <f t="shared" si="62"/>
        <v>9.9000000000000008E-3</v>
      </c>
      <c r="I1450" s="326">
        <f t="shared" si="63"/>
        <v>99</v>
      </c>
      <c r="J1450" s="123"/>
      <c r="K1450" s="123"/>
      <c r="L1450" s="123"/>
      <c r="M1450" s="123"/>
      <c r="N1450" s="123"/>
      <c r="O1450" s="123"/>
      <c r="P1450" s="123"/>
      <c r="Q1450" s="123"/>
      <c r="R1450" s="123"/>
      <c r="S1450" s="123"/>
      <c r="T1450" s="123"/>
      <c r="U1450" s="123"/>
      <c r="V1450" s="123"/>
      <c r="W1450" s="123"/>
      <c r="X1450" s="123"/>
      <c r="Y1450" s="123"/>
      <c r="Z1450" s="123"/>
      <c r="AA1450" s="123"/>
      <c r="AB1450" s="123"/>
      <c r="AC1450" s="123"/>
      <c r="AD1450" s="123"/>
      <c r="AE1450" s="123"/>
      <c r="AF1450" s="123"/>
      <c r="AG1450" s="123"/>
      <c r="AH1450" s="123"/>
      <c r="AI1450" s="123"/>
      <c r="AJ1450" s="123"/>
      <c r="AK1450" s="123"/>
      <c r="AL1450" s="123"/>
      <c r="AM1450" s="123"/>
      <c r="AN1450" s="123"/>
      <c r="AO1450" s="123"/>
      <c r="AP1450" s="123"/>
      <c r="AQ1450" s="123"/>
      <c r="AR1450" s="123"/>
      <c r="AS1450" s="123"/>
      <c r="AT1450" s="123"/>
      <c r="AU1450" s="123"/>
      <c r="AV1450" s="123"/>
      <c r="AW1450" s="123"/>
      <c r="AX1450" s="123"/>
      <c r="AY1450" s="123"/>
      <c r="AZ1450" s="123"/>
      <c r="BA1450" s="123"/>
      <c r="BB1450" s="123"/>
      <c r="BC1450" s="123"/>
      <c r="BD1450" s="123"/>
      <c r="BE1450" s="123"/>
      <c r="BF1450" s="123"/>
      <c r="BG1450" s="123"/>
      <c r="BH1450" s="123"/>
      <c r="BI1450" s="123"/>
    </row>
    <row r="1451" spans="3:61" s="827" customFormat="1" hidden="1">
      <c r="C1451" s="1194"/>
      <c r="D1451" s="1270" t="s">
        <v>4025</v>
      </c>
      <c r="E1451" s="1082">
        <v>10</v>
      </c>
      <c r="F1451" s="1082">
        <v>0</v>
      </c>
      <c r="G1451" s="1082">
        <v>33.299999999999997</v>
      </c>
      <c r="H1451" s="978">
        <f t="shared" si="62"/>
        <v>3.3299999999999996</v>
      </c>
      <c r="I1451" s="1180">
        <f t="shared" si="63"/>
        <v>0</v>
      </c>
      <c r="J1451" s="123"/>
      <c r="K1451" s="123"/>
      <c r="L1451" s="123"/>
      <c r="M1451" s="123"/>
      <c r="N1451" s="123"/>
      <c r="O1451" s="123"/>
      <c r="P1451" s="123"/>
      <c r="Q1451" s="123"/>
      <c r="R1451" s="123"/>
      <c r="S1451" s="123"/>
      <c r="T1451" s="123"/>
      <c r="U1451" s="123"/>
      <c r="V1451" s="123"/>
      <c r="W1451" s="123"/>
      <c r="X1451" s="123"/>
      <c r="Y1451" s="123"/>
      <c r="Z1451" s="123"/>
      <c r="AA1451" s="123"/>
      <c r="AB1451" s="123"/>
      <c r="AC1451" s="123"/>
      <c r="AD1451" s="123"/>
      <c r="AE1451" s="123"/>
      <c r="AF1451" s="123"/>
      <c r="AG1451" s="123"/>
      <c r="AH1451" s="123"/>
      <c r="AI1451" s="123"/>
      <c r="AJ1451" s="123"/>
      <c r="AK1451" s="123"/>
      <c r="AL1451" s="123"/>
      <c r="AM1451" s="123"/>
      <c r="AN1451" s="123"/>
      <c r="AO1451" s="123"/>
      <c r="AP1451" s="123"/>
      <c r="AQ1451" s="123"/>
      <c r="AR1451" s="123"/>
      <c r="AS1451" s="123"/>
      <c r="AT1451" s="123"/>
      <c r="AU1451" s="123"/>
      <c r="AV1451" s="123"/>
      <c r="AW1451" s="123"/>
      <c r="AX1451" s="123"/>
      <c r="AY1451" s="123"/>
      <c r="AZ1451" s="123"/>
      <c r="BA1451" s="123"/>
      <c r="BB1451" s="123"/>
      <c r="BC1451" s="123"/>
      <c r="BD1451" s="123"/>
      <c r="BE1451" s="123"/>
      <c r="BF1451" s="123"/>
      <c r="BG1451" s="123"/>
      <c r="BH1451" s="123"/>
      <c r="BI1451" s="123"/>
    </row>
    <row r="1452" spans="3:61" s="827" customFormat="1" hidden="1">
      <c r="C1452" s="1194"/>
      <c r="D1452" s="1270" t="s">
        <v>4026</v>
      </c>
      <c r="E1452" s="1082">
        <v>1000</v>
      </c>
      <c r="F1452" s="1082">
        <v>0</v>
      </c>
      <c r="G1452" s="1082">
        <v>109</v>
      </c>
      <c r="H1452" s="978">
        <f t="shared" si="62"/>
        <v>0.109</v>
      </c>
      <c r="I1452" s="1180">
        <f t="shared" si="63"/>
        <v>0</v>
      </c>
      <c r="J1452" s="123"/>
      <c r="K1452" s="123"/>
      <c r="L1452" s="123"/>
      <c r="M1452" s="123"/>
      <c r="N1452" s="123"/>
      <c r="O1452" s="123"/>
      <c r="P1452" s="123"/>
      <c r="Q1452" s="123"/>
      <c r="R1452" s="123"/>
      <c r="S1452" s="123"/>
      <c r="T1452" s="123"/>
      <c r="U1452" s="123"/>
      <c r="V1452" s="123"/>
      <c r="W1452" s="123"/>
      <c r="X1452" s="123"/>
      <c r="Y1452" s="123"/>
      <c r="Z1452" s="123"/>
      <c r="AA1452" s="123"/>
      <c r="AB1452" s="123"/>
      <c r="AC1452" s="123"/>
      <c r="AD1452" s="123"/>
      <c r="AE1452" s="123"/>
      <c r="AF1452" s="123"/>
      <c r="AG1452" s="123"/>
      <c r="AH1452" s="123"/>
      <c r="AI1452" s="123"/>
      <c r="AJ1452" s="123"/>
      <c r="AK1452" s="123"/>
      <c r="AL1452" s="123"/>
      <c r="AM1452" s="123"/>
      <c r="AN1452" s="123"/>
      <c r="AO1452" s="123"/>
      <c r="AP1452" s="123"/>
      <c r="AQ1452" s="123"/>
      <c r="AR1452" s="123"/>
      <c r="AS1452" s="123"/>
      <c r="AT1452" s="123"/>
      <c r="AU1452" s="123"/>
      <c r="AV1452" s="123"/>
      <c r="AW1452" s="123"/>
      <c r="AX1452" s="123"/>
      <c r="AY1452" s="123"/>
      <c r="AZ1452" s="123"/>
      <c r="BA1452" s="123"/>
      <c r="BB1452" s="123"/>
      <c r="BC1452" s="123"/>
      <c r="BD1452" s="123"/>
      <c r="BE1452" s="123"/>
      <c r="BF1452" s="123"/>
      <c r="BG1452" s="123"/>
      <c r="BH1452" s="123"/>
      <c r="BI1452" s="123"/>
    </row>
    <row r="1453" spans="3:61" s="827" customFormat="1" hidden="1">
      <c r="C1453" s="1194"/>
      <c r="D1453" s="1270"/>
      <c r="E1453" s="1082"/>
      <c r="F1453" s="1082"/>
      <c r="G1453" s="1082"/>
      <c r="H1453" s="978"/>
      <c r="I1453" s="1180"/>
      <c r="J1453" s="123"/>
      <c r="K1453" s="123"/>
      <c r="L1453" s="123"/>
      <c r="M1453" s="123"/>
      <c r="N1453" s="123"/>
      <c r="O1453" s="123"/>
      <c r="P1453" s="123"/>
      <c r="Q1453" s="123"/>
      <c r="R1453" s="123"/>
      <c r="S1453" s="123"/>
      <c r="T1453" s="123"/>
      <c r="U1453" s="123"/>
      <c r="V1453" s="123"/>
      <c r="W1453" s="123"/>
      <c r="X1453" s="123"/>
      <c r="Y1453" s="123"/>
      <c r="Z1453" s="123"/>
      <c r="AA1453" s="123"/>
      <c r="AB1453" s="123"/>
      <c r="AC1453" s="123"/>
      <c r="AD1453" s="123"/>
      <c r="AE1453" s="123"/>
      <c r="AF1453" s="123"/>
      <c r="AG1453" s="123"/>
      <c r="AH1453" s="123"/>
      <c r="AI1453" s="123"/>
      <c r="AJ1453" s="123"/>
      <c r="AK1453" s="123"/>
      <c r="AL1453" s="123"/>
      <c r="AM1453" s="123"/>
      <c r="AN1453" s="123"/>
      <c r="AO1453" s="123"/>
      <c r="AP1453" s="123"/>
      <c r="AQ1453" s="123"/>
      <c r="AR1453" s="123"/>
      <c r="AS1453" s="123"/>
      <c r="AT1453" s="123"/>
      <c r="AU1453" s="123"/>
      <c r="AV1453" s="123"/>
      <c r="AW1453" s="123"/>
      <c r="AX1453" s="123"/>
      <c r="AY1453" s="123"/>
      <c r="AZ1453" s="123"/>
      <c r="BA1453" s="123"/>
      <c r="BB1453" s="123"/>
      <c r="BC1453" s="123"/>
      <c r="BD1453" s="123"/>
      <c r="BE1453" s="123"/>
      <c r="BF1453" s="123"/>
      <c r="BG1453" s="123"/>
      <c r="BH1453" s="123"/>
      <c r="BI1453" s="123"/>
    </row>
    <row r="1454" spans="3:61" s="827" customFormat="1" hidden="1">
      <c r="C1454" s="1194"/>
      <c r="D1454" s="1270"/>
      <c r="E1454" s="1082"/>
      <c r="F1454" s="1082"/>
      <c r="G1454" s="1082"/>
      <c r="H1454" s="978"/>
      <c r="I1454" s="1180"/>
      <c r="J1454" s="123"/>
      <c r="K1454" s="123"/>
      <c r="L1454" s="123"/>
      <c r="M1454" s="123"/>
      <c r="N1454" s="123"/>
      <c r="O1454" s="123"/>
      <c r="P1454" s="123"/>
      <c r="Q1454" s="123"/>
      <c r="R1454" s="123"/>
      <c r="S1454" s="123"/>
      <c r="T1454" s="123"/>
      <c r="U1454" s="123"/>
      <c r="V1454" s="123"/>
      <c r="W1454" s="123"/>
      <c r="X1454" s="123"/>
      <c r="Y1454" s="123"/>
      <c r="Z1454" s="123"/>
      <c r="AA1454" s="123"/>
      <c r="AB1454" s="123"/>
      <c r="AC1454" s="123"/>
      <c r="AD1454" s="123"/>
      <c r="AE1454" s="123"/>
      <c r="AF1454" s="123"/>
      <c r="AG1454" s="123"/>
      <c r="AH1454" s="123"/>
      <c r="AI1454" s="123"/>
      <c r="AJ1454" s="123"/>
      <c r="AK1454" s="123"/>
      <c r="AL1454" s="123"/>
      <c r="AM1454" s="123"/>
      <c r="AN1454" s="123"/>
      <c r="AO1454" s="123"/>
      <c r="AP1454" s="123"/>
      <c r="AQ1454" s="123"/>
      <c r="AR1454" s="123"/>
      <c r="AS1454" s="123"/>
      <c r="AT1454" s="123"/>
      <c r="AU1454" s="123"/>
      <c r="AV1454" s="123"/>
      <c r="AW1454" s="123"/>
      <c r="AX1454" s="123"/>
      <c r="AY1454" s="123"/>
      <c r="AZ1454" s="123"/>
      <c r="BA1454" s="123"/>
      <c r="BB1454" s="123"/>
      <c r="BC1454" s="123"/>
      <c r="BD1454" s="123"/>
      <c r="BE1454" s="123"/>
      <c r="BF1454" s="123"/>
      <c r="BG1454" s="123"/>
      <c r="BH1454" s="123"/>
      <c r="BI1454" s="123"/>
    </row>
    <row r="1455" spans="3:61" s="827" customFormat="1" hidden="1">
      <c r="C1455" s="1194"/>
      <c r="D1455" s="1270"/>
      <c r="E1455" s="1082"/>
      <c r="F1455" s="1082"/>
      <c r="G1455" s="1082"/>
      <c r="H1455" s="978"/>
      <c r="I1455" s="1180"/>
      <c r="J1455" s="123"/>
      <c r="K1455" s="123"/>
      <c r="L1455" s="123"/>
      <c r="M1455" s="123"/>
      <c r="N1455" s="123"/>
      <c r="O1455" s="123"/>
      <c r="P1455" s="123"/>
      <c r="Q1455" s="123"/>
      <c r="R1455" s="123"/>
      <c r="S1455" s="123"/>
      <c r="T1455" s="123"/>
      <c r="U1455" s="123"/>
      <c r="V1455" s="123"/>
      <c r="W1455" s="123"/>
      <c r="X1455" s="123"/>
      <c r="Y1455" s="123"/>
      <c r="Z1455" s="123"/>
      <c r="AA1455" s="123"/>
      <c r="AB1455" s="123"/>
      <c r="AC1455" s="123"/>
      <c r="AD1455" s="123"/>
      <c r="AE1455" s="123"/>
      <c r="AF1455" s="123"/>
      <c r="AG1455" s="123"/>
      <c r="AH1455" s="123"/>
      <c r="AI1455" s="123"/>
      <c r="AJ1455" s="123"/>
      <c r="AK1455" s="123"/>
      <c r="AL1455" s="123"/>
      <c r="AM1455" s="123"/>
      <c r="AN1455" s="123"/>
      <c r="AO1455" s="123"/>
      <c r="AP1455" s="123"/>
      <c r="AQ1455" s="123"/>
      <c r="AR1455" s="123"/>
      <c r="AS1455" s="123"/>
      <c r="AT1455" s="123"/>
      <c r="AU1455" s="123"/>
      <c r="AV1455" s="123"/>
      <c r="AW1455" s="123"/>
      <c r="AX1455" s="123"/>
      <c r="AY1455" s="123"/>
      <c r="AZ1455" s="123"/>
      <c r="BA1455" s="123"/>
      <c r="BB1455" s="123"/>
      <c r="BC1455" s="123"/>
      <c r="BD1455" s="123"/>
      <c r="BE1455" s="123"/>
      <c r="BF1455" s="123"/>
      <c r="BG1455" s="123"/>
      <c r="BH1455" s="123"/>
      <c r="BI1455" s="123"/>
    </row>
    <row r="1456" spans="3:61" hidden="1">
      <c r="C1456" s="1180"/>
      <c r="D1456" s="275"/>
      <c r="E1456" s="1074"/>
      <c r="F1456" s="1074"/>
      <c r="G1456" s="1074"/>
      <c r="H1456" s="978" t="e">
        <f t="shared" si="62"/>
        <v>#DIV/0!</v>
      </c>
      <c r="I1456" s="1180">
        <f t="shared" si="63"/>
        <v>0</v>
      </c>
    </row>
    <row r="1457" spans="2:61">
      <c r="C1457" s="326">
        <v>9198</v>
      </c>
      <c r="D1457" s="1215" t="s">
        <v>4031</v>
      </c>
      <c r="E1457" s="326">
        <v>50</v>
      </c>
      <c r="F1457" s="326">
        <v>10</v>
      </c>
      <c r="G1457" s="326">
        <v>37.4</v>
      </c>
      <c r="H1457" s="1053">
        <f t="shared" si="62"/>
        <v>0.748</v>
      </c>
      <c r="I1457" s="326">
        <f t="shared" si="63"/>
        <v>374</v>
      </c>
    </row>
    <row r="1458" spans="2:61" s="827" customFormat="1">
      <c r="C1458" s="326">
        <v>10853</v>
      </c>
      <c r="D1458" s="1215" t="s">
        <v>4028</v>
      </c>
      <c r="E1458" s="326">
        <v>20</v>
      </c>
      <c r="F1458" s="326">
        <v>10</v>
      </c>
      <c r="G1458" s="326">
        <v>17.399999999999999</v>
      </c>
      <c r="H1458" s="1053">
        <f t="shared" si="62"/>
        <v>0.86999999999999988</v>
      </c>
      <c r="I1458" s="326">
        <f t="shared" si="63"/>
        <v>174</v>
      </c>
      <c r="J1458" s="123"/>
      <c r="K1458" s="123"/>
      <c r="L1458" s="123"/>
      <c r="M1458" s="123"/>
      <c r="N1458" s="123"/>
      <c r="O1458" s="123"/>
      <c r="P1458" s="123"/>
      <c r="Q1458" s="123"/>
      <c r="R1458" s="123"/>
      <c r="S1458" s="123"/>
      <c r="T1458" s="123"/>
      <c r="U1458" s="123"/>
      <c r="V1458" s="123"/>
      <c r="W1458" s="123"/>
      <c r="X1458" s="123"/>
      <c r="Y1458" s="123"/>
      <c r="Z1458" s="123"/>
      <c r="AA1458" s="123"/>
      <c r="AB1458" s="123"/>
      <c r="AC1458" s="123"/>
      <c r="AD1458" s="123"/>
      <c r="AE1458" s="123"/>
      <c r="AF1458" s="123"/>
      <c r="AG1458" s="123"/>
      <c r="AH1458" s="123"/>
      <c r="AI1458" s="123"/>
      <c r="AJ1458" s="123"/>
      <c r="AK1458" s="123"/>
      <c r="AL1458" s="123"/>
      <c r="AM1458" s="123"/>
      <c r="AN1458" s="123"/>
      <c r="AO1458" s="123"/>
      <c r="AP1458" s="123"/>
      <c r="AQ1458" s="123"/>
      <c r="AR1458" s="123"/>
      <c r="AS1458" s="123"/>
      <c r="AT1458" s="123"/>
      <c r="AU1458" s="123"/>
      <c r="AV1458" s="123"/>
      <c r="AW1458" s="123"/>
      <c r="AX1458" s="123"/>
      <c r="AY1458" s="123"/>
      <c r="AZ1458" s="123"/>
      <c r="BA1458" s="123"/>
      <c r="BB1458" s="123"/>
      <c r="BC1458" s="123"/>
      <c r="BD1458" s="123"/>
      <c r="BE1458" s="123"/>
      <c r="BF1458" s="123"/>
      <c r="BG1458" s="123"/>
      <c r="BH1458" s="123"/>
      <c r="BI1458" s="123"/>
    </row>
    <row r="1459" spans="2:61" s="827" customFormat="1">
      <c r="C1459" s="326">
        <v>9207</v>
      </c>
      <c r="D1459" s="1215" t="s">
        <v>4029</v>
      </c>
      <c r="E1459" s="326">
        <v>25</v>
      </c>
      <c r="F1459" s="326">
        <v>10</v>
      </c>
      <c r="G1459" s="326">
        <v>36</v>
      </c>
      <c r="H1459" s="1053">
        <f t="shared" si="62"/>
        <v>1.44</v>
      </c>
      <c r="I1459" s="326">
        <f t="shared" si="63"/>
        <v>360</v>
      </c>
      <c r="J1459" s="123"/>
      <c r="K1459" s="123"/>
      <c r="L1459" s="123"/>
      <c r="M1459" s="123"/>
      <c r="N1459" s="123"/>
      <c r="O1459" s="123"/>
      <c r="P1459" s="123"/>
      <c r="Q1459" s="123"/>
      <c r="R1459" s="123"/>
      <c r="S1459" s="123"/>
      <c r="T1459" s="123"/>
      <c r="U1459" s="123"/>
      <c r="V1459" s="123"/>
      <c r="W1459" s="123"/>
      <c r="X1459" s="123"/>
      <c r="Y1459" s="123"/>
      <c r="Z1459" s="123"/>
      <c r="AA1459" s="123"/>
      <c r="AB1459" s="123"/>
      <c r="AC1459" s="123"/>
      <c r="AD1459" s="123"/>
      <c r="AE1459" s="123"/>
      <c r="AF1459" s="123"/>
      <c r="AG1459" s="123"/>
      <c r="AH1459" s="123"/>
      <c r="AI1459" s="123"/>
      <c r="AJ1459" s="123"/>
      <c r="AK1459" s="123"/>
      <c r="AL1459" s="123"/>
      <c r="AM1459" s="123"/>
      <c r="AN1459" s="123"/>
      <c r="AO1459" s="123"/>
      <c r="AP1459" s="123"/>
      <c r="AQ1459" s="123"/>
      <c r="AR1459" s="123"/>
      <c r="AS1459" s="123"/>
      <c r="AT1459" s="123"/>
      <c r="AU1459" s="123"/>
      <c r="AV1459" s="123"/>
      <c r="AW1459" s="123"/>
      <c r="AX1459" s="123"/>
      <c r="AY1459" s="123"/>
      <c r="AZ1459" s="123"/>
      <c r="BA1459" s="123"/>
      <c r="BB1459" s="123"/>
      <c r="BC1459" s="123"/>
      <c r="BD1459" s="123"/>
      <c r="BE1459" s="123"/>
      <c r="BF1459" s="123"/>
      <c r="BG1459" s="123"/>
      <c r="BH1459" s="123"/>
      <c r="BI1459" s="123"/>
    </row>
    <row r="1460" spans="2:61" s="827" customFormat="1">
      <c r="C1460" s="326">
        <v>13695</v>
      </c>
      <c r="D1460" s="1215" t="s">
        <v>4030</v>
      </c>
      <c r="E1460" s="326">
        <v>20</v>
      </c>
      <c r="F1460" s="326">
        <v>10</v>
      </c>
      <c r="G1460" s="326">
        <v>33</v>
      </c>
      <c r="H1460" s="1053">
        <f t="shared" si="62"/>
        <v>1.65</v>
      </c>
      <c r="I1460" s="326">
        <f t="shared" si="63"/>
        <v>330</v>
      </c>
      <c r="J1460" s="123"/>
      <c r="K1460" s="123"/>
      <c r="L1460" s="123"/>
      <c r="M1460" s="123"/>
      <c r="N1460" s="123"/>
      <c r="O1460" s="123"/>
      <c r="P1460" s="123"/>
      <c r="Q1460" s="123"/>
      <c r="R1460" s="123"/>
      <c r="S1460" s="123"/>
      <c r="T1460" s="123"/>
      <c r="U1460" s="123"/>
      <c r="V1460" s="123"/>
      <c r="W1460" s="123"/>
      <c r="X1460" s="123"/>
      <c r="Y1460" s="123"/>
      <c r="Z1460" s="123"/>
      <c r="AA1460" s="123"/>
      <c r="AB1460" s="123"/>
      <c r="AC1460" s="123"/>
      <c r="AD1460" s="123"/>
      <c r="AE1460" s="123"/>
      <c r="AF1460" s="123"/>
      <c r="AG1460" s="123"/>
      <c r="AH1460" s="123"/>
      <c r="AI1460" s="123"/>
      <c r="AJ1460" s="123"/>
      <c r="AK1460" s="123"/>
      <c r="AL1460" s="123"/>
      <c r="AM1460" s="123"/>
      <c r="AN1460" s="123"/>
      <c r="AO1460" s="123"/>
      <c r="AP1460" s="123"/>
      <c r="AQ1460" s="123"/>
      <c r="AR1460" s="123"/>
      <c r="AS1460" s="123"/>
      <c r="AT1460" s="123"/>
      <c r="AU1460" s="123"/>
      <c r="AV1460" s="123"/>
      <c r="AW1460" s="123"/>
      <c r="AX1460" s="123"/>
      <c r="AY1460" s="123"/>
      <c r="AZ1460" s="123"/>
      <c r="BA1460" s="123"/>
      <c r="BB1460" s="123"/>
      <c r="BC1460" s="123"/>
      <c r="BD1460" s="123"/>
      <c r="BE1460" s="123"/>
      <c r="BF1460" s="123"/>
      <c r="BG1460" s="123"/>
      <c r="BH1460" s="123"/>
      <c r="BI1460" s="123"/>
    </row>
    <row r="1461" spans="2:61">
      <c r="C1461" s="326">
        <v>9209</v>
      </c>
      <c r="D1461" s="1215" t="s">
        <v>4027</v>
      </c>
      <c r="E1461" s="326">
        <v>25</v>
      </c>
      <c r="F1461" s="326">
        <v>10</v>
      </c>
      <c r="G1461" s="326">
        <v>28</v>
      </c>
      <c r="H1461" s="1053">
        <f t="shared" si="62"/>
        <v>1.1200000000000001</v>
      </c>
      <c r="I1461" s="326">
        <f t="shared" si="63"/>
        <v>280</v>
      </c>
    </row>
    <row r="1462" spans="2:61" hidden="1">
      <c r="C1462" s="1194">
        <v>20013</v>
      </c>
      <c r="D1462" s="1270" t="s">
        <v>2288</v>
      </c>
      <c r="E1462" s="1082">
        <v>65</v>
      </c>
      <c r="F1462" s="1082"/>
      <c r="G1462" s="1082">
        <v>36.9</v>
      </c>
      <c r="H1462" s="978">
        <f t="shared" si="62"/>
        <v>0.56769230769230772</v>
      </c>
      <c r="I1462" s="1180">
        <f t="shared" si="63"/>
        <v>0</v>
      </c>
    </row>
    <row r="1463" spans="2:61" hidden="1">
      <c r="C1463" s="1180">
        <v>13721</v>
      </c>
      <c r="D1463" s="275" t="s">
        <v>2391</v>
      </c>
      <c r="E1463" s="1074"/>
      <c r="F1463" s="1074"/>
      <c r="G1463" s="438"/>
      <c r="H1463" s="1121" t="e">
        <f t="shared" si="62"/>
        <v>#DIV/0!</v>
      </c>
      <c r="I1463" s="438">
        <f t="shared" si="63"/>
        <v>0</v>
      </c>
    </row>
    <row r="1464" spans="2:61">
      <c r="C1464" s="101"/>
      <c r="D1464" s="1201"/>
      <c r="E1464" s="101"/>
      <c r="F1464" s="101"/>
      <c r="G1464" s="2294" t="s">
        <v>74</v>
      </c>
      <c r="H1464" s="2294"/>
      <c r="I1464" s="1180">
        <f>SUM(I1307:I1463)</f>
        <v>8724.6999999999989</v>
      </c>
    </row>
    <row r="1465" spans="2:61">
      <c r="C1465" s="101"/>
      <c r="D1465" s="1201"/>
      <c r="E1465" s="101"/>
      <c r="F1465" s="101"/>
      <c r="G1465" s="101"/>
      <c r="H1465" s="979"/>
      <c r="I1465" s="979">
        <f>+I1464-H1468</f>
        <v>8722.616666666665</v>
      </c>
    </row>
    <row r="1467" spans="2:61">
      <c r="C1467" s="326">
        <v>13716</v>
      </c>
      <c r="D1467" s="1215" t="s">
        <v>2796</v>
      </c>
      <c r="E1467" s="326">
        <v>12</v>
      </c>
      <c r="F1467" s="326">
        <v>5</v>
      </c>
      <c r="G1467" s="326">
        <v>12.5</v>
      </c>
      <c r="H1467" s="301">
        <f>+G1467/E1467</f>
        <v>1.0416666666666667</v>
      </c>
      <c r="I1467" s="326">
        <f>+G1467*F1467</f>
        <v>62.5</v>
      </c>
    </row>
    <row r="1468" spans="2:61">
      <c r="H1468" s="962">
        <f>2*H1467</f>
        <v>2.0833333333333335</v>
      </c>
    </row>
    <row r="1472" spans="2:61" ht="46.5">
      <c r="B1472" s="123"/>
      <c r="C1472" s="1312" t="s">
        <v>3318</v>
      </c>
      <c r="D1472" s="1243"/>
      <c r="E1472" s="310" t="s">
        <v>3978</v>
      </c>
      <c r="F1472" s="1312" t="s">
        <v>68</v>
      </c>
      <c r="G1472" s="310" t="s">
        <v>903</v>
      </c>
      <c r="H1472" s="900" t="s">
        <v>559</v>
      </c>
      <c r="I1472" s="310" t="s">
        <v>560</v>
      </c>
    </row>
    <row r="1473" spans="2:61" hidden="1">
      <c r="B1473" s="123"/>
      <c r="C1473" s="1312">
        <v>13121</v>
      </c>
      <c r="D1473" s="1200" t="s">
        <v>3359</v>
      </c>
      <c r="E1473" s="1312"/>
      <c r="F1473" s="1312"/>
      <c r="G1473" s="1312"/>
      <c r="H1473" s="900"/>
      <c r="I1473" s="528"/>
    </row>
    <row r="1474" spans="2:61" hidden="1">
      <c r="B1474" s="123"/>
      <c r="C1474" s="1312">
        <v>15807</v>
      </c>
      <c r="D1474" s="1200" t="s">
        <v>2795</v>
      </c>
      <c r="E1474" s="1312"/>
      <c r="F1474" s="1312"/>
      <c r="G1474" s="1312"/>
      <c r="H1474" s="900"/>
      <c r="I1474" s="528"/>
    </row>
    <row r="1475" spans="2:61" hidden="1">
      <c r="B1475" s="123"/>
      <c r="C1475" s="1312">
        <v>21024</v>
      </c>
      <c r="D1475" s="1200" t="s">
        <v>3446</v>
      </c>
      <c r="E1475" s="1312"/>
      <c r="F1475" s="1312"/>
      <c r="G1475" s="1312"/>
      <c r="H1475" s="900"/>
      <c r="I1475" s="528"/>
    </row>
    <row r="1476" spans="2:61" hidden="1">
      <c r="B1476" s="123"/>
      <c r="C1476" s="1312">
        <v>10069</v>
      </c>
      <c r="D1476" s="1200" t="s">
        <v>3358</v>
      </c>
      <c r="E1476" s="1312">
        <v>864</v>
      </c>
      <c r="F1476" s="1312">
        <v>0</v>
      </c>
      <c r="G1476" s="1312">
        <v>177</v>
      </c>
      <c r="H1476" s="900">
        <f>+G1476/E1476</f>
        <v>0.2048611111111111</v>
      </c>
      <c r="I1476" s="528">
        <f>+F1476*G1476</f>
        <v>0</v>
      </c>
    </row>
    <row r="1477" spans="2:61" hidden="1">
      <c r="B1477" s="123"/>
      <c r="C1477" s="1312">
        <v>10068</v>
      </c>
      <c r="D1477" s="1200" t="s">
        <v>2394</v>
      </c>
      <c r="E1477" s="1312">
        <v>864</v>
      </c>
      <c r="F1477" s="1312">
        <v>0</v>
      </c>
      <c r="G1477" s="1312">
        <v>177</v>
      </c>
      <c r="H1477" s="900">
        <f t="shared" ref="H1477:H1540" si="64">+G1477/E1477</f>
        <v>0.2048611111111111</v>
      </c>
      <c r="I1477" s="528">
        <f t="shared" ref="I1477:I1540" si="65">+F1477*G1477</f>
        <v>0</v>
      </c>
    </row>
    <row r="1478" spans="2:61" s="827" customFormat="1" hidden="1">
      <c r="B1478" s="123"/>
      <c r="C1478" s="1312"/>
      <c r="D1478" s="1245" t="s">
        <v>4540</v>
      </c>
      <c r="E1478" s="1312">
        <v>864</v>
      </c>
      <c r="F1478" s="1312">
        <v>0</v>
      </c>
      <c r="G1478" s="1312">
        <v>177</v>
      </c>
      <c r="H1478" s="900">
        <f t="shared" si="64"/>
        <v>0.2048611111111111</v>
      </c>
      <c r="I1478" s="528">
        <f t="shared" si="65"/>
        <v>0</v>
      </c>
      <c r="J1478" s="123"/>
      <c r="K1478" s="123"/>
      <c r="L1478" s="123"/>
      <c r="M1478" s="123"/>
      <c r="N1478" s="123"/>
      <c r="O1478" s="123"/>
      <c r="P1478" s="123"/>
      <c r="Q1478" s="123"/>
      <c r="R1478" s="123"/>
      <c r="S1478" s="123"/>
      <c r="T1478" s="123"/>
      <c r="U1478" s="123"/>
      <c r="V1478" s="123"/>
      <c r="W1478" s="123"/>
      <c r="X1478" s="123"/>
      <c r="Y1478" s="123"/>
      <c r="Z1478" s="123"/>
      <c r="AA1478" s="123"/>
      <c r="AB1478" s="123"/>
      <c r="AC1478" s="123"/>
      <c r="AD1478" s="123"/>
      <c r="AE1478" s="123"/>
      <c r="AF1478" s="123"/>
      <c r="AG1478" s="123"/>
      <c r="AH1478" s="123"/>
      <c r="AI1478" s="123"/>
      <c r="AJ1478" s="123"/>
      <c r="AK1478" s="123"/>
      <c r="AL1478" s="123"/>
      <c r="AM1478" s="123"/>
      <c r="AN1478" s="123"/>
      <c r="AO1478" s="123"/>
      <c r="AP1478" s="123"/>
      <c r="AQ1478" s="123"/>
      <c r="AR1478" s="123"/>
      <c r="AS1478" s="123"/>
      <c r="AT1478" s="123"/>
      <c r="AU1478" s="123"/>
      <c r="AV1478" s="123"/>
      <c r="AW1478" s="123"/>
      <c r="AX1478" s="123"/>
      <c r="AY1478" s="123"/>
      <c r="AZ1478" s="123"/>
      <c r="BA1478" s="123"/>
      <c r="BB1478" s="123"/>
      <c r="BC1478" s="123"/>
      <c r="BD1478" s="123"/>
      <c r="BE1478" s="123"/>
      <c r="BF1478" s="123"/>
      <c r="BG1478" s="123"/>
      <c r="BH1478" s="123"/>
      <c r="BI1478" s="123"/>
    </row>
    <row r="1479" spans="2:61" s="827" customFormat="1" hidden="1">
      <c r="B1479" s="123"/>
      <c r="C1479" s="1312"/>
      <c r="D1479" s="1200" t="s">
        <v>4541</v>
      </c>
      <c r="E1479" s="1312">
        <v>864</v>
      </c>
      <c r="F1479" s="1312">
        <v>0</v>
      </c>
      <c r="G1479" s="1312">
        <v>177</v>
      </c>
      <c r="H1479" s="900">
        <f t="shared" si="64"/>
        <v>0.2048611111111111</v>
      </c>
      <c r="I1479" s="528">
        <f t="shared" si="65"/>
        <v>0</v>
      </c>
      <c r="J1479" s="123"/>
      <c r="K1479" s="123"/>
      <c r="L1479" s="123"/>
      <c r="M1479" s="123"/>
      <c r="N1479" s="123"/>
      <c r="O1479" s="123"/>
      <c r="P1479" s="123"/>
      <c r="Q1479" s="123"/>
      <c r="R1479" s="123"/>
      <c r="S1479" s="123"/>
      <c r="T1479" s="123"/>
      <c r="U1479" s="123"/>
      <c r="V1479" s="123"/>
      <c r="W1479" s="123"/>
      <c r="X1479" s="123"/>
      <c r="Y1479" s="123"/>
      <c r="Z1479" s="123"/>
      <c r="AA1479" s="123"/>
      <c r="AB1479" s="123"/>
      <c r="AC1479" s="123"/>
      <c r="AD1479" s="123"/>
      <c r="AE1479" s="123"/>
      <c r="AF1479" s="123"/>
      <c r="AG1479" s="123"/>
      <c r="AH1479" s="123"/>
      <c r="AI1479" s="123"/>
      <c r="AJ1479" s="123"/>
      <c r="AK1479" s="123"/>
      <c r="AL1479" s="123"/>
      <c r="AM1479" s="123"/>
      <c r="AN1479" s="123"/>
      <c r="AO1479" s="123"/>
      <c r="AP1479" s="123"/>
      <c r="AQ1479" s="123"/>
      <c r="AR1479" s="123"/>
      <c r="AS1479" s="123"/>
      <c r="AT1479" s="123"/>
      <c r="AU1479" s="123"/>
      <c r="AV1479" s="123"/>
      <c r="AW1479" s="123"/>
      <c r="AX1479" s="123"/>
      <c r="AY1479" s="123"/>
      <c r="AZ1479" s="123"/>
      <c r="BA1479" s="123"/>
      <c r="BB1479" s="123"/>
      <c r="BC1479" s="123"/>
      <c r="BD1479" s="123"/>
      <c r="BE1479" s="123"/>
      <c r="BF1479" s="123"/>
      <c r="BG1479" s="123"/>
      <c r="BH1479" s="123"/>
      <c r="BI1479" s="123"/>
    </row>
    <row r="1480" spans="2:61" s="320" customFormat="1">
      <c r="B1480" s="123"/>
      <c r="C1480" s="1312">
        <v>1691</v>
      </c>
      <c r="D1480" s="1200" t="s">
        <v>4542</v>
      </c>
      <c r="E1480" s="1312">
        <v>12</v>
      </c>
      <c r="F1480" s="1312">
        <v>12</v>
      </c>
      <c r="G1480" s="1312">
        <v>3.7</v>
      </c>
      <c r="H1480" s="900">
        <f t="shared" si="64"/>
        <v>0.30833333333333335</v>
      </c>
      <c r="I1480" s="297">
        <f t="shared" si="65"/>
        <v>44.400000000000006</v>
      </c>
      <c r="J1480" s="123"/>
      <c r="K1480" s="123"/>
      <c r="L1480" s="123"/>
      <c r="M1480" s="123"/>
      <c r="N1480" s="123"/>
      <c r="O1480" s="123"/>
      <c r="P1480" s="123"/>
      <c r="Q1480" s="123"/>
      <c r="R1480" s="123"/>
      <c r="S1480" s="123"/>
      <c r="T1480" s="123"/>
      <c r="U1480" s="123"/>
      <c r="V1480" s="123"/>
      <c r="W1480" s="123"/>
      <c r="X1480" s="123"/>
      <c r="Y1480" s="123"/>
      <c r="Z1480" s="123"/>
      <c r="AA1480" s="123"/>
      <c r="AB1480" s="123"/>
      <c r="AC1480" s="123"/>
      <c r="AD1480" s="123"/>
      <c r="AE1480" s="123"/>
      <c r="AF1480" s="123"/>
      <c r="AG1480" s="123"/>
      <c r="AH1480" s="123"/>
      <c r="AI1480" s="123"/>
      <c r="AJ1480" s="123"/>
      <c r="AK1480" s="123"/>
      <c r="AL1480" s="123"/>
      <c r="AM1480" s="123"/>
      <c r="AN1480" s="123"/>
      <c r="AO1480" s="123"/>
      <c r="AP1480" s="123"/>
      <c r="AQ1480" s="123"/>
      <c r="AR1480" s="123"/>
      <c r="AS1480" s="123"/>
      <c r="AT1480" s="123"/>
      <c r="AU1480" s="123"/>
      <c r="AV1480" s="123"/>
      <c r="AW1480" s="123"/>
      <c r="AX1480" s="123"/>
      <c r="AY1480" s="123"/>
      <c r="AZ1480" s="123"/>
      <c r="BA1480" s="123"/>
      <c r="BB1480" s="123"/>
      <c r="BC1480" s="123"/>
      <c r="BD1480" s="123"/>
      <c r="BE1480" s="123"/>
      <c r="BF1480" s="123"/>
      <c r="BG1480" s="123"/>
      <c r="BH1480" s="123"/>
      <c r="BI1480" s="123"/>
    </row>
    <row r="1481" spans="2:61" s="827" customFormat="1" hidden="1">
      <c r="B1481" s="123"/>
      <c r="C1481" s="1312"/>
      <c r="D1481" s="1200" t="s">
        <v>4543</v>
      </c>
      <c r="E1481" s="1312">
        <v>96</v>
      </c>
      <c r="F1481" s="1312">
        <v>0</v>
      </c>
      <c r="G1481" s="1312">
        <v>63.8</v>
      </c>
      <c r="H1481" s="900">
        <f t="shared" si="64"/>
        <v>0.6645833333333333</v>
      </c>
      <c r="I1481" s="528">
        <f t="shared" si="65"/>
        <v>0</v>
      </c>
      <c r="J1481" s="123"/>
      <c r="K1481" s="123"/>
      <c r="L1481" s="123"/>
      <c r="M1481" s="123"/>
      <c r="N1481" s="123"/>
      <c r="O1481" s="123"/>
      <c r="P1481" s="123"/>
      <c r="Q1481" s="123"/>
      <c r="R1481" s="123"/>
      <c r="S1481" s="123"/>
      <c r="T1481" s="123"/>
      <c r="U1481" s="123"/>
      <c r="V1481" s="123"/>
      <c r="W1481" s="123"/>
      <c r="X1481" s="123"/>
      <c r="Y1481" s="123"/>
      <c r="Z1481" s="123"/>
      <c r="AA1481" s="123"/>
      <c r="AB1481" s="123"/>
      <c r="AC1481" s="123"/>
      <c r="AD1481" s="123"/>
      <c r="AE1481" s="123"/>
      <c r="AF1481" s="123"/>
      <c r="AG1481" s="123"/>
      <c r="AH1481" s="123"/>
      <c r="AI1481" s="123"/>
      <c r="AJ1481" s="123"/>
      <c r="AK1481" s="123"/>
      <c r="AL1481" s="123"/>
      <c r="AM1481" s="123"/>
      <c r="AN1481" s="123"/>
      <c r="AO1481" s="123"/>
      <c r="AP1481" s="123"/>
      <c r="AQ1481" s="123"/>
      <c r="AR1481" s="123"/>
      <c r="AS1481" s="123"/>
      <c r="AT1481" s="123"/>
      <c r="AU1481" s="123"/>
      <c r="AV1481" s="123"/>
      <c r="AW1481" s="123"/>
      <c r="AX1481" s="123"/>
      <c r="AY1481" s="123"/>
      <c r="AZ1481" s="123"/>
      <c r="BA1481" s="123"/>
      <c r="BB1481" s="123"/>
      <c r="BC1481" s="123"/>
      <c r="BD1481" s="123"/>
      <c r="BE1481" s="123"/>
      <c r="BF1481" s="123"/>
      <c r="BG1481" s="123"/>
      <c r="BH1481" s="123"/>
      <c r="BI1481" s="123"/>
    </row>
    <row r="1482" spans="2:61" s="320" customFormat="1">
      <c r="B1482" s="123"/>
      <c r="C1482" s="1312">
        <v>8017</v>
      </c>
      <c r="D1482" s="1200" t="s">
        <v>4539</v>
      </c>
      <c r="E1482" s="1312">
        <v>96</v>
      </c>
      <c r="F1482" s="1312">
        <v>7</v>
      </c>
      <c r="G1482" s="1312">
        <v>63.8</v>
      </c>
      <c r="H1482" s="900">
        <f t="shared" si="64"/>
        <v>0.6645833333333333</v>
      </c>
      <c r="I1482" s="297">
        <f t="shared" si="65"/>
        <v>446.59999999999997</v>
      </c>
      <c r="J1482" s="123"/>
      <c r="K1482" s="123"/>
      <c r="L1482" s="123"/>
      <c r="M1482" s="123"/>
      <c r="N1482" s="123"/>
      <c r="O1482" s="123"/>
      <c r="P1482" s="123"/>
      <c r="Q1482" s="123"/>
      <c r="R1482" s="123"/>
      <c r="S1482" s="123"/>
      <c r="T1482" s="123"/>
      <c r="U1482" s="123"/>
      <c r="V1482" s="123"/>
      <c r="W1482" s="123"/>
      <c r="X1482" s="123"/>
      <c r="Y1482" s="123"/>
      <c r="Z1482" s="123"/>
      <c r="AA1482" s="123"/>
      <c r="AB1482" s="123"/>
      <c r="AC1482" s="123"/>
      <c r="AD1482" s="123"/>
      <c r="AE1482" s="123"/>
      <c r="AF1482" s="123"/>
      <c r="AG1482" s="123"/>
      <c r="AH1482" s="123"/>
      <c r="AI1482" s="123"/>
      <c r="AJ1482" s="123"/>
      <c r="AK1482" s="123"/>
      <c r="AL1482" s="123"/>
      <c r="AM1482" s="123"/>
      <c r="AN1482" s="123"/>
      <c r="AO1482" s="123"/>
      <c r="AP1482" s="123"/>
      <c r="AQ1482" s="123"/>
      <c r="AR1482" s="123"/>
      <c r="AS1482" s="123"/>
      <c r="AT1482" s="123"/>
      <c r="AU1482" s="123"/>
      <c r="AV1482" s="123"/>
      <c r="AW1482" s="123"/>
      <c r="AX1482" s="123"/>
      <c r="AY1482" s="123"/>
      <c r="AZ1482" s="123"/>
      <c r="BA1482" s="123"/>
      <c r="BB1482" s="123"/>
      <c r="BC1482" s="123"/>
      <c r="BD1482" s="123"/>
      <c r="BE1482" s="123"/>
      <c r="BF1482" s="123"/>
      <c r="BG1482" s="123"/>
      <c r="BH1482" s="123"/>
      <c r="BI1482" s="123"/>
    </row>
    <row r="1483" spans="2:61" s="827" customFormat="1" hidden="1">
      <c r="B1483" s="123"/>
      <c r="C1483" s="1312"/>
      <c r="D1483" s="1200"/>
      <c r="E1483" s="1312"/>
      <c r="F1483" s="1312"/>
      <c r="G1483" s="1312"/>
      <c r="H1483" s="900" t="e">
        <f t="shared" si="64"/>
        <v>#DIV/0!</v>
      </c>
      <c r="I1483" s="528">
        <f t="shared" si="65"/>
        <v>0</v>
      </c>
      <c r="J1483" s="123"/>
      <c r="K1483" s="123"/>
      <c r="L1483" s="123"/>
      <c r="M1483" s="123"/>
      <c r="N1483" s="123"/>
      <c r="O1483" s="123"/>
      <c r="P1483" s="123"/>
      <c r="Q1483" s="123"/>
      <c r="R1483" s="123"/>
      <c r="S1483" s="123"/>
      <c r="T1483" s="123"/>
      <c r="U1483" s="123"/>
      <c r="V1483" s="123"/>
      <c r="W1483" s="123"/>
      <c r="X1483" s="123"/>
      <c r="Y1483" s="123"/>
      <c r="Z1483" s="123"/>
      <c r="AA1483" s="123"/>
      <c r="AB1483" s="123"/>
      <c r="AC1483" s="123"/>
      <c r="AD1483" s="123"/>
      <c r="AE1483" s="123"/>
      <c r="AF1483" s="123"/>
      <c r="AG1483" s="123"/>
      <c r="AH1483" s="123"/>
      <c r="AI1483" s="123"/>
      <c r="AJ1483" s="123"/>
      <c r="AK1483" s="123"/>
      <c r="AL1483" s="123"/>
      <c r="AM1483" s="123"/>
      <c r="AN1483" s="123"/>
      <c r="AO1483" s="123"/>
      <c r="AP1483" s="123"/>
      <c r="AQ1483" s="123"/>
      <c r="AR1483" s="123"/>
      <c r="AS1483" s="123"/>
      <c r="AT1483" s="123"/>
      <c r="AU1483" s="123"/>
      <c r="AV1483" s="123"/>
      <c r="AW1483" s="123"/>
      <c r="AX1483" s="123"/>
      <c r="AY1483" s="123"/>
      <c r="AZ1483" s="123"/>
      <c r="BA1483" s="123"/>
      <c r="BB1483" s="123"/>
      <c r="BC1483" s="123"/>
      <c r="BD1483" s="123"/>
      <c r="BE1483" s="123"/>
      <c r="BF1483" s="123"/>
      <c r="BG1483" s="123"/>
      <c r="BH1483" s="123"/>
      <c r="BI1483" s="123"/>
    </row>
    <row r="1484" spans="2:61" hidden="1">
      <c r="B1484" s="123"/>
      <c r="C1484" s="1312">
        <v>21236</v>
      </c>
      <c r="D1484" s="1200" t="s">
        <v>3618</v>
      </c>
      <c r="E1484" s="1312"/>
      <c r="F1484" s="1312"/>
      <c r="G1484" s="1312"/>
      <c r="H1484" s="900" t="e">
        <f t="shared" si="64"/>
        <v>#DIV/0!</v>
      </c>
      <c r="I1484" s="528">
        <f t="shared" si="65"/>
        <v>0</v>
      </c>
    </row>
    <row r="1485" spans="2:61" hidden="1">
      <c r="B1485" s="123"/>
      <c r="C1485" s="1312">
        <v>5426</v>
      </c>
      <c r="D1485" s="1200" t="s">
        <v>4517</v>
      </c>
      <c r="E1485" s="1312"/>
      <c r="F1485" s="1312"/>
      <c r="G1485" s="1312"/>
      <c r="H1485" s="900" t="e">
        <f t="shared" si="64"/>
        <v>#DIV/0!</v>
      </c>
      <c r="I1485" s="528">
        <f t="shared" si="65"/>
        <v>0</v>
      </c>
    </row>
    <row r="1486" spans="2:61" hidden="1">
      <c r="B1486" s="123"/>
      <c r="C1486" s="1312">
        <v>5424</v>
      </c>
      <c r="D1486" s="1200" t="s">
        <v>4518</v>
      </c>
      <c r="E1486" s="1312"/>
      <c r="F1486" s="1312"/>
      <c r="G1486" s="1312"/>
      <c r="H1486" s="900" t="e">
        <f t="shared" si="64"/>
        <v>#DIV/0!</v>
      </c>
      <c r="I1486" s="528">
        <f t="shared" si="65"/>
        <v>0</v>
      </c>
    </row>
    <row r="1487" spans="2:61" hidden="1">
      <c r="B1487" s="123"/>
      <c r="C1487" s="1312">
        <v>9579</v>
      </c>
      <c r="D1487" s="1200" t="s">
        <v>899</v>
      </c>
      <c r="E1487" s="1312"/>
      <c r="F1487" s="1312"/>
      <c r="G1487" s="1312"/>
      <c r="H1487" s="900" t="e">
        <f t="shared" si="64"/>
        <v>#DIV/0!</v>
      </c>
      <c r="I1487" s="528">
        <f t="shared" si="65"/>
        <v>0</v>
      </c>
    </row>
    <row r="1488" spans="2:61" hidden="1">
      <c r="B1488" s="123"/>
      <c r="C1488" s="1312">
        <v>950</v>
      </c>
      <c r="D1488" s="1200" t="s">
        <v>1508</v>
      </c>
      <c r="E1488" s="1312"/>
      <c r="F1488" s="1312"/>
      <c r="G1488" s="1312"/>
      <c r="H1488" s="900" t="e">
        <f t="shared" si="64"/>
        <v>#DIV/0!</v>
      </c>
      <c r="I1488" s="528">
        <f t="shared" si="65"/>
        <v>0</v>
      </c>
    </row>
    <row r="1489" spans="2:9" hidden="1">
      <c r="B1489" s="123"/>
      <c r="C1489" s="1312">
        <v>21034</v>
      </c>
      <c r="D1489" s="1200" t="s">
        <v>3170</v>
      </c>
      <c r="E1489" s="1312"/>
      <c r="F1489" s="1312"/>
      <c r="G1489" s="1312"/>
      <c r="H1489" s="900" t="e">
        <f t="shared" si="64"/>
        <v>#DIV/0!</v>
      </c>
      <c r="I1489" s="528">
        <f t="shared" si="65"/>
        <v>0</v>
      </c>
    </row>
    <row r="1490" spans="2:9" hidden="1">
      <c r="B1490" s="123"/>
      <c r="C1490" s="1312">
        <v>6650</v>
      </c>
      <c r="D1490" s="1200" t="s">
        <v>3958</v>
      </c>
      <c r="E1490" s="1312">
        <v>20</v>
      </c>
      <c r="F1490" s="1312">
        <v>0</v>
      </c>
      <c r="G1490" s="1312">
        <v>16.8</v>
      </c>
      <c r="H1490" s="900">
        <f t="shared" si="64"/>
        <v>0.84000000000000008</v>
      </c>
      <c r="I1490" s="528">
        <f t="shared" si="65"/>
        <v>0</v>
      </c>
    </row>
    <row r="1491" spans="2:9" hidden="1">
      <c r="B1491" s="123"/>
      <c r="C1491" s="1312">
        <v>13716</v>
      </c>
      <c r="D1491" s="1200" t="s">
        <v>2796</v>
      </c>
      <c r="E1491" s="1312"/>
      <c r="F1491" s="1312"/>
      <c r="G1491" s="1312"/>
      <c r="H1491" s="900" t="e">
        <f t="shared" si="64"/>
        <v>#DIV/0!</v>
      </c>
      <c r="I1491" s="528">
        <f t="shared" si="65"/>
        <v>0</v>
      </c>
    </row>
    <row r="1492" spans="2:9" hidden="1">
      <c r="B1492" s="123"/>
      <c r="C1492" s="1312">
        <v>21497</v>
      </c>
      <c r="D1492" s="1200" t="s">
        <v>3960</v>
      </c>
      <c r="E1492" s="1312"/>
      <c r="F1492" s="1312"/>
      <c r="G1492" s="1312"/>
      <c r="H1492" s="900" t="e">
        <f t="shared" si="64"/>
        <v>#DIV/0!</v>
      </c>
      <c r="I1492" s="528">
        <f t="shared" si="65"/>
        <v>0</v>
      </c>
    </row>
    <row r="1493" spans="2:9" hidden="1">
      <c r="B1493" s="123"/>
      <c r="C1493" s="1312">
        <v>1134</v>
      </c>
      <c r="D1493" s="1200" t="s">
        <v>3959</v>
      </c>
      <c r="E1493" s="1312"/>
      <c r="F1493" s="1312"/>
      <c r="G1493" s="1312"/>
      <c r="H1493" s="900" t="e">
        <f t="shared" si="64"/>
        <v>#DIV/0!</v>
      </c>
      <c r="I1493" s="528">
        <f t="shared" si="65"/>
        <v>0</v>
      </c>
    </row>
    <row r="1494" spans="2:9" hidden="1">
      <c r="B1494" s="123"/>
      <c r="C1494" s="1312">
        <v>21025</v>
      </c>
      <c r="D1494" s="1200" t="s">
        <v>3357</v>
      </c>
      <c r="E1494" s="1312"/>
      <c r="F1494" s="1312"/>
      <c r="G1494" s="1312"/>
      <c r="H1494" s="900" t="e">
        <f t="shared" si="64"/>
        <v>#DIV/0!</v>
      </c>
      <c r="I1494" s="528">
        <f t="shared" si="65"/>
        <v>0</v>
      </c>
    </row>
    <row r="1495" spans="2:9" hidden="1">
      <c r="B1495" s="123"/>
      <c r="C1495" s="1312">
        <v>21030</v>
      </c>
      <c r="D1495" s="1200" t="s">
        <v>3447</v>
      </c>
      <c r="E1495" s="1312"/>
      <c r="F1495" s="1312"/>
      <c r="G1495" s="1312"/>
      <c r="H1495" s="900" t="e">
        <f t="shared" si="64"/>
        <v>#DIV/0!</v>
      </c>
      <c r="I1495" s="528">
        <f t="shared" si="65"/>
        <v>0</v>
      </c>
    </row>
    <row r="1496" spans="2:9" hidden="1">
      <c r="B1496" s="123"/>
      <c r="C1496" s="1312">
        <v>21023</v>
      </c>
      <c r="D1496" s="1200" t="s">
        <v>3448</v>
      </c>
      <c r="E1496" s="1312"/>
      <c r="F1496" s="1312"/>
      <c r="G1496" s="1312"/>
      <c r="H1496" s="900" t="e">
        <f t="shared" si="64"/>
        <v>#DIV/0!</v>
      </c>
      <c r="I1496" s="528">
        <f t="shared" si="65"/>
        <v>0</v>
      </c>
    </row>
    <row r="1497" spans="2:9" hidden="1">
      <c r="B1497" s="123"/>
      <c r="C1497" s="1312">
        <v>21029</v>
      </c>
      <c r="D1497" s="1200" t="s">
        <v>3449</v>
      </c>
      <c r="E1497" s="1312"/>
      <c r="F1497" s="1312"/>
      <c r="G1497" s="1312"/>
      <c r="H1497" s="900" t="e">
        <f t="shared" si="64"/>
        <v>#DIV/0!</v>
      </c>
      <c r="I1497" s="528">
        <f t="shared" si="65"/>
        <v>0</v>
      </c>
    </row>
    <row r="1498" spans="2:9" hidden="1">
      <c r="B1498" s="123"/>
      <c r="C1498" s="1312">
        <v>18707</v>
      </c>
      <c r="D1498" s="1200" t="s">
        <v>2797</v>
      </c>
      <c r="E1498" s="1312"/>
      <c r="F1498" s="1312"/>
      <c r="G1498" s="1312"/>
      <c r="H1498" s="900" t="e">
        <f t="shared" si="64"/>
        <v>#DIV/0!</v>
      </c>
      <c r="I1498" s="528">
        <f t="shared" si="65"/>
        <v>0</v>
      </c>
    </row>
    <row r="1499" spans="2:9" hidden="1">
      <c r="B1499" s="123"/>
      <c r="C1499" s="1312">
        <v>9500</v>
      </c>
      <c r="D1499" s="1200" t="s">
        <v>2800</v>
      </c>
      <c r="E1499" s="1312"/>
      <c r="F1499" s="1312"/>
      <c r="G1499" s="1312"/>
      <c r="H1499" s="900" t="e">
        <f t="shared" si="64"/>
        <v>#DIV/0!</v>
      </c>
      <c r="I1499" s="528">
        <f t="shared" si="65"/>
        <v>0</v>
      </c>
    </row>
    <row r="1500" spans="2:9" hidden="1">
      <c r="B1500" s="123"/>
      <c r="C1500" s="1312">
        <v>21868</v>
      </c>
      <c r="D1500" s="1200" t="s">
        <v>4519</v>
      </c>
      <c r="E1500" s="1312">
        <v>96</v>
      </c>
      <c r="F1500" s="1312">
        <v>0</v>
      </c>
      <c r="G1500" s="1312">
        <v>112</v>
      </c>
      <c r="H1500" s="900">
        <f t="shared" si="64"/>
        <v>1.1666666666666667</v>
      </c>
      <c r="I1500" s="528">
        <f t="shared" si="65"/>
        <v>0</v>
      </c>
    </row>
    <row r="1501" spans="2:9" hidden="1">
      <c r="B1501" s="123"/>
      <c r="C1501" s="1312">
        <v>9252</v>
      </c>
      <c r="D1501" s="1200" t="s">
        <v>3798</v>
      </c>
      <c r="E1501" s="1312"/>
      <c r="F1501" s="1312"/>
      <c r="G1501" s="1312"/>
      <c r="H1501" s="900" t="e">
        <f t="shared" si="64"/>
        <v>#DIV/0!</v>
      </c>
      <c r="I1501" s="528">
        <f t="shared" si="65"/>
        <v>0</v>
      </c>
    </row>
    <row r="1502" spans="2:9" hidden="1">
      <c r="B1502" s="123"/>
      <c r="C1502" s="1312">
        <v>6901</v>
      </c>
      <c r="D1502" s="1271" t="s">
        <v>1374</v>
      </c>
      <c r="E1502" s="1312">
        <v>10</v>
      </c>
      <c r="F1502" s="1312">
        <v>0</v>
      </c>
      <c r="G1502" s="1312">
        <v>10.8</v>
      </c>
      <c r="H1502" s="900">
        <f t="shared" si="64"/>
        <v>1.08</v>
      </c>
      <c r="I1502" s="528">
        <f t="shared" si="65"/>
        <v>0</v>
      </c>
    </row>
    <row r="1503" spans="2:9" hidden="1">
      <c r="B1503" s="123"/>
      <c r="C1503" s="1312">
        <v>106</v>
      </c>
      <c r="D1503" s="1200" t="s">
        <v>3976</v>
      </c>
      <c r="E1503" s="1312"/>
      <c r="F1503" s="1312"/>
      <c r="G1503" s="1312"/>
      <c r="H1503" s="900" t="e">
        <f t="shared" si="64"/>
        <v>#DIV/0!</v>
      </c>
      <c r="I1503" s="528">
        <f t="shared" si="65"/>
        <v>0</v>
      </c>
    </row>
    <row r="1504" spans="2:9" hidden="1">
      <c r="B1504" s="123"/>
      <c r="C1504" s="1312">
        <v>15403</v>
      </c>
      <c r="D1504" s="1200" t="s">
        <v>3356</v>
      </c>
      <c r="E1504" s="1312"/>
      <c r="F1504" s="1312"/>
      <c r="G1504" s="1312"/>
      <c r="H1504" s="900" t="e">
        <f t="shared" si="64"/>
        <v>#DIV/0!</v>
      </c>
      <c r="I1504" s="528">
        <f t="shared" si="65"/>
        <v>0</v>
      </c>
    </row>
    <row r="1505" spans="2:61" s="320" customFormat="1">
      <c r="B1505" s="123"/>
      <c r="C1505" s="1312">
        <v>21032</v>
      </c>
      <c r="D1505" s="1200" t="s">
        <v>3450</v>
      </c>
      <c r="E1505" s="1312">
        <v>72</v>
      </c>
      <c r="F1505" s="1312">
        <v>5</v>
      </c>
      <c r="G1505" s="1312">
        <v>19</v>
      </c>
      <c r="H1505" s="900">
        <f t="shared" si="64"/>
        <v>0.2638888888888889</v>
      </c>
      <c r="I1505" s="297">
        <f t="shared" si="65"/>
        <v>95</v>
      </c>
      <c r="J1505" s="123"/>
      <c r="K1505" s="123"/>
      <c r="L1505" s="123"/>
      <c r="M1505" s="123"/>
      <c r="N1505" s="123"/>
      <c r="O1505" s="123"/>
      <c r="P1505" s="123"/>
      <c r="Q1505" s="123"/>
      <c r="R1505" s="123"/>
      <c r="S1505" s="123"/>
      <c r="T1505" s="123"/>
      <c r="U1505" s="123"/>
      <c r="V1505" s="123"/>
      <c r="W1505" s="123"/>
      <c r="X1505" s="123"/>
      <c r="Y1505" s="123"/>
      <c r="Z1505" s="123"/>
      <c r="AA1505" s="123"/>
      <c r="AB1505" s="123"/>
      <c r="AC1505" s="123"/>
      <c r="AD1505" s="123"/>
      <c r="AE1505" s="123"/>
      <c r="AF1505" s="123"/>
      <c r="AG1505" s="123"/>
      <c r="AH1505" s="123"/>
      <c r="AI1505" s="123"/>
      <c r="AJ1505" s="123"/>
      <c r="AK1505" s="123"/>
      <c r="AL1505" s="123"/>
      <c r="AM1505" s="123"/>
      <c r="AN1505" s="123"/>
      <c r="AO1505" s="123"/>
      <c r="AP1505" s="123"/>
      <c r="AQ1505" s="123"/>
      <c r="AR1505" s="123"/>
      <c r="AS1505" s="123"/>
      <c r="AT1505" s="123"/>
      <c r="AU1505" s="123"/>
      <c r="AV1505" s="123"/>
      <c r="AW1505" s="123"/>
      <c r="AX1505" s="123"/>
      <c r="AY1505" s="123"/>
      <c r="AZ1505" s="123"/>
      <c r="BA1505" s="123"/>
      <c r="BB1505" s="123"/>
      <c r="BC1505" s="123"/>
      <c r="BD1505" s="123"/>
      <c r="BE1505" s="123"/>
      <c r="BF1505" s="123"/>
      <c r="BG1505" s="123"/>
      <c r="BH1505" s="123"/>
      <c r="BI1505" s="123"/>
    </row>
    <row r="1506" spans="2:61" s="320" customFormat="1">
      <c r="B1506" s="123"/>
      <c r="C1506" s="1312">
        <v>9923</v>
      </c>
      <c r="D1506" s="1200" t="s">
        <v>1890</v>
      </c>
      <c r="E1506" s="1312">
        <v>72</v>
      </c>
      <c r="F1506" s="1312">
        <v>5</v>
      </c>
      <c r="G1506" s="1312">
        <v>21.6</v>
      </c>
      <c r="H1506" s="900">
        <f t="shared" si="64"/>
        <v>0.30000000000000004</v>
      </c>
      <c r="I1506" s="297">
        <f t="shared" si="65"/>
        <v>108</v>
      </c>
      <c r="J1506" s="123"/>
      <c r="K1506" s="123"/>
      <c r="L1506" s="123"/>
      <c r="M1506" s="123"/>
      <c r="N1506" s="123"/>
      <c r="O1506" s="123"/>
      <c r="P1506" s="123"/>
      <c r="Q1506" s="123"/>
      <c r="R1506" s="123"/>
      <c r="S1506" s="123"/>
      <c r="T1506" s="123"/>
      <c r="U1506" s="123"/>
      <c r="V1506" s="123"/>
      <c r="W1506" s="123"/>
      <c r="X1506" s="123"/>
      <c r="Y1506" s="123"/>
      <c r="Z1506" s="123"/>
      <c r="AA1506" s="123"/>
      <c r="AB1506" s="123"/>
      <c r="AC1506" s="123"/>
      <c r="AD1506" s="123"/>
      <c r="AE1506" s="123"/>
      <c r="AF1506" s="123"/>
      <c r="AG1506" s="123"/>
      <c r="AH1506" s="123"/>
      <c r="AI1506" s="123"/>
      <c r="AJ1506" s="123"/>
      <c r="AK1506" s="123"/>
      <c r="AL1506" s="123"/>
      <c r="AM1506" s="123"/>
      <c r="AN1506" s="123"/>
      <c r="AO1506" s="123"/>
      <c r="AP1506" s="123"/>
      <c r="AQ1506" s="123"/>
      <c r="AR1506" s="123"/>
      <c r="AS1506" s="123"/>
      <c r="AT1506" s="123"/>
      <c r="AU1506" s="123"/>
      <c r="AV1506" s="123"/>
      <c r="AW1506" s="123"/>
      <c r="AX1506" s="123"/>
      <c r="AY1506" s="123"/>
      <c r="AZ1506" s="123"/>
      <c r="BA1506" s="123"/>
      <c r="BB1506" s="123"/>
      <c r="BC1506" s="123"/>
      <c r="BD1506" s="123"/>
      <c r="BE1506" s="123"/>
      <c r="BF1506" s="123"/>
      <c r="BG1506" s="123"/>
      <c r="BH1506" s="123"/>
      <c r="BI1506" s="123"/>
    </row>
    <row r="1507" spans="2:61" hidden="1">
      <c r="B1507" s="123"/>
      <c r="C1507" s="1312">
        <v>21226</v>
      </c>
      <c r="D1507" s="1200" t="s">
        <v>3619</v>
      </c>
      <c r="E1507" s="1312"/>
      <c r="F1507" s="1312"/>
      <c r="G1507" s="1312"/>
      <c r="H1507" s="900" t="e">
        <f t="shared" si="64"/>
        <v>#DIV/0!</v>
      </c>
      <c r="I1507" s="528">
        <f t="shared" si="65"/>
        <v>0</v>
      </c>
    </row>
    <row r="1508" spans="2:61" hidden="1">
      <c r="B1508" s="123"/>
      <c r="C1508" s="1312">
        <v>21227</v>
      </c>
      <c r="D1508" s="1200" t="s">
        <v>3483</v>
      </c>
      <c r="E1508" s="1312"/>
      <c r="F1508" s="1312"/>
      <c r="G1508" s="1312"/>
      <c r="H1508" s="900" t="e">
        <f t="shared" si="64"/>
        <v>#DIV/0!</v>
      </c>
      <c r="I1508" s="528">
        <f t="shared" si="65"/>
        <v>0</v>
      </c>
    </row>
    <row r="1509" spans="2:61" hidden="1">
      <c r="B1509" s="123"/>
      <c r="C1509" s="1312">
        <v>21228</v>
      </c>
      <c r="D1509" s="1200" t="s">
        <v>3620</v>
      </c>
      <c r="E1509" s="1312"/>
      <c r="F1509" s="1312"/>
      <c r="G1509" s="1312"/>
      <c r="H1509" s="900" t="e">
        <f t="shared" si="64"/>
        <v>#DIV/0!</v>
      </c>
      <c r="I1509" s="528">
        <f t="shared" si="65"/>
        <v>0</v>
      </c>
    </row>
    <row r="1510" spans="2:61" hidden="1">
      <c r="B1510" s="123"/>
      <c r="C1510" s="1312">
        <v>21229</v>
      </c>
      <c r="D1510" s="1200" t="s">
        <v>3484</v>
      </c>
      <c r="E1510" s="1312"/>
      <c r="F1510" s="1312"/>
      <c r="G1510" s="1312"/>
      <c r="H1510" s="900" t="e">
        <f t="shared" si="64"/>
        <v>#DIV/0!</v>
      </c>
      <c r="I1510" s="528">
        <f t="shared" si="65"/>
        <v>0</v>
      </c>
    </row>
    <row r="1511" spans="2:61" hidden="1">
      <c r="B1511" s="123"/>
      <c r="C1511" s="1312">
        <v>21027</v>
      </c>
      <c r="D1511" s="1200" t="s">
        <v>3451</v>
      </c>
      <c r="E1511" s="1312"/>
      <c r="F1511" s="1312"/>
      <c r="G1511" s="1312"/>
      <c r="H1511" s="900" t="e">
        <f t="shared" si="64"/>
        <v>#DIV/0!</v>
      </c>
      <c r="I1511" s="528">
        <f t="shared" si="65"/>
        <v>0</v>
      </c>
    </row>
    <row r="1512" spans="2:61" hidden="1">
      <c r="B1512" s="123"/>
      <c r="C1512" s="1312">
        <v>10228</v>
      </c>
      <c r="D1512" s="1200" t="s">
        <v>1894</v>
      </c>
      <c r="E1512" s="1312">
        <v>25</v>
      </c>
      <c r="F1512" s="1312">
        <v>0</v>
      </c>
      <c r="G1512" s="1312">
        <v>52</v>
      </c>
      <c r="H1512" s="900">
        <f t="shared" si="64"/>
        <v>2.08</v>
      </c>
      <c r="I1512" s="528">
        <f t="shared" si="65"/>
        <v>0</v>
      </c>
    </row>
    <row r="1513" spans="2:61" s="320" customFormat="1">
      <c r="B1513" s="123"/>
      <c r="C1513" s="1312">
        <v>20014</v>
      </c>
      <c r="D1513" s="1245" t="s">
        <v>3977</v>
      </c>
      <c r="E1513" s="1312">
        <v>20</v>
      </c>
      <c r="F1513" s="1312">
        <v>30</v>
      </c>
      <c r="G1513" s="1312">
        <v>43</v>
      </c>
      <c r="H1513" s="900">
        <f t="shared" si="64"/>
        <v>2.15</v>
      </c>
      <c r="I1513" s="297">
        <f t="shared" si="65"/>
        <v>1290</v>
      </c>
      <c r="J1513" s="123"/>
      <c r="K1513" s="123"/>
      <c r="L1513" s="123"/>
      <c r="M1513" s="123"/>
      <c r="N1513" s="123"/>
      <c r="O1513" s="123"/>
      <c r="P1513" s="123"/>
      <c r="Q1513" s="123"/>
      <c r="R1513" s="123"/>
      <c r="S1513" s="123"/>
      <c r="T1513" s="123"/>
      <c r="U1513" s="123"/>
      <c r="V1513" s="123"/>
      <c r="W1513" s="123"/>
      <c r="X1513" s="123"/>
      <c r="Y1513" s="123"/>
      <c r="Z1513" s="123"/>
      <c r="AA1513" s="123"/>
      <c r="AB1513" s="123"/>
      <c r="AC1513" s="123"/>
      <c r="AD1513" s="123"/>
      <c r="AE1513" s="123"/>
      <c r="AF1513" s="123"/>
      <c r="AG1513" s="123"/>
      <c r="AH1513" s="123"/>
      <c r="AI1513" s="123"/>
      <c r="AJ1513" s="123"/>
      <c r="AK1513" s="123"/>
      <c r="AL1513" s="123"/>
      <c r="AM1513" s="123"/>
      <c r="AN1513" s="123"/>
      <c r="AO1513" s="123"/>
      <c r="AP1513" s="123"/>
      <c r="AQ1513" s="123"/>
      <c r="AR1513" s="123"/>
      <c r="AS1513" s="123"/>
      <c r="AT1513" s="123"/>
      <c r="AU1513" s="123"/>
      <c r="AV1513" s="123"/>
      <c r="AW1513" s="123"/>
      <c r="AX1513" s="123"/>
      <c r="AY1513" s="123"/>
      <c r="AZ1513" s="123"/>
      <c r="BA1513" s="123"/>
      <c r="BB1513" s="123"/>
      <c r="BC1513" s="123"/>
      <c r="BD1513" s="123"/>
      <c r="BE1513" s="123"/>
      <c r="BF1513" s="123"/>
      <c r="BG1513" s="123"/>
      <c r="BH1513" s="123"/>
      <c r="BI1513" s="123"/>
    </row>
    <row r="1514" spans="2:61" s="320" customFormat="1" hidden="1">
      <c r="B1514" s="123"/>
      <c r="C1514" s="1312">
        <v>9755</v>
      </c>
      <c r="D1514" s="1200" t="s">
        <v>4520</v>
      </c>
      <c r="E1514" s="1312">
        <v>24</v>
      </c>
      <c r="F1514" s="1312">
        <v>0</v>
      </c>
      <c r="G1514" s="1312">
        <v>15</v>
      </c>
      <c r="H1514" s="900">
        <f t="shared" si="64"/>
        <v>0.625</v>
      </c>
      <c r="I1514" s="453">
        <f t="shared" si="65"/>
        <v>0</v>
      </c>
      <c r="J1514" s="123"/>
      <c r="K1514" s="123"/>
      <c r="L1514" s="123"/>
      <c r="M1514" s="123"/>
      <c r="N1514" s="123"/>
      <c r="O1514" s="123"/>
      <c r="P1514" s="123"/>
      <c r="Q1514" s="123"/>
      <c r="R1514" s="123"/>
      <c r="S1514" s="123"/>
      <c r="T1514" s="123"/>
      <c r="U1514" s="123"/>
      <c r="V1514" s="123"/>
      <c r="W1514" s="123"/>
      <c r="X1514" s="123"/>
      <c r="Y1514" s="123"/>
      <c r="Z1514" s="123"/>
      <c r="AA1514" s="123"/>
      <c r="AB1514" s="123"/>
      <c r="AC1514" s="123"/>
      <c r="AD1514" s="123"/>
      <c r="AE1514" s="123"/>
      <c r="AF1514" s="123"/>
      <c r="AG1514" s="123"/>
      <c r="AH1514" s="123"/>
      <c r="AI1514" s="123"/>
      <c r="AJ1514" s="123"/>
      <c r="AK1514" s="123"/>
      <c r="AL1514" s="123"/>
      <c r="AM1514" s="123"/>
      <c r="AN1514" s="123"/>
      <c r="AO1514" s="123"/>
      <c r="AP1514" s="123"/>
      <c r="AQ1514" s="123"/>
      <c r="AR1514" s="123"/>
      <c r="AS1514" s="123"/>
      <c r="AT1514" s="123"/>
      <c r="AU1514" s="123"/>
      <c r="AV1514" s="123"/>
      <c r="AW1514" s="123"/>
      <c r="AX1514" s="123"/>
      <c r="AY1514" s="123"/>
      <c r="AZ1514" s="123"/>
      <c r="BA1514" s="123"/>
      <c r="BB1514" s="123"/>
      <c r="BC1514" s="123"/>
      <c r="BD1514" s="123"/>
      <c r="BE1514" s="123"/>
      <c r="BF1514" s="123"/>
      <c r="BG1514" s="123"/>
      <c r="BH1514" s="123"/>
      <c r="BI1514" s="123"/>
    </row>
    <row r="1515" spans="2:61">
      <c r="B1515" s="123"/>
      <c r="C1515" s="1312">
        <v>10396</v>
      </c>
      <c r="D1515" s="1245" t="s">
        <v>1898</v>
      </c>
      <c r="E1515" s="1312">
        <v>12</v>
      </c>
      <c r="F1515" s="1312">
        <v>30</v>
      </c>
      <c r="G1515" s="1312">
        <v>15.5</v>
      </c>
      <c r="H1515" s="900">
        <f t="shared" si="64"/>
        <v>1.2916666666666667</v>
      </c>
      <c r="I1515" s="297">
        <f t="shared" si="65"/>
        <v>465</v>
      </c>
    </row>
    <row r="1516" spans="2:61" hidden="1">
      <c r="B1516" s="123"/>
      <c r="C1516" s="1312">
        <v>21869</v>
      </c>
      <c r="D1516" s="1200" t="s">
        <v>4521</v>
      </c>
      <c r="E1516" s="1312"/>
      <c r="F1516" s="1312"/>
      <c r="G1516" s="1312"/>
      <c r="H1516" s="900" t="e">
        <f t="shared" si="64"/>
        <v>#DIV/0!</v>
      </c>
      <c r="I1516" s="528">
        <f t="shared" si="65"/>
        <v>0</v>
      </c>
    </row>
    <row r="1517" spans="2:61" s="827" customFormat="1" hidden="1">
      <c r="B1517" s="123"/>
      <c r="C1517" s="1312"/>
      <c r="D1517" s="1200" t="s">
        <v>4528</v>
      </c>
      <c r="E1517" s="1312">
        <v>252</v>
      </c>
      <c r="F1517" s="1312">
        <v>0</v>
      </c>
      <c r="G1517" s="1312">
        <v>62</v>
      </c>
      <c r="H1517" s="900">
        <f t="shared" si="64"/>
        <v>0.24603174603174602</v>
      </c>
      <c r="I1517" s="528">
        <f t="shared" si="65"/>
        <v>0</v>
      </c>
      <c r="J1517" s="123"/>
      <c r="K1517" s="123"/>
      <c r="L1517" s="123"/>
      <c r="M1517" s="123"/>
      <c r="N1517" s="123"/>
      <c r="O1517" s="123"/>
      <c r="P1517" s="123"/>
      <c r="Q1517" s="123"/>
      <c r="R1517" s="123"/>
      <c r="S1517" s="123"/>
      <c r="T1517" s="123"/>
      <c r="U1517" s="123"/>
      <c r="V1517" s="123"/>
      <c r="W1517" s="123"/>
      <c r="X1517" s="123"/>
      <c r="Y1517" s="123"/>
      <c r="Z1517" s="123"/>
      <c r="AA1517" s="123"/>
      <c r="AB1517" s="123"/>
      <c r="AC1517" s="123"/>
      <c r="AD1517" s="123"/>
      <c r="AE1517" s="123"/>
      <c r="AF1517" s="123"/>
      <c r="AG1517" s="123"/>
      <c r="AH1517" s="123"/>
      <c r="AI1517" s="123"/>
      <c r="AJ1517" s="123"/>
      <c r="AK1517" s="123"/>
      <c r="AL1517" s="123"/>
      <c r="AM1517" s="123"/>
      <c r="AN1517" s="123"/>
      <c r="AO1517" s="123"/>
      <c r="AP1517" s="123"/>
      <c r="AQ1517" s="123"/>
      <c r="AR1517" s="123"/>
      <c r="AS1517" s="123"/>
      <c r="AT1517" s="123"/>
      <c r="AU1517" s="123"/>
      <c r="AV1517" s="123"/>
      <c r="AW1517" s="123"/>
      <c r="AX1517" s="123"/>
      <c r="AY1517" s="123"/>
      <c r="AZ1517" s="123"/>
      <c r="BA1517" s="123"/>
      <c r="BB1517" s="123"/>
      <c r="BC1517" s="123"/>
      <c r="BD1517" s="123"/>
      <c r="BE1517" s="123"/>
      <c r="BF1517" s="123"/>
      <c r="BG1517" s="123"/>
      <c r="BH1517" s="123"/>
      <c r="BI1517" s="123"/>
    </row>
    <row r="1518" spans="2:61" hidden="1">
      <c r="B1518" s="123"/>
      <c r="C1518" s="1312">
        <v>1145</v>
      </c>
      <c r="D1518" s="1200" t="s">
        <v>3961</v>
      </c>
      <c r="E1518" s="1312"/>
      <c r="F1518" s="1312"/>
      <c r="G1518" s="1312"/>
      <c r="H1518" s="900" t="e">
        <f t="shared" si="64"/>
        <v>#DIV/0!</v>
      </c>
      <c r="I1518" s="528">
        <f t="shared" si="65"/>
        <v>0</v>
      </c>
    </row>
    <row r="1519" spans="2:61" hidden="1">
      <c r="B1519" s="123"/>
      <c r="C1519" s="1312">
        <v>21256</v>
      </c>
      <c r="D1519" s="1200" t="s">
        <v>3621</v>
      </c>
      <c r="E1519" s="1312"/>
      <c r="F1519" s="1312"/>
      <c r="G1519" s="1312"/>
      <c r="H1519" s="900" t="e">
        <f t="shared" si="64"/>
        <v>#DIV/0!</v>
      </c>
      <c r="I1519" s="528">
        <f t="shared" si="65"/>
        <v>0</v>
      </c>
    </row>
    <row r="1520" spans="2:61" hidden="1">
      <c r="B1520" s="123"/>
      <c r="C1520" s="1312">
        <v>21255</v>
      </c>
      <c r="D1520" s="1200" t="s">
        <v>4523</v>
      </c>
      <c r="E1520" s="1312">
        <v>12</v>
      </c>
      <c r="F1520" s="1312"/>
      <c r="G1520" s="1312">
        <v>9.6</v>
      </c>
      <c r="H1520" s="900">
        <f t="shared" si="64"/>
        <v>0.79999999999999993</v>
      </c>
      <c r="I1520" s="528">
        <f t="shared" si="65"/>
        <v>0</v>
      </c>
    </row>
    <row r="1521" spans="2:61" ht="15" hidden="1" customHeight="1">
      <c r="B1521" s="123"/>
      <c r="C1521" s="1312">
        <v>9362</v>
      </c>
      <c r="D1521" s="1200" t="s">
        <v>4524</v>
      </c>
      <c r="E1521" s="1312"/>
      <c r="F1521" s="1312"/>
      <c r="G1521" s="1312"/>
      <c r="H1521" s="900" t="e">
        <f t="shared" si="64"/>
        <v>#DIV/0!</v>
      </c>
      <c r="I1521" s="528">
        <f t="shared" si="65"/>
        <v>0</v>
      </c>
    </row>
    <row r="1522" spans="2:61" ht="15" hidden="1" customHeight="1">
      <c r="B1522" s="123"/>
      <c r="C1522" s="1312">
        <v>18135</v>
      </c>
      <c r="D1522" s="1200" t="s">
        <v>2802</v>
      </c>
      <c r="E1522" s="1312" t="s">
        <v>65</v>
      </c>
      <c r="F1522" s="1312"/>
      <c r="G1522" s="1312"/>
      <c r="H1522" s="900" t="e">
        <f t="shared" si="64"/>
        <v>#VALUE!</v>
      </c>
      <c r="I1522" s="528">
        <f t="shared" si="65"/>
        <v>0</v>
      </c>
    </row>
    <row r="1523" spans="2:61" ht="15" hidden="1" customHeight="1">
      <c r="B1523" s="123"/>
      <c r="C1523" s="1312">
        <v>20803</v>
      </c>
      <c r="D1523" s="1200" t="s">
        <v>3173</v>
      </c>
      <c r="E1523" s="1312"/>
      <c r="F1523" s="1312"/>
      <c r="G1523" s="1312"/>
      <c r="H1523" s="900" t="e">
        <f t="shared" si="64"/>
        <v>#DIV/0!</v>
      </c>
      <c r="I1523" s="528">
        <f t="shared" si="65"/>
        <v>0</v>
      </c>
    </row>
    <row r="1524" spans="2:61" ht="15" hidden="1" customHeight="1">
      <c r="B1524" s="123"/>
      <c r="C1524" s="1312">
        <v>2131</v>
      </c>
      <c r="D1524" s="1200" t="s">
        <v>3452</v>
      </c>
      <c r="E1524" s="1312"/>
      <c r="F1524" s="1312"/>
      <c r="G1524" s="1312"/>
      <c r="H1524" s="900" t="e">
        <f t="shared" si="64"/>
        <v>#DIV/0!</v>
      </c>
      <c r="I1524" s="528">
        <f t="shared" si="65"/>
        <v>0</v>
      </c>
    </row>
    <row r="1525" spans="2:61" ht="15" hidden="1" customHeight="1">
      <c r="B1525" s="123"/>
      <c r="C1525" s="1312">
        <v>20007</v>
      </c>
      <c r="D1525" s="1200" t="s">
        <v>2293</v>
      </c>
      <c r="E1525" s="1312"/>
      <c r="F1525" s="1312"/>
      <c r="G1525" s="1312"/>
      <c r="H1525" s="900" t="e">
        <f t="shared" si="64"/>
        <v>#DIV/0!</v>
      </c>
      <c r="I1525" s="528">
        <f t="shared" si="65"/>
        <v>0</v>
      </c>
    </row>
    <row r="1526" spans="2:61" ht="15" hidden="1" customHeight="1">
      <c r="B1526" s="123"/>
      <c r="C1526" s="1312">
        <v>20011</v>
      </c>
      <c r="D1526" s="1200" t="s">
        <v>2294</v>
      </c>
      <c r="E1526" s="1312"/>
      <c r="F1526" s="1312"/>
      <c r="G1526" s="1312"/>
      <c r="H1526" s="900" t="e">
        <f t="shared" si="64"/>
        <v>#DIV/0!</v>
      </c>
      <c r="I1526" s="528">
        <f t="shared" si="65"/>
        <v>0</v>
      </c>
    </row>
    <row r="1527" spans="2:61" ht="14.25" hidden="1" customHeight="1">
      <c r="B1527" s="123"/>
      <c r="C1527" s="1312">
        <v>21867</v>
      </c>
      <c r="D1527" s="1200" t="s">
        <v>4525</v>
      </c>
      <c r="E1527" s="1312">
        <v>24</v>
      </c>
      <c r="F1527" s="1312"/>
      <c r="G1527" s="1312">
        <v>12</v>
      </c>
      <c r="H1527" s="900">
        <f t="shared" si="64"/>
        <v>0.5</v>
      </c>
      <c r="I1527" s="528">
        <f t="shared" si="65"/>
        <v>0</v>
      </c>
    </row>
    <row r="1528" spans="2:61" hidden="1">
      <c r="B1528" s="123"/>
      <c r="C1528" s="1312">
        <v>6408</v>
      </c>
      <c r="D1528" s="1200" t="s">
        <v>3453</v>
      </c>
      <c r="E1528" s="1312"/>
      <c r="F1528" s="1312"/>
      <c r="G1528" s="1312"/>
      <c r="H1528" s="900" t="e">
        <f t="shared" si="64"/>
        <v>#DIV/0!</v>
      </c>
      <c r="I1528" s="528">
        <f t="shared" si="65"/>
        <v>0</v>
      </c>
    </row>
    <row r="1529" spans="2:61" hidden="1">
      <c r="B1529" s="123"/>
      <c r="C1529" s="1312">
        <v>6407</v>
      </c>
      <c r="D1529" s="1200" t="s">
        <v>3454</v>
      </c>
      <c r="E1529" s="1312"/>
      <c r="F1529" s="1312"/>
      <c r="G1529" s="1312"/>
      <c r="H1529" s="900" t="e">
        <f t="shared" si="64"/>
        <v>#DIV/0!</v>
      </c>
      <c r="I1529" s="528">
        <f t="shared" si="65"/>
        <v>0</v>
      </c>
    </row>
    <row r="1530" spans="2:61" s="320" customFormat="1">
      <c r="B1530" s="123"/>
      <c r="C1530" s="1312">
        <v>21026</v>
      </c>
      <c r="D1530" s="1200" t="s">
        <v>3455</v>
      </c>
      <c r="E1530" s="1312">
        <v>24</v>
      </c>
      <c r="F1530" s="1312">
        <v>3</v>
      </c>
      <c r="G1530" s="1312">
        <v>35</v>
      </c>
      <c r="H1530" s="900">
        <f t="shared" si="64"/>
        <v>1.4583333333333333</v>
      </c>
      <c r="I1530" s="297">
        <f t="shared" si="65"/>
        <v>105</v>
      </c>
      <c r="J1530" s="123"/>
      <c r="K1530" s="123"/>
      <c r="L1530" s="123"/>
      <c r="M1530" s="123"/>
      <c r="N1530" s="123"/>
      <c r="O1530" s="123"/>
      <c r="P1530" s="123"/>
      <c r="Q1530" s="123"/>
      <c r="R1530" s="123"/>
      <c r="S1530" s="123"/>
      <c r="T1530" s="123"/>
      <c r="U1530" s="123"/>
      <c r="V1530" s="123"/>
      <c r="W1530" s="123"/>
      <c r="X1530" s="123"/>
      <c r="Y1530" s="123"/>
      <c r="Z1530" s="123"/>
      <c r="AA1530" s="123"/>
      <c r="AB1530" s="123"/>
      <c r="AC1530" s="123"/>
      <c r="AD1530" s="123"/>
      <c r="AE1530" s="123"/>
      <c r="AF1530" s="123"/>
      <c r="AG1530" s="123"/>
      <c r="AH1530" s="123"/>
      <c r="AI1530" s="123"/>
      <c r="AJ1530" s="123"/>
      <c r="AK1530" s="123"/>
      <c r="AL1530" s="123"/>
      <c r="AM1530" s="123"/>
      <c r="AN1530" s="123"/>
      <c r="AO1530" s="123"/>
      <c r="AP1530" s="123"/>
      <c r="AQ1530" s="123"/>
      <c r="AR1530" s="123"/>
      <c r="AS1530" s="123"/>
      <c r="AT1530" s="123"/>
      <c r="AU1530" s="123"/>
      <c r="AV1530" s="123"/>
      <c r="AW1530" s="123"/>
      <c r="AX1530" s="123"/>
      <c r="AY1530" s="123"/>
      <c r="AZ1530" s="123"/>
      <c r="BA1530" s="123"/>
      <c r="BB1530" s="123"/>
      <c r="BC1530" s="123"/>
      <c r="BD1530" s="123"/>
      <c r="BE1530" s="123"/>
      <c r="BF1530" s="123"/>
      <c r="BG1530" s="123"/>
      <c r="BH1530" s="123"/>
      <c r="BI1530" s="123"/>
    </row>
    <row r="1531" spans="2:61" s="827" customFormat="1" hidden="1">
      <c r="B1531" s="123"/>
      <c r="C1531" s="1312"/>
      <c r="D1531" s="1200"/>
      <c r="E1531" s="1312"/>
      <c r="F1531" s="1312"/>
      <c r="G1531" s="1312"/>
      <c r="H1531" s="900" t="e">
        <f t="shared" si="64"/>
        <v>#DIV/0!</v>
      </c>
      <c r="I1531" s="528">
        <f t="shared" si="65"/>
        <v>0</v>
      </c>
      <c r="J1531" s="123"/>
      <c r="K1531" s="123"/>
      <c r="L1531" s="123"/>
      <c r="M1531" s="123"/>
      <c r="N1531" s="123"/>
      <c r="O1531" s="123"/>
      <c r="P1531" s="123"/>
      <c r="Q1531" s="123"/>
      <c r="R1531" s="123"/>
      <c r="S1531" s="123"/>
      <c r="T1531" s="123"/>
      <c r="U1531" s="123"/>
      <c r="V1531" s="123"/>
      <c r="W1531" s="123"/>
      <c r="X1531" s="123"/>
      <c r="Y1531" s="123"/>
      <c r="Z1531" s="123"/>
      <c r="AA1531" s="123"/>
      <c r="AB1531" s="123"/>
      <c r="AC1531" s="123"/>
      <c r="AD1531" s="123"/>
      <c r="AE1531" s="123"/>
      <c r="AF1531" s="123"/>
      <c r="AG1531" s="123"/>
      <c r="AH1531" s="123"/>
      <c r="AI1531" s="123"/>
      <c r="AJ1531" s="123"/>
      <c r="AK1531" s="123"/>
      <c r="AL1531" s="123"/>
      <c r="AM1531" s="123"/>
      <c r="AN1531" s="123"/>
      <c r="AO1531" s="123"/>
      <c r="AP1531" s="123"/>
      <c r="AQ1531" s="123"/>
      <c r="AR1531" s="123"/>
      <c r="AS1531" s="123"/>
      <c r="AT1531" s="123"/>
      <c r="AU1531" s="123"/>
      <c r="AV1531" s="123"/>
      <c r="AW1531" s="123"/>
      <c r="AX1531" s="123"/>
      <c r="AY1531" s="123"/>
      <c r="AZ1531" s="123"/>
      <c r="BA1531" s="123"/>
      <c r="BB1531" s="123"/>
      <c r="BC1531" s="123"/>
      <c r="BD1531" s="123"/>
      <c r="BE1531" s="123"/>
      <c r="BF1531" s="123"/>
      <c r="BG1531" s="123"/>
      <c r="BH1531" s="123"/>
      <c r="BI1531" s="123"/>
    </row>
    <row r="1532" spans="2:61" hidden="1">
      <c r="B1532" s="123"/>
      <c r="C1532" s="1312">
        <v>21224</v>
      </c>
      <c r="D1532" s="1200" t="s">
        <v>3622</v>
      </c>
      <c r="E1532" s="1312"/>
      <c r="F1532" s="1312"/>
      <c r="G1532" s="1312"/>
      <c r="H1532" s="900" t="e">
        <f t="shared" si="64"/>
        <v>#DIV/0!</v>
      </c>
      <c r="I1532" s="528">
        <f t="shared" si="65"/>
        <v>0</v>
      </c>
    </row>
    <row r="1533" spans="2:61" hidden="1">
      <c r="B1533" s="123"/>
      <c r="C1533" s="1312">
        <v>21225</v>
      </c>
      <c r="D1533" s="1200" t="s">
        <v>3799</v>
      </c>
      <c r="E1533" s="1312"/>
      <c r="F1533" s="1312"/>
      <c r="G1533" s="1312"/>
      <c r="H1533" s="900" t="e">
        <f t="shared" si="64"/>
        <v>#DIV/0!</v>
      </c>
      <c r="I1533" s="528">
        <f t="shared" si="65"/>
        <v>0</v>
      </c>
    </row>
    <row r="1534" spans="2:61" hidden="1">
      <c r="B1534" s="123"/>
      <c r="C1534" s="1312">
        <v>21232</v>
      </c>
      <c r="D1534" s="1200" t="s">
        <v>3486</v>
      </c>
      <c r="E1534" s="1312"/>
      <c r="F1534" s="1312"/>
      <c r="G1534" s="1312"/>
      <c r="H1534" s="900" t="e">
        <f t="shared" si="64"/>
        <v>#DIV/0!</v>
      </c>
      <c r="I1534" s="528">
        <f t="shared" si="65"/>
        <v>0</v>
      </c>
    </row>
    <row r="1535" spans="2:61" hidden="1">
      <c r="B1535" s="123"/>
      <c r="C1535" s="1312">
        <v>21231</v>
      </c>
      <c r="D1535" s="1200" t="s">
        <v>3487</v>
      </c>
      <c r="E1535" s="1312"/>
      <c r="F1535" s="1312"/>
      <c r="G1535" s="1312"/>
      <c r="H1535" s="900" t="e">
        <f t="shared" si="64"/>
        <v>#DIV/0!</v>
      </c>
      <c r="I1535" s="528">
        <f t="shared" si="65"/>
        <v>0</v>
      </c>
    </row>
    <row r="1536" spans="2:61" hidden="1">
      <c r="B1536" s="123"/>
      <c r="C1536" s="1312">
        <v>9563</v>
      </c>
      <c r="D1536" s="1200" t="s">
        <v>3623</v>
      </c>
      <c r="E1536" s="1312"/>
      <c r="F1536" s="1312"/>
      <c r="G1536" s="1312"/>
      <c r="H1536" s="900" t="e">
        <f t="shared" si="64"/>
        <v>#DIV/0!</v>
      </c>
      <c r="I1536" s="528">
        <f t="shared" si="65"/>
        <v>0</v>
      </c>
    </row>
    <row r="1537" spans="2:61" hidden="1">
      <c r="B1537" s="123"/>
      <c r="C1537" s="1312">
        <v>16123</v>
      </c>
      <c r="D1537" s="1200" t="s">
        <v>3800</v>
      </c>
      <c r="E1537" s="1312"/>
      <c r="F1537" s="1312"/>
      <c r="G1537" s="1312"/>
      <c r="H1537" s="900" t="e">
        <f t="shared" si="64"/>
        <v>#DIV/0!</v>
      </c>
      <c r="I1537" s="528">
        <f t="shared" si="65"/>
        <v>0</v>
      </c>
    </row>
    <row r="1538" spans="2:61" hidden="1">
      <c r="B1538" s="123"/>
      <c r="C1538" s="1312">
        <v>20008</v>
      </c>
      <c r="D1538" s="1200" t="s">
        <v>2292</v>
      </c>
      <c r="E1538" s="1312"/>
      <c r="F1538" s="1312"/>
      <c r="G1538" s="1312"/>
      <c r="H1538" s="900" t="e">
        <f t="shared" si="64"/>
        <v>#DIV/0!</v>
      </c>
      <c r="I1538" s="528">
        <f t="shared" si="65"/>
        <v>0</v>
      </c>
    </row>
    <row r="1539" spans="2:61" hidden="1">
      <c r="B1539" s="123"/>
      <c r="C1539" s="1312">
        <v>20009</v>
      </c>
      <c r="D1539" s="1200" t="s">
        <v>2290</v>
      </c>
      <c r="E1539" s="1312"/>
      <c r="F1539" s="1312"/>
      <c r="G1539" s="1312"/>
      <c r="H1539" s="900" t="e">
        <f t="shared" si="64"/>
        <v>#DIV/0!</v>
      </c>
      <c r="I1539" s="528">
        <f t="shared" si="65"/>
        <v>0</v>
      </c>
    </row>
    <row r="1540" spans="2:61" hidden="1">
      <c r="B1540" s="123"/>
      <c r="C1540" s="1312">
        <v>17889</v>
      </c>
      <c r="D1540" s="1200" t="s">
        <v>1509</v>
      </c>
      <c r="E1540" s="1312"/>
      <c r="F1540" s="1312"/>
      <c r="G1540" s="1312"/>
      <c r="H1540" s="900" t="e">
        <f t="shared" si="64"/>
        <v>#DIV/0!</v>
      </c>
      <c r="I1540" s="528">
        <f t="shared" si="65"/>
        <v>0</v>
      </c>
    </row>
    <row r="1541" spans="2:61" hidden="1">
      <c r="B1541" s="123"/>
      <c r="C1541" s="1312">
        <v>21028</v>
      </c>
      <c r="D1541" s="1200" t="s">
        <v>3456</v>
      </c>
      <c r="E1541" s="1312"/>
      <c r="F1541" s="1312"/>
      <c r="G1541" s="1312"/>
      <c r="H1541" s="900" t="e">
        <f t="shared" ref="H1541:H1569" si="66">+G1541/E1541</f>
        <v>#DIV/0!</v>
      </c>
      <c r="I1541" s="528">
        <f t="shared" ref="I1541:I1569" si="67">+F1541*G1541</f>
        <v>0</v>
      </c>
    </row>
    <row r="1542" spans="2:61" hidden="1">
      <c r="B1542" s="123"/>
      <c r="C1542" s="1312">
        <v>13329</v>
      </c>
      <c r="D1542" s="1200" t="s">
        <v>2390</v>
      </c>
      <c r="E1542" s="1312"/>
      <c r="F1542" s="1312"/>
      <c r="G1542" s="1312"/>
      <c r="H1542" s="900" t="e">
        <f t="shared" si="66"/>
        <v>#DIV/0!</v>
      </c>
      <c r="I1542" s="528">
        <f t="shared" si="67"/>
        <v>0</v>
      </c>
    </row>
    <row r="1543" spans="2:61" hidden="1">
      <c r="B1543" s="123"/>
      <c r="C1543" s="1312">
        <v>13695</v>
      </c>
      <c r="D1543" s="1200" t="s">
        <v>3457</v>
      </c>
      <c r="E1543" s="1312"/>
      <c r="F1543" s="1312"/>
      <c r="G1543" s="1312"/>
      <c r="H1543" s="900" t="e">
        <f t="shared" si="66"/>
        <v>#DIV/0!</v>
      </c>
      <c r="I1543" s="528">
        <f t="shared" si="67"/>
        <v>0</v>
      </c>
    </row>
    <row r="1544" spans="2:61" hidden="1">
      <c r="B1544" s="123"/>
      <c r="C1544" s="1312">
        <v>9209</v>
      </c>
      <c r="D1544" s="1200" t="s">
        <v>3458</v>
      </c>
      <c r="E1544" s="1312"/>
      <c r="F1544" s="1312"/>
      <c r="G1544" s="1312"/>
      <c r="H1544" s="900" t="e">
        <f t="shared" si="66"/>
        <v>#DIV/0!</v>
      </c>
      <c r="I1544" s="528">
        <f t="shared" si="67"/>
        <v>0</v>
      </c>
    </row>
    <row r="1545" spans="2:61" hidden="1">
      <c r="B1545" s="123"/>
      <c r="C1545" s="1312">
        <v>9198</v>
      </c>
      <c r="D1545" s="1200" t="s">
        <v>4526</v>
      </c>
      <c r="E1545" s="1312"/>
      <c r="F1545" s="1312"/>
      <c r="G1545" s="1312"/>
      <c r="H1545" s="900" t="e">
        <f t="shared" si="66"/>
        <v>#DIV/0!</v>
      </c>
      <c r="I1545" s="528">
        <f t="shared" si="67"/>
        <v>0</v>
      </c>
    </row>
    <row r="1546" spans="2:61" hidden="1">
      <c r="B1546" s="123"/>
      <c r="C1546" s="1312">
        <v>9207</v>
      </c>
      <c r="D1546" s="1200" t="s">
        <v>1581</v>
      </c>
      <c r="E1546" s="1312"/>
      <c r="F1546" s="1312"/>
      <c r="G1546" s="1312"/>
      <c r="H1546" s="900" t="e">
        <f t="shared" si="66"/>
        <v>#DIV/0!</v>
      </c>
      <c r="I1546" s="528">
        <f t="shared" si="67"/>
        <v>0</v>
      </c>
    </row>
    <row r="1547" spans="2:61" hidden="1">
      <c r="B1547" s="123"/>
      <c r="C1547" s="1312">
        <v>10853</v>
      </c>
      <c r="D1547" s="1200" t="s">
        <v>1583</v>
      </c>
      <c r="E1547" s="1312"/>
      <c r="F1547" s="1312"/>
      <c r="G1547" s="1312"/>
      <c r="H1547" s="900" t="e">
        <f t="shared" si="66"/>
        <v>#DIV/0!</v>
      </c>
      <c r="I1547" s="528">
        <f t="shared" si="67"/>
        <v>0</v>
      </c>
    </row>
    <row r="1548" spans="2:61" hidden="1">
      <c r="B1548" s="123"/>
      <c r="C1548" s="1312">
        <v>6330</v>
      </c>
      <c r="D1548" s="1200" t="s">
        <v>2395</v>
      </c>
      <c r="E1548" s="1312"/>
      <c r="F1548" s="1312"/>
      <c r="G1548" s="1312"/>
      <c r="H1548" s="900" t="e">
        <f t="shared" si="66"/>
        <v>#DIV/0!</v>
      </c>
      <c r="I1548" s="528">
        <f t="shared" si="67"/>
        <v>0</v>
      </c>
    </row>
    <row r="1549" spans="2:61" s="320" customFormat="1">
      <c r="B1549" s="123"/>
      <c r="C1549" s="1312">
        <v>22276</v>
      </c>
      <c r="D1549" s="1200" t="s">
        <v>4529</v>
      </c>
      <c r="E1549" s="1312">
        <v>12</v>
      </c>
      <c r="F1549" s="1312">
        <v>20</v>
      </c>
      <c r="G1549" s="1312">
        <v>15.5</v>
      </c>
      <c r="H1549" s="900">
        <f t="shared" si="66"/>
        <v>1.2916666666666667</v>
      </c>
      <c r="I1549" s="297">
        <f t="shared" si="67"/>
        <v>310</v>
      </c>
      <c r="J1549" s="123"/>
      <c r="K1549" s="123"/>
      <c r="L1549" s="123"/>
      <c r="M1549" s="123"/>
      <c r="N1549" s="123"/>
      <c r="O1549" s="123"/>
      <c r="P1549" s="123"/>
      <c r="Q1549" s="123"/>
      <c r="R1549" s="123"/>
      <c r="S1549" s="123"/>
      <c r="T1549" s="123"/>
      <c r="U1549" s="123"/>
      <c r="V1549" s="123"/>
      <c r="W1549" s="123"/>
      <c r="X1549" s="123"/>
      <c r="Y1549" s="123"/>
      <c r="Z1549" s="123"/>
      <c r="AA1549" s="123"/>
      <c r="AB1549" s="123"/>
      <c r="AC1549" s="123"/>
      <c r="AD1549" s="123"/>
      <c r="AE1549" s="123"/>
      <c r="AF1549" s="123"/>
      <c r="AG1549" s="123"/>
      <c r="AH1549" s="123"/>
      <c r="AI1549" s="123"/>
      <c r="AJ1549" s="123"/>
      <c r="AK1549" s="123"/>
      <c r="AL1549" s="123"/>
      <c r="AM1549" s="123"/>
      <c r="AN1549" s="123"/>
      <c r="AO1549" s="123"/>
      <c r="AP1549" s="123"/>
      <c r="AQ1549" s="123"/>
      <c r="AR1549" s="123"/>
      <c r="AS1549" s="123"/>
      <c r="AT1549" s="123"/>
      <c r="AU1549" s="123"/>
      <c r="AV1549" s="123"/>
      <c r="AW1549" s="123"/>
      <c r="AX1549" s="123"/>
      <c r="AY1549" s="123"/>
      <c r="AZ1549" s="123"/>
      <c r="BA1549" s="123"/>
      <c r="BB1549" s="123"/>
      <c r="BC1549" s="123"/>
      <c r="BD1549" s="123"/>
      <c r="BE1549" s="123"/>
      <c r="BF1549" s="123"/>
      <c r="BG1549" s="123"/>
      <c r="BH1549" s="123"/>
      <c r="BI1549" s="123"/>
    </row>
    <row r="1550" spans="2:61" s="1375" customFormat="1">
      <c r="B1550" s="123"/>
      <c r="C1550" s="1312">
        <v>14842</v>
      </c>
      <c r="D1550" s="1200" t="s">
        <v>4644</v>
      </c>
      <c r="E1550" s="1312">
        <v>12</v>
      </c>
      <c r="F1550" s="1312">
        <v>6</v>
      </c>
      <c r="G1550" s="1312">
        <v>8</v>
      </c>
      <c r="H1550" s="900">
        <f t="shared" si="66"/>
        <v>0.66666666666666663</v>
      </c>
      <c r="I1550" s="297">
        <f t="shared" si="67"/>
        <v>48</v>
      </c>
      <c r="J1550" s="123"/>
      <c r="K1550" s="123"/>
      <c r="L1550" s="123"/>
      <c r="M1550" s="123"/>
      <c r="N1550" s="123"/>
      <c r="O1550" s="123"/>
      <c r="P1550" s="123"/>
      <c r="Q1550" s="123"/>
      <c r="R1550" s="123"/>
      <c r="S1550" s="123"/>
      <c r="T1550" s="123"/>
      <c r="U1550" s="123"/>
      <c r="V1550" s="123"/>
      <c r="W1550" s="123"/>
      <c r="X1550" s="123"/>
      <c r="Y1550" s="123"/>
      <c r="Z1550" s="123"/>
      <c r="AA1550" s="123"/>
      <c r="AB1550" s="123"/>
      <c r="AC1550" s="123"/>
      <c r="AD1550" s="123"/>
      <c r="AE1550" s="123"/>
      <c r="AF1550" s="123"/>
      <c r="AG1550" s="123"/>
      <c r="AH1550" s="123"/>
      <c r="AI1550" s="123"/>
      <c r="AJ1550" s="123"/>
      <c r="AK1550" s="123"/>
      <c r="AL1550" s="123"/>
      <c r="AM1550" s="123"/>
      <c r="AN1550" s="123"/>
      <c r="AO1550" s="123"/>
      <c r="AP1550" s="123"/>
      <c r="AQ1550" s="123"/>
      <c r="AR1550" s="123"/>
      <c r="AS1550" s="123"/>
      <c r="AT1550" s="123"/>
      <c r="AU1550" s="123"/>
      <c r="AV1550" s="123"/>
      <c r="AW1550" s="123"/>
      <c r="AX1550" s="123"/>
      <c r="AY1550" s="123"/>
      <c r="AZ1550" s="123"/>
      <c r="BA1550" s="123"/>
      <c r="BB1550" s="123"/>
      <c r="BC1550" s="123"/>
      <c r="BD1550" s="123"/>
      <c r="BE1550" s="123"/>
      <c r="BF1550" s="123"/>
      <c r="BG1550" s="123"/>
      <c r="BH1550" s="123"/>
      <c r="BI1550" s="123"/>
    </row>
    <row r="1551" spans="2:61" s="320" customFormat="1">
      <c r="B1551" s="123"/>
      <c r="C1551" s="1312">
        <v>22277</v>
      </c>
      <c r="D1551" s="1200" t="s">
        <v>4530</v>
      </c>
      <c r="E1551" s="1312">
        <v>24</v>
      </c>
      <c r="F1551" s="1312">
        <v>1</v>
      </c>
      <c r="G1551" s="1312">
        <v>17.600000000000001</v>
      </c>
      <c r="H1551" s="900">
        <f t="shared" si="66"/>
        <v>0.73333333333333339</v>
      </c>
      <c r="I1551" s="297">
        <f t="shared" si="67"/>
        <v>17.600000000000001</v>
      </c>
      <c r="J1551" s="123"/>
      <c r="K1551" s="123"/>
      <c r="L1551" s="123"/>
      <c r="M1551" s="123"/>
      <c r="N1551" s="123"/>
      <c r="O1551" s="123"/>
      <c r="P1551" s="123"/>
      <c r="Q1551" s="123"/>
      <c r="R1551" s="123"/>
      <c r="S1551" s="123"/>
      <c r="T1551" s="123"/>
      <c r="U1551" s="123"/>
      <c r="V1551" s="123"/>
      <c r="W1551" s="123"/>
      <c r="X1551" s="123"/>
      <c r="Y1551" s="123"/>
      <c r="Z1551" s="123"/>
      <c r="AA1551" s="123"/>
      <c r="AB1551" s="123"/>
      <c r="AC1551" s="123"/>
      <c r="AD1551" s="123"/>
      <c r="AE1551" s="123"/>
      <c r="AF1551" s="123"/>
      <c r="AG1551" s="123"/>
      <c r="AH1551" s="123"/>
      <c r="AI1551" s="123"/>
      <c r="AJ1551" s="123"/>
      <c r="AK1551" s="123"/>
      <c r="AL1551" s="123"/>
      <c r="AM1551" s="123"/>
      <c r="AN1551" s="123"/>
      <c r="AO1551" s="123"/>
      <c r="AP1551" s="123"/>
      <c r="AQ1551" s="123"/>
      <c r="AR1551" s="123"/>
      <c r="AS1551" s="123"/>
      <c r="AT1551" s="123"/>
      <c r="AU1551" s="123"/>
      <c r="AV1551" s="123"/>
      <c r="AW1551" s="123"/>
      <c r="AX1551" s="123"/>
      <c r="AY1551" s="123"/>
      <c r="AZ1551" s="123"/>
      <c r="BA1551" s="123"/>
      <c r="BB1551" s="123"/>
      <c r="BC1551" s="123"/>
      <c r="BD1551" s="123"/>
      <c r="BE1551" s="123"/>
      <c r="BF1551" s="123"/>
      <c r="BG1551" s="123"/>
      <c r="BH1551" s="123"/>
      <c r="BI1551" s="123"/>
    </row>
    <row r="1552" spans="2:61" s="320" customFormat="1">
      <c r="B1552" s="123"/>
      <c r="C1552" s="1312">
        <v>22278</v>
      </c>
      <c r="D1552" s="1200" t="s">
        <v>4531</v>
      </c>
      <c r="E1552" s="1312">
        <v>30</v>
      </c>
      <c r="F1552" s="1312">
        <v>1</v>
      </c>
      <c r="G1552" s="1312">
        <v>11.3</v>
      </c>
      <c r="H1552" s="900">
        <f t="shared" si="66"/>
        <v>0.37666666666666671</v>
      </c>
      <c r="I1552" s="297">
        <f t="shared" si="67"/>
        <v>11.3</v>
      </c>
      <c r="J1552" s="123"/>
      <c r="K1552" s="123"/>
      <c r="L1552" s="123"/>
      <c r="M1552" s="123"/>
      <c r="N1552" s="123"/>
      <c r="O1552" s="123"/>
      <c r="P1552" s="123"/>
      <c r="Q1552" s="123"/>
      <c r="R1552" s="123"/>
      <c r="S1552" s="123"/>
      <c r="T1552" s="123"/>
      <c r="U1552" s="123"/>
      <c r="V1552" s="123"/>
      <c r="W1552" s="123"/>
      <c r="X1552" s="123"/>
      <c r="Y1552" s="123"/>
      <c r="Z1552" s="123"/>
      <c r="AA1552" s="123"/>
      <c r="AB1552" s="123"/>
      <c r="AC1552" s="123"/>
      <c r="AD1552" s="123"/>
      <c r="AE1552" s="123"/>
      <c r="AF1552" s="123"/>
      <c r="AG1552" s="123"/>
      <c r="AH1552" s="123"/>
      <c r="AI1552" s="123"/>
      <c r="AJ1552" s="123"/>
      <c r="AK1552" s="123"/>
      <c r="AL1552" s="123"/>
      <c r="AM1552" s="123"/>
      <c r="AN1552" s="123"/>
      <c r="AO1552" s="123"/>
      <c r="AP1552" s="123"/>
      <c r="AQ1552" s="123"/>
      <c r="AR1552" s="123"/>
      <c r="AS1552" s="123"/>
      <c r="AT1552" s="123"/>
      <c r="AU1552" s="123"/>
      <c r="AV1552" s="123"/>
      <c r="AW1552" s="123"/>
      <c r="AX1552" s="123"/>
      <c r="AY1552" s="123"/>
      <c r="AZ1552" s="123"/>
      <c r="BA1552" s="123"/>
      <c r="BB1552" s="123"/>
      <c r="BC1552" s="123"/>
      <c r="BD1552" s="123"/>
      <c r="BE1552" s="123"/>
      <c r="BF1552" s="123"/>
      <c r="BG1552" s="123"/>
      <c r="BH1552" s="123"/>
      <c r="BI1552" s="123"/>
    </row>
    <row r="1553" spans="2:61" s="320" customFormat="1" ht="32.25" customHeight="1">
      <c r="B1553" s="123"/>
      <c r="C1553" s="1312">
        <v>22281</v>
      </c>
      <c r="D1553" s="1245" t="s">
        <v>4532</v>
      </c>
      <c r="E1553" s="1312">
        <v>48</v>
      </c>
      <c r="F1553" s="1312">
        <v>1</v>
      </c>
      <c r="G1553" s="1312">
        <v>28.4</v>
      </c>
      <c r="H1553" s="900">
        <f t="shared" si="66"/>
        <v>0.59166666666666667</v>
      </c>
      <c r="I1553" s="297">
        <f t="shared" si="67"/>
        <v>28.4</v>
      </c>
      <c r="J1553" s="123"/>
      <c r="K1553" s="123"/>
      <c r="L1553" s="123"/>
      <c r="M1553" s="123"/>
      <c r="N1553" s="123"/>
      <c r="O1553" s="123"/>
      <c r="P1553" s="123"/>
      <c r="Q1553" s="123"/>
      <c r="R1553" s="123"/>
      <c r="S1553" s="123"/>
      <c r="T1553" s="123"/>
      <c r="U1553" s="123"/>
      <c r="V1553" s="123"/>
      <c r="W1553" s="123"/>
      <c r="X1553" s="123"/>
      <c r="Y1553" s="123"/>
      <c r="Z1553" s="123"/>
      <c r="AA1553" s="123"/>
      <c r="AB1553" s="123"/>
      <c r="AC1553" s="123"/>
      <c r="AD1553" s="123"/>
      <c r="AE1553" s="123"/>
      <c r="AF1553" s="123"/>
      <c r="AG1553" s="123"/>
      <c r="AH1553" s="123"/>
      <c r="AI1553" s="123"/>
      <c r="AJ1553" s="123"/>
      <c r="AK1553" s="123"/>
      <c r="AL1553" s="123"/>
      <c r="AM1553" s="123"/>
      <c r="AN1553" s="123"/>
      <c r="AO1553" s="123"/>
      <c r="AP1553" s="123"/>
      <c r="AQ1553" s="123"/>
      <c r="AR1553" s="123"/>
      <c r="AS1553" s="123"/>
      <c r="AT1553" s="123"/>
      <c r="AU1553" s="123"/>
      <c r="AV1553" s="123"/>
      <c r="AW1553" s="123"/>
      <c r="AX1553" s="123"/>
      <c r="AY1553" s="123"/>
      <c r="AZ1553" s="123"/>
      <c r="BA1553" s="123"/>
      <c r="BB1553" s="123"/>
      <c r="BC1553" s="123"/>
      <c r="BD1553" s="123"/>
      <c r="BE1553" s="123"/>
      <c r="BF1553" s="123"/>
      <c r="BG1553" s="123"/>
      <c r="BH1553" s="123"/>
      <c r="BI1553" s="123"/>
    </row>
    <row r="1554" spans="2:61" s="320" customFormat="1">
      <c r="B1554" s="123"/>
      <c r="C1554" s="1312">
        <v>22279</v>
      </c>
      <c r="D1554" s="1200" t="s">
        <v>4533</v>
      </c>
      <c r="E1554" s="1312">
        <v>24</v>
      </c>
      <c r="F1554" s="1312">
        <v>1</v>
      </c>
      <c r="G1554" s="1312">
        <v>14.7</v>
      </c>
      <c r="H1554" s="900">
        <f t="shared" si="66"/>
        <v>0.61249999999999993</v>
      </c>
      <c r="I1554" s="297">
        <f t="shared" si="67"/>
        <v>14.7</v>
      </c>
      <c r="J1554" s="123"/>
      <c r="K1554" s="123"/>
      <c r="L1554" s="123"/>
      <c r="M1554" s="123"/>
      <c r="N1554" s="123"/>
      <c r="O1554" s="123"/>
      <c r="P1554" s="123"/>
      <c r="Q1554" s="123"/>
      <c r="R1554" s="123"/>
      <c r="S1554" s="123"/>
      <c r="T1554" s="123"/>
      <c r="U1554" s="123"/>
      <c r="V1554" s="123"/>
      <c r="W1554" s="123"/>
      <c r="X1554" s="123"/>
      <c r="Y1554" s="123"/>
      <c r="Z1554" s="123"/>
      <c r="AA1554" s="123"/>
      <c r="AB1554" s="123"/>
      <c r="AC1554" s="123"/>
      <c r="AD1554" s="123"/>
      <c r="AE1554" s="123"/>
      <c r="AF1554" s="123"/>
      <c r="AG1554" s="123"/>
      <c r="AH1554" s="123"/>
      <c r="AI1554" s="123"/>
      <c r="AJ1554" s="123"/>
      <c r="AK1554" s="123"/>
      <c r="AL1554" s="123"/>
      <c r="AM1554" s="123"/>
      <c r="AN1554" s="123"/>
      <c r="AO1554" s="123"/>
      <c r="AP1554" s="123"/>
      <c r="AQ1554" s="123"/>
      <c r="AR1554" s="123"/>
      <c r="AS1554" s="123"/>
      <c r="AT1554" s="123"/>
      <c r="AU1554" s="123"/>
      <c r="AV1554" s="123"/>
      <c r="AW1554" s="123"/>
      <c r="AX1554" s="123"/>
      <c r="AY1554" s="123"/>
      <c r="AZ1554" s="123"/>
      <c r="BA1554" s="123"/>
      <c r="BB1554" s="123"/>
      <c r="BC1554" s="123"/>
      <c r="BD1554" s="123"/>
      <c r="BE1554" s="123"/>
      <c r="BF1554" s="123"/>
      <c r="BG1554" s="123"/>
      <c r="BH1554" s="123"/>
      <c r="BI1554" s="123"/>
    </row>
    <row r="1555" spans="2:61" hidden="1">
      <c r="B1555" s="123"/>
      <c r="C1555" s="1312">
        <v>1145</v>
      </c>
      <c r="D1555" s="347" t="s">
        <v>3961</v>
      </c>
      <c r="E1555" s="1312">
        <v>12</v>
      </c>
      <c r="F1555" s="1312">
        <v>0</v>
      </c>
      <c r="G1555" s="1312">
        <v>16</v>
      </c>
      <c r="H1555" s="900">
        <f t="shared" si="66"/>
        <v>1.3333333333333333</v>
      </c>
      <c r="I1555" s="528">
        <f t="shared" si="67"/>
        <v>0</v>
      </c>
    </row>
    <row r="1556" spans="2:61" s="320" customFormat="1" ht="30">
      <c r="B1556" s="123"/>
      <c r="C1556" s="1312">
        <v>5426</v>
      </c>
      <c r="D1556" s="1245" t="s">
        <v>4517</v>
      </c>
      <c r="E1556" s="1312">
        <v>1000</v>
      </c>
      <c r="F1556" s="1312">
        <v>10</v>
      </c>
      <c r="G1556" s="1312">
        <v>23</v>
      </c>
      <c r="H1556" s="900">
        <f t="shared" si="66"/>
        <v>2.3E-2</v>
      </c>
      <c r="I1556" s="297">
        <f t="shared" si="67"/>
        <v>230</v>
      </c>
      <c r="J1556" s="123"/>
      <c r="K1556" s="123"/>
      <c r="L1556" s="123"/>
      <c r="M1556" s="123"/>
      <c r="N1556" s="123"/>
      <c r="O1556" s="123"/>
      <c r="P1556" s="123"/>
      <c r="Q1556" s="123"/>
      <c r="R1556" s="123"/>
      <c r="S1556" s="123"/>
      <c r="T1556" s="123"/>
      <c r="U1556" s="123"/>
      <c r="V1556" s="123"/>
      <c r="W1556" s="123"/>
      <c r="X1556" s="123"/>
      <c r="Y1556" s="123"/>
      <c r="Z1556" s="123"/>
      <c r="AA1556" s="123"/>
      <c r="AB1556" s="123"/>
      <c r="AC1556" s="123"/>
      <c r="AD1556" s="123"/>
      <c r="AE1556" s="123"/>
      <c r="AF1556" s="123"/>
      <c r="AG1556" s="123"/>
      <c r="AH1556" s="123"/>
      <c r="AI1556" s="123"/>
      <c r="AJ1556" s="123"/>
      <c r="AK1556" s="123"/>
      <c r="AL1556" s="123"/>
      <c r="AM1556" s="123"/>
      <c r="AN1556" s="123"/>
      <c r="AO1556" s="123"/>
      <c r="AP1556" s="123"/>
      <c r="AQ1556" s="123"/>
      <c r="AR1556" s="123"/>
      <c r="AS1556" s="123"/>
      <c r="AT1556" s="123"/>
      <c r="AU1556" s="123"/>
      <c r="AV1556" s="123"/>
      <c r="AW1556" s="123"/>
      <c r="AX1556" s="123"/>
      <c r="AY1556" s="123"/>
      <c r="AZ1556" s="123"/>
      <c r="BA1556" s="123"/>
      <c r="BB1556" s="123"/>
      <c r="BC1556" s="123"/>
      <c r="BD1556" s="123"/>
      <c r="BE1556" s="123"/>
      <c r="BF1556" s="123"/>
      <c r="BG1556" s="123"/>
      <c r="BH1556" s="123"/>
      <c r="BI1556" s="123"/>
    </row>
    <row r="1557" spans="2:61" s="320" customFormat="1">
      <c r="B1557" s="123"/>
      <c r="C1557" s="1312">
        <v>5424</v>
      </c>
      <c r="D1557" s="1200" t="s">
        <v>4518</v>
      </c>
      <c r="E1557" s="1312">
        <v>1000</v>
      </c>
      <c r="F1557" s="1312">
        <v>10</v>
      </c>
      <c r="G1557" s="1312">
        <v>9.9</v>
      </c>
      <c r="H1557" s="900">
        <f t="shared" si="66"/>
        <v>9.9000000000000008E-3</v>
      </c>
      <c r="I1557" s="297">
        <f t="shared" si="67"/>
        <v>99</v>
      </c>
      <c r="J1557" s="123"/>
      <c r="K1557" s="123"/>
      <c r="L1557" s="123"/>
      <c r="M1557" s="123"/>
      <c r="N1557" s="123"/>
      <c r="O1557" s="123"/>
      <c r="P1557" s="123"/>
      <c r="Q1557" s="123"/>
      <c r="R1557" s="123"/>
      <c r="S1557" s="123"/>
      <c r="T1557" s="123"/>
      <c r="U1557" s="123"/>
      <c r="V1557" s="123"/>
      <c r="W1557" s="123"/>
      <c r="X1557" s="123"/>
      <c r="Y1557" s="123"/>
      <c r="Z1557" s="123"/>
      <c r="AA1557" s="123"/>
      <c r="AB1557" s="123"/>
      <c r="AC1557" s="123"/>
      <c r="AD1557" s="123"/>
      <c r="AE1557" s="123"/>
      <c r="AF1557" s="123"/>
      <c r="AG1557" s="123"/>
      <c r="AH1557" s="123"/>
      <c r="AI1557" s="123"/>
      <c r="AJ1557" s="123"/>
      <c r="AK1557" s="123"/>
      <c r="AL1557" s="123"/>
      <c r="AM1557" s="123"/>
      <c r="AN1557" s="123"/>
      <c r="AO1557" s="123"/>
      <c r="AP1557" s="123"/>
      <c r="AQ1557" s="123"/>
      <c r="AR1557" s="123"/>
      <c r="AS1557" s="123"/>
      <c r="AT1557" s="123"/>
      <c r="AU1557" s="123"/>
      <c r="AV1557" s="123"/>
      <c r="AW1557" s="123"/>
      <c r="AX1557" s="123"/>
      <c r="AY1557" s="123"/>
      <c r="AZ1557" s="123"/>
      <c r="BA1557" s="123"/>
      <c r="BB1557" s="123"/>
      <c r="BC1557" s="123"/>
      <c r="BD1557" s="123"/>
      <c r="BE1557" s="123"/>
      <c r="BF1557" s="123"/>
      <c r="BG1557" s="123"/>
      <c r="BH1557" s="123"/>
      <c r="BI1557" s="123"/>
    </row>
    <row r="1558" spans="2:61" s="320" customFormat="1">
      <c r="B1558" s="123"/>
      <c r="C1558" s="1312">
        <v>9579</v>
      </c>
      <c r="D1558" s="1200" t="s">
        <v>899</v>
      </c>
      <c r="E1558" s="1312">
        <v>1000</v>
      </c>
      <c r="F1558" s="1312">
        <v>30</v>
      </c>
      <c r="G1558" s="1312">
        <v>4.3</v>
      </c>
      <c r="H1558" s="900">
        <f t="shared" si="66"/>
        <v>4.3E-3</v>
      </c>
      <c r="I1558" s="297">
        <f t="shared" si="67"/>
        <v>129</v>
      </c>
      <c r="J1558" s="123"/>
      <c r="K1558" s="123"/>
      <c r="L1558" s="123"/>
      <c r="M1558" s="123"/>
      <c r="N1558" s="123"/>
      <c r="O1558" s="123"/>
      <c r="P1558" s="123"/>
      <c r="Q1558" s="123"/>
      <c r="R1558" s="123"/>
      <c r="S1558" s="123"/>
      <c r="T1558" s="123"/>
      <c r="U1558" s="123"/>
      <c r="V1558" s="123"/>
      <c r="W1558" s="123"/>
      <c r="X1558" s="123"/>
      <c r="Y1558" s="123"/>
      <c r="Z1558" s="123"/>
      <c r="AA1558" s="123"/>
      <c r="AB1558" s="123"/>
      <c r="AC1558" s="123"/>
      <c r="AD1558" s="123"/>
      <c r="AE1558" s="123"/>
      <c r="AF1558" s="123"/>
      <c r="AG1558" s="123"/>
      <c r="AH1558" s="123"/>
      <c r="AI1558" s="123"/>
      <c r="AJ1558" s="123"/>
      <c r="AK1558" s="123"/>
      <c r="AL1558" s="123"/>
      <c r="AM1558" s="123"/>
      <c r="AN1558" s="123"/>
      <c r="AO1558" s="123"/>
      <c r="AP1558" s="123"/>
      <c r="AQ1558" s="123"/>
      <c r="AR1558" s="123"/>
      <c r="AS1558" s="123"/>
      <c r="AT1558" s="123"/>
      <c r="AU1558" s="123"/>
      <c r="AV1558" s="123"/>
      <c r="AW1558" s="123"/>
      <c r="AX1558" s="123"/>
      <c r="AY1558" s="123"/>
      <c r="AZ1558" s="123"/>
      <c r="BA1558" s="123"/>
      <c r="BB1558" s="123"/>
      <c r="BC1558" s="123"/>
      <c r="BD1558" s="123"/>
      <c r="BE1558" s="123"/>
      <c r="BF1558" s="123"/>
      <c r="BG1558" s="123"/>
      <c r="BH1558" s="123"/>
      <c r="BI1558" s="123"/>
    </row>
    <row r="1559" spans="2:61" s="320" customFormat="1" ht="14.25" customHeight="1">
      <c r="B1559" s="123"/>
      <c r="C1559" s="1312">
        <v>8162</v>
      </c>
      <c r="D1559" s="1245" t="s">
        <v>4534</v>
      </c>
      <c r="E1559" s="1312">
        <v>1000</v>
      </c>
      <c r="F1559" s="1312">
        <v>10</v>
      </c>
      <c r="G1559" s="1312">
        <v>6.8</v>
      </c>
      <c r="H1559" s="900">
        <f t="shared" si="66"/>
        <v>6.7999999999999996E-3</v>
      </c>
      <c r="I1559" s="297">
        <f t="shared" si="67"/>
        <v>68</v>
      </c>
      <c r="J1559" s="123"/>
      <c r="K1559" s="123"/>
      <c r="L1559" s="123"/>
      <c r="M1559" s="123"/>
      <c r="N1559" s="123"/>
      <c r="O1559" s="123"/>
      <c r="P1559" s="123"/>
      <c r="Q1559" s="123"/>
      <c r="R1559" s="123"/>
      <c r="S1559" s="123"/>
      <c r="T1559" s="123"/>
      <c r="U1559" s="123"/>
      <c r="V1559" s="123"/>
      <c r="W1559" s="123"/>
      <c r="X1559" s="123"/>
      <c r="Y1559" s="123"/>
      <c r="Z1559" s="123"/>
      <c r="AA1559" s="123"/>
      <c r="AB1559" s="123"/>
      <c r="AC1559" s="123"/>
      <c r="AD1559" s="123"/>
      <c r="AE1559" s="123"/>
      <c r="AF1559" s="123"/>
      <c r="AG1559" s="123"/>
      <c r="AH1559" s="123"/>
      <c r="AI1559" s="123"/>
      <c r="AJ1559" s="123"/>
      <c r="AK1559" s="123"/>
      <c r="AL1559" s="123"/>
      <c r="AM1559" s="123"/>
      <c r="AN1559" s="123"/>
      <c r="AO1559" s="123"/>
      <c r="AP1559" s="123"/>
      <c r="AQ1559" s="123"/>
      <c r="AR1559" s="123"/>
      <c r="AS1559" s="123"/>
      <c r="AT1559" s="123"/>
      <c r="AU1559" s="123"/>
      <c r="AV1559" s="123"/>
      <c r="AW1559" s="123"/>
      <c r="AX1559" s="123"/>
      <c r="AY1559" s="123"/>
      <c r="AZ1559" s="123"/>
      <c r="BA1559" s="123"/>
      <c r="BB1559" s="123"/>
      <c r="BC1559" s="123"/>
      <c r="BD1559" s="123"/>
      <c r="BE1559" s="123"/>
      <c r="BF1559" s="123"/>
      <c r="BG1559" s="123"/>
      <c r="BH1559" s="123"/>
      <c r="BI1559" s="123"/>
    </row>
    <row r="1560" spans="2:61" s="320" customFormat="1">
      <c r="B1560" s="123"/>
      <c r="C1560" s="1312">
        <v>10427</v>
      </c>
      <c r="D1560" s="1200" t="s">
        <v>4535</v>
      </c>
      <c r="E1560" s="1312">
        <v>12</v>
      </c>
      <c r="F1560" s="1312">
        <v>10</v>
      </c>
      <c r="G1560" s="1312">
        <v>6.5</v>
      </c>
      <c r="H1560" s="900">
        <f t="shared" si="66"/>
        <v>0.54166666666666663</v>
      </c>
      <c r="I1560" s="297">
        <f t="shared" si="67"/>
        <v>65</v>
      </c>
      <c r="J1560" s="123"/>
      <c r="K1560" s="123"/>
      <c r="L1560" s="123"/>
      <c r="M1560" s="123"/>
      <c r="N1560" s="123"/>
      <c r="O1560" s="123"/>
      <c r="P1560" s="123"/>
      <c r="Q1560" s="123"/>
      <c r="R1560" s="123"/>
      <c r="S1560" s="123"/>
      <c r="T1560" s="123"/>
      <c r="U1560" s="123"/>
      <c r="V1560" s="123"/>
      <c r="W1560" s="123"/>
      <c r="X1560" s="123"/>
      <c r="Y1560" s="123"/>
      <c r="Z1560" s="123"/>
      <c r="AA1560" s="123"/>
      <c r="AB1560" s="123"/>
      <c r="AC1560" s="123"/>
      <c r="AD1560" s="123"/>
      <c r="AE1560" s="123"/>
      <c r="AF1560" s="123"/>
      <c r="AG1560" s="123"/>
      <c r="AH1560" s="123"/>
      <c r="AI1560" s="123"/>
      <c r="AJ1560" s="123"/>
      <c r="AK1560" s="123"/>
      <c r="AL1560" s="123"/>
      <c r="AM1560" s="123"/>
      <c r="AN1560" s="123"/>
      <c r="AO1560" s="123"/>
      <c r="AP1560" s="123"/>
      <c r="AQ1560" s="123"/>
      <c r="AR1560" s="123"/>
      <c r="AS1560" s="123"/>
      <c r="AT1560" s="123"/>
      <c r="AU1560" s="123"/>
      <c r="AV1560" s="123"/>
      <c r="AW1560" s="123"/>
      <c r="AX1560" s="123"/>
      <c r="AY1560" s="123"/>
      <c r="AZ1560" s="123"/>
      <c r="BA1560" s="123"/>
      <c r="BB1560" s="123"/>
      <c r="BC1560" s="123"/>
      <c r="BD1560" s="123"/>
      <c r="BE1560" s="123"/>
      <c r="BF1560" s="123"/>
      <c r="BG1560" s="123"/>
      <c r="BH1560" s="123"/>
      <c r="BI1560" s="123"/>
    </row>
    <row r="1561" spans="2:61" s="320" customFormat="1" ht="30">
      <c r="B1561" s="123"/>
      <c r="C1561" s="1312">
        <v>8163</v>
      </c>
      <c r="D1561" s="1245" t="s">
        <v>4536</v>
      </c>
      <c r="E1561" s="1312">
        <v>1000</v>
      </c>
      <c r="F1561" s="1312">
        <v>10</v>
      </c>
      <c r="G1561" s="1312">
        <v>18</v>
      </c>
      <c r="H1561" s="900">
        <f t="shared" si="66"/>
        <v>1.7999999999999999E-2</v>
      </c>
      <c r="I1561" s="297">
        <f t="shared" si="67"/>
        <v>180</v>
      </c>
      <c r="J1561" s="123"/>
      <c r="K1561" s="123"/>
      <c r="L1561" s="123"/>
      <c r="M1561" s="123"/>
      <c r="N1561" s="123"/>
      <c r="O1561" s="123"/>
      <c r="P1561" s="123"/>
      <c r="Q1561" s="123"/>
      <c r="R1561" s="123"/>
      <c r="S1561" s="123"/>
      <c r="T1561" s="123"/>
      <c r="U1561" s="123"/>
      <c r="V1561" s="123"/>
      <c r="W1561" s="123"/>
      <c r="X1561" s="123"/>
      <c r="Y1561" s="123"/>
      <c r="Z1561" s="123"/>
      <c r="AA1561" s="123"/>
      <c r="AB1561" s="123"/>
      <c r="AC1561" s="123"/>
      <c r="AD1561" s="123"/>
      <c r="AE1561" s="123"/>
      <c r="AF1561" s="123"/>
      <c r="AG1561" s="123"/>
      <c r="AH1561" s="123"/>
      <c r="AI1561" s="123"/>
      <c r="AJ1561" s="123"/>
      <c r="AK1561" s="123"/>
      <c r="AL1561" s="123"/>
      <c r="AM1561" s="123"/>
      <c r="AN1561" s="123"/>
      <c r="AO1561" s="123"/>
      <c r="AP1561" s="123"/>
      <c r="AQ1561" s="123"/>
      <c r="AR1561" s="123"/>
      <c r="AS1561" s="123"/>
      <c r="AT1561" s="123"/>
      <c r="AU1561" s="123"/>
      <c r="AV1561" s="123"/>
      <c r="AW1561" s="123"/>
      <c r="AX1561" s="123"/>
      <c r="AY1561" s="123"/>
      <c r="AZ1561" s="123"/>
      <c r="BA1561" s="123"/>
      <c r="BB1561" s="123"/>
      <c r="BC1561" s="123"/>
      <c r="BD1561" s="123"/>
      <c r="BE1561" s="123"/>
      <c r="BF1561" s="123"/>
      <c r="BG1561" s="123"/>
      <c r="BH1561" s="123"/>
      <c r="BI1561" s="123"/>
    </row>
    <row r="1562" spans="2:61" s="320" customFormat="1">
      <c r="B1562" s="123"/>
      <c r="C1562" s="1312">
        <v>10415</v>
      </c>
      <c r="D1562" s="1200" t="s">
        <v>4538</v>
      </c>
      <c r="E1562" s="1312">
        <v>1000</v>
      </c>
      <c r="F1562" s="1312">
        <v>5</v>
      </c>
      <c r="G1562" s="1312">
        <v>9.6999999999999993</v>
      </c>
      <c r="H1562" s="900">
        <f t="shared" si="66"/>
        <v>9.6999999999999986E-3</v>
      </c>
      <c r="I1562" s="297">
        <f t="shared" si="67"/>
        <v>48.5</v>
      </c>
      <c r="J1562" s="123"/>
      <c r="K1562" s="123"/>
      <c r="L1562" s="123"/>
      <c r="M1562" s="123"/>
      <c r="N1562" s="123"/>
      <c r="O1562" s="123"/>
      <c r="P1562" s="123"/>
      <c r="Q1562" s="123"/>
      <c r="R1562" s="123"/>
      <c r="S1562" s="123"/>
      <c r="T1562" s="123"/>
      <c r="U1562" s="123"/>
      <c r="V1562" s="123"/>
      <c r="W1562" s="123"/>
      <c r="X1562" s="123"/>
      <c r="Y1562" s="123"/>
      <c r="Z1562" s="123"/>
      <c r="AA1562" s="123"/>
      <c r="AB1562" s="123"/>
      <c r="AC1562" s="123"/>
      <c r="AD1562" s="123"/>
      <c r="AE1562" s="123"/>
      <c r="AF1562" s="123"/>
      <c r="AG1562" s="123"/>
      <c r="AH1562" s="123"/>
      <c r="AI1562" s="123"/>
      <c r="AJ1562" s="123"/>
      <c r="AK1562" s="123"/>
      <c r="AL1562" s="123"/>
      <c r="AM1562" s="123"/>
      <c r="AN1562" s="123"/>
      <c r="AO1562" s="123"/>
      <c r="AP1562" s="123"/>
      <c r="AQ1562" s="123"/>
      <c r="AR1562" s="123"/>
      <c r="AS1562" s="123"/>
      <c r="AT1562" s="123"/>
      <c r="AU1562" s="123"/>
      <c r="AV1562" s="123"/>
      <c r="AW1562" s="123"/>
      <c r="AX1562" s="123"/>
      <c r="AY1562" s="123"/>
      <c r="AZ1562" s="123"/>
      <c r="BA1562" s="123"/>
      <c r="BB1562" s="123"/>
      <c r="BC1562" s="123"/>
      <c r="BD1562" s="123"/>
      <c r="BE1562" s="123"/>
      <c r="BF1562" s="123"/>
      <c r="BG1562" s="123"/>
      <c r="BH1562" s="123"/>
      <c r="BI1562" s="123"/>
    </row>
    <row r="1563" spans="2:61" s="320" customFormat="1">
      <c r="B1563" s="123"/>
      <c r="C1563" s="1312">
        <v>13329</v>
      </c>
      <c r="D1563" s="1200" t="s">
        <v>4645</v>
      </c>
      <c r="E1563" s="1312">
        <v>288</v>
      </c>
      <c r="F1563" s="1312">
        <v>1</v>
      </c>
      <c r="G1563" s="1312">
        <v>75.599999999999994</v>
      </c>
      <c r="H1563" s="900">
        <f t="shared" si="66"/>
        <v>0.26249999999999996</v>
      </c>
      <c r="I1563" s="297">
        <f t="shared" si="67"/>
        <v>75.599999999999994</v>
      </c>
      <c r="J1563" s="123"/>
      <c r="K1563" s="123"/>
      <c r="L1563" s="123"/>
      <c r="M1563" s="123"/>
      <c r="N1563" s="123"/>
      <c r="O1563" s="123"/>
      <c r="P1563" s="123"/>
      <c r="Q1563" s="123"/>
      <c r="R1563" s="123"/>
      <c r="S1563" s="123"/>
      <c r="T1563" s="123"/>
      <c r="U1563" s="123"/>
      <c r="V1563" s="123"/>
      <c r="W1563" s="123"/>
      <c r="X1563" s="123"/>
      <c r="Y1563" s="123"/>
      <c r="Z1563" s="123"/>
      <c r="AA1563" s="123"/>
      <c r="AB1563" s="123"/>
      <c r="AC1563" s="123"/>
      <c r="AD1563" s="123"/>
      <c r="AE1563" s="123"/>
      <c r="AF1563" s="123"/>
      <c r="AG1563" s="123"/>
      <c r="AH1563" s="123"/>
      <c r="AI1563" s="123"/>
      <c r="AJ1563" s="123"/>
      <c r="AK1563" s="123"/>
      <c r="AL1563" s="123"/>
      <c r="AM1563" s="123"/>
      <c r="AN1563" s="123"/>
      <c r="AO1563" s="123"/>
      <c r="AP1563" s="123"/>
      <c r="AQ1563" s="123"/>
      <c r="AR1563" s="123"/>
      <c r="AS1563" s="123"/>
      <c r="AT1563" s="123"/>
      <c r="AU1563" s="123"/>
      <c r="AV1563" s="123"/>
      <c r="AW1563" s="123"/>
      <c r="AX1563" s="123"/>
      <c r="AY1563" s="123"/>
      <c r="AZ1563" s="123"/>
      <c r="BA1563" s="123"/>
      <c r="BB1563" s="123"/>
      <c r="BC1563" s="123"/>
      <c r="BD1563" s="123"/>
      <c r="BE1563" s="123"/>
      <c r="BF1563" s="123"/>
      <c r="BG1563" s="123"/>
      <c r="BH1563" s="123"/>
      <c r="BI1563" s="123"/>
    </row>
    <row r="1564" spans="2:61" ht="30" hidden="1">
      <c r="B1564" s="123"/>
      <c r="C1564" s="1312"/>
      <c r="D1564" s="1245" t="s">
        <v>4522</v>
      </c>
      <c r="E1564" s="1312">
        <v>288</v>
      </c>
      <c r="F1564" s="1312">
        <v>0</v>
      </c>
      <c r="G1564" s="1312">
        <v>78.900000000000006</v>
      </c>
      <c r="H1564" s="900">
        <f t="shared" si="66"/>
        <v>0.27395833333333336</v>
      </c>
      <c r="I1564" s="528">
        <f t="shared" si="67"/>
        <v>0</v>
      </c>
    </row>
    <row r="1565" spans="2:61" hidden="1">
      <c r="B1565" s="123"/>
      <c r="C1565" s="1312"/>
      <c r="D1565" s="1200" t="s">
        <v>4544</v>
      </c>
      <c r="E1565" s="1312">
        <v>288</v>
      </c>
      <c r="F1565" s="1312">
        <v>0</v>
      </c>
      <c r="G1565" s="1312">
        <v>78.900000000000006</v>
      </c>
      <c r="H1565" s="900">
        <f t="shared" si="66"/>
        <v>0.27395833333333336</v>
      </c>
      <c r="I1565" s="528">
        <f t="shared" si="67"/>
        <v>0</v>
      </c>
    </row>
    <row r="1566" spans="2:61" s="320" customFormat="1">
      <c r="B1566" s="123"/>
      <c r="C1566" s="1312">
        <v>21030</v>
      </c>
      <c r="D1566" s="1200" t="s">
        <v>4545</v>
      </c>
      <c r="E1566" s="1312">
        <v>864</v>
      </c>
      <c r="F1566" s="1312">
        <v>1</v>
      </c>
      <c r="G1566" s="1312">
        <v>86.7</v>
      </c>
      <c r="H1566" s="900">
        <f t="shared" si="66"/>
        <v>0.10034722222222223</v>
      </c>
      <c r="I1566" s="297">
        <f t="shared" si="67"/>
        <v>86.7</v>
      </c>
      <c r="J1566" s="123"/>
      <c r="K1566" s="123"/>
      <c r="L1566" s="123"/>
      <c r="M1566" s="123"/>
      <c r="N1566" s="123"/>
      <c r="O1566" s="123"/>
      <c r="P1566" s="123"/>
      <c r="Q1566" s="123"/>
      <c r="R1566" s="123"/>
      <c r="S1566" s="123"/>
      <c r="T1566" s="123"/>
      <c r="U1566" s="123"/>
      <c r="V1566" s="123"/>
      <c r="W1566" s="123"/>
      <c r="X1566" s="123"/>
      <c r="Y1566" s="123"/>
      <c r="Z1566" s="123"/>
      <c r="AA1566" s="123"/>
      <c r="AB1566" s="123"/>
      <c r="AC1566" s="123"/>
      <c r="AD1566" s="123"/>
      <c r="AE1566" s="123"/>
      <c r="AF1566" s="123"/>
      <c r="AG1566" s="123"/>
      <c r="AH1566" s="123"/>
      <c r="AI1566" s="123"/>
      <c r="AJ1566" s="123"/>
      <c r="AK1566" s="123"/>
      <c r="AL1566" s="123"/>
      <c r="AM1566" s="123"/>
      <c r="AN1566" s="123"/>
      <c r="AO1566" s="123"/>
      <c r="AP1566" s="123"/>
      <c r="AQ1566" s="123"/>
      <c r="AR1566" s="123"/>
      <c r="AS1566" s="123"/>
      <c r="AT1566" s="123"/>
      <c r="AU1566" s="123"/>
      <c r="AV1566" s="123"/>
      <c r="AW1566" s="123"/>
      <c r="AX1566" s="123"/>
      <c r="AY1566" s="123"/>
      <c r="AZ1566" s="123"/>
      <c r="BA1566" s="123"/>
      <c r="BB1566" s="123"/>
      <c r="BC1566" s="123"/>
      <c r="BD1566" s="123"/>
      <c r="BE1566" s="123"/>
      <c r="BF1566" s="123"/>
      <c r="BG1566" s="123"/>
      <c r="BH1566" s="123"/>
      <c r="BI1566" s="123"/>
    </row>
    <row r="1567" spans="2:61" s="320" customFormat="1">
      <c r="B1567" s="123"/>
      <c r="C1567" s="1312">
        <v>21029</v>
      </c>
      <c r="D1567" s="1200" t="s">
        <v>4546</v>
      </c>
      <c r="E1567" s="1312">
        <v>864</v>
      </c>
      <c r="F1567" s="1312">
        <v>1</v>
      </c>
      <c r="G1567" s="1312">
        <v>86.7</v>
      </c>
      <c r="H1567" s="900">
        <f t="shared" si="66"/>
        <v>0.10034722222222223</v>
      </c>
      <c r="I1567" s="297">
        <f t="shared" si="67"/>
        <v>86.7</v>
      </c>
      <c r="J1567" s="123"/>
      <c r="K1567" s="123"/>
      <c r="L1567" s="123"/>
      <c r="M1567" s="123"/>
      <c r="N1567" s="123"/>
      <c r="O1567" s="123"/>
      <c r="P1567" s="123"/>
      <c r="Q1567" s="123"/>
      <c r="R1567" s="123"/>
      <c r="S1567" s="123"/>
      <c r="T1567" s="123"/>
      <c r="U1567" s="123"/>
      <c r="V1567" s="123"/>
      <c r="W1567" s="123"/>
      <c r="X1567" s="123"/>
      <c r="Y1567" s="123"/>
      <c r="Z1567" s="123"/>
      <c r="AA1567" s="123"/>
      <c r="AB1567" s="123"/>
      <c r="AC1567" s="123"/>
      <c r="AD1567" s="123"/>
      <c r="AE1567" s="123"/>
      <c r="AF1567" s="123"/>
      <c r="AG1567" s="123"/>
      <c r="AH1567" s="123"/>
      <c r="AI1567" s="123"/>
      <c r="AJ1567" s="123"/>
      <c r="AK1567" s="123"/>
      <c r="AL1567" s="123"/>
      <c r="AM1567" s="123"/>
      <c r="AN1567" s="123"/>
      <c r="AO1567" s="123"/>
      <c r="AP1567" s="123"/>
      <c r="AQ1567" s="123"/>
      <c r="AR1567" s="123"/>
      <c r="AS1567" s="123"/>
      <c r="AT1567" s="123"/>
      <c r="AU1567" s="123"/>
      <c r="AV1567" s="123"/>
      <c r="AW1567" s="123"/>
      <c r="AX1567" s="123"/>
      <c r="AY1567" s="123"/>
      <c r="AZ1567" s="123"/>
      <c r="BA1567" s="123"/>
      <c r="BB1567" s="123"/>
      <c r="BC1567" s="123"/>
      <c r="BD1567" s="123"/>
      <c r="BE1567" s="123"/>
      <c r="BF1567" s="123"/>
      <c r="BG1567" s="123"/>
      <c r="BH1567" s="123"/>
      <c r="BI1567" s="123"/>
    </row>
    <row r="1568" spans="2:61" hidden="1">
      <c r="B1568" s="123"/>
      <c r="C1568" s="1312">
        <v>21497</v>
      </c>
      <c r="D1568" s="347" t="s">
        <v>3960</v>
      </c>
      <c r="E1568" s="1312">
        <v>24</v>
      </c>
      <c r="F1568" s="1312">
        <v>0</v>
      </c>
      <c r="G1568" s="1312">
        <v>32.5</v>
      </c>
      <c r="H1568" s="900">
        <f t="shared" si="66"/>
        <v>1.3541666666666667</v>
      </c>
      <c r="I1568" s="528">
        <f t="shared" si="67"/>
        <v>0</v>
      </c>
    </row>
    <row r="1569" spans="2:61" s="320" customFormat="1">
      <c r="B1569" s="123"/>
      <c r="C1569" s="1312">
        <v>22280</v>
      </c>
      <c r="D1569" s="1200" t="s">
        <v>4547</v>
      </c>
      <c r="E1569" s="1312">
        <v>216</v>
      </c>
      <c r="F1569" s="1312">
        <v>1</v>
      </c>
      <c r="G1569" s="1312">
        <v>29.1</v>
      </c>
      <c r="H1569" s="900">
        <f t="shared" si="66"/>
        <v>0.13472222222222222</v>
      </c>
      <c r="I1569" s="297">
        <f t="shared" si="67"/>
        <v>29.1</v>
      </c>
      <c r="J1569" s="123"/>
      <c r="K1569" s="123"/>
      <c r="L1569" s="123"/>
      <c r="M1569" s="123"/>
      <c r="N1569" s="123"/>
      <c r="O1569" s="123"/>
      <c r="P1569" s="123"/>
      <c r="Q1569" s="123"/>
      <c r="R1569" s="123"/>
      <c r="S1569" s="123"/>
      <c r="T1569" s="123"/>
      <c r="U1569" s="123"/>
      <c r="V1569" s="123"/>
      <c r="W1569" s="123"/>
      <c r="X1569" s="123"/>
      <c r="Y1569" s="123"/>
      <c r="Z1569" s="123"/>
      <c r="AA1569" s="123"/>
      <c r="AB1569" s="123"/>
      <c r="AC1569" s="123"/>
      <c r="AD1569" s="123"/>
      <c r="AE1569" s="123"/>
      <c r="AF1569" s="123"/>
      <c r="AG1569" s="123"/>
      <c r="AH1569" s="123"/>
      <c r="AI1569" s="123"/>
      <c r="AJ1569" s="123"/>
      <c r="AK1569" s="123"/>
      <c r="AL1569" s="123"/>
      <c r="AM1569" s="123"/>
      <c r="AN1569" s="123"/>
      <c r="AO1569" s="123"/>
      <c r="AP1569" s="123"/>
      <c r="AQ1569" s="123"/>
      <c r="AR1569" s="123"/>
      <c r="AS1569" s="123"/>
      <c r="AT1569" s="123"/>
      <c r="AU1569" s="123"/>
      <c r="AV1569" s="123"/>
      <c r="AW1569" s="123"/>
      <c r="AX1569" s="123"/>
      <c r="AY1569" s="123"/>
      <c r="AZ1569" s="123"/>
      <c r="BA1569" s="123"/>
      <c r="BB1569" s="123"/>
      <c r="BC1569" s="123"/>
      <c r="BD1569" s="123"/>
      <c r="BE1569" s="123"/>
      <c r="BF1569" s="123"/>
      <c r="BG1569" s="123"/>
      <c r="BH1569" s="123"/>
      <c r="BI1569" s="123"/>
    </row>
    <row r="1570" spans="2:61">
      <c r="D1570" s="1253"/>
      <c r="E1570" s="325"/>
      <c r="F1570" s="325"/>
      <c r="G1570" s="2334" t="s">
        <v>74</v>
      </c>
      <c r="H1570" s="2334"/>
      <c r="I1570" s="528">
        <f>SUM(I1476:I1569)</f>
        <v>4081.5999999999995</v>
      </c>
    </row>
    <row r="1574" spans="2:61">
      <c r="B1574" s="827"/>
      <c r="C1574" s="1389"/>
      <c r="E1574" s="1389"/>
      <c r="F1574" s="1389"/>
      <c r="G1574" s="1389"/>
    </row>
    <row r="1575" spans="2:61" ht="71.25" customHeight="1">
      <c r="B1575" s="325"/>
      <c r="C1575" s="1391" t="s">
        <v>3318</v>
      </c>
      <c r="D1575" s="1243"/>
      <c r="E1575" s="310" t="s">
        <v>3978</v>
      </c>
      <c r="F1575" s="1391" t="s">
        <v>68</v>
      </c>
      <c r="G1575" s="310" t="s">
        <v>903</v>
      </c>
      <c r="H1575" s="900" t="s">
        <v>559</v>
      </c>
      <c r="I1575" s="310" t="s">
        <v>560</v>
      </c>
    </row>
    <row r="1576" spans="2:61" ht="25.5" hidden="1" customHeight="1">
      <c r="B1576" s="325"/>
      <c r="C1576" s="1391">
        <v>13121</v>
      </c>
      <c r="D1576" s="1391" t="s">
        <v>4772</v>
      </c>
      <c r="E1576" s="1391"/>
      <c r="F1576" s="1391"/>
      <c r="G1576" s="1391"/>
      <c r="H1576" s="900" t="s">
        <v>65</v>
      </c>
      <c r="I1576" s="1391"/>
    </row>
    <row r="1577" spans="2:61" s="982" customFormat="1">
      <c r="B1577" s="1464"/>
      <c r="C1577" s="1015">
        <v>22389</v>
      </c>
      <c r="D1577" s="1015" t="s">
        <v>4745</v>
      </c>
      <c r="E1577" s="1015">
        <v>15</v>
      </c>
      <c r="F1577" s="1015">
        <v>1</v>
      </c>
      <c r="G1577" s="1015">
        <v>41</v>
      </c>
      <c r="H1577" s="1465">
        <f t="shared" ref="H1577:H1619" si="68">+G1577/E1577</f>
        <v>2.7333333333333334</v>
      </c>
      <c r="I1577" s="1443">
        <f t="shared" ref="I1577:I1583" si="69">+G1577*F1577</f>
        <v>41</v>
      </c>
      <c r="J1577" s="123">
        <f>+G1577*F1577</f>
        <v>41</v>
      </c>
      <c r="K1577" s="123"/>
      <c r="L1577" s="123"/>
      <c r="M1577" s="123"/>
      <c r="N1577" s="123"/>
      <c r="O1577" s="123"/>
      <c r="P1577" s="123"/>
      <c r="Q1577" s="123"/>
      <c r="R1577" s="123"/>
      <c r="S1577" s="123"/>
      <c r="T1577" s="123"/>
      <c r="U1577" s="123"/>
      <c r="V1577" s="123"/>
      <c r="W1577" s="123"/>
      <c r="X1577" s="123"/>
      <c r="Y1577" s="123"/>
      <c r="Z1577" s="123"/>
      <c r="AA1577" s="123"/>
      <c r="AB1577" s="123"/>
      <c r="AC1577" s="123"/>
      <c r="AD1577" s="123"/>
      <c r="AE1577" s="123"/>
      <c r="AF1577" s="123"/>
      <c r="AG1577" s="123"/>
      <c r="AH1577" s="123"/>
      <c r="AI1577" s="123"/>
      <c r="AJ1577" s="123"/>
      <c r="AK1577" s="123"/>
      <c r="AL1577" s="123"/>
      <c r="AM1577" s="123"/>
      <c r="AN1577" s="123"/>
      <c r="AO1577" s="123"/>
      <c r="AP1577" s="123"/>
      <c r="AQ1577" s="123"/>
      <c r="AR1577" s="123"/>
      <c r="AS1577" s="123"/>
      <c r="AT1577" s="123"/>
      <c r="AU1577" s="123"/>
      <c r="AV1577" s="123"/>
      <c r="AW1577" s="123"/>
      <c r="AX1577" s="123"/>
      <c r="AY1577" s="123"/>
      <c r="AZ1577" s="123"/>
      <c r="BA1577" s="123"/>
      <c r="BB1577" s="123"/>
      <c r="BC1577" s="123"/>
      <c r="BD1577" s="123"/>
      <c r="BE1577" s="123"/>
      <c r="BF1577" s="123"/>
      <c r="BG1577" s="123"/>
      <c r="BH1577" s="123"/>
      <c r="BI1577" s="123"/>
    </row>
    <row r="1578" spans="2:61" s="982" customFormat="1">
      <c r="B1578" s="1464"/>
      <c r="C1578" s="1015">
        <v>9734</v>
      </c>
      <c r="D1578" s="1015" t="s">
        <v>4746</v>
      </c>
      <c r="E1578" s="1015">
        <v>20</v>
      </c>
      <c r="F1578" s="1015">
        <v>40</v>
      </c>
      <c r="G1578" s="1015">
        <v>47.6</v>
      </c>
      <c r="H1578" s="1465">
        <f t="shared" si="68"/>
        <v>2.38</v>
      </c>
      <c r="I1578" s="1443">
        <f t="shared" si="69"/>
        <v>1904</v>
      </c>
      <c r="J1578" s="123">
        <f t="shared" ref="J1578:J1615" si="70">+G1578*F1578</f>
        <v>1904</v>
      </c>
      <c r="K1578" s="123"/>
      <c r="L1578" s="123"/>
      <c r="M1578" s="123"/>
      <c r="N1578" s="123"/>
      <c r="O1578" s="123"/>
      <c r="P1578" s="123"/>
      <c r="Q1578" s="123"/>
      <c r="R1578" s="123"/>
      <c r="S1578" s="123"/>
      <c r="T1578" s="123"/>
      <c r="U1578" s="123"/>
      <c r="V1578" s="123"/>
      <c r="W1578" s="123"/>
      <c r="X1578" s="123"/>
      <c r="Y1578" s="123"/>
      <c r="Z1578" s="123"/>
      <c r="AA1578" s="123"/>
      <c r="AB1578" s="123"/>
      <c r="AC1578" s="123"/>
      <c r="AD1578" s="123"/>
      <c r="AE1578" s="123"/>
      <c r="AF1578" s="123"/>
      <c r="AG1578" s="123"/>
      <c r="AH1578" s="123"/>
      <c r="AI1578" s="123"/>
      <c r="AJ1578" s="123"/>
      <c r="AK1578" s="123"/>
      <c r="AL1578" s="123"/>
      <c r="AM1578" s="123"/>
      <c r="AN1578" s="123"/>
      <c r="AO1578" s="123"/>
      <c r="AP1578" s="123"/>
      <c r="AQ1578" s="123"/>
      <c r="AR1578" s="123"/>
      <c r="AS1578" s="123"/>
      <c r="AT1578" s="123"/>
      <c r="AU1578" s="123"/>
      <c r="AV1578" s="123"/>
      <c r="AW1578" s="123"/>
      <c r="AX1578" s="123"/>
      <c r="AY1578" s="123"/>
      <c r="AZ1578" s="123"/>
      <c r="BA1578" s="123"/>
      <c r="BB1578" s="123"/>
      <c r="BC1578" s="123"/>
      <c r="BD1578" s="123"/>
      <c r="BE1578" s="123"/>
      <c r="BF1578" s="123"/>
      <c r="BG1578" s="123"/>
      <c r="BH1578" s="123"/>
      <c r="BI1578" s="123"/>
    </row>
    <row r="1579" spans="2:61" s="982" customFormat="1">
      <c r="B1579" s="1464"/>
      <c r="C1579" s="1015">
        <v>7101</v>
      </c>
      <c r="D1579" s="1015" t="s">
        <v>4748</v>
      </c>
      <c r="E1579" s="1015">
        <v>36</v>
      </c>
      <c r="F1579" s="1015">
        <v>5</v>
      </c>
      <c r="G1579" s="1015">
        <v>32.799999999999997</v>
      </c>
      <c r="H1579" s="1465">
        <f t="shared" si="68"/>
        <v>0.91111111111111098</v>
      </c>
      <c r="I1579" s="1015">
        <f t="shared" si="69"/>
        <v>164</v>
      </c>
      <c r="J1579" s="123">
        <f t="shared" si="70"/>
        <v>164</v>
      </c>
      <c r="K1579" s="123"/>
      <c r="L1579" s="123"/>
      <c r="M1579" s="123"/>
      <c r="N1579" s="123"/>
      <c r="O1579" s="123"/>
      <c r="P1579" s="123"/>
      <c r="Q1579" s="123"/>
      <c r="R1579" s="123"/>
      <c r="S1579" s="123"/>
      <c r="T1579" s="123"/>
      <c r="U1579" s="123"/>
      <c r="V1579" s="123"/>
      <c r="W1579" s="123"/>
      <c r="X1579" s="123"/>
      <c r="Y1579" s="123"/>
      <c r="Z1579" s="123"/>
      <c r="AA1579" s="123"/>
      <c r="AB1579" s="123"/>
      <c r="AC1579" s="123"/>
      <c r="AD1579" s="123"/>
      <c r="AE1579" s="123"/>
      <c r="AF1579" s="123"/>
      <c r="AG1579" s="123"/>
      <c r="AH1579" s="123"/>
      <c r="AI1579" s="123"/>
      <c r="AJ1579" s="123"/>
      <c r="AK1579" s="123"/>
      <c r="AL1579" s="123"/>
      <c r="AM1579" s="123"/>
      <c r="AN1579" s="123"/>
      <c r="AO1579" s="123"/>
      <c r="AP1579" s="123"/>
      <c r="AQ1579" s="123"/>
      <c r="AR1579" s="123"/>
      <c r="AS1579" s="123"/>
      <c r="AT1579" s="123"/>
      <c r="AU1579" s="123"/>
      <c r="AV1579" s="123"/>
      <c r="AW1579" s="123"/>
      <c r="AX1579" s="123"/>
      <c r="AY1579" s="123"/>
      <c r="AZ1579" s="123"/>
      <c r="BA1579" s="123"/>
      <c r="BB1579" s="123"/>
      <c r="BC1579" s="123"/>
      <c r="BD1579" s="123"/>
      <c r="BE1579" s="123"/>
      <c r="BF1579" s="123"/>
      <c r="BG1579" s="123"/>
      <c r="BH1579" s="123"/>
      <c r="BI1579" s="123"/>
    </row>
    <row r="1580" spans="2:61" s="982" customFormat="1">
      <c r="C1580" s="1015">
        <v>22384</v>
      </c>
      <c r="D1580" s="1281" t="s">
        <v>4749</v>
      </c>
      <c r="E1580" s="1015">
        <v>48</v>
      </c>
      <c r="F1580" s="1015">
        <v>20</v>
      </c>
      <c r="G1580" s="1015">
        <v>21.9</v>
      </c>
      <c r="H1580" s="1465">
        <f t="shared" si="68"/>
        <v>0.45624999999999999</v>
      </c>
      <c r="I1580" s="1015">
        <f t="shared" si="69"/>
        <v>438</v>
      </c>
      <c r="J1580" s="123">
        <f t="shared" si="70"/>
        <v>438</v>
      </c>
      <c r="K1580" s="123"/>
      <c r="L1580" s="123"/>
      <c r="M1580" s="123"/>
      <c r="N1580" s="123"/>
      <c r="O1580" s="123"/>
      <c r="P1580" s="123"/>
      <c r="Q1580" s="123"/>
      <c r="R1580" s="123"/>
      <c r="S1580" s="123"/>
      <c r="T1580" s="123"/>
      <c r="U1580" s="123"/>
      <c r="V1580" s="123"/>
      <c r="W1580" s="123"/>
      <c r="X1580" s="123"/>
      <c r="Y1580" s="123"/>
      <c r="Z1580" s="123"/>
      <c r="AA1580" s="123"/>
      <c r="AB1580" s="123"/>
      <c r="AC1580" s="123"/>
      <c r="AD1580" s="123"/>
      <c r="AE1580" s="123"/>
      <c r="AF1580" s="123"/>
      <c r="AG1580" s="123"/>
      <c r="AH1580" s="123"/>
      <c r="AI1580" s="123"/>
      <c r="AJ1580" s="123"/>
      <c r="AK1580" s="123"/>
      <c r="AL1580" s="123"/>
      <c r="AM1580" s="123"/>
      <c r="AN1580" s="123"/>
      <c r="AO1580" s="123"/>
      <c r="AP1580" s="123"/>
      <c r="AQ1580" s="123"/>
      <c r="AR1580" s="123"/>
      <c r="AS1580" s="123"/>
      <c r="AT1580" s="123"/>
      <c r="AU1580" s="123"/>
      <c r="AV1580" s="123"/>
      <c r="AW1580" s="123"/>
      <c r="AX1580" s="123"/>
      <c r="AY1580" s="123"/>
      <c r="AZ1580" s="123"/>
      <c r="BA1580" s="123"/>
      <c r="BB1580" s="123"/>
      <c r="BC1580" s="123"/>
      <c r="BD1580" s="123"/>
      <c r="BE1580" s="123"/>
      <c r="BF1580" s="123"/>
      <c r="BG1580" s="123"/>
      <c r="BH1580" s="123"/>
      <c r="BI1580" s="123"/>
    </row>
    <row r="1581" spans="2:61" s="982" customFormat="1">
      <c r="C1581" s="1015">
        <v>22385</v>
      </c>
      <c r="D1581" s="1281" t="s">
        <v>4750</v>
      </c>
      <c r="E1581" s="1015">
        <v>100</v>
      </c>
      <c r="F1581" s="1015">
        <v>5</v>
      </c>
      <c r="G1581" s="1015">
        <v>49.2</v>
      </c>
      <c r="H1581" s="1465">
        <f t="shared" si="68"/>
        <v>0.49200000000000005</v>
      </c>
      <c r="I1581" s="1015">
        <f t="shared" si="69"/>
        <v>246</v>
      </c>
      <c r="J1581" s="123">
        <f t="shared" si="70"/>
        <v>246</v>
      </c>
      <c r="K1581" s="123"/>
      <c r="L1581" s="123"/>
      <c r="M1581" s="123"/>
      <c r="N1581" s="123"/>
      <c r="O1581" s="123"/>
      <c r="P1581" s="123"/>
      <c r="Q1581" s="123"/>
      <c r="R1581" s="123"/>
      <c r="S1581" s="123"/>
      <c r="T1581" s="123"/>
      <c r="U1581" s="123"/>
      <c r="V1581" s="123"/>
      <c r="W1581" s="123"/>
      <c r="X1581" s="123"/>
      <c r="Y1581" s="123"/>
      <c r="Z1581" s="123"/>
      <c r="AA1581" s="123"/>
      <c r="AB1581" s="123"/>
      <c r="AC1581" s="123"/>
      <c r="AD1581" s="123"/>
      <c r="AE1581" s="123"/>
      <c r="AF1581" s="123"/>
      <c r="AG1581" s="123"/>
      <c r="AH1581" s="123"/>
      <c r="AI1581" s="123"/>
      <c r="AJ1581" s="123"/>
      <c r="AK1581" s="123"/>
      <c r="AL1581" s="123"/>
      <c r="AM1581" s="123"/>
      <c r="AN1581" s="123"/>
      <c r="AO1581" s="123"/>
      <c r="AP1581" s="123"/>
      <c r="AQ1581" s="123"/>
      <c r="AR1581" s="123"/>
      <c r="AS1581" s="123"/>
      <c r="AT1581" s="123"/>
      <c r="AU1581" s="123"/>
      <c r="AV1581" s="123"/>
      <c r="AW1581" s="123"/>
      <c r="AX1581" s="123"/>
      <c r="AY1581" s="123"/>
      <c r="AZ1581" s="123"/>
      <c r="BA1581" s="123"/>
      <c r="BB1581" s="123"/>
      <c r="BC1581" s="123"/>
      <c r="BD1581" s="123"/>
      <c r="BE1581" s="123"/>
      <c r="BF1581" s="123"/>
      <c r="BG1581" s="123"/>
      <c r="BH1581" s="123"/>
      <c r="BI1581" s="123"/>
    </row>
    <row r="1582" spans="2:61" s="982" customFormat="1">
      <c r="C1582" s="1015">
        <v>14403</v>
      </c>
      <c r="D1582" s="1281" t="s">
        <v>4751</v>
      </c>
      <c r="E1582" s="1015">
        <v>24</v>
      </c>
      <c r="F1582" s="1015">
        <v>6</v>
      </c>
      <c r="G1582" s="1015">
        <v>25.2</v>
      </c>
      <c r="H1582" s="1465">
        <f t="shared" si="68"/>
        <v>1.05</v>
      </c>
      <c r="I1582" s="1015">
        <f t="shared" si="69"/>
        <v>151.19999999999999</v>
      </c>
      <c r="J1582" s="123">
        <f t="shared" si="70"/>
        <v>151.19999999999999</v>
      </c>
      <c r="K1582" s="123"/>
      <c r="L1582" s="123"/>
      <c r="M1582" s="123"/>
      <c r="N1582" s="123"/>
      <c r="O1582" s="123"/>
      <c r="P1582" s="123"/>
      <c r="Q1582" s="123"/>
      <c r="R1582" s="123"/>
      <c r="S1582" s="123"/>
      <c r="T1582" s="123"/>
      <c r="U1582" s="123"/>
      <c r="V1582" s="123"/>
      <c r="W1582" s="123"/>
      <c r="X1582" s="123"/>
      <c r="Y1582" s="123"/>
      <c r="Z1582" s="123"/>
      <c r="AA1582" s="123"/>
      <c r="AB1582" s="123"/>
      <c r="AC1582" s="123"/>
      <c r="AD1582" s="123"/>
      <c r="AE1582" s="123"/>
      <c r="AF1582" s="123"/>
      <c r="AG1582" s="123"/>
      <c r="AH1582" s="123"/>
      <c r="AI1582" s="123"/>
      <c r="AJ1582" s="123"/>
      <c r="AK1582" s="123"/>
      <c r="AL1582" s="123"/>
      <c r="AM1582" s="123"/>
      <c r="AN1582" s="123"/>
      <c r="AO1582" s="123"/>
      <c r="AP1582" s="123"/>
      <c r="AQ1582" s="123"/>
      <c r="AR1582" s="123"/>
      <c r="AS1582" s="123"/>
      <c r="AT1582" s="123"/>
      <c r="AU1582" s="123"/>
      <c r="AV1582" s="123"/>
      <c r="AW1582" s="123"/>
      <c r="AX1582" s="123"/>
      <c r="AY1582" s="123"/>
      <c r="AZ1582" s="123"/>
      <c r="BA1582" s="123"/>
      <c r="BB1582" s="123"/>
      <c r="BC1582" s="123"/>
      <c r="BD1582" s="123"/>
      <c r="BE1582" s="123"/>
      <c r="BF1582" s="123"/>
      <c r="BG1582" s="123"/>
      <c r="BH1582" s="123"/>
      <c r="BI1582" s="123"/>
    </row>
    <row r="1583" spans="2:61" s="827" customFormat="1" hidden="1">
      <c r="B1583" s="123"/>
      <c r="C1583" s="297"/>
      <c r="D1583" s="1200" t="s">
        <v>4756</v>
      </c>
      <c r="E1583" s="1391">
        <v>72</v>
      </c>
      <c r="F1583" s="1391">
        <v>0</v>
      </c>
      <c r="G1583" s="1391">
        <v>13.2</v>
      </c>
      <c r="H1583" s="900">
        <f t="shared" si="68"/>
        <v>0.18333333333333332</v>
      </c>
      <c r="I1583" s="1391">
        <f t="shared" si="69"/>
        <v>0</v>
      </c>
      <c r="J1583" s="123">
        <f t="shared" si="70"/>
        <v>0</v>
      </c>
      <c r="K1583" s="123"/>
      <c r="L1583" s="123"/>
      <c r="M1583" s="123"/>
      <c r="N1583" s="123"/>
      <c r="O1583" s="123"/>
      <c r="P1583" s="123"/>
      <c r="Q1583" s="123"/>
      <c r="R1583" s="123"/>
      <c r="S1583" s="123"/>
      <c r="T1583" s="123"/>
      <c r="U1583" s="123"/>
      <c r="V1583" s="123"/>
      <c r="W1583" s="123"/>
      <c r="X1583" s="123"/>
      <c r="Y1583" s="123"/>
      <c r="Z1583" s="123"/>
      <c r="AA1583" s="123"/>
      <c r="AB1583" s="123"/>
      <c r="AC1583" s="123"/>
      <c r="AD1583" s="123"/>
      <c r="AE1583" s="123"/>
      <c r="AF1583" s="123"/>
      <c r="AG1583" s="123"/>
      <c r="AH1583" s="123"/>
      <c r="AI1583" s="123"/>
      <c r="AJ1583" s="123"/>
      <c r="AK1583" s="123"/>
      <c r="AL1583" s="123"/>
      <c r="AM1583" s="123"/>
      <c r="AN1583" s="123"/>
      <c r="AO1583" s="123"/>
      <c r="AP1583" s="123"/>
      <c r="AQ1583" s="123"/>
      <c r="AR1583" s="123"/>
      <c r="AS1583" s="123"/>
      <c r="AT1583" s="123"/>
      <c r="AU1583" s="123"/>
      <c r="AV1583" s="123"/>
      <c r="AW1583" s="123"/>
      <c r="AX1583" s="123"/>
      <c r="AY1583" s="123"/>
      <c r="AZ1583" s="123"/>
      <c r="BA1583" s="123"/>
      <c r="BB1583" s="123"/>
      <c r="BC1583" s="123"/>
      <c r="BD1583" s="123"/>
      <c r="BE1583" s="123"/>
      <c r="BF1583" s="123"/>
      <c r="BG1583" s="123"/>
      <c r="BH1583" s="123"/>
      <c r="BI1583" s="123"/>
    </row>
    <row r="1584" spans="2:61" s="982" customFormat="1">
      <c r="C1584" s="1015">
        <v>13577</v>
      </c>
      <c r="D1584" s="1281" t="s">
        <v>4752</v>
      </c>
      <c r="E1584" s="1015">
        <v>72</v>
      </c>
      <c r="F1584" s="1015">
        <v>2</v>
      </c>
      <c r="G1584" s="1015">
        <v>13.2</v>
      </c>
      <c r="H1584" s="1465">
        <f t="shared" si="68"/>
        <v>0.18333333333333332</v>
      </c>
      <c r="I1584" s="1015">
        <f t="shared" ref="I1584:I1615" si="71">+F1584*G1584</f>
        <v>26.4</v>
      </c>
      <c r="J1584" s="123">
        <f t="shared" si="70"/>
        <v>26.4</v>
      </c>
      <c r="K1584" s="123"/>
      <c r="L1584" s="123"/>
      <c r="M1584" s="123"/>
      <c r="N1584" s="123"/>
      <c r="O1584" s="123"/>
      <c r="P1584" s="123"/>
      <c r="Q1584" s="123"/>
      <c r="R1584" s="123"/>
      <c r="S1584" s="123"/>
      <c r="T1584" s="123"/>
      <c r="U1584" s="123"/>
      <c r="V1584" s="123"/>
      <c r="W1584" s="123"/>
      <c r="X1584" s="123"/>
      <c r="Y1584" s="123"/>
      <c r="Z1584" s="123"/>
      <c r="AA1584" s="123"/>
      <c r="AB1584" s="123"/>
      <c r="AC1584" s="123"/>
      <c r="AD1584" s="123"/>
      <c r="AE1584" s="123"/>
      <c r="AF1584" s="123"/>
      <c r="AG1584" s="123"/>
      <c r="AH1584" s="123"/>
      <c r="AI1584" s="123"/>
      <c r="AJ1584" s="123"/>
      <c r="AK1584" s="123"/>
      <c r="AL1584" s="123"/>
      <c r="AM1584" s="123"/>
      <c r="AN1584" s="123"/>
      <c r="AO1584" s="123"/>
      <c r="AP1584" s="123"/>
      <c r="AQ1584" s="123"/>
      <c r="AR1584" s="123"/>
      <c r="AS1584" s="123"/>
      <c r="AT1584" s="123"/>
      <c r="AU1584" s="123"/>
      <c r="AV1584" s="123"/>
      <c r="AW1584" s="123"/>
      <c r="AX1584" s="123"/>
      <c r="AY1584" s="123"/>
      <c r="AZ1584" s="123"/>
      <c r="BA1584" s="123"/>
      <c r="BB1584" s="123"/>
      <c r="BC1584" s="123"/>
      <c r="BD1584" s="123"/>
      <c r="BE1584" s="123"/>
      <c r="BF1584" s="123"/>
      <c r="BG1584" s="123"/>
      <c r="BH1584" s="123"/>
      <c r="BI1584" s="123"/>
    </row>
    <row r="1585" spans="2:61" s="982" customFormat="1">
      <c r="C1585" s="1015">
        <v>6330</v>
      </c>
      <c r="D1585" s="1281" t="s">
        <v>4753</v>
      </c>
      <c r="E1585" s="1015">
        <v>12</v>
      </c>
      <c r="F1585" s="1015">
        <v>1</v>
      </c>
      <c r="G1585" s="1015">
        <v>2.8</v>
      </c>
      <c r="H1585" s="1465">
        <f t="shared" si="68"/>
        <v>0.23333333333333331</v>
      </c>
      <c r="I1585" s="1015">
        <f t="shared" si="71"/>
        <v>2.8</v>
      </c>
      <c r="J1585" s="123">
        <f t="shared" si="70"/>
        <v>2.8</v>
      </c>
      <c r="K1585" s="123"/>
      <c r="L1585" s="123"/>
      <c r="M1585" s="123"/>
      <c r="N1585" s="123"/>
      <c r="O1585" s="123"/>
      <c r="P1585" s="123"/>
      <c r="Q1585" s="123"/>
      <c r="R1585" s="123"/>
      <c r="S1585" s="123"/>
      <c r="T1585" s="123"/>
      <c r="U1585" s="123"/>
      <c r="V1585" s="123"/>
      <c r="W1585" s="123"/>
      <c r="X1585" s="123"/>
      <c r="Y1585" s="123"/>
      <c r="Z1585" s="123"/>
      <c r="AA1585" s="123"/>
      <c r="AB1585" s="123"/>
      <c r="AC1585" s="123"/>
      <c r="AD1585" s="123"/>
      <c r="AE1585" s="123"/>
      <c r="AF1585" s="123"/>
      <c r="AG1585" s="123"/>
      <c r="AH1585" s="123"/>
      <c r="AI1585" s="123"/>
      <c r="AJ1585" s="123"/>
      <c r="AK1585" s="123"/>
      <c r="AL1585" s="123"/>
      <c r="AM1585" s="123"/>
      <c r="AN1585" s="123"/>
      <c r="AO1585" s="123"/>
      <c r="AP1585" s="123"/>
      <c r="AQ1585" s="123"/>
      <c r="AR1585" s="123"/>
      <c r="AS1585" s="123"/>
      <c r="AT1585" s="123"/>
      <c r="AU1585" s="123"/>
      <c r="AV1585" s="123"/>
      <c r="AW1585" s="123"/>
      <c r="AX1585" s="123"/>
      <c r="AY1585" s="123"/>
      <c r="AZ1585" s="123"/>
      <c r="BA1585" s="123"/>
      <c r="BB1585" s="123"/>
      <c r="BC1585" s="123"/>
      <c r="BD1585" s="123"/>
      <c r="BE1585" s="123"/>
      <c r="BF1585" s="123"/>
      <c r="BG1585" s="123"/>
      <c r="BH1585" s="123"/>
      <c r="BI1585" s="123"/>
    </row>
    <row r="1586" spans="2:61" s="827" customFormat="1" hidden="1">
      <c r="B1586" s="123"/>
      <c r="C1586" s="297"/>
      <c r="D1586" s="1200" t="s">
        <v>4754</v>
      </c>
      <c r="E1586" s="1391"/>
      <c r="F1586" s="1391"/>
      <c r="G1586" s="1391"/>
      <c r="H1586" s="900" t="s">
        <v>65</v>
      </c>
      <c r="I1586" s="1391">
        <f t="shared" si="71"/>
        <v>0</v>
      </c>
      <c r="J1586" s="123">
        <f t="shared" si="70"/>
        <v>0</v>
      </c>
      <c r="K1586" s="123"/>
      <c r="L1586" s="123"/>
      <c r="M1586" s="123"/>
      <c r="N1586" s="123"/>
      <c r="O1586" s="123"/>
      <c r="P1586" s="123"/>
      <c r="Q1586" s="123"/>
      <c r="R1586" s="123"/>
      <c r="S1586" s="123"/>
      <c r="T1586" s="123"/>
      <c r="U1586" s="123"/>
      <c r="V1586" s="123"/>
      <c r="W1586" s="123"/>
      <c r="X1586" s="123"/>
      <c r="Y1586" s="123"/>
      <c r="Z1586" s="123"/>
      <c r="AA1586" s="123"/>
      <c r="AB1586" s="123"/>
      <c r="AC1586" s="123"/>
      <c r="AD1586" s="123"/>
      <c r="AE1586" s="123"/>
      <c r="AF1586" s="123"/>
      <c r="AG1586" s="123"/>
      <c r="AH1586" s="123"/>
      <c r="AI1586" s="123"/>
      <c r="AJ1586" s="123"/>
      <c r="AK1586" s="123"/>
      <c r="AL1586" s="123"/>
      <c r="AM1586" s="123"/>
      <c r="AN1586" s="123"/>
      <c r="AO1586" s="123"/>
      <c r="AP1586" s="123"/>
      <c r="AQ1586" s="123"/>
      <c r="AR1586" s="123"/>
      <c r="AS1586" s="123"/>
      <c r="AT1586" s="123"/>
      <c r="AU1586" s="123"/>
      <c r="AV1586" s="123"/>
      <c r="AW1586" s="123"/>
      <c r="AX1586" s="123"/>
      <c r="AY1586" s="123"/>
      <c r="AZ1586" s="123"/>
      <c r="BA1586" s="123"/>
      <c r="BB1586" s="123"/>
      <c r="BC1586" s="123"/>
      <c r="BD1586" s="123"/>
      <c r="BE1586" s="123"/>
      <c r="BF1586" s="123"/>
      <c r="BG1586" s="123"/>
      <c r="BH1586" s="123"/>
      <c r="BI1586" s="123"/>
    </row>
    <row r="1587" spans="2:61" s="982" customFormat="1">
      <c r="C1587" s="1015">
        <v>22396</v>
      </c>
      <c r="D1587" s="1281" t="s">
        <v>4755</v>
      </c>
      <c r="E1587" s="1015">
        <v>30</v>
      </c>
      <c r="F1587" s="1015">
        <v>2</v>
      </c>
      <c r="G1587" s="1015">
        <v>105</v>
      </c>
      <c r="H1587" s="1465">
        <f t="shared" si="68"/>
        <v>3.5</v>
      </c>
      <c r="I1587" s="1015">
        <f t="shared" si="71"/>
        <v>210</v>
      </c>
      <c r="J1587" s="123">
        <f t="shared" si="70"/>
        <v>210</v>
      </c>
      <c r="K1587" s="123"/>
      <c r="L1587" s="123"/>
      <c r="M1587" s="123"/>
      <c r="N1587" s="123"/>
      <c r="O1587" s="123"/>
      <c r="P1587" s="123"/>
      <c r="Q1587" s="123"/>
      <c r="R1587" s="123"/>
      <c r="S1587" s="123"/>
      <c r="T1587" s="123"/>
      <c r="U1587" s="123"/>
      <c r="V1587" s="123"/>
      <c r="W1587" s="123"/>
      <c r="X1587" s="123"/>
      <c r="Y1587" s="123"/>
      <c r="Z1587" s="123"/>
      <c r="AA1587" s="123"/>
      <c r="AB1587" s="123"/>
      <c r="AC1587" s="123"/>
      <c r="AD1587" s="123"/>
      <c r="AE1587" s="123"/>
      <c r="AF1587" s="123"/>
      <c r="AG1587" s="123"/>
      <c r="AH1587" s="123"/>
      <c r="AI1587" s="123"/>
      <c r="AJ1587" s="123"/>
      <c r="AK1587" s="123"/>
      <c r="AL1587" s="123"/>
      <c r="AM1587" s="123"/>
      <c r="AN1587" s="123"/>
      <c r="AO1587" s="123"/>
      <c r="AP1587" s="123"/>
      <c r="AQ1587" s="123"/>
      <c r="AR1587" s="123"/>
      <c r="AS1587" s="123"/>
      <c r="AT1587" s="123"/>
      <c r="AU1587" s="123"/>
      <c r="AV1587" s="123"/>
      <c r="AW1587" s="123"/>
      <c r="AX1587" s="123"/>
      <c r="AY1587" s="123"/>
      <c r="AZ1587" s="123"/>
      <c r="BA1587" s="123"/>
      <c r="BB1587" s="123"/>
      <c r="BC1587" s="123"/>
      <c r="BD1587" s="123"/>
      <c r="BE1587" s="123"/>
      <c r="BF1587" s="123"/>
      <c r="BG1587" s="123"/>
      <c r="BH1587" s="123"/>
      <c r="BI1587" s="123"/>
    </row>
    <row r="1588" spans="2:61" s="982" customFormat="1">
      <c r="C1588" s="1015">
        <v>21869</v>
      </c>
      <c r="D1588" s="1281" t="s">
        <v>4768</v>
      </c>
      <c r="E1588" s="1015">
        <v>50</v>
      </c>
      <c r="F1588" s="1015">
        <v>15</v>
      </c>
      <c r="G1588" s="1015">
        <v>2.8</v>
      </c>
      <c r="H1588" s="1465">
        <f t="shared" si="68"/>
        <v>5.5999999999999994E-2</v>
      </c>
      <c r="I1588" s="1015">
        <f t="shared" si="71"/>
        <v>42</v>
      </c>
      <c r="J1588" s="123">
        <f t="shared" si="70"/>
        <v>42</v>
      </c>
      <c r="K1588" s="123"/>
      <c r="L1588" s="123"/>
      <c r="M1588" s="123"/>
      <c r="N1588" s="123"/>
      <c r="O1588" s="123"/>
      <c r="P1588" s="123"/>
      <c r="Q1588" s="123"/>
      <c r="R1588" s="123"/>
      <c r="S1588" s="123"/>
      <c r="T1588" s="123"/>
      <c r="U1588" s="123"/>
      <c r="V1588" s="123"/>
      <c r="W1588" s="123"/>
      <c r="X1588" s="123"/>
      <c r="Y1588" s="123"/>
      <c r="Z1588" s="123"/>
      <c r="AA1588" s="123"/>
      <c r="AB1588" s="123"/>
      <c r="AC1588" s="123"/>
      <c r="AD1588" s="123"/>
      <c r="AE1588" s="123"/>
      <c r="AF1588" s="123"/>
      <c r="AG1588" s="123"/>
      <c r="AH1588" s="123"/>
      <c r="AI1588" s="123"/>
      <c r="AJ1588" s="123"/>
      <c r="AK1588" s="123"/>
      <c r="AL1588" s="123"/>
      <c r="AM1588" s="123"/>
      <c r="AN1588" s="123"/>
      <c r="AO1588" s="123"/>
      <c r="AP1588" s="123"/>
      <c r="AQ1588" s="123"/>
      <c r="AR1588" s="123"/>
      <c r="AS1588" s="123"/>
      <c r="AT1588" s="123"/>
      <c r="AU1588" s="123"/>
      <c r="AV1588" s="123"/>
      <c r="AW1588" s="123"/>
      <c r="AX1588" s="123"/>
      <c r="AY1588" s="123"/>
      <c r="AZ1588" s="123"/>
      <c r="BA1588" s="123"/>
      <c r="BB1588" s="123"/>
      <c r="BC1588" s="123"/>
      <c r="BD1588" s="123"/>
      <c r="BE1588" s="123"/>
      <c r="BF1588" s="123"/>
      <c r="BG1588" s="123"/>
      <c r="BH1588" s="123"/>
      <c r="BI1588" s="123"/>
    </row>
    <row r="1589" spans="2:61" s="982" customFormat="1" ht="30">
      <c r="C1589" s="1015">
        <v>22383</v>
      </c>
      <c r="D1589" s="1014" t="s">
        <v>4773</v>
      </c>
      <c r="E1589" s="1015">
        <v>50</v>
      </c>
      <c r="F1589" s="1015">
        <v>10</v>
      </c>
      <c r="G1589" s="1015">
        <v>11</v>
      </c>
      <c r="H1589" s="1465">
        <f t="shared" si="68"/>
        <v>0.22</v>
      </c>
      <c r="I1589" s="1015">
        <f t="shared" si="71"/>
        <v>110</v>
      </c>
      <c r="J1589" s="123">
        <f t="shared" si="70"/>
        <v>110</v>
      </c>
      <c r="K1589" s="123"/>
      <c r="L1589" s="123"/>
      <c r="M1589" s="123"/>
      <c r="N1589" s="123"/>
      <c r="O1589" s="123"/>
      <c r="P1589" s="123"/>
      <c r="Q1589" s="123"/>
      <c r="R1589" s="123"/>
      <c r="S1589" s="123"/>
      <c r="T1589" s="123"/>
      <c r="U1589" s="123"/>
      <c r="V1589" s="123"/>
      <c r="W1589" s="123"/>
      <c r="X1589" s="123"/>
      <c r="Y1589" s="123"/>
      <c r="Z1589" s="123"/>
      <c r="AA1589" s="123"/>
      <c r="AB1589" s="123"/>
      <c r="AC1589" s="123"/>
      <c r="AD1589" s="123"/>
      <c r="AE1589" s="123"/>
      <c r="AF1589" s="123"/>
      <c r="AG1589" s="123"/>
      <c r="AH1589" s="123"/>
      <c r="AI1589" s="123"/>
      <c r="AJ1589" s="123"/>
      <c r="AK1589" s="123"/>
      <c r="AL1589" s="123"/>
      <c r="AM1589" s="123"/>
      <c r="AN1589" s="123"/>
      <c r="AO1589" s="123"/>
      <c r="AP1589" s="123"/>
      <c r="AQ1589" s="123"/>
      <c r="AR1589" s="123"/>
      <c r="AS1589" s="123"/>
      <c r="AT1589" s="123"/>
      <c r="AU1589" s="123"/>
      <c r="AV1589" s="123"/>
      <c r="AW1589" s="123"/>
      <c r="AX1589" s="123"/>
      <c r="AY1589" s="123"/>
      <c r="AZ1589" s="123"/>
      <c r="BA1589" s="123"/>
      <c r="BB1589" s="123"/>
      <c r="BC1589" s="123"/>
      <c r="BD1589" s="123"/>
      <c r="BE1589" s="123"/>
      <c r="BF1589" s="123"/>
      <c r="BG1589" s="123"/>
      <c r="BH1589" s="123"/>
      <c r="BI1589" s="123"/>
    </row>
    <row r="1590" spans="2:61" s="982" customFormat="1" ht="15.75" thickBot="1">
      <c r="C1590" s="1015">
        <v>6407</v>
      </c>
      <c r="D1590" s="1477" t="s">
        <v>4757</v>
      </c>
      <c r="E1590" s="1015">
        <v>420</v>
      </c>
      <c r="F1590" s="1015">
        <v>1</v>
      </c>
      <c r="G1590" s="1015">
        <v>66.7</v>
      </c>
      <c r="H1590" s="1465">
        <f t="shared" si="68"/>
        <v>0.15880952380952382</v>
      </c>
      <c r="I1590" s="1015">
        <f t="shared" si="71"/>
        <v>66.7</v>
      </c>
      <c r="J1590" s="123">
        <f t="shared" si="70"/>
        <v>66.7</v>
      </c>
      <c r="K1590" s="123"/>
      <c r="L1590" s="123"/>
      <c r="M1590" s="123"/>
      <c r="N1590" s="123"/>
      <c r="O1590" s="123"/>
      <c r="P1590" s="123"/>
      <c r="Q1590" s="123"/>
      <c r="R1590" s="123"/>
      <c r="S1590" s="123"/>
      <c r="T1590" s="123"/>
      <c r="U1590" s="123"/>
      <c r="V1590" s="123"/>
      <c r="W1590" s="123"/>
      <c r="X1590" s="123"/>
      <c r="Y1590" s="123"/>
      <c r="Z1590" s="123"/>
      <c r="AA1590" s="123"/>
      <c r="AB1590" s="123"/>
      <c r="AC1590" s="123"/>
      <c r="AD1590" s="123"/>
      <c r="AE1590" s="123"/>
      <c r="AF1590" s="123"/>
      <c r="AG1590" s="123"/>
      <c r="AH1590" s="123"/>
      <c r="AI1590" s="123"/>
      <c r="AJ1590" s="123"/>
      <c r="AK1590" s="123"/>
      <c r="AL1590" s="123"/>
      <c r="AM1590" s="123"/>
      <c r="AN1590" s="123"/>
      <c r="AO1590" s="123"/>
      <c r="AP1590" s="123"/>
      <c r="AQ1590" s="123"/>
      <c r="AR1590" s="123"/>
      <c r="AS1590" s="123"/>
      <c r="AT1590" s="123"/>
      <c r="AU1590" s="123"/>
      <c r="AV1590" s="123"/>
      <c r="AW1590" s="123"/>
      <c r="AX1590" s="123"/>
      <c r="AY1590" s="123"/>
      <c r="AZ1590" s="123"/>
      <c r="BA1590" s="123"/>
      <c r="BB1590" s="123"/>
      <c r="BC1590" s="123"/>
      <c r="BD1590" s="123"/>
      <c r="BE1590" s="123"/>
      <c r="BF1590" s="123"/>
      <c r="BG1590" s="123"/>
      <c r="BH1590" s="123"/>
      <c r="BI1590" s="123"/>
    </row>
    <row r="1591" spans="2:61" s="982" customFormat="1" ht="15.75" thickBot="1">
      <c r="C1591" s="1475">
        <v>6408</v>
      </c>
      <c r="D1591" s="1479" t="s">
        <v>4758</v>
      </c>
      <c r="E1591" s="1476">
        <v>420</v>
      </c>
      <c r="F1591" s="1015">
        <v>1</v>
      </c>
      <c r="G1591" s="1015">
        <v>66.7</v>
      </c>
      <c r="H1591" s="1465">
        <f t="shared" si="68"/>
        <v>0.15880952380952382</v>
      </c>
      <c r="I1591" s="1015">
        <f t="shared" si="71"/>
        <v>66.7</v>
      </c>
      <c r="J1591" s="123">
        <f t="shared" si="70"/>
        <v>66.7</v>
      </c>
      <c r="K1591" s="123"/>
      <c r="L1591" s="123"/>
      <c r="M1591" s="123"/>
      <c r="N1591" s="123"/>
      <c r="O1591" s="123"/>
      <c r="P1591" s="123"/>
      <c r="Q1591" s="123"/>
      <c r="R1591" s="123"/>
      <c r="S1591" s="123"/>
      <c r="T1591" s="123"/>
      <c r="U1591" s="123"/>
      <c r="V1591" s="123"/>
      <c r="W1591" s="123"/>
      <c r="X1591" s="123"/>
      <c r="Y1591" s="123"/>
      <c r="Z1591" s="123"/>
      <c r="AA1591" s="123"/>
      <c r="AB1591" s="123"/>
      <c r="AC1591" s="123"/>
      <c r="AD1591" s="123"/>
      <c r="AE1591" s="123"/>
      <c r="AF1591" s="123"/>
      <c r="AG1591" s="123"/>
      <c r="AH1591" s="123"/>
      <c r="AI1591" s="123"/>
      <c r="AJ1591" s="123"/>
      <c r="AK1591" s="123"/>
      <c r="AL1591" s="123"/>
      <c r="AM1591" s="123"/>
      <c r="AN1591" s="123"/>
      <c r="AO1591" s="123"/>
      <c r="AP1591" s="123"/>
      <c r="AQ1591" s="123"/>
      <c r="AR1591" s="123"/>
      <c r="AS1591" s="123"/>
      <c r="AT1591" s="123"/>
      <c r="AU1591" s="123"/>
      <c r="AV1591" s="123"/>
      <c r="AW1591" s="123"/>
      <c r="AX1591" s="123"/>
      <c r="AY1591" s="123"/>
      <c r="AZ1591" s="123"/>
      <c r="BA1591" s="123"/>
      <c r="BB1591" s="123"/>
      <c r="BC1591" s="123"/>
      <c r="BD1591" s="123"/>
      <c r="BE1591" s="123"/>
      <c r="BF1591" s="123"/>
      <c r="BG1591" s="123"/>
      <c r="BH1591" s="123"/>
      <c r="BI1591" s="123"/>
    </row>
    <row r="1592" spans="2:61" s="827" customFormat="1" hidden="1">
      <c r="B1592" s="123"/>
      <c r="C1592" s="297"/>
      <c r="D1592" s="1478" t="s">
        <v>4759</v>
      </c>
      <c r="E1592" s="1391">
        <v>288</v>
      </c>
      <c r="F1592" s="1391">
        <v>0</v>
      </c>
      <c r="G1592" s="1391">
        <v>75.599999999999994</v>
      </c>
      <c r="H1592" s="900">
        <f t="shared" si="68"/>
        <v>0.26249999999999996</v>
      </c>
      <c r="I1592" s="1391">
        <f t="shared" si="71"/>
        <v>0</v>
      </c>
      <c r="J1592" s="123">
        <f t="shared" si="70"/>
        <v>0</v>
      </c>
      <c r="K1592" s="123"/>
      <c r="L1592" s="123"/>
      <c r="M1592" s="123"/>
      <c r="N1592" s="123"/>
      <c r="O1592" s="123"/>
      <c r="P1592" s="123"/>
      <c r="Q1592" s="123"/>
      <c r="R1592" s="123"/>
      <c r="S1592" s="123"/>
      <c r="T1592" s="123"/>
      <c r="U1592" s="123"/>
      <c r="V1592" s="123"/>
      <c r="W1592" s="123"/>
      <c r="X1592" s="123"/>
      <c r="Y1592" s="123"/>
      <c r="Z1592" s="123"/>
      <c r="AA1592" s="123"/>
      <c r="AB1592" s="123"/>
      <c r="AC1592" s="123"/>
      <c r="AD1592" s="123"/>
      <c r="AE1592" s="123"/>
      <c r="AF1592" s="123"/>
      <c r="AG1592" s="123"/>
      <c r="AH1592" s="123"/>
      <c r="AI1592" s="123"/>
      <c r="AJ1592" s="123"/>
      <c r="AK1592" s="123"/>
      <c r="AL1592" s="123"/>
      <c r="AM1592" s="123"/>
      <c r="AN1592" s="123"/>
      <c r="AO1592" s="123"/>
      <c r="AP1592" s="123"/>
      <c r="AQ1592" s="123"/>
      <c r="AR1592" s="123"/>
      <c r="AS1592" s="123"/>
      <c r="AT1592" s="123"/>
      <c r="AU1592" s="123"/>
      <c r="AV1592" s="123"/>
      <c r="AW1592" s="123"/>
      <c r="AX1592" s="123"/>
      <c r="AY1592" s="123"/>
      <c r="AZ1592" s="123"/>
      <c r="BA1592" s="123"/>
      <c r="BB1592" s="123"/>
      <c r="BC1592" s="123"/>
      <c r="BD1592" s="123"/>
      <c r="BE1592" s="123"/>
      <c r="BF1592" s="123"/>
      <c r="BG1592" s="123"/>
      <c r="BH1592" s="123"/>
      <c r="BI1592" s="123"/>
    </row>
    <row r="1593" spans="2:61" s="982" customFormat="1">
      <c r="C1593" s="1015">
        <v>9772</v>
      </c>
      <c r="D1593" s="1281" t="s">
        <v>4760</v>
      </c>
      <c r="E1593" s="1015">
        <v>288</v>
      </c>
      <c r="F1593" s="1015">
        <v>1</v>
      </c>
      <c r="G1593" s="1015">
        <v>75.599999999999994</v>
      </c>
      <c r="H1593" s="1465">
        <f t="shared" si="68"/>
        <v>0.26249999999999996</v>
      </c>
      <c r="I1593" s="1015">
        <f t="shared" si="71"/>
        <v>75.599999999999994</v>
      </c>
      <c r="J1593" s="123">
        <f t="shared" si="70"/>
        <v>75.599999999999994</v>
      </c>
      <c r="K1593" s="123"/>
      <c r="L1593" s="123"/>
      <c r="M1593" s="123"/>
      <c r="N1593" s="123"/>
      <c r="O1593" s="123"/>
      <c r="P1593" s="123"/>
      <c r="Q1593" s="123"/>
      <c r="R1593" s="123"/>
      <c r="S1593" s="123"/>
      <c r="T1593" s="123"/>
      <c r="U1593" s="123"/>
      <c r="V1593" s="123"/>
      <c r="W1593" s="123"/>
      <c r="X1593" s="123"/>
      <c r="Y1593" s="123"/>
      <c r="Z1593" s="123"/>
      <c r="AA1593" s="123"/>
      <c r="AB1593" s="123"/>
      <c r="AC1593" s="123"/>
      <c r="AD1593" s="123"/>
      <c r="AE1593" s="123"/>
      <c r="AF1593" s="123"/>
      <c r="AG1593" s="123"/>
      <c r="AH1593" s="123"/>
      <c r="AI1593" s="123"/>
      <c r="AJ1593" s="123"/>
      <c r="AK1593" s="123"/>
      <c r="AL1593" s="123"/>
      <c r="AM1593" s="123"/>
      <c r="AN1593" s="123"/>
      <c r="AO1593" s="123"/>
      <c r="AP1593" s="123"/>
      <c r="AQ1593" s="123"/>
      <c r="AR1593" s="123"/>
      <c r="AS1593" s="123"/>
      <c r="AT1593" s="123"/>
      <c r="AU1593" s="123"/>
      <c r="AV1593" s="123"/>
      <c r="AW1593" s="123"/>
      <c r="AX1593" s="123"/>
      <c r="AY1593" s="123"/>
      <c r="AZ1593" s="123"/>
      <c r="BA1593" s="123"/>
      <c r="BB1593" s="123"/>
      <c r="BC1593" s="123"/>
      <c r="BD1593" s="123"/>
      <c r="BE1593" s="123"/>
      <c r="BF1593" s="123"/>
      <c r="BG1593" s="123"/>
      <c r="BH1593" s="123"/>
      <c r="BI1593" s="123"/>
    </row>
    <row r="1594" spans="2:61" s="827" customFormat="1" hidden="1">
      <c r="B1594" s="123"/>
      <c r="C1594" s="297"/>
      <c r="D1594" s="1200" t="s">
        <v>4761</v>
      </c>
      <c r="E1594" s="1391">
        <v>288</v>
      </c>
      <c r="F1594" s="1391">
        <v>0</v>
      </c>
      <c r="G1594" s="1391">
        <v>75.599999999999994</v>
      </c>
      <c r="H1594" s="900">
        <f t="shared" si="68"/>
        <v>0.26249999999999996</v>
      </c>
      <c r="I1594" s="1391">
        <f t="shared" si="71"/>
        <v>0</v>
      </c>
      <c r="J1594" s="123">
        <f t="shared" si="70"/>
        <v>0</v>
      </c>
      <c r="K1594" s="123"/>
      <c r="L1594" s="123"/>
      <c r="M1594" s="123"/>
      <c r="N1594" s="123"/>
      <c r="O1594" s="123"/>
      <c r="P1594" s="123"/>
      <c r="Q1594" s="123"/>
      <c r="R1594" s="123"/>
      <c r="S1594" s="123"/>
      <c r="T1594" s="123"/>
      <c r="U1594" s="123"/>
      <c r="V1594" s="123"/>
      <c r="W1594" s="123"/>
      <c r="X1594" s="123"/>
      <c r="Y1594" s="123"/>
      <c r="Z1594" s="123"/>
      <c r="AA1594" s="123"/>
      <c r="AB1594" s="123"/>
      <c r="AC1594" s="123"/>
      <c r="AD1594" s="123"/>
      <c r="AE1594" s="123"/>
      <c r="AF1594" s="123"/>
      <c r="AG1594" s="123"/>
      <c r="AH1594" s="123"/>
      <c r="AI1594" s="123"/>
      <c r="AJ1594" s="123"/>
      <c r="AK1594" s="123"/>
      <c r="AL1594" s="123"/>
      <c r="AM1594" s="123"/>
      <c r="AN1594" s="123"/>
      <c r="AO1594" s="123"/>
      <c r="AP1594" s="123"/>
      <c r="AQ1594" s="123"/>
      <c r="AR1594" s="123"/>
      <c r="AS1594" s="123"/>
      <c r="AT1594" s="123"/>
      <c r="AU1594" s="123"/>
      <c r="AV1594" s="123"/>
      <c r="AW1594" s="123"/>
      <c r="AX1594" s="123"/>
      <c r="AY1594" s="123"/>
      <c r="AZ1594" s="123"/>
      <c r="BA1594" s="123"/>
      <c r="BB1594" s="123"/>
      <c r="BC1594" s="123"/>
      <c r="BD1594" s="123"/>
      <c r="BE1594" s="123"/>
      <c r="BF1594" s="123"/>
      <c r="BG1594" s="123"/>
      <c r="BH1594" s="123"/>
      <c r="BI1594" s="123"/>
    </row>
    <row r="1595" spans="2:61" s="982" customFormat="1">
      <c r="C1595" s="1015">
        <v>9560</v>
      </c>
      <c r="D1595" s="1281" t="s">
        <v>4762</v>
      </c>
      <c r="E1595" s="1015">
        <v>60</v>
      </c>
      <c r="F1595" s="1015">
        <v>1</v>
      </c>
      <c r="G1595" s="1015">
        <v>22.2</v>
      </c>
      <c r="H1595" s="1465">
        <f t="shared" si="68"/>
        <v>0.37</v>
      </c>
      <c r="I1595" s="1015">
        <f t="shared" si="71"/>
        <v>22.2</v>
      </c>
      <c r="J1595" s="123">
        <f t="shared" si="70"/>
        <v>22.2</v>
      </c>
      <c r="K1595" s="123"/>
      <c r="L1595" s="123"/>
      <c r="M1595" s="123"/>
      <c r="N1595" s="123"/>
      <c r="O1595" s="123"/>
      <c r="P1595" s="123"/>
      <c r="Q1595" s="123"/>
      <c r="R1595" s="123"/>
      <c r="S1595" s="123"/>
      <c r="T1595" s="123"/>
      <c r="U1595" s="123"/>
      <c r="V1595" s="123"/>
      <c r="W1595" s="123"/>
      <c r="X1595" s="123"/>
      <c r="Y1595" s="123"/>
      <c r="Z1595" s="123"/>
      <c r="AA1595" s="123"/>
      <c r="AB1595" s="123"/>
      <c r="AC1595" s="123"/>
      <c r="AD1595" s="123"/>
      <c r="AE1595" s="123"/>
      <c r="AF1595" s="123"/>
      <c r="AG1595" s="123"/>
      <c r="AH1595" s="123"/>
      <c r="AI1595" s="123"/>
      <c r="AJ1595" s="123"/>
      <c r="AK1595" s="123"/>
      <c r="AL1595" s="123"/>
      <c r="AM1595" s="123"/>
      <c r="AN1595" s="123"/>
      <c r="AO1595" s="123"/>
      <c r="AP1595" s="123"/>
      <c r="AQ1595" s="123"/>
      <c r="AR1595" s="123"/>
      <c r="AS1595" s="123"/>
      <c r="AT1595" s="123"/>
      <c r="AU1595" s="123"/>
      <c r="AV1595" s="123"/>
      <c r="AW1595" s="123"/>
      <c r="AX1595" s="123"/>
      <c r="AY1595" s="123"/>
      <c r="AZ1595" s="123"/>
      <c r="BA1595" s="123"/>
      <c r="BB1595" s="123"/>
      <c r="BC1595" s="123"/>
      <c r="BD1595" s="123"/>
      <c r="BE1595" s="123"/>
      <c r="BF1595" s="123"/>
      <c r="BG1595" s="123"/>
      <c r="BH1595" s="123"/>
      <c r="BI1595" s="123"/>
    </row>
    <row r="1596" spans="2:61" s="982" customFormat="1">
      <c r="C1596" s="1015">
        <v>22387</v>
      </c>
      <c r="D1596" s="1281" t="s">
        <v>4763</v>
      </c>
      <c r="E1596" s="1015">
        <v>60</v>
      </c>
      <c r="F1596" s="1015">
        <v>1</v>
      </c>
      <c r="G1596" s="1015">
        <v>22.2</v>
      </c>
      <c r="H1596" s="1465">
        <f t="shared" si="68"/>
        <v>0.37</v>
      </c>
      <c r="I1596" s="1015">
        <f t="shared" si="71"/>
        <v>22.2</v>
      </c>
      <c r="J1596" s="123">
        <f t="shared" si="70"/>
        <v>22.2</v>
      </c>
      <c r="K1596" s="123"/>
      <c r="L1596" s="123"/>
      <c r="M1596" s="123"/>
      <c r="N1596" s="123"/>
      <c r="O1596" s="123"/>
      <c r="P1596" s="123"/>
      <c r="Q1596" s="123"/>
      <c r="R1596" s="123"/>
      <c r="S1596" s="123"/>
      <c r="T1596" s="123"/>
      <c r="U1596" s="123"/>
      <c r="V1596" s="123"/>
      <c r="W1596" s="123"/>
      <c r="X1596" s="123"/>
      <c r="Y1596" s="123"/>
      <c r="Z1596" s="123"/>
      <c r="AA1596" s="123"/>
      <c r="AB1596" s="123"/>
      <c r="AC1596" s="123"/>
      <c r="AD1596" s="123"/>
      <c r="AE1596" s="123"/>
      <c r="AF1596" s="123"/>
      <c r="AG1596" s="123"/>
      <c r="AH1596" s="123"/>
      <c r="AI1596" s="123"/>
      <c r="AJ1596" s="123"/>
      <c r="AK1596" s="123"/>
      <c r="AL1596" s="123"/>
      <c r="AM1596" s="123"/>
      <c r="AN1596" s="123"/>
      <c r="AO1596" s="123"/>
      <c r="AP1596" s="123"/>
      <c r="AQ1596" s="123"/>
      <c r="AR1596" s="123"/>
      <c r="AS1596" s="123"/>
      <c r="AT1596" s="123"/>
      <c r="AU1596" s="123"/>
      <c r="AV1596" s="123"/>
      <c r="AW1596" s="123"/>
      <c r="AX1596" s="123"/>
      <c r="AY1596" s="123"/>
      <c r="AZ1596" s="123"/>
      <c r="BA1596" s="123"/>
      <c r="BB1596" s="123"/>
      <c r="BC1596" s="123"/>
      <c r="BD1596" s="123"/>
      <c r="BE1596" s="123"/>
      <c r="BF1596" s="123"/>
      <c r="BG1596" s="123"/>
      <c r="BH1596" s="123"/>
      <c r="BI1596" s="123"/>
    </row>
    <row r="1597" spans="2:61" s="982" customFormat="1">
      <c r="C1597" s="1015">
        <v>9561</v>
      </c>
      <c r="D1597" s="1281" t="s">
        <v>4764</v>
      </c>
      <c r="E1597" s="1015">
        <v>60</v>
      </c>
      <c r="F1597" s="1015">
        <v>1</v>
      </c>
      <c r="G1597" s="1015">
        <v>22.2</v>
      </c>
      <c r="H1597" s="1465">
        <f t="shared" si="68"/>
        <v>0.37</v>
      </c>
      <c r="I1597" s="1015">
        <f t="shared" si="71"/>
        <v>22.2</v>
      </c>
      <c r="J1597" s="123">
        <f t="shared" si="70"/>
        <v>22.2</v>
      </c>
      <c r="K1597" s="123"/>
      <c r="L1597" s="123"/>
      <c r="M1597" s="123"/>
      <c r="N1597" s="123"/>
      <c r="O1597" s="123"/>
      <c r="P1597" s="123"/>
      <c r="Q1597" s="123"/>
      <c r="R1597" s="123"/>
      <c r="S1597" s="123"/>
      <c r="T1597" s="123"/>
      <c r="U1597" s="123"/>
      <c r="V1597" s="123"/>
      <c r="W1597" s="123"/>
      <c r="X1597" s="123"/>
      <c r="Y1597" s="123"/>
      <c r="Z1597" s="123"/>
      <c r="AA1597" s="123"/>
      <c r="AB1597" s="123"/>
      <c r="AC1597" s="123"/>
      <c r="AD1597" s="123"/>
      <c r="AE1597" s="123"/>
      <c r="AF1597" s="123"/>
      <c r="AG1597" s="123"/>
      <c r="AH1597" s="123"/>
      <c r="AI1597" s="123"/>
      <c r="AJ1597" s="123"/>
      <c r="AK1597" s="123"/>
      <c r="AL1597" s="123"/>
      <c r="AM1597" s="123"/>
      <c r="AN1597" s="123"/>
      <c r="AO1597" s="123"/>
      <c r="AP1597" s="123"/>
      <c r="AQ1597" s="123"/>
      <c r="AR1597" s="123"/>
      <c r="AS1597" s="123"/>
      <c r="AT1597" s="123"/>
      <c r="AU1597" s="123"/>
      <c r="AV1597" s="123"/>
      <c r="AW1597" s="123"/>
      <c r="AX1597" s="123"/>
      <c r="AY1597" s="123"/>
      <c r="AZ1597" s="123"/>
      <c r="BA1597" s="123"/>
      <c r="BB1597" s="123"/>
      <c r="BC1597" s="123"/>
      <c r="BD1597" s="123"/>
      <c r="BE1597" s="123"/>
      <c r="BF1597" s="123"/>
      <c r="BG1597" s="123"/>
      <c r="BH1597" s="123"/>
      <c r="BI1597" s="123"/>
    </row>
    <row r="1598" spans="2:61" s="982" customFormat="1" hidden="1">
      <c r="C1598" s="1015"/>
      <c r="D1598" s="1281" t="s">
        <v>4765</v>
      </c>
      <c r="E1598" s="1015">
        <v>60</v>
      </c>
      <c r="F1598" s="1015">
        <v>0</v>
      </c>
      <c r="G1598" s="1015">
        <v>22.2</v>
      </c>
      <c r="H1598" s="1465">
        <f t="shared" si="68"/>
        <v>0.37</v>
      </c>
      <c r="I1598" s="1015">
        <f t="shared" si="71"/>
        <v>0</v>
      </c>
      <c r="J1598" s="123">
        <f t="shared" si="70"/>
        <v>0</v>
      </c>
      <c r="K1598" s="123"/>
      <c r="L1598" s="123"/>
      <c r="M1598" s="123"/>
      <c r="N1598" s="123"/>
      <c r="O1598" s="123"/>
      <c r="P1598" s="123"/>
      <c r="Q1598" s="123"/>
      <c r="R1598" s="123"/>
      <c r="S1598" s="123"/>
      <c r="T1598" s="123"/>
      <c r="U1598" s="123"/>
      <c r="V1598" s="123"/>
      <c r="W1598" s="123"/>
      <c r="X1598" s="123"/>
      <c r="Y1598" s="123"/>
      <c r="Z1598" s="123"/>
      <c r="AA1598" s="123"/>
      <c r="AB1598" s="123"/>
      <c r="AC1598" s="123"/>
      <c r="AD1598" s="123"/>
      <c r="AE1598" s="123"/>
      <c r="AF1598" s="123"/>
      <c r="AG1598" s="123"/>
      <c r="AH1598" s="123"/>
      <c r="AI1598" s="123"/>
      <c r="AJ1598" s="123"/>
      <c r="AK1598" s="123"/>
      <c r="AL1598" s="123"/>
      <c r="AM1598" s="123"/>
      <c r="AN1598" s="123"/>
      <c r="AO1598" s="123"/>
      <c r="AP1598" s="123"/>
      <c r="AQ1598" s="123"/>
      <c r="AR1598" s="123"/>
      <c r="AS1598" s="123"/>
      <c r="AT1598" s="123"/>
      <c r="AU1598" s="123"/>
      <c r="AV1598" s="123"/>
      <c r="AW1598" s="123"/>
      <c r="AX1598" s="123"/>
      <c r="AY1598" s="123"/>
      <c r="AZ1598" s="123"/>
      <c r="BA1598" s="123"/>
      <c r="BB1598" s="123"/>
      <c r="BC1598" s="123"/>
      <c r="BD1598" s="123"/>
      <c r="BE1598" s="123"/>
      <c r="BF1598" s="123"/>
      <c r="BG1598" s="123"/>
      <c r="BH1598" s="123"/>
      <c r="BI1598" s="123"/>
    </row>
    <row r="1599" spans="2:61" s="982" customFormat="1">
      <c r="C1599" s="1015">
        <v>22386</v>
      </c>
      <c r="D1599" s="1281" t="s">
        <v>4766</v>
      </c>
      <c r="E1599" s="1015">
        <v>60</v>
      </c>
      <c r="F1599" s="1015">
        <v>1</v>
      </c>
      <c r="G1599" s="1015">
        <v>22.2</v>
      </c>
      <c r="H1599" s="1465">
        <f t="shared" si="68"/>
        <v>0.37</v>
      </c>
      <c r="I1599" s="1015">
        <f t="shared" si="71"/>
        <v>22.2</v>
      </c>
      <c r="J1599" s="123">
        <f t="shared" si="70"/>
        <v>22.2</v>
      </c>
      <c r="K1599" s="123"/>
      <c r="L1599" s="123"/>
      <c r="M1599" s="123"/>
      <c r="N1599" s="123"/>
      <c r="O1599" s="123"/>
      <c r="P1599" s="123"/>
      <c r="Q1599" s="123"/>
      <c r="R1599" s="123"/>
      <c r="S1599" s="123"/>
      <c r="T1599" s="123"/>
      <c r="U1599" s="123"/>
      <c r="V1599" s="123"/>
      <c r="W1599" s="123"/>
      <c r="X1599" s="123"/>
      <c r="Y1599" s="123"/>
      <c r="Z1599" s="123"/>
      <c r="AA1599" s="123"/>
      <c r="AB1599" s="123"/>
      <c r="AC1599" s="123"/>
      <c r="AD1599" s="123"/>
      <c r="AE1599" s="123"/>
      <c r="AF1599" s="123"/>
      <c r="AG1599" s="123"/>
      <c r="AH1599" s="123"/>
      <c r="AI1599" s="123"/>
      <c r="AJ1599" s="123"/>
      <c r="AK1599" s="123"/>
      <c r="AL1599" s="123"/>
      <c r="AM1599" s="123"/>
      <c r="AN1599" s="123"/>
      <c r="AO1599" s="123"/>
      <c r="AP1599" s="123"/>
      <c r="AQ1599" s="123"/>
      <c r="AR1599" s="123"/>
      <c r="AS1599" s="123"/>
      <c r="AT1599" s="123"/>
      <c r="AU1599" s="123"/>
      <c r="AV1599" s="123"/>
      <c r="AW1599" s="123"/>
      <c r="AX1599" s="123"/>
      <c r="AY1599" s="123"/>
      <c r="AZ1599" s="123"/>
      <c r="BA1599" s="123"/>
      <c r="BB1599" s="123"/>
      <c r="BC1599" s="123"/>
      <c r="BD1599" s="123"/>
      <c r="BE1599" s="123"/>
      <c r="BF1599" s="123"/>
      <c r="BG1599" s="123"/>
      <c r="BH1599" s="123"/>
      <c r="BI1599" s="123"/>
    </row>
    <row r="1600" spans="2:61" s="827" customFormat="1" hidden="1">
      <c r="B1600" s="123"/>
      <c r="C1600" s="297"/>
      <c r="D1600" s="1200"/>
      <c r="E1600" s="1391"/>
      <c r="F1600" s="1391"/>
      <c r="G1600" s="1391"/>
      <c r="H1600" s="900" t="s">
        <v>65</v>
      </c>
      <c r="I1600" s="1391">
        <f t="shared" si="71"/>
        <v>0</v>
      </c>
      <c r="J1600" s="123">
        <f t="shared" si="70"/>
        <v>0</v>
      </c>
      <c r="K1600" s="123"/>
      <c r="L1600" s="123"/>
      <c r="M1600" s="123"/>
      <c r="N1600" s="123"/>
      <c r="O1600" s="123"/>
      <c r="P1600" s="123"/>
      <c r="Q1600" s="123"/>
      <c r="R1600" s="123"/>
      <c r="S1600" s="123"/>
      <c r="T1600" s="123"/>
      <c r="U1600" s="123"/>
      <c r="V1600" s="123"/>
      <c r="W1600" s="123"/>
      <c r="X1600" s="123"/>
      <c r="Y1600" s="123"/>
      <c r="Z1600" s="123"/>
      <c r="AA1600" s="123"/>
      <c r="AB1600" s="123"/>
      <c r="AC1600" s="123"/>
      <c r="AD1600" s="123"/>
      <c r="AE1600" s="123"/>
      <c r="AF1600" s="123"/>
      <c r="AG1600" s="123"/>
      <c r="AH1600" s="123"/>
      <c r="AI1600" s="123"/>
      <c r="AJ1600" s="123"/>
      <c r="AK1600" s="123"/>
      <c r="AL1600" s="123"/>
      <c r="AM1600" s="123"/>
      <c r="AN1600" s="123"/>
      <c r="AO1600" s="123"/>
      <c r="AP1600" s="123"/>
      <c r="AQ1600" s="123"/>
      <c r="AR1600" s="123"/>
      <c r="AS1600" s="123"/>
      <c r="AT1600" s="123"/>
      <c r="AU1600" s="123"/>
      <c r="AV1600" s="123"/>
      <c r="AW1600" s="123"/>
      <c r="AX1600" s="123"/>
      <c r="AY1600" s="123"/>
      <c r="AZ1600" s="123"/>
      <c r="BA1600" s="123"/>
      <c r="BB1600" s="123"/>
      <c r="BC1600" s="123"/>
      <c r="BD1600" s="123"/>
      <c r="BE1600" s="123"/>
      <c r="BF1600" s="123"/>
      <c r="BG1600" s="123"/>
      <c r="BH1600" s="123"/>
      <c r="BI1600" s="123"/>
    </row>
    <row r="1601" spans="2:61" s="827" customFormat="1" hidden="1">
      <c r="B1601" s="123"/>
      <c r="C1601" s="297"/>
      <c r="D1601" s="1200" t="s">
        <v>65</v>
      </c>
      <c r="E1601" s="1391"/>
      <c r="F1601" s="1391"/>
      <c r="G1601" s="1391"/>
      <c r="H1601" s="900" t="s">
        <v>65</v>
      </c>
      <c r="I1601" s="1391">
        <f t="shared" si="71"/>
        <v>0</v>
      </c>
      <c r="J1601" s="123">
        <f t="shared" si="70"/>
        <v>0</v>
      </c>
      <c r="K1601" s="123"/>
      <c r="L1601" s="123"/>
      <c r="M1601" s="123"/>
      <c r="N1601" s="123"/>
      <c r="O1601" s="123"/>
      <c r="P1601" s="123"/>
      <c r="Q1601" s="123"/>
      <c r="R1601" s="123"/>
      <c r="S1601" s="123"/>
      <c r="T1601" s="123"/>
      <c r="U1601" s="123"/>
      <c r="V1601" s="123"/>
      <c r="W1601" s="123"/>
      <c r="X1601" s="123"/>
      <c r="Y1601" s="123"/>
      <c r="Z1601" s="123"/>
      <c r="AA1601" s="123"/>
      <c r="AB1601" s="123"/>
      <c r="AC1601" s="123"/>
      <c r="AD1601" s="123"/>
      <c r="AE1601" s="123"/>
      <c r="AF1601" s="123"/>
      <c r="AG1601" s="123"/>
      <c r="AH1601" s="123"/>
      <c r="AI1601" s="123"/>
      <c r="AJ1601" s="123"/>
      <c r="AK1601" s="123"/>
      <c r="AL1601" s="123"/>
      <c r="AM1601" s="123"/>
      <c r="AN1601" s="123"/>
      <c r="AO1601" s="123"/>
      <c r="AP1601" s="123"/>
      <c r="AQ1601" s="123"/>
      <c r="AR1601" s="123"/>
      <c r="AS1601" s="123"/>
      <c r="AT1601" s="123"/>
      <c r="AU1601" s="123"/>
      <c r="AV1601" s="123"/>
      <c r="AW1601" s="123"/>
      <c r="AX1601" s="123"/>
      <c r="AY1601" s="123"/>
      <c r="AZ1601" s="123"/>
      <c r="BA1601" s="123"/>
      <c r="BB1601" s="123"/>
      <c r="BC1601" s="123"/>
      <c r="BD1601" s="123"/>
      <c r="BE1601" s="123"/>
      <c r="BF1601" s="123"/>
      <c r="BG1601" s="123"/>
      <c r="BH1601" s="123"/>
      <c r="BI1601" s="123"/>
    </row>
    <row r="1602" spans="2:61" s="827" customFormat="1" hidden="1">
      <c r="B1602" s="123"/>
      <c r="C1602" s="297"/>
      <c r="D1602" s="1200"/>
      <c r="E1602" s="1391"/>
      <c r="F1602" s="1391"/>
      <c r="G1602" s="1391"/>
      <c r="H1602" s="900" t="s">
        <v>65</v>
      </c>
      <c r="I1602" s="1391">
        <f t="shared" si="71"/>
        <v>0</v>
      </c>
      <c r="J1602" s="123">
        <f t="shared" si="70"/>
        <v>0</v>
      </c>
      <c r="K1602" s="123"/>
      <c r="L1602" s="123"/>
      <c r="M1602" s="123"/>
      <c r="N1602" s="123"/>
      <c r="O1602" s="123"/>
      <c r="P1602" s="123"/>
      <c r="Q1602" s="123"/>
      <c r="R1602" s="123"/>
      <c r="S1602" s="123"/>
      <c r="T1602" s="123"/>
      <c r="U1602" s="123"/>
      <c r="V1602" s="123"/>
      <c r="W1602" s="123"/>
      <c r="X1602" s="123"/>
      <c r="Y1602" s="123"/>
      <c r="Z1602" s="123"/>
      <c r="AA1602" s="123"/>
      <c r="AB1602" s="123"/>
      <c r="AC1602" s="123"/>
      <c r="AD1602" s="123"/>
      <c r="AE1602" s="123"/>
      <c r="AF1602" s="123"/>
      <c r="AG1602" s="123"/>
      <c r="AH1602" s="123"/>
      <c r="AI1602" s="123"/>
      <c r="AJ1602" s="123"/>
      <c r="AK1602" s="123"/>
      <c r="AL1602" s="123"/>
      <c r="AM1602" s="123"/>
      <c r="AN1602" s="123"/>
      <c r="AO1602" s="123"/>
      <c r="AP1602" s="123"/>
      <c r="AQ1602" s="123"/>
      <c r="AR1602" s="123"/>
      <c r="AS1602" s="123"/>
      <c r="AT1602" s="123"/>
      <c r="AU1602" s="123"/>
      <c r="AV1602" s="123"/>
      <c r="AW1602" s="123"/>
      <c r="AX1602" s="123"/>
      <c r="AY1602" s="123"/>
      <c r="AZ1602" s="123"/>
      <c r="BA1602" s="123"/>
      <c r="BB1602" s="123"/>
      <c r="BC1602" s="123"/>
      <c r="BD1602" s="123"/>
      <c r="BE1602" s="123"/>
      <c r="BF1602" s="123"/>
      <c r="BG1602" s="123"/>
      <c r="BH1602" s="123"/>
      <c r="BI1602" s="123"/>
    </row>
    <row r="1603" spans="2:61" s="827" customFormat="1" hidden="1">
      <c r="B1603" s="123"/>
      <c r="C1603" s="1391"/>
      <c r="D1603" s="1200"/>
      <c r="E1603" s="1391"/>
      <c r="F1603" s="1391"/>
      <c r="G1603" s="1391"/>
      <c r="H1603" s="900" t="s">
        <v>65</v>
      </c>
      <c r="I1603" s="1391">
        <f t="shared" si="71"/>
        <v>0</v>
      </c>
      <c r="J1603" s="123">
        <f t="shared" si="70"/>
        <v>0</v>
      </c>
      <c r="K1603" s="123"/>
      <c r="L1603" s="123"/>
      <c r="M1603" s="123"/>
      <c r="N1603" s="123"/>
      <c r="O1603" s="123"/>
      <c r="P1603" s="123"/>
      <c r="Q1603" s="123"/>
      <c r="R1603" s="123"/>
      <c r="S1603" s="123"/>
      <c r="T1603" s="123"/>
      <c r="U1603" s="123"/>
      <c r="V1603" s="123"/>
      <c r="W1603" s="123"/>
      <c r="X1603" s="123"/>
      <c r="Y1603" s="123"/>
      <c r="Z1603" s="123"/>
      <c r="AA1603" s="123"/>
      <c r="AB1603" s="123"/>
      <c r="AC1603" s="123"/>
      <c r="AD1603" s="123"/>
      <c r="AE1603" s="123"/>
      <c r="AF1603" s="123"/>
      <c r="AG1603" s="123"/>
      <c r="AH1603" s="123"/>
      <c r="AI1603" s="123"/>
      <c r="AJ1603" s="123"/>
      <c r="AK1603" s="123"/>
      <c r="AL1603" s="123"/>
      <c r="AM1603" s="123"/>
      <c r="AN1603" s="123"/>
      <c r="AO1603" s="123"/>
      <c r="AP1603" s="123"/>
      <c r="AQ1603" s="123"/>
      <c r="AR1603" s="123"/>
      <c r="AS1603" s="123"/>
      <c r="AT1603" s="123"/>
      <c r="AU1603" s="123"/>
      <c r="AV1603" s="123"/>
      <c r="AW1603" s="123"/>
      <c r="AX1603" s="123"/>
      <c r="AY1603" s="123"/>
      <c r="AZ1603" s="123"/>
      <c r="BA1603" s="123"/>
      <c r="BB1603" s="123"/>
      <c r="BC1603" s="123"/>
      <c r="BD1603" s="123"/>
      <c r="BE1603" s="123"/>
      <c r="BF1603" s="123"/>
      <c r="BG1603" s="123"/>
      <c r="BH1603" s="123"/>
      <c r="BI1603" s="123"/>
    </row>
    <row r="1604" spans="2:61" s="827" customFormat="1" hidden="1">
      <c r="B1604" s="123"/>
      <c r="C1604" s="1391"/>
      <c r="D1604" s="1200"/>
      <c r="E1604" s="1391"/>
      <c r="F1604" s="1391"/>
      <c r="G1604" s="1391"/>
      <c r="H1604" s="900" t="s">
        <v>65</v>
      </c>
      <c r="I1604" s="1391">
        <f t="shared" si="71"/>
        <v>0</v>
      </c>
      <c r="J1604" s="123">
        <f t="shared" si="70"/>
        <v>0</v>
      </c>
      <c r="K1604" s="123"/>
      <c r="L1604" s="123"/>
      <c r="M1604" s="123"/>
      <c r="N1604" s="123"/>
      <c r="O1604" s="123"/>
      <c r="P1604" s="123"/>
      <c r="Q1604" s="123"/>
      <c r="R1604" s="123"/>
      <c r="S1604" s="123"/>
      <c r="T1604" s="123"/>
      <c r="U1604" s="123"/>
      <c r="V1604" s="123"/>
      <c r="W1604" s="123"/>
      <c r="X1604" s="123"/>
      <c r="Y1604" s="123"/>
      <c r="Z1604" s="123"/>
      <c r="AA1604" s="123"/>
      <c r="AB1604" s="123"/>
      <c r="AC1604" s="123"/>
      <c r="AD1604" s="123"/>
      <c r="AE1604" s="123"/>
      <c r="AF1604" s="123"/>
      <c r="AG1604" s="123"/>
      <c r="AH1604" s="123"/>
      <c r="AI1604" s="123"/>
      <c r="AJ1604" s="123"/>
      <c r="AK1604" s="123"/>
      <c r="AL1604" s="123"/>
      <c r="AM1604" s="123"/>
      <c r="AN1604" s="123"/>
      <c r="AO1604" s="123"/>
      <c r="AP1604" s="123"/>
      <c r="AQ1604" s="123"/>
      <c r="AR1604" s="123"/>
      <c r="AS1604" s="123"/>
      <c r="AT1604" s="123"/>
      <c r="AU1604" s="123"/>
      <c r="AV1604" s="123"/>
      <c r="AW1604" s="123"/>
      <c r="AX1604" s="123"/>
      <c r="AY1604" s="123"/>
      <c r="AZ1604" s="123"/>
      <c r="BA1604" s="123"/>
      <c r="BB1604" s="123"/>
      <c r="BC1604" s="123"/>
      <c r="BD1604" s="123"/>
      <c r="BE1604" s="123"/>
      <c r="BF1604" s="123"/>
      <c r="BG1604" s="123"/>
      <c r="BH1604" s="123"/>
      <c r="BI1604" s="123"/>
    </row>
    <row r="1605" spans="2:61" s="982" customFormat="1">
      <c r="C1605" s="1015">
        <v>15807</v>
      </c>
      <c r="D1605" s="1281" t="s">
        <v>2795</v>
      </c>
      <c r="E1605" s="1015">
        <v>20</v>
      </c>
      <c r="F1605" s="1015">
        <v>30</v>
      </c>
      <c r="G1605" s="1015">
        <v>45.5</v>
      </c>
      <c r="H1605" s="1465">
        <f t="shared" si="68"/>
        <v>2.2749999999999999</v>
      </c>
      <c r="I1605" s="1443">
        <f t="shared" si="71"/>
        <v>1365</v>
      </c>
      <c r="J1605" s="123">
        <f t="shared" si="70"/>
        <v>1365</v>
      </c>
      <c r="K1605" s="123"/>
      <c r="L1605" s="123"/>
      <c r="M1605" s="123"/>
      <c r="N1605" s="123"/>
      <c r="O1605" s="123"/>
      <c r="P1605" s="123"/>
      <c r="Q1605" s="123"/>
      <c r="R1605" s="123"/>
      <c r="S1605" s="123"/>
      <c r="T1605" s="123"/>
      <c r="U1605" s="123"/>
      <c r="V1605" s="123"/>
      <c r="W1605" s="123"/>
      <c r="X1605" s="123"/>
      <c r="Y1605" s="123"/>
      <c r="Z1605" s="123"/>
      <c r="AA1605" s="123"/>
      <c r="AB1605" s="123"/>
      <c r="AC1605" s="123"/>
      <c r="AD1605" s="123"/>
      <c r="AE1605" s="123"/>
      <c r="AF1605" s="123"/>
      <c r="AG1605" s="123"/>
      <c r="AH1605" s="123"/>
      <c r="AI1605" s="123"/>
      <c r="AJ1605" s="123"/>
      <c r="AK1605" s="123"/>
      <c r="AL1605" s="123"/>
      <c r="AM1605" s="123"/>
      <c r="AN1605" s="123"/>
      <c r="AO1605" s="123"/>
      <c r="AP1605" s="123"/>
      <c r="AQ1605" s="123"/>
      <c r="AR1605" s="123"/>
      <c r="AS1605" s="123"/>
      <c r="AT1605" s="123"/>
      <c r="AU1605" s="123"/>
      <c r="AV1605" s="123"/>
      <c r="AW1605" s="123"/>
      <c r="AX1605" s="123"/>
      <c r="AY1605" s="123"/>
      <c r="AZ1605" s="123"/>
      <c r="BA1605" s="123"/>
      <c r="BB1605" s="123"/>
      <c r="BC1605" s="123"/>
      <c r="BD1605" s="123"/>
      <c r="BE1605" s="123"/>
      <c r="BF1605" s="123"/>
      <c r="BG1605" s="123"/>
      <c r="BH1605" s="123"/>
      <c r="BI1605" s="123"/>
    </row>
    <row r="1606" spans="2:61" hidden="1">
      <c r="B1606" s="123"/>
      <c r="C1606" s="1391">
        <v>21024</v>
      </c>
      <c r="D1606" s="1200" t="s">
        <v>3446</v>
      </c>
      <c r="E1606" s="1391"/>
      <c r="F1606" s="1391"/>
      <c r="G1606" s="1391"/>
      <c r="H1606" s="900" t="s">
        <v>65</v>
      </c>
      <c r="I1606" s="1391">
        <f t="shared" si="71"/>
        <v>0</v>
      </c>
      <c r="J1606" s="123">
        <f t="shared" si="70"/>
        <v>0</v>
      </c>
    </row>
    <row r="1607" spans="2:61" hidden="1">
      <c r="B1607" s="123"/>
      <c r="C1607" s="1391">
        <v>10069</v>
      </c>
      <c r="D1607" s="1200" t="s">
        <v>3358</v>
      </c>
      <c r="E1607" s="1391">
        <v>864</v>
      </c>
      <c r="F1607" s="1391"/>
      <c r="G1607" s="1391">
        <v>177</v>
      </c>
      <c r="H1607" s="900">
        <f t="shared" si="68"/>
        <v>0.2048611111111111</v>
      </c>
      <c r="I1607" s="1391">
        <f t="shared" si="71"/>
        <v>0</v>
      </c>
      <c r="J1607" s="123">
        <f t="shared" si="70"/>
        <v>0</v>
      </c>
    </row>
    <row r="1608" spans="2:61" hidden="1">
      <c r="B1608" s="123"/>
      <c r="C1608" s="1391">
        <v>10068</v>
      </c>
      <c r="D1608" s="1200" t="s">
        <v>2394</v>
      </c>
      <c r="E1608" s="1391">
        <v>864</v>
      </c>
      <c r="F1608" s="1391"/>
      <c r="G1608" s="1391">
        <v>177</v>
      </c>
      <c r="H1608" s="900">
        <f t="shared" si="68"/>
        <v>0.2048611111111111</v>
      </c>
      <c r="I1608" s="1391">
        <f t="shared" si="71"/>
        <v>0</v>
      </c>
      <c r="J1608" s="123">
        <f t="shared" si="70"/>
        <v>0</v>
      </c>
    </row>
    <row r="1609" spans="2:61" hidden="1">
      <c r="B1609" s="123"/>
      <c r="C1609" s="1391"/>
      <c r="D1609" s="1245" t="s">
        <v>4540</v>
      </c>
      <c r="E1609" s="1391">
        <v>864</v>
      </c>
      <c r="F1609" s="1391"/>
      <c r="G1609" s="1391">
        <v>177</v>
      </c>
      <c r="H1609" s="900">
        <f t="shared" si="68"/>
        <v>0.2048611111111111</v>
      </c>
      <c r="I1609" s="1391">
        <f t="shared" si="71"/>
        <v>0</v>
      </c>
      <c r="J1609" s="123">
        <f t="shared" si="70"/>
        <v>0</v>
      </c>
    </row>
    <row r="1610" spans="2:61" hidden="1">
      <c r="B1610" s="123"/>
      <c r="C1610" s="1391"/>
      <c r="D1610" s="1200" t="s">
        <v>4541</v>
      </c>
      <c r="E1610" s="1391">
        <v>864</v>
      </c>
      <c r="F1610" s="1391"/>
      <c r="G1610" s="1391">
        <v>177</v>
      </c>
      <c r="H1610" s="900">
        <f t="shared" si="68"/>
        <v>0.2048611111111111</v>
      </c>
      <c r="I1610" s="1391">
        <f t="shared" si="71"/>
        <v>0</v>
      </c>
      <c r="J1610" s="123">
        <f t="shared" si="70"/>
        <v>0</v>
      </c>
    </row>
    <row r="1611" spans="2:61" hidden="1">
      <c r="B1611" s="123"/>
      <c r="C1611" s="1391">
        <v>1691</v>
      </c>
      <c r="D1611" s="1200" t="s">
        <v>4542</v>
      </c>
      <c r="E1611" s="1391">
        <v>12</v>
      </c>
      <c r="F1611" s="1391"/>
      <c r="G1611" s="1391">
        <v>3.7</v>
      </c>
      <c r="H1611" s="900">
        <f t="shared" si="68"/>
        <v>0.30833333333333335</v>
      </c>
      <c r="I1611" s="1391">
        <f t="shared" si="71"/>
        <v>0</v>
      </c>
      <c r="J1611" s="123">
        <f t="shared" si="70"/>
        <v>0</v>
      </c>
    </row>
    <row r="1612" spans="2:61" hidden="1">
      <c r="B1612" s="123"/>
      <c r="C1612" s="1391"/>
      <c r="D1612" s="1200" t="s">
        <v>4543</v>
      </c>
      <c r="E1612" s="1391">
        <v>96</v>
      </c>
      <c r="F1612" s="1391"/>
      <c r="G1612" s="1391">
        <v>63.8</v>
      </c>
      <c r="H1612" s="900">
        <f t="shared" si="68"/>
        <v>0.6645833333333333</v>
      </c>
      <c r="I1612" s="1391">
        <f t="shared" si="71"/>
        <v>0</v>
      </c>
      <c r="J1612" s="123">
        <f t="shared" si="70"/>
        <v>0</v>
      </c>
    </row>
    <row r="1613" spans="2:61" hidden="1">
      <c r="B1613" s="123"/>
      <c r="C1613" s="1391">
        <v>8017</v>
      </c>
      <c r="D1613" s="1200" t="s">
        <v>4539</v>
      </c>
      <c r="E1613" s="1391">
        <v>96</v>
      </c>
      <c r="F1613" s="1391"/>
      <c r="G1613" s="1391">
        <v>63.8</v>
      </c>
      <c r="H1613" s="900">
        <f t="shared" si="68"/>
        <v>0.6645833333333333</v>
      </c>
      <c r="I1613" s="1391">
        <f t="shared" si="71"/>
        <v>0</v>
      </c>
      <c r="J1613" s="123">
        <f t="shared" si="70"/>
        <v>0</v>
      </c>
    </row>
    <row r="1614" spans="2:61" s="982" customFormat="1">
      <c r="C1614" s="1015">
        <v>6901</v>
      </c>
      <c r="D1614" s="1466" t="s">
        <v>1374</v>
      </c>
      <c r="E1614" s="1015">
        <v>10</v>
      </c>
      <c r="F1614" s="1015">
        <v>150</v>
      </c>
      <c r="G1614" s="1015">
        <v>11</v>
      </c>
      <c r="H1614" s="1465">
        <f t="shared" si="68"/>
        <v>1.1000000000000001</v>
      </c>
      <c r="I1614" s="1443">
        <f t="shared" si="71"/>
        <v>1650</v>
      </c>
      <c r="J1614" s="123">
        <f t="shared" si="70"/>
        <v>1650</v>
      </c>
      <c r="K1614" s="123"/>
      <c r="L1614" s="123"/>
      <c r="M1614" s="123"/>
      <c r="N1614" s="123"/>
      <c r="O1614" s="123"/>
      <c r="P1614" s="123"/>
      <c r="Q1614" s="123"/>
      <c r="R1614" s="123"/>
      <c r="S1614" s="123"/>
      <c r="T1614" s="123"/>
      <c r="U1614" s="123"/>
      <c r="V1614" s="123"/>
      <c r="W1614" s="123"/>
      <c r="X1614" s="123"/>
      <c r="Y1614" s="123"/>
      <c r="Z1614" s="123"/>
      <c r="AA1614" s="123"/>
      <c r="AB1614" s="123"/>
      <c r="AC1614" s="123"/>
      <c r="AD1614" s="123"/>
      <c r="AE1614" s="123"/>
      <c r="AF1614" s="123"/>
      <c r="AG1614" s="123"/>
      <c r="AH1614" s="123"/>
      <c r="AI1614" s="123"/>
      <c r="AJ1614" s="123"/>
      <c r="AK1614" s="123"/>
      <c r="AL1614" s="123"/>
      <c r="AM1614" s="123"/>
      <c r="AN1614" s="123"/>
      <c r="AO1614" s="123"/>
      <c r="AP1614" s="123"/>
      <c r="AQ1614" s="123"/>
      <c r="AR1614" s="123"/>
      <c r="AS1614" s="123"/>
      <c r="AT1614" s="123"/>
      <c r="AU1614" s="123"/>
      <c r="AV1614" s="123"/>
      <c r="AW1614" s="123"/>
      <c r="AX1614" s="123"/>
      <c r="AY1614" s="123"/>
      <c r="AZ1614" s="123"/>
      <c r="BA1614" s="123"/>
      <c r="BB1614" s="123"/>
      <c r="BC1614" s="123"/>
      <c r="BD1614" s="123"/>
      <c r="BE1614" s="123"/>
      <c r="BF1614" s="123"/>
      <c r="BG1614" s="123"/>
      <c r="BH1614" s="123"/>
      <c r="BI1614" s="123"/>
    </row>
    <row r="1615" spans="2:61" s="982" customFormat="1">
      <c r="C1615" s="1015">
        <v>15403</v>
      </c>
      <c r="D1615" s="1281" t="s">
        <v>3356</v>
      </c>
      <c r="E1615" s="1015">
        <v>26</v>
      </c>
      <c r="F1615" s="1015">
        <v>25</v>
      </c>
      <c r="G1615" s="1015">
        <v>15.1</v>
      </c>
      <c r="H1615" s="1465">
        <f t="shared" si="68"/>
        <v>0.5807692307692307</v>
      </c>
      <c r="I1615" s="1015">
        <f t="shared" si="71"/>
        <v>377.5</v>
      </c>
      <c r="J1615" s="123">
        <f t="shared" si="70"/>
        <v>377.5</v>
      </c>
      <c r="K1615" s="123"/>
      <c r="L1615" s="123"/>
      <c r="M1615" s="123"/>
      <c r="N1615" s="123"/>
      <c r="O1615" s="123"/>
      <c r="P1615" s="123"/>
      <c r="Q1615" s="123"/>
      <c r="R1615" s="123"/>
      <c r="S1615" s="123"/>
      <c r="T1615" s="123"/>
      <c r="U1615" s="123"/>
      <c r="V1615" s="123"/>
      <c r="W1615" s="123"/>
      <c r="X1615" s="123"/>
      <c r="Y1615" s="123"/>
      <c r="Z1615" s="123"/>
      <c r="AA1615" s="123"/>
      <c r="AB1615" s="123"/>
      <c r="AC1615" s="123"/>
      <c r="AD1615" s="123"/>
      <c r="AE1615" s="123"/>
      <c r="AF1615" s="123"/>
      <c r="AG1615" s="123"/>
      <c r="AH1615" s="123"/>
      <c r="AI1615" s="123"/>
      <c r="AJ1615" s="123"/>
      <c r="AK1615" s="123"/>
      <c r="AL1615" s="123"/>
      <c r="AM1615" s="123"/>
      <c r="AN1615" s="123"/>
      <c r="AO1615" s="123"/>
      <c r="AP1615" s="123"/>
      <c r="AQ1615" s="123"/>
      <c r="AR1615" s="123"/>
      <c r="AS1615" s="123"/>
      <c r="AT1615" s="123"/>
      <c r="AU1615" s="123"/>
      <c r="AV1615" s="123"/>
      <c r="AW1615" s="123"/>
      <c r="AX1615" s="123"/>
      <c r="AY1615" s="123"/>
      <c r="AZ1615" s="123"/>
      <c r="BA1615" s="123"/>
      <c r="BB1615" s="123"/>
      <c r="BC1615" s="123"/>
      <c r="BD1615" s="123"/>
      <c r="BE1615" s="123"/>
      <c r="BF1615" s="123"/>
      <c r="BG1615" s="123"/>
      <c r="BH1615" s="123"/>
      <c r="BI1615" s="123"/>
    </row>
    <row r="1616" spans="2:61" s="982" customFormat="1">
      <c r="C1616" s="1015">
        <v>14478</v>
      </c>
      <c r="D1616" s="1281" t="s">
        <v>4747</v>
      </c>
      <c r="E1616" s="1015">
        <v>50</v>
      </c>
      <c r="F1616" s="1015">
        <v>10</v>
      </c>
      <c r="G1616" s="1015">
        <v>52</v>
      </c>
      <c r="H1616" s="1465">
        <f t="shared" si="68"/>
        <v>1.04</v>
      </c>
      <c r="I1616" s="1443">
        <f t="shared" ref="I1616:I1631" si="72">+F1616*G1616</f>
        <v>520</v>
      </c>
      <c r="J1616" s="123">
        <f t="shared" ref="J1616:J1631" si="73">+G1616*F1616</f>
        <v>520</v>
      </c>
      <c r="K1616" s="123"/>
      <c r="L1616" s="123"/>
      <c r="M1616" s="123"/>
      <c r="N1616" s="123"/>
      <c r="O1616" s="123"/>
      <c r="P1616" s="123"/>
      <c r="Q1616" s="123"/>
      <c r="R1616" s="123"/>
      <c r="S1616" s="123"/>
      <c r="T1616" s="123"/>
      <c r="U1616" s="123"/>
      <c r="V1616" s="123"/>
      <c r="W1616" s="123"/>
      <c r="X1616" s="123"/>
      <c r="Y1616" s="123"/>
      <c r="Z1616" s="123"/>
      <c r="AA1616" s="123"/>
      <c r="AB1616" s="123"/>
      <c r="AC1616" s="123"/>
      <c r="AD1616" s="123"/>
      <c r="AE1616" s="123"/>
      <c r="AF1616" s="123"/>
      <c r="AG1616" s="123"/>
      <c r="AH1616" s="123"/>
      <c r="AI1616" s="123"/>
      <c r="AJ1616" s="123"/>
      <c r="AK1616" s="123"/>
      <c r="AL1616" s="123"/>
      <c r="AM1616" s="123"/>
      <c r="AN1616" s="123"/>
      <c r="AO1616" s="123"/>
      <c r="AP1616" s="123"/>
      <c r="AQ1616" s="123"/>
      <c r="AR1616" s="123"/>
      <c r="AS1616" s="123"/>
      <c r="AT1616" s="123"/>
      <c r="AU1616" s="123"/>
      <c r="AV1616" s="123"/>
      <c r="AW1616" s="123"/>
      <c r="AX1616" s="123"/>
      <c r="AY1616" s="123"/>
      <c r="AZ1616" s="123"/>
      <c r="BA1616" s="123"/>
      <c r="BB1616" s="123"/>
      <c r="BC1616" s="123"/>
      <c r="BD1616" s="123"/>
      <c r="BE1616" s="123"/>
      <c r="BF1616" s="123"/>
      <c r="BG1616" s="123"/>
      <c r="BH1616" s="123"/>
      <c r="BI1616" s="123"/>
    </row>
    <row r="1617" spans="2:61" s="982" customFormat="1">
      <c r="C1617" s="1015">
        <v>20014</v>
      </c>
      <c r="D1617" s="1467" t="s">
        <v>3977</v>
      </c>
      <c r="E1617" s="1015">
        <v>20</v>
      </c>
      <c r="F1617" s="1015">
        <v>30</v>
      </c>
      <c r="G1617" s="1015">
        <v>43</v>
      </c>
      <c r="H1617" s="1465">
        <f t="shared" si="68"/>
        <v>2.15</v>
      </c>
      <c r="I1617" s="1443">
        <f t="shared" si="72"/>
        <v>1290</v>
      </c>
      <c r="J1617" s="123">
        <f t="shared" si="73"/>
        <v>1290</v>
      </c>
      <c r="K1617" s="123"/>
      <c r="L1617" s="123"/>
      <c r="M1617" s="123"/>
      <c r="N1617" s="123"/>
      <c r="O1617" s="123"/>
      <c r="P1617" s="123"/>
      <c r="Q1617" s="123"/>
      <c r="R1617" s="123"/>
      <c r="S1617" s="123"/>
      <c r="T1617" s="123"/>
      <c r="U1617" s="123"/>
      <c r="V1617" s="123"/>
      <c r="W1617" s="123"/>
      <c r="X1617" s="123"/>
      <c r="Y1617" s="123"/>
      <c r="Z1617" s="123"/>
      <c r="AA1617" s="123"/>
      <c r="AB1617" s="123"/>
      <c r="AC1617" s="123"/>
      <c r="AD1617" s="123"/>
      <c r="AE1617" s="123"/>
      <c r="AF1617" s="123"/>
      <c r="AG1617" s="123"/>
      <c r="AH1617" s="123"/>
      <c r="AI1617" s="123"/>
      <c r="AJ1617" s="123"/>
      <c r="AK1617" s="123"/>
      <c r="AL1617" s="123"/>
      <c r="AM1617" s="123"/>
      <c r="AN1617" s="123"/>
      <c r="AO1617" s="123"/>
      <c r="AP1617" s="123"/>
      <c r="AQ1617" s="123"/>
      <c r="AR1617" s="123"/>
      <c r="AS1617" s="123"/>
      <c r="AT1617" s="123"/>
      <c r="AU1617" s="123"/>
      <c r="AV1617" s="123"/>
      <c r="AW1617" s="123"/>
      <c r="AX1617" s="123"/>
      <c r="AY1617" s="123"/>
      <c r="AZ1617" s="123"/>
      <c r="BA1617" s="123"/>
      <c r="BB1617" s="123"/>
      <c r="BC1617" s="123"/>
      <c r="BD1617" s="123"/>
      <c r="BE1617" s="123"/>
      <c r="BF1617" s="123"/>
      <c r="BG1617" s="123"/>
      <c r="BH1617" s="123"/>
      <c r="BI1617" s="123"/>
    </row>
    <row r="1618" spans="2:61" s="982" customFormat="1">
      <c r="C1618" s="1015">
        <v>9755</v>
      </c>
      <c r="D1618" s="1281" t="s">
        <v>4520</v>
      </c>
      <c r="E1618" s="1015">
        <v>24</v>
      </c>
      <c r="F1618" s="1015">
        <v>50</v>
      </c>
      <c r="G1618" s="1015">
        <v>16.600000000000001</v>
      </c>
      <c r="H1618" s="1465">
        <f t="shared" si="68"/>
        <v>0.69166666666666676</v>
      </c>
      <c r="I1618" s="1443">
        <f t="shared" si="72"/>
        <v>830.00000000000011</v>
      </c>
      <c r="J1618" s="123">
        <f t="shared" si="73"/>
        <v>830.00000000000011</v>
      </c>
      <c r="K1618" s="123"/>
      <c r="L1618" s="123"/>
      <c r="M1618" s="123"/>
      <c r="N1618" s="123"/>
      <c r="O1618" s="123"/>
      <c r="P1618" s="123"/>
      <c r="Q1618" s="123"/>
      <c r="R1618" s="123"/>
      <c r="S1618" s="123"/>
      <c r="T1618" s="123"/>
      <c r="U1618" s="123"/>
      <c r="V1618" s="123"/>
      <c r="W1618" s="123"/>
      <c r="X1618" s="123"/>
      <c r="Y1618" s="123"/>
      <c r="Z1618" s="123"/>
      <c r="AA1618" s="123"/>
      <c r="AB1618" s="123"/>
      <c r="AC1618" s="123"/>
      <c r="AD1618" s="123"/>
      <c r="AE1618" s="123"/>
      <c r="AF1618" s="123"/>
      <c r="AG1618" s="123"/>
      <c r="AH1618" s="123"/>
      <c r="AI1618" s="123"/>
      <c r="AJ1618" s="123"/>
      <c r="AK1618" s="123"/>
      <c r="AL1618" s="123"/>
      <c r="AM1618" s="123"/>
      <c r="AN1618" s="123"/>
      <c r="AO1618" s="123"/>
      <c r="AP1618" s="123"/>
      <c r="AQ1618" s="123"/>
      <c r="AR1618" s="123"/>
      <c r="AS1618" s="123"/>
      <c r="AT1618" s="123"/>
      <c r="AU1618" s="123"/>
      <c r="AV1618" s="123"/>
      <c r="AW1618" s="123"/>
      <c r="AX1618" s="123"/>
      <c r="AY1618" s="123"/>
      <c r="AZ1618" s="123"/>
      <c r="BA1618" s="123"/>
      <c r="BB1618" s="123"/>
      <c r="BC1618" s="123"/>
      <c r="BD1618" s="123"/>
      <c r="BE1618" s="123"/>
      <c r="BF1618" s="123"/>
      <c r="BG1618" s="123"/>
      <c r="BH1618" s="123"/>
      <c r="BI1618" s="123"/>
    </row>
    <row r="1619" spans="2:61" s="982" customFormat="1">
      <c r="C1619" s="1015">
        <v>10396</v>
      </c>
      <c r="D1619" s="1467" t="s">
        <v>1898</v>
      </c>
      <c r="E1619" s="1015">
        <v>12</v>
      </c>
      <c r="F1619" s="1015">
        <v>5</v>
      </c>
      <c r="G1619" s="1015">
        <v>15.5</v>
      </c>
      <c r="H1619" s="1465">
        <f t="shared" si="68"/>
        <v>1.2916666666666667</v>
      </c>
      <c r="I1619" s="1443">
        <f t="shared" si="72"/>
        <v>77.5</v>
      </c>
      <c r="J1619" s="123">
        <f t="shared" si="73"/>
        <v>77.5</v>
      </c>
      <c r="K1619" s="123"/>
      <c r="L1619" s="123"/>
      <c r="M1619" s="123"/>
      <c r="N1619" s="123"/>
      <c r="O1619" s="123"/>
      <c r="P1619" s="123"/>
      <c r="Q1619" s="123"/>
      <c r="R1619" s="123"/>
      <c r="S1619" s="123"/>
      <c r="T1619" s="123"/>
      <c r="U1619" s="123"/>
      <c r="V1619" s="123"/>
      <c r="W1619" s="123"/>
      <c r="X1619" s="123"/>
      <c r="Y1619" s="123"/>
      <c r="Z1619" s="123"/>
      <c r="AA1619" s="123"/>
      <c r="AB1619" s="123"/>
      <c r="AC1619" s="123"/>
      <c r="AD1619" s="123"/>
      <c r="AE1619" s="123"/>
      <c r="AF1619" s="123"/>
      <c r="AG1619" s="123"/>
      <c r="AH1619" s="123"/>
      <c r="AI1619" s="123"/>
      <c r="AJ1619" s="123"/>
      <c r="AK1619" s="123"/>
      <c r="AL1619" s="123"/>
      <c r="AM1619" s="123"/>
      <c r="AN1619" s="123"/>
      <c r="AO1619" s="123"/>
      <c r="AP1619" s="123"/>
      <c r="AQ1619" s="123"/>
      <c r="AR1619" s="123"/>
      <c r="AS1619" s="123"/>
      <c r="AT1619" s="123"/>
      <c r="AU1619" s="123"/>
      <c r="AV1619" s="123"/>
      <c r="AW1619" s="123"/>
      <c r="AX1619" s="123"/>
      <c r="AY1619" s="123"/>
      <c r="AZ1619" s="123"/>
      <c r="BA1619" s="123"/>
      <c r="BB1619" s="123"/>
      <c r="BC1619" s="123"/>
      <c r="BD1619" s="123"/>
      <c r="BE1619" s="123"/>
      <c r="BF1619" s="123"/>
      <c r="BG1619" s="123"/>
      <c r="BH1619" s="123"/>
      <c r="BI1619" s="123"/>
    </row>
    <row r="1620" spans="2:61" hidden="1">
      <c r="B1620" s="123"/>
      <c r="C1620" s="297">
        <v>22278</v>
      </c>
      <c r="D1620" s="1200" t="s">
        <v>4531</v>
      </c>
      <c r="E1620" s="1391">
        <v>30</v>
      </c>
      <c r="F1620" s="1391">
        <v>0</v>
      </c>
      <c r="G1620" s="1391">
        <v>11.3</v>
      </c>
      <c r="H1620" s="900">
        <f t="shared" ref="H1620:H1632" si="74">+G1620/E1620</f>
        <v>0.37666666666666671</v>
      </c>
      <c r="I1620" s="1391">
        <f t="shared" si="72"/>
        <v>0</v>
      </c>
      <c r="J1620" s="123">
        <f t="shared" si="73"/>
        <v>0</v>
      </c>
    </row>
    <row r="1621" spans="2:61" hidden="1">
      <c r="B1621" s="123"/>
      <c r="C1621" s="297">
        <v>22281</v>
      </c>
      <c r="D1621" s="1245" t="s">
        <v>4532</v>
      </c>
      <c r="E1621" s="1391">
        <v>48</v>
      </c>
      <c r="F1621" s="1391">
        <v>0</v>
      </c>
      <c r="G1621" s="1391">
        <v>28.4</v>
      </c>
      <c r="H1621" s="900">
        <f t="shared" si="74"/>
        <v>0.59166666666666667</v>
      </c>
      <c r="I1621" s="1391">
        <f t="shared" si="72"/>
        <v>0</v>
      </c>
      <c r="J1621" s="123">
        <f t="shared" si="73"/>
        <v>0</v>
      </c>
    </row>
    <row r="1622" spans="2:61" hidden="1">
      <c r="B1622" s="123"/>
      <c r="C1622" s="297">
        <v>22279</v>
      </c>
      <c r="D1622" s="1200" t="s">
        <v>4533</v>
      </c>
      <c r="E1622" s="1391">
        <v>24</v>
      </c>
      <c r="F1622" s="1391">
        <v>0</v>
      </c>
      <c r="G1622" s="1391">
        <v>14.7</v>
      </c>
      <c r="H1622" s="900">
        <f t="shared" si="74"/>
        <v>0.61249999999999993</v>
      </c>
      <c r="I1622" s="1391">
        <f t="shared" si="72"/>
        <v>0</v>
      </c>
      <c r="J1622" s="123">
        <f t="shared" si="73"/>
        <v>0</v>
      </c>
    </row>
    <row r="1623" spans="2:61" s="827" customFormat="1" hidden="1">
      <c r="B1623" s="123"/>
      <c r="C1623" s="297">
        <v>20008</v>
      </c>
      <c r="D1623" s="1391" t="s">
        <v>2292</v>
      </c>
      <c r="E1623" s="1391">
        <v>48</v>
      </c>
      <c r="F1623" s="1391">
        <v>0</v>
      </c>
      <c r="G1623" s="1391">
        <v>21.7</v>
      </c>
      <c r="H1623" s="900">
        <f t="shared" si="74"/>
        <v>0.45208333333333334</v>
      </c>
      <c r="I1623" s="1391">
        <f t="shared" si="72"/>
        <v>0</v>
      </c>
      <c r="J1623" s="123">
        <f t="shared" si="73"/>
        <v>0</v>
      </c>
      <c r="K1623" s="123"/>
      <c r="L1623" s="123"/>
      <c r="M1623" s="123"/>
      <c r="N1623" s="123"/>
      <c r="O1623" s="123"/>
      <c r="P1623" s="123"/>
      <c r="Q1623" s="123"/>
      <c r="R1623" s="123"/>
      <c r="S1623" s="123"/>
      <c r="T1623" s="123"/>
      <c r="U1623" s="123"/>
      <c r="V1623" s="123"/>
      <c r="W1623" s="123"/>
      <c r="X1623" s="123"/>
      <c r="Y1623" s="123"/>
      <c r="Z1623" s="123"/>
      <c r="AA1623" s="123"/>
      <c r="AB1623" s="123"/>
      <c r="AC1623" s="123"/>
      <c r="AD1623" s="123"/>
      <c r="AE1623" s="123"/>
      <c r="AF1623" s="123"/>
      <c r="AG1623" s="123"/>
      <c r="AH1623" s="123"/>
      <c r="AI1623" s="123"/>
      <c r="AJ1623" s="123"/>
      <c r="AK1623" s="123"/>
      <c r="AL1623" s="123"/>
      <c r="AM1623" s="123"/>
      <c r="AN1623" s="123"/>
      <c r="AO1623" s="123"/>
      <c r="AP1623" s="123"/>
      <c r="AQ1623" s="123"/>
      <c r="AR1623" s="123"/>
      <c r="AS1623" s="123"/>
      <c r="AT1623" s="123"/>
      <c r="AU1623" s="123"/>
      <c r="AV1623" s="123"/>
      <c r="AW1623" s="123"/>
      <c r="AX1623" s="123"/>
      <c r="AY1623" s="123"/>
      <c r="AZ1623" s="123"/>
      <c r="BA1623" s="123"/>
      <c r="BB1623" s="123"/>
      <c r="BC1623" s="123"/>
      <c r="BD1623" s="123"/>
      <c r="BE1623" s="123"/>
      <c r="BF1623" s="123"/>
      <c r="BG1623" s="123"/>
      <c r="BH1623" s="123"/>
      <c r="BI1623" s="123"/>
    </row>
    <row r="1624" spans="2:61" s="982" customFormat="1">
      <c r="C1624" s="1015">
        <v>20013</v>
      </c>
      <c r="D1624" s="1468" t="s">
        <v>4769</v>
      </c>
      <c r="E1624" s="1015">
        <v>80</v>
      </c>
      <c r="F1624" s="1015">
        <v>7</v>
      </c>
      <c r="G1624" s="1015">
        <v>8.6999999999999993</v>
      </c>
      <c r="H1624" s="1465">
        <f t="shared" si="74"/>
        <v>0.10874999999999999</v>
      </c>
      <c r="I1624" s="1015">
        <f t="shared" si="72"/>
        <v>60.899999999999991</v>
      </c>
      <c r="J1624" s="123">
        <f t="shared" si="73"/>
        <v>60.899999999999991</v>
      </c>
      <c r="K1624" s="123"/>
      <c r="L1624" s="123"/>
      <c r="M1624" s="123"/>
      <c r="N1624" s="123"/>
      <c r="O1624" s="123"/>
      <c r="P1624" s="123"/>
      <c r="Q1624" s="123"/>
      <c r="R1624" s="123"/>
      <c r="S1624" s="123"/>
      <c r="T1624" s="123"/>
      <c r="U1624" s="123"/>
      <c r="V1624" s="123"/>
      <c r="W1624" s="123"/>
      <c r="X1624" s="123"/>
      <c r="Y1624" s="123"/>
      <c r="Z1624" s="123"/>
      <c r="AA1624" s="123"/>
      <c r="AB1624" s="123"/>
      <c r="AC1624" s="123"/>
      <c r="AD1624" s="123"/>
      <c r="AE1624" s="123"/>
      <c r="AF1624" s="123"/>
      <c r="AG1624" s="123"/>
      <c r="AH1624" s="123"/>
      <c r="AI1624" s="123"/>
      <c r="AJ1624" s="123"/>
      <c r="AK1624" s="123"/>
      <c r="AL1624" s="123"/>
      <c r="AM1624" s="123"/>
      <c r="AN1624" s="123"/>
      <c r="AO1624" s="123"/>
      <c r="AP1624" s="123"/>
      <c r="AQ1624" s="123"/>
      <c r="AR1624" s="123"/>
      <c r="AS1624" s="123"/>
      <c r="AT1624" s="123"/>
      <c r="AU1624" s="123"/>
      <c r="AV1624" s="123"/>
      <c r="AW1624" s="123"/>
      <c r="AX1624" s="123"/>
      <c r="AY1624" s="123"/>
      <c r="AZ1624" s="123"/>
      <c r="BA1624" s="123"/>
      <c r="BB1624" s="123"/>
      <c r="BC1624" s="123"/>
      <c r="BD1624" s="123"/>
      <c r="BE1624" s="123"/>
      <c r="BF1624" s="123"/>
      <c r="BG1624" s="123"/>
      <c r="BH1624" s="123"/>
      <c r="BI1624" s="123"/>
    </row>
    <row r="1625" spans="2:61" s="827" customFormat="1" hidden="1">
      <c r="B1625" s="123"/>
      <c r="C1625" s="297"/>
      <c r="D1625" s="347" t="s">
        <v>4770</v>
      </c>
      <c r="E1625" s="1391">
        <v>65</v>
      </c>
      <c r="F1625" s="1391">
        <v>0</v>
      </c>
      <c r="G1625" s="1391">
        <v>36.9</v>
      </c>
      <c r="H1625" s="900">
        <f t="shared" si="74"/>
        <v>0.56769230769230772</v>
      </c>
      <c r="I1625" s="1391">
        <f t="shared" si="72"/>
        <v>0</v>
      </c>
      <c r="J1625" s="123">
        <f t="shared" si="73"/>
        <v>0</v>
      </c>
      <c r="K1625" s="123"/>
      <c r="L1625" s="123"/>
      <c r="M1625" s="123"/>
      <c r="N1625" s="123"/>
      <c r="O1625" s="123"/>
      <c r="P1625" s="123"/>
      <c r="Q1625" s="123"/>
      <c r="R1625" s="123"/>
      <c r="S1625" s="123"/>
      <c r="T1625" s="123"/>
      <c r="U1625" s="123"/>
      <c r="V1625" s="123"/>
      <c r="W1625" s="123"/>
      <c r="X1625" s="123"/>
      <c r="Y1625" s="123"/>
      <c r="Z1625" s="123"/>
      <c r="AA1625" s="123"/>
      <c r="AB1625" s="123"/>
      <c r="AC1625" s="123"/>
      <c r="AD1625" s="123"/>
      <c r="AE1625" s="123"/>
      <c r="AF1625" s="123"/>
      <c r="AG1625" s="123"/>
      <c r="AH1625" s="123"/>
      <c r="AI1625" s="123"/>
      <c r="AJ1625" s="123"/>
      <c r="AK1625" s="123"/>
      <c r="AL1625" s="123"/>
      <c r="AM1625" s="123"/>
      <c r="AN1625" s="123"/>
      <c r="AO1625" s="123"/>
      <c r="AP1625" s="123"/>
      <c r="AQ1625" s="123"/>
      <c r="AR1625" s="123"/>
      <c r="AS1625" s="123"/>
      <c r="AT1625" s="123"/>
      <c r="AU1625" s="123"/>
      <c r="AV1625" s="123"/>
      <c r="AW1625" s="123"/>
      <c r="AX1625" s="123"/>
      <c r="AY1625" s="123"/>
      <c r="AZ1625" s="123"/>
      <c r="BA1625" s="123"/>
      <c r="BB1625" s="123"/>
      <c r="BC1625" s="123"/>
      <c r="BD1625" s="123"/>
      <c r="BE1625" s="123"/>
      <c r="BF1625" s="123"/>
      <c r="BG1625" s="123"/>
      <c r="BH1625" s="123"/>
      <c r="BI1625" s="123"/>
    </row>
    <row r="1626" spans="2:61" s="1469" customFormat="1">
      <c r="C1626" s="1291">
        <v>5424</v>
      </c>
      <c r="D1626" s="1470" t="s">
        <v>4518</v>
      </c>
      <c r="E1626" s="1291">
        <v>1000</v>
      </c>
      <c r="F1626" s="1291">
        <v>20</v>
      </c>
      <c r="G1626" s="1291">
        <v>9.9</v>
      </c>
      <c r="H1626" s="1471">
        <f t="shared" si="74"/>
        <v>9.9000000000000008E-3</v>
      </c>
      <c r="I1626" s="1443">
        <f t="shared" si="72"/>
        <v>198</v>
      </c>
      <c r="J1626" s="123">
        <f t="shared" si="73"/>
        <v>198</v>
      </c>
      <c r="K1626" s="123"/>
      <c r="L1626" s="123"/>
      <c r="M1626" s="123"/>
      <c r="N1626" s="123"/>
      <c r="O1626" s="123"/>
      <c r="P1626" s="123"/>
      <c r="Q1626" s="123"/>
      <c r="R1626" s="123"/>
      <c r="S1626" s="123"/>
      <c r="T1626" s="123"/>
      <c r="U1626" s="123"/>
      <c r="V1626" s="123"/>
      <c r="W1626" s="123"/>
      <c r="X1626" s="123"/>
      <c r="Y1626" s="123"/>
      <c r="Z1626" s="123"/>
      <c r="AA1626" s="123"/>
      <c r="AB1626" s="123"/>
      <c r="AC1626" s="123"/>
      <c r="AD1626" s="123"/>
      <c r="AE1626" s="123"/>
      <c r="AF1626" s="123"/>
      <c r="AG1626" s="123"/>
      <c r="AH1626" s="123"/>
      <c r="AI1626" s="123"/>
      <c r="AJ1626" s="123"/>
      <c r="AK1626" s="123"/>
      <c r="AL1626" s="123"/>
      <c r="AM1626" s="123"/>
      <c r="AN1626" s="123"/>
      <c r="AO1626" s="123"/>
      <c r="AP1626" s="123"/>
      <c r="AQ1626" s="123"/>
      <c r="AR1626" s="123"/>
      <c r="AS1626" s="123"/>
      <c r="AT1626" s="123"/>
      <c r="AU1626" s="123"/>
      <c r="AV1626" s="123"/>
      <c r="AW1626" s="123"/>
      <c r="AX1626" s="123"/>
      <c r="AY1626" s="123"/>
      <c r="AZ1626" s="123"/>
      <c r="BA1626" s="123"/>
      <c r="BB1626" s="123"/>
      <c r="BC1626" s="123"/>
      <c r="BD1626" s="123"/>
      <c r="BE1626" s="123"/>
      <c r="BF1626" s="123"/>
      <c r="BG1626" s="123"/>
      <c r="BH1626" s="123"/>
      <c r="BI1626" s="123"/>
    </row>
    <row r="1627" spans="2:61" s="1469" customFormat="1">
      <c r="C1627" s="1291">
        <v>9579</v>
      </c>
      <c r="D1627" s="1470" t="s">
        <v>899</v>
      </c>
      <c r="E1627" s="1291">
        <v>1000</v>
      </c>
      <c r="F1627" s="1291">
        <v>40</v>
      </c>
      <c r="G1627" s="1291">
        <v>4.3</v>
      </c>
      <c r="H1627" s="1471">
        <f t="shared" si="74"/>
        <v>4.3E-3</v>
      </c>
      <c r="I1627" s="1443">
        <f t="shared" si="72"/>
        <v>172</v>
      </c>
      <c r="J1627" s="123">
        <f t="shared" si="73"/>
        <v>172</v>
      </c>
      <c r="K1627" s="123"/>
      <c r="L1627" s="123"/>
      <c r="M1627" s="123"/>
      <c r="N1627" s="123"/>
      <c r="O1627" s="123"/>
      <c r="P1627" s="123"/>
      <c r="Q1627" s="123"/>
      <c r="R1627" s="123"/>
      <c r="S1627" s="123"/>
      <c r="T1627" s="123"/>
      <c r="U1627" s="123"/>
      <c r="V1627" s="123"/>
      <c r="W1627" s="123"/>
      <c r="X1627" s="123"/>
      <c r="Y1627" s="123"/>
      <c r="Z1627" s="123"/>
      <c r="AA1627" s="123"/>
      <c r="AB1627" s="123"/>
      <c r="AC1627" s="123"/>
      <c r="AD1627" s="123"/>
      <c r="AE1627" s="123"/>
      <c r="AF1627" s="123"/>
      <c r="AG1627" s="123"/>
      <c r="AH1627" s="123"/>
      <c r="AI1627" s="123"/>
      <c r="AJ1627" s="123"/>
      <c r="AK1627" s="123"/>
      <c r="AL1627" s="123"/>
      <c r="AM1627" s="123"/>
      <c r="AN1627" s="123"/>
      <c r="AO1627" s="123"/>
      <c r="AP1627" s="123"/>
      <c r="AQ1627" s="123"/>
      <c r="AR1627" s="123"/>
      <c r="AS1627" s="123"/>
      <c r="AT1627" s="123"/>
      <c r="AU1627" s="123"/>
      <c r="AV1627" s="123"/>
      <c r="AW1627" s="123"/>
      <c r="AX1627" s="123"/>
      <c r="AY1627" s="123"/>
      <c r="AZ1627" s="123"/>
      <c r="BA1627" s="123"/>
      <c r="BB1627" s="123"/>
      <c r="BC1627" s="123"/>
      <c r="BD1627" s="123"/>
      <c r="BE1627" s="123"/>
      <c r="BF1627" s="123"/>
      <c r="BG1627" s="123"/>
      <c r="BH1627" s="123"/>
      <c r="BI1627" s="123"/>
    </row>
    <row r="1628" spans="2:61" s="1469" customFormat="1">
      <c r="C1628" s="1291">
        <v>8162</v>
      </c>
      <c r="D1628" s="1472" t="s">
        <v>4534</v>
      </c>
      <c r="E1628" s="1291">
        <v>1000</v>
      </c>
      <c r="F1628" s="1291">
        <v>10</v>
      </c>
      <c r="G1628" s="1291">
        <v>6.8</v>
      </c>
      <c r="H1628" s="1471">
        <f t="shared" si="74"/>
        <v>6.7999999999999996E-3</v>
      </c>
      <c r="I1628" s="1443">
        <f t="shared" si="72"/>
        <v>68</v>
      </c>
      <c r="J1628" s="123">
        <f t="shared" si="73"/>
        <v>68</v>
      </c>
      <c r="K1628" s="123"/>
      <c r="L1628" s="123"/>
      <c r="M1628" s="123"/>
      <c r="N1628" s="123"/>
      <c r="O1628" s="123"/>
      <c r="P1628" s="123"/>
      <c r="Q1628" s="123"/>
      <c r="R1628" s="123"/>
      <c r="S1628" s="123"/>
      <c r="T1628" s="123"/>
      <c r="U1628" s="123"/>
      <c r="V1628" s="123"/>
      <c r="W1628" s="123"/>
      <c r="X1628" s="123"/>
      <c r="Y1628" s="123"/>
      <c r="Z1628" s="123"/>
      <c r="AA1628" s="123"/>
      <c r="AB1628" s="123"/>
      <c r="AC1628" s="123"/>
      <c r="AD1628" s="123"/>
      <c r="AE1628" s="123"/>
      <c r="AF1628" s="123"/>
      <c r="AG1628" s="123"/>
      <c r="AH1628" s="123"/>
      <c r="AI1628" s="123"/>
      <c r="AJ1628" s="123"/>
      <c r="AK1628" s="123"/>
      <c r="AL1628" s="123"/>
      <c r="AM1628" s="123"/>
      <c r="AN1628" s="123"/>
      <c r="AO1628" s="123"/>
      <c r="AP1628" s="123"/>
      <c r="AQ1628" s="123"/>
      <c r="AR1628" s="123"/>
      <c r="AS1628" s="123"/>
      <c r="AT1628" s="123"/>
      <c r="AU1628" s="123"/>
      <c r="AV1628" s="123"/>
      <c r="AW1628" s="123"/>
      <c r="AX1628" s="123"/>
      <c r="AY1628" s="123"/>
      <c r="AZ1628" s="123"/>
      <c r="BA1628" s="123"/>
      <c r="BB1628" s="123"/>
      <c r="BC1628" s="123"/>
      <c r="BD1628" s="123"/>
      <c r="BE1628" s="123"/>
      <c r="BF1628" s="123"/>
      <c r="BG1628" s="123"/>
      <c r="BH1628" s="123"/>
      <c r="BI1628" s="123"/>
    </row>
    <row r="1629" spans="2:61" s="1469" customFormat="1" ht="30">
      <c r="C1629" s="1291">
        <v>8163</v>
      </c>
      <c r="D1629" s="1472" t="s">
        <v>4536</v>
      </c>
      <c r="E1629" s="1291">
        <v>1000</v>
      </c>
      <c r="F1629" s="1291">
        <v>30</v>
      </c>
      <c r="G1629" s="1291">
        <v>18</v>
      </c>
      <c r="H1629" s="1471">
        <f t="shared" si="74"/>
        <v>1.7999999999999999E-2</v>
      </c>
      <c r="I1629" s="1443">
        <f t="shared" si="72"/>
        <v>540</v>
      </c>
      <c r="J1629" s="123">
        <f t="shared" si="73"/>
        <v>540</v>
      </c>
      <c r="K1629" s="123"/>
      <c r="L1629" s="123"/>
      <c r="M1629" s="123"/>
      <c r="N1629" s="123"/>
      <c r="O1629" s="123"/>
      <c r="P1629" s="123"/>
      <c r="Q1629" s="123"/>
      <c r="R1629" s="123"/>
      <c r="S1629" s="123"/>
      <c r="T1629" s="123"/>
      <c r="U1629" s="123"/>
      <c r="V1629" s="123"/>
      <c r="W1629" s="123"/>
      <c r="X1629" s="123"/>
      <c r="Y1629" s="123"/>
      <c r="Z1629" s="123"/>
      <c r="AA1629" s="123"/>
      <c r="AB1629" s="123"/>
      <c r="AC1629" s="123"/>
      <c r="AD1629" s="123"/>
      <c r="AE1629" s="123"/>
      <c r="AF1629" s="123"/>
      <c r="AG1629" s="123"/>
      <c r="AH1629" s="123"/>
      <c r="AI1629" s="123"/>
      <c r="AJ1629" s="123"/>
      <c r="AK1629" s="123"/>
      <c r="AL1629" s="123"/>
      <c r="AM1629" s="123"/>
      <c r="AN1629" s="123"/>
      <c r="AO1629" s="123"/>
      <c r="AP1629" s="123"/>
      <c r="AQ1629" s="123"/>
      <c r="AR1629" s="123"/>
      <c r="AS1629" s="123"/>
      <c r="AT1629" s="123"/>
      <c r="AU1629" s="123"/>
      <c r="AV1629" s="123"/>
      <c r="AW1629" s="123"/>
      <c r="AX1629" s="123"/>
      <c r="AY1629" s="123"/>
      <c r="AZ1629" s="123"/>
      <c r="BA1629" s="123"/>
      <c r="BB1629" s="123"/>
      <c r="BC1629" s="123"/>
      <c r="BD1629" s="123"/>
      <c r="BE1629" s="123"/>
      <c r="BF1629" s="123"/>
      <c r="BG1629" s="123"/>
      <c r="BH1629" s="123"/>
      <c r="BI1629" s="123"/>
    </row>
    <row r="1630" spans="2:61" s="1469" customFormat="1">
      <c r="C1630" s="1291">
        <v>7960</v>
      </c>
      <c r="D1630" s="1470" t="s">
        <v>4538</v>
      </c>
      <c r="E1630" s="1291">
        <v>1000</v>
      </c>
      <c r="F1630" s="1291">
        <v>30</v>
      </c>
      <c r="G1630" s="1291">
        <v>11</v>
      </c>
      <c r="H1630" s="1471">
        <f t="shared" si="74"/>
        <v>1.0999999999999999E-2</v>
      </c>
      <c r="I1630" s="1291">
        <f t="shared" si="72"/>
        <v>330</v>
      </c>
      <c r="J1630" s="123">
        <f t="shared" si="73"/>
        <v>330</v>
      </c>
      <c r="K1630" s="123"/>
      <c r="L1630" s="123"/>
      <c r="M1630" s="123"/>
      <c r="N1630" s="123"/>
      <c r="O1630" s="123"/>
      <c r="P1630" s="123"/>
      <c r="Q1630" s="123"/>
      <c r="R1630" s="123"/>
      <c r="S1630" s="123"/>
      <c r="T1630" s="123"/>
      <c r="U1630" s="123"/>
      <c r="V1630" s="123"/>
      <c r="W1630" s="123"/>
      <c r="X1630" s="123"/>
      <c r="Y1630" s="123"/>
      <c r="Z1630" s="123"/>
      <c r="AA1630" s="123"/>
      <c r="AB1630" s="123"/>
      <c r="AC1630" s="123"/>
      <c r="AD1630" s="123"/>
      <c r="AE1630" s="123"/>
      <c r="AF1630" s="123"/>
      <c r="AG1630" s="123"/>
      <c r="AH1630" s="123"/>
      <c r="AI1630" s="123"/>
      <c r="AJ1630" s="123"/>
      <c r="AK1630" s="123"/>
      <c r="AL1630" s="123"/>
      <c r="AM1630" s="123"/>
      <c r="AN1630" s="123"/>
      <c r="AO1630" s="123"/>
      <c r="AP1630" s="123"/>
      <c r="AQ1630" s="123"/>
      <c r="AR1630" s="123"/>
      <c r="AS1630" s="123"/>
      <c r="AT1630" s="123"/>
      <c r="AU1630" s="123"/>
      <c r="AV1630" s="123"/>
      <c r="AW1630" s="123"/>
      <c r="AX1630" s="123"/>
      <c r="AY1630" s="123"/>
      <c r="AZ1630" s="123"/>
      <c r="BA1630" s="123"/>
      <c r="BB1630" s="123"/>
      <c r="BC1630" s="123"/>
      <c r="BD1630" s="123"/>
      <c r="BE1630" s="123"/>
      <c r="BF1630" s="123"/>
      <c r="BG1630" s="123"/>
      <c r="BH1630" s="123"/>
      <c r="BI1630" s="123"/>
    </row>
    <row r="1631" spans="2:61" s="982" customFormat="1">
      <c r="C1631" s="1015">
        <v>22397</v>
      </c>
      <c r="D1631" s="1281" t="s">
        <v>4771</v>
      </c>
      <c r="E1631" s="1015">
        <v>48</v>
      </c>
      <c r="F1631" s="1015">
        <v>1</v>
      </c>
      <c r="G1631" s="1015">
        <v>28.2</v>
      </c>
      <c r="H1631" s="1465">
        <f t="shared" si="74"/>
        <v>0.58750000000000002</v>
      </c>
      <c r="I1631" s="1015">
        <f t="shared" si="72"/>
        <v>28.2</v>
      </c>
      <c r="J1631" s="123">
        <f t="shared" si="73"/>
        <v>28.2</v>
      </c>
      <c r="K1631" s="123"/>
      <c r="L1631" s="123"/>
      <c r="M1631" s="123"/>
      <c r="N1631" s="123"/>
      <c r="O1631" s="123"/>
      <c r="P1631" s="123"/>
      <c r="Q1631" s="123"/>
      <c r="R1631" s="123"/>
      <c r="S1631" s="123"/>
      <c r="T1631" s="123"/>
      <c r="U1631" s="123"/>
      <c r="V1631" s="123"/>
      <c r="W1631" s="123"/>
      <c r="X1631" s="123"/>
      <c r="Y1631" s="123"/>
      <c r="Z1631" s="123"/>
      <c r="AA1631" s="123"/>
      <c r="AB1631" s="123"/>
      <c r="AC1631" s="123"/>
      <c r="AD1631" s="123"/>
      <c r="AE1631" s="123"/>
      <c r="AF1631" s="123"/>
      <c r="AG1631" s="123"/>
      <c r="AH1631" s="123"/>
      <c r="AI1631" s="123"/>
      <c r="AJ1631" s="123"/>
      <c r="AK1631" s="123"/>
      <c r="AL1631" s="123"/>
      <c r="AM1631" s="123"/>
      <c r="AN1631" s="123"/>
      <c r="AO1631" s="123"/>
      <c r="AP1631" s="123"/>
      <c r="AQ1631" s="123"/>
      <c r="AR1631" s="123"/>
      <c r="AS1631" s="123"/>
      <c r="AT1631" s="123"/>
      <c r="AU1631" s="123"/>
      <c r="AV1631" s="123"/>
      <c r="AW1631" s="123"/>
      <c r="AX1631" s="123"/>
      <c r="AY1631" s="123"/>
      <c r="AZ1631" s="123"/>
      <c r="BA1631" s="123"/>
      <c r="BB1631" s="123"/>
      <c r="BC1631" s="123"/>
      <c r="BD1631" s="123"/>
      <c r="BE1631" s="123"/>
      <c r="BF1631" s="123"/>
      <c r="BG1631" s="123"/>
      <c r="BH1631" s="123"/>
      <c r="BI1631" s="123"/>
    </row>
    <row r="1632" spans="2:61" hidden="1">
      <c r="B1632" s="123"/>
      <c r="C1632" s="297">
        <v>22280</v>
      </c>
      <c r="D1632" s="1200" t="s">
        <v>4547</v>
      </c>
      <c r="E1632" s="1391">
        <v>216</v>
      </c>
      <c r="F1632" s="1391">
        <v>0</v>
      </c>
      <c r="G1632" s="1391">
        <v>29.1</v>
      </c>
      <c r="H1632" s="900">
        <f t="shared" si="74"/>
        <v>0.13472222222222222</v>
      </c>
      <c r="I1632" s="1391">
        <f>+F1632*G1632</f>
        <v>0</v>
      </c>
      <c r="J1632" s="123">
        <f>+G1632*F1632</f>
        <v>0</v>
      </c>
    </row>
    <row r="1633" spans="2:61" ht="15.75" thickBot="1">
      <c r="B1633" s="827"/>
      <c r="C1633" s="1389"/>
      <c r="E1633" s="325"/>
      <c r="F1633" s="325"/>
      <c r="G1633" s="2333" t="s">
        <v>65</v>
      </c>
      <c r="H1633" s="2333"/>
      <c r="I1633" s="580" t="s">
        <v>65</v>
      </c>
      <c r="J1633" s="123">
        <f>SUM(J1577:J1632)</f>
        <v>11140.3</v>
      </c>
    </row>
    <row r="1634" spans="2:61" ht="15.75" thickBot="1">
      <c r="B1634" s="827"/>
      <c r="C1634" s="1389"/>
      <c r="E1634" s="1389"/>
      <c r="F1634" s="325"/>
      <c r="G1634" s="325"/>
      <c r="H1634" s="903"/>
      <c r="I1634" s="1551">
        <f>SUM(I1577:I1632)</f>
        <v>11140.3</v>
      </c>
    </row>
    <row r="1635" spans="2:61" s="827" customFormat="1" ht="15.75" thickBot="1">
      <c r="C1635" s="1435"/>
      <c r="D1635" s="314"/>
      <c r="E1635" s="1435"/>
      <c r="F1635" s="325"/>
      <c r="G1635" s="325"/>
      <c r="H1635" s="1553" t="s">
        <v>1392</v>
      </c>
      <c r="I1635" s="1554" t="e">
        <f>+#REF!</f>
        <v>#REF!</v>
      </c>
      <c r="J1635" s="123"/>
      <c r="K1635" s="123"/>
      <c r="L1635" s="123"/>
      <c r="M1635" s="123"/>
      <c r="N1635" s="123"/>
      <c r="O1635" s="123"/>
      <c r="P1635" s="123"/>
      <c r="Q1635" s="123"/>
      <c r="R1635" s="123"/>
      <c r="S1635" s="123"/>
      <c r="T1635" s="123"/>
      <c r="U1635" s="123"/>
      <c r="V1635" s="123"/>
      <c r="W1635" s="123"/>
      <c r="X1635" s="123"/>
      <c r="Y1635" s="123"/>
      <c r="Z1635" s="123"/>
      <c r="AA1635" s="123"/>
      <c r="AB1635" s="123"/>
      <c r="AC1635" s="123"/>
      <c r="AD1635" s="123"/>
      <c r="AE1635" s="123"/>
      <c r="AF1635" s="123"/>
      <c r="AG1635" s="123"/>
      <c r="AH1635" s="123"/>
      <c r="AI1635" s="123"/>
      <c r="AJ1635" s="123"/>
      <c r="AK1635" s="123"/>
      <c r="AL1635" s="123"/>
      <c r="AM1635" s="123"/>
      <c r="AN1635" s="123"/>
      <c r="AO1635" s="123"/>
      <c r="AP1635" s="123"/>
      <c r="AQ1635" s="123"/>
      <c r="AR1635" s="123"/>
      <c r="AS1635" s="123"/>
      <c r="AT1635" s="123"/>
      <c r="AU1635" s="123"/>
      <c r="AV1635" s="123"/>
      <c r="AW1635" s="123"/>
      <c r="AX1635" s="123"/>
      <c r="AY1635" s="123"/>
      <c r="AZ1635" s="123"/>
      <c r="BA1635" s="123"/>
      <c r="BB1635" s="123"/>
      <c r="BC1635" s="123"/>
      <c r="BD1635" s="123"/>
      <c r="BE1635" s="123"/>
      <c r="BF1635" s="123"/>
      <c r="BG1635" s="123"/>
      <c r="BH1635" s="123"/>
      <c r="BI1635" s="123"/>
    </row>
    <row r="1636" spans="2:61" s="827" customFormat="1" ht="15.75" thickBot="1">
      <c r="C1636" s="1435"/>
      <c r="D1636" s="314"/>
      <c r="E1636" s="1435"/>
      <c r="F1636" s="325"/>
      <c r="G1636" s="2331" t="s">
        <v>74</v>
      </c>
      <c r="H1636" s="2332"/>
      <c r="I1636" s="1552" t="e">
        <f>+I1634-I1635</f>
        <v>#REF!</v>
      </c>
      <c r="J1636" s="123"/>
      <c r="K1636" s="123"/>
      <c r="L1636" s="123"/>
      <c r="M1636" s="123"/>
      <c r="N1636" s="123"/>
      <c r="O1636" s="123"/>
      <c r="P1636" s="123"/>
      <c r="Q1636" s="123"/>
      <c r="R1636" s="123"/>
      <c r="S1636" s="123"/>
      <c r="T1636" s="123"/>
      <c r="U1636" s="123"/>
      <c r="V1636" s="123"/>
      <c r="W1636" s="123"/>
      <c r="X1636" s="123"/>
      <c r="Y1636" s="123"/>
      <c r="Z1636" s="123"/>
      <c r="AA1636" s="123"/>
      <c r="AB1636" s="123"/>
      <c r="AC1636" s="123"/>
      <c r="AD1636" s="123"/>
      <c r="AE1636" s="123"/>
      <c r="AF1636" s="123"/>
      <c r="AG1636" s="123"/>
      <c r="AH1636" s="123"/>
      <c r="AI1636" s="123"/>
      <c r="AJ1636" s="123"/>
      <c r="AK1636" s="123"/>
      <c r="AL1636" s="123"/>
      <c r="AM1636" s="123"/>
      <c r="AN1636" s="123"/>
      <c r="AO1636" s="123"/>
      <c r="AP1636" s="123"/>
      <c r="AQ1636" s="123"/>
      <c r="AR1636" s="123"/>
      <c r="AS1636" s="123"/>
      <c r="AT1636" s="123"/>
      <c r="AU1636" s="123"/>
      <c r="AV1636" s="123"/>
      <c r="AW1636" s="123"/>
      <c r="AX1636" s="123"/>
      <c r="AY1636" s="123"/>
      <c r="AZ1636" s="123"/>
      <c r="BA1636" s="123"/>
      <c r="BB1636" s="123"/>
      <c r="BC1636" s="123"/>
      <c r="BD1636" s="123"/>
      <c r="BE1636" s="123"/>
      <c r="BF1636" s="123"/>
      <c r="BG1636" s="123"/>
      <c r="BH1636" s="123"/>
      <c r="BI1636" s="123"/>
    </row>
    <row r="1637" spans="2:61">
      <c r="B1637" s="827"/>
      <c r="C1637" s="1389"/>
      <c r="E1637" s="1389"/>
      <c r="F1637" s="325"/>
      <c r="G1637" s="325"/>
      <c r="H1637" s="903"/>
      <c r="I1637" s="303"/>
    </row>
    <row r="1638" spans="2:61" ht="45" hidden="1">
      <c r="B1638" s="827"/>
      <c r="C1638" s="1389"/>
      <c r="D1638" s="101" t="s">
        <v>107</v>
      </c>
      <c r="E1638" s="310" t="s">
        <v>3978</v>
      </c>
      <c r="F1638" s="1439" t="s">
        <v>68</v>
      </c>
      <c r="G1638" s="310" t="s">
        <v>903</v>
      </c>
      <c r="H1638" s="900" t="s">
        <v>559</v>
      </c>
      <c r="I1638" s="1434" t="s">
        <v>1392</v>
      </c>
    </row>
    <row r="1639" spans="2:61" hidden="1">
      <c r="B1639" s="827"/>
      <c r="C1639" s="1015">
        <v>15403</v>
      </c>
      <c r="D1639" s="1281" t="s">
        <v>3356</v>
      </c>
      <c r="E1639" s="1015">
        <v>26</v>
      </c>
      <c r="F1639" s="1015">
        <v>0</v>
      </c>
      <c r="G1639" s="1015">
        <v>15.1</v>
      </c>
      <c r="H1639" s="1473">
        <f>+G1639/E1639</f>
        <v>0.5807692307692307</v>
      </c>
      <c r="I1639" s="1434">
        <v>4</v>
      </c>
    </row>
    <row r="1640" spans="2:61" hidden="1">
      <c r="B1640" s="827"/>
      <c r="C1640" s="1015">
        <v>14403</v>
      </c>
      <c r="D1640" s="1281" t="s">
        <v>4751</v>
      </c>
      <c r="E1640" s="1015">
        <v>24</v>
      </c>
      <c r="F1640" s="1015">
        <v>0</v>
      </c>
      <c r="G1640" s="1015">
        <v>25.2</v>
      </c>
      <c r="H1640" s="1473">
        <f>+G1640/E1640</f>
        <v>1.05</v>
      </c>
      <c r="I1640" s="1434">
        <v>1</v>
      </c>
    </row>
    <row r="1641" spans="2:61" hidden="1">
      <c r="B1641" s="827"/>
      <c r="C1641" s="1015">
        <v>22397</v>
      </c>
      <c r="D1641" s="1281" t="s">
        <v>4771</v>
      </c>
      <c r="E1641" s="1015">
        <v>48</v>
      </c>
      <c r="F1641" s="1015">
        <v>0</v>
      </c>
      <c r="G1641" s="1015">
        <v>28.2</v>
      </c>
      <c r="H1641" s="1473">
        <f>+G1641/E1641</f>
        <v>0.58750000000000002</v>
      </c>
      <c r="I1641" s="438">
        <v>1</v>
      </c>
    </row>
    <row r="1642" spans="2:61" ht="15.75" hidden="1" thickBot="1">
      <c r="B1642" s="827"/>
      <c r="C1642" s="1389"/>
      <c r="E1642" s="1389"/>
      <c r="F1642" s="1389"/>
      <c r="G1642" s="1389"/>
      <c r="I1642" s="1474" t="s">
        <v>560</v>
      </c>
    </row>
    <row r="1643" spans="2:61" hidden="1">
      <c r="B1643" s="827"/>
      <c r="C1643" s="1389"/>
      <c r="E1643" s="1389"/>
      <c r="F1643" s="1389"/>
      <c r="G1643" s="1389"/>
    </row>
    <row r="1644" spans="2:61">
      <c r="B1644" s="827"/>
      <c r="C1644" s="1389"/>
      <c r="H1644" s="900" t="s">
        <v>559</v>
      </c>
      <c r="I1644" s="1445" t="s">
        <v>1392</v>
      </c>
    </row>
    <row r="1645" spans="2:61">
      <c r="B1645" s="827"/>
      <c r="D1645" s="2328" t="s">
        <v>3356</v>
      </c>
      <c r="E1645" s="2329"/>
      <c r="F1645" s="2329"/>
      <c r="G1645" s="2330"/>
      <c r="H1645" s="1473">
        <v>0.57999999999999996</v>
      </c>
      <c r="I1645" s="1445">
        <v>4</v>
      </c>
    </row>
    <row r="1646" spans="2:61">
      <c r="B1646" s="827"/>
      <c r="C1646" s="1389"/>
      <c r="D1646" s="2328" t="s">
        <v>4751</v>
      </c>
      <c r="E1646" s="2329"/>
      <c r="F1646" s="2329"/>
      <c r="G1646" s="2330"/>
      <c r="H1646" s="1473">
        <v>1.05</v>
      </c>
      <c r="I1646" s="1445">
        <v>1</v>
      </c>
    </row>
    <row r="1647" spans="2:61" ht="15.75" thickBot="1">
      <c r="B1647" s="827"/>
      <c r="C1647" s="1446"/>
      <c r="D1647" s="1555" t="s">
        <v>4771</v>
      </c>
      <c r="E1647" s="1556"/>
      <c r="F1647" s="1556"/>
      <c r="G1647" s="1557"/>
      <c r="H1647" s="1473">
        <v>0.59</v>
      </c>
      <c r="I1647" s="438">
        <v>1</v>
      </c>
    </row>
    <row r="1648" spans="2:61" ht="15.75" thickBot="1">
      <c r="B1648" s="827"/>
      <c r="C1648" s="1389"/>
      <c r="E1648" s="1389"/>
      <c r="F1648" s="1389"/>
      <c r="G1648" s="1389"/>
      <c r="I1648" s="1474" t="s">
        <v>560</v>
      </c>
    </row>
    <row r="1649" spans="2:61">
      <c r="B1649" s="827"/>
      <c r="C1649" s="1389"/>
      <c r="E1649" s="1389"/>
      <c r="F1649" s="1389"/>
      <c r="G1649" s="1389"/>
    </row>
    <row r="1650" spans="2:61">
      <c r="B1650" s="827"/>
      <c r="C1650" s="1389"/>
      <c r="E1650" s="1389"/>
      <c r="F1650" s="1389"/>
      <c r="G1650" s="1389"/>
    </row>
    <row r="1651" spans="2:61">
      <c r="B1651" s="827"/>
      <c r="C1651" s="1389"/>
      <c r="E1651" s="1389"/>
      <c r="F1651" s="1389"/>
      <c r="G1651" s="1389"/>
    </row>
    <row r="1652" spans="2:61">
      <c r="B1652" s="827"/>
      <c r="C1652" s="1389"/>
      <c r="E1652" s="1389"/>
      <c r="F1652" s="1389"/>
      <c r="G1652" s="1389"/>
    </row>
    <row r="1653" spans="2:61">
      <c r="B1653" s="827"/>
      <c r="C1653" s="1389"/>
      <c r="E1653" s="1389"/>
      <c r="F1653" s="1389"/>
      <c r="G1653" s="1389"/>
    </row>
    <row r="1654" spans="2:61" ht="66.75" customHeight="1">
      <c r="B1654" s="827"/>
      <c r="C1654" s="1448" t="s">
        <v>3318</v>
      </c>
      <c r="D1654" s="1243" t="s">
        <v>5251</v>
      </c>
      <c r="E1654" s="310" t="s">
        <v>3978</v>
      </c>
      <c r="F1654" s="1606" t="s">
        <v>68</v>
      </c>
      <c r="G1654" s="310" t="s">
        <v>903</v>
      </c>
      <c r="H1654" s="900" t="s">
        <v>559</v>
      </c>
      <c r="I1654" s="310" t="s">
        <v>560</v>
      </c>
      <c r="J1654" s="311"/>
    </row>
    <row r="1655" spans="2:61">
      <c r="B1655" s="827"/>
      <c r="C1655" s="21">
        <v>13121</v>
      </c>
      <c r="D1655" s="21" t="s">
        <v>3359</v>
      </c>
      <c r="E1655" s="1603">
        <v>15</v>
      </c>
      <c r="F1655" s="1603">
        <v>0</v>
      </c>
      <c r="G1655" s="1603">
        <v>41</v>
      </c>
      <c r="H1655" s="978">
        <f t="shared" ref="H1655:H1660" si="75">+G1655/E1655</f>
        <v>2.7333333333333334</v>
      </c>
      <c r="I1655" s="1603">
        <f>+F1655*G1655</f>
        <v>0</v>
      </c>
      <c r="J1655" s="311"/>
    </row>
    <row r="1656" spans="2:61" s="1594" customFormat="1">
      <c r="C1656" s="21"/>
      <c r="D1656" s="21" t="s">
        <v>5227</v>
      </c>
      <c r="E1656" s="1603">
        <v>20</v>
      </c>
      <c r="F1656" s="1603">
        <v>0</v>
      </c>
      <c r="G1656" s="1603">
        <v>51.5</v>
      </c>
      <c r="H1656" s="978">
        <f t="shared" si="75"/>
        <v>2.5750000000000002</v>
      </c>
      <c r="I1656" s="1603">
        <f t="shared" ref="I1656:I1719" si="76">+F1656*G1656</f>
        <v>0</v>
      </c>
      <c r="J1656" s="311"/>
      <c r="K1656" s="123"/>
      <c r="L1656" s="123"/>
      <c r="M1656" s="123"/>
      <c r="N1656" s="123"/>
      <c r="O1656" s="123"/>
      <c r="P1656" s="123"/>
      <c r="Q1656" s="123"/>
      <c r="R1656" s="123"/>
      <c r="S1656" s="123"/>
      <c r="T1656" s="123"/>
      <c r="U1656" s="123"/>
      <c r="V1656" s="123"/>
      <c r="W1656" s="123"/>
      <c r="X1656" s="123"/>
      <c r="Y1656" s="123"/>
      <c r="Z1656" s="123"/>
      <c r="AA1656" s="123"/>
      <c r="AB1656" s="123"/>
      <c r="AC1656" s="123"/>
      <c r="AD1656" s="123"/>
      <c r="AE1656" s="123"/>
      <c r="AF1656" s="123"/>
      <c r="AG1656" s="123"/>
      <c r="AH1656" s="123"/>
      <c r="AI1656" s="123"/>
      <c r="AJ1656" s="123"/>
      <c r="AK1656" s="123"/>
      <c r="AL1656" s="123"/>
      <c r="AM1656" s="123"/>
      <c r="AN1656" s="123"/>
      <c r="AO1656" s="123"/>
      <c r="AP1656" s="123"/>
      <c r="AQ1656" s="123"/>
      <c r="AR1656" s="123"/>
      <c r="AS1656" s="123"/>
      <c r="AT1656" s="123"/>
      <c r="AU1656" s="123"/>
      <c r="AV1656" s="123"/>
      <c r="AW1656" s="123"/>
      <c r="AX1656" s="123"/>
      <c r="AY1656" s="123"/>
      <c r="AZ1656" s="123"/>
      <c r="BA1656" s="123"/>
      <c r="BB1656" s="123"/>
      <c r="BC1656" s="123"/>
      <c r="BD1656" s="123"/>
      <c r="BE1656" s="123"/>
      <c r="BF1656" s="123"/>
      <c r="BG1656" s="123"/>
      <c r="BH1656" s="123"/>
      <c r="BI1656" s="123"/>
    </row>
    <row r="1657" spans="2:61">
      <c r="B1657" s="827"/>
      <c r="C1657" s="21">
        <v>22389</v>
      </c>
      <c r="D1657" s="21" t="s">
        <v>5198</v>
      </c>
      <c r="E1657" s="1603"/>
      <c r="F1657" s="1603"/>
      <c r="G1657" s="1603"/>
      <c r="H1657" s="978" t="e">
        <f t="shared" si="75"/>
        <v>#DIV/0!</v>
      </c>
      <c r="I1657" s="1603">
        <f t="shared" si="76"/>
        <v>0</v>
      </c>
      <c r="J1657" s="311"/>
    </row>
    <row r="1658" spans="2:61">
      <c r="B1658" s="827"/>
      <c r="C1658" s="21">
        <v>9734</v>
      </c>
      <c r="D1658" s="21" t="s">
        <v>2794</v>
      </c>
      <c r="E1658" s="1603"/>
      <c r="F1658" s="1603"/>
      <c r="G1658" s="1603"/>
      <c r="H1658" s="978" t="e">
        <f t="shared" si="75"/>
        <v>#DIV/0!</v>
      </c>
      <c r="I1658" s="1603">
        <f t="shared" si="76"/>
        <v>0</v>
      </c>
      <c r="J1658" s="311"/>
    </row>
    <row r="1659" spans="2:61">
      <c r="B1659" s="827"/>
      <c r="C1659" s="1116">
        <v>15807</v>
      </c>
      <c r="D1659" s="1116" t="s">
        <v>2795</v>
      </c>
      <c r="E1659" s="1603">
        <v>20</v>
      </c>
      <c r="F1659" s="1603">
        <v>30</v>
      </c>
      <c r="G1659" s="1603">
        <v>54.4</v>
      </c>
      <c r="H1659" s="978">
        <f t="shared" si="75"/>
        <v>2.7199999999999998</v>
      </c>
      <c r="I1659" s="1603">
        <f t="shared" si="76"/>
        <v>1632</v>
      </c>
      <c r="J1659" s="311" t="s">
        <v>554</v>
      </c>
    </row>
    <row r="1660" spans="2:61">
      <c r="B1660" s="827"/>
      <c r="C1660" s="21">
        <v>10069</v>
      </c>
      <c r="D1660" s="21" t="s">
        <v>3358</v>
      </c>
      <c r="E1660" s="1603"/>
      <c r="F1660" s="1603"/>
      <c r="G1660" s="1603"/>
      <c r="H1660" s="978" t="e">
        <f t="shared" si="75"/>
        <v>#DIV/0!</v>
      </c>
      <c r="I1660" s="1603">
        <f t="shared" si="76"/>
        <v>0</v>
      </c>
      <c r="J1660" s="311"/>
    </row>
    <row r="1661" spans="2:61">
      <c r="B1661" s="827"/>
      <c r="C1661" s="21">
        <v>10068</v>
      </c>
      <c r="D1661" s="21" t="s">
        <v>2394</v>
      </c>
      <c r="E1661" s="1603"/>
      <c r="F1661" s="1603"/>
      <c r="G1661" s="1603"/>
      <c r="H1661" s="978" t="e">
        <f t="shared" ref="H1661:H1721" si="77">+G1661/E1661</f>
        <v>#DIV/0!</v>
      </c>
      <c r="I1661" s="1603">
        <f t="shared" si="76"/>
        <v>0</v>
      </c>
      <c r="J1661" s="311"/>
    </row>
    <row r="1662" spans="2:61">
      <c r="B1662" s="827"/>
      <c r="C1662" s="21">
        <v>21236</v>
      </c>
      <c r="D1662" s="21" t="s">
        <v>3618</v>
      </c>
      <c r="E1662" s="1603"/>
      <c r="F1662" s="1603"/>
      <c r="G1662" s="1603"/>
      <c r="H1662" s="978" t="e">
        <f t="shared" si="77"/>
        <v>#DIV/0!</v>
      </c>
      <c r="I1662" s="1603">
        <f t="shared" si="76"/>
        <v>0</v>
      </c>
      <c r="J1662" s="311"/>
    </row>
    <row r="1663" spans="2:61">
      <c r="B1663" s="827"/>
      <c r="C1663" s="21">
        <v>5426</v>
      </c>
      <c r="D1663" s="21" t="s">
        <v>4517</v>
      </c>
      <c r="E1663" s="1603"/>
      <c r="F1663" s="1603"/>
      <c r="G1663" s="1603"/>
      <c r="H1663" s="978" t="e">
        <f t="shared" si="77"/>
        <v>#DIV/0!</v>
      </c>
      <c r="I1663" s="1603">
        <f t="shared" si="76"/>
        <v>0</v>
      </c>
      <c r="J1663" s="311"/>
    </row>
    <row r="1664" spans="2:61">
      <c r="B1664" s="827"/>
      <c r="C1664" s="21">
        <v>10415</v>
      </c>
      <c r="D1664" s="21" t="s">
        <v>5199</v>
      </c>
      <c r="E1664" s="1603"/>
      <c r="F1664" s="1603"/>
      <c r="G1664" s="1603"/>
      <c r="H1664" s="978" t="e">
        <f t="shared" si="77"/>
        <v>#DIV/0!</v>
      </c>
      <c r="I1664" s="1603">
        <f t="shared" si="76"/>
        <v>0</v>
      </c>
      <c r="J1664" s="311"/>
    </row>
    <row r="1665" spans="2:10">
      <c r="B1665" s="827"/>
      <c r="C1665" s="21">
        <v>8162</v>
      </c>
      <c r="D1665" s="21" t="s">
        <v>897</v>
      </c>
      <c r="E1665" s="1603"/>
      <c r="F1665" s="1603"/>
      <c r="G1665" s="1603"/>
      <c r="H1665" s="978" t="e">
        <f t="shared" si="77"/>
        <v>#DIV/0!</v>
      </c>
      <c r="I1665" s="1603">
        <f t="shared" si="76"/>
        <v>0</v>
      </c>
      <c r="J1665" s="311"/>
    </row>
    <row r="1666" spans="2:10">
      <c r="B1666" s="827"/>
      <c r="C1666" s="21">
        <v>17888</v>
      </c>
      <c r="D1666" s="21" t="s">
        <v>898</v>
      </c>
      <c r="E1666" s="1603"/>
      <c r="F1666" s="1603"/>
      <c r="G1666" s="1603"/>
      <c r="H1666" s="978" t="e">
        <f t="shared" si="77"/>
        <v>#DIV/0!</v>
      </c>
      <c r="I1666" s="1603">
        <f t="shared" si="76"/>
        <v>0</v>
      </c>
      <c r="J1666" s="311"/>
    </row>
    <row r="1667" spans="2:10">
      <c r="B1667" s="827"/>
      <c r="C1667" s="21">
        <v>5424</v>
      </c>
      <c r="D1667" s="1116" t="s">
        <v>4518</v>
      </c>
      <c r="E1667" s="1603">
        <v>1000</v>
      </c>
      <c r="F1667" s="1603">
        <v>0</v>
      </c>
      <c r="G1667" s="1603">
        <v>9.9</v>
      </c>
      <c r="H1667" s="978">
        <f t="shared" si="77"/>
        <v>9.9000000000000008E-3</v>
      </c>
      <c r="I1667" s="1603">
        <f t="shared" si="76"/>
        <v>0</v>
      </c>
      <c r="J1667" s="311"/>
    </row>
    <row r="1668" spans="2:10">
      <c r="B1668" s="827"/>
      <c r="C1668" s="21">
        <v>9579</v>
      </c>
      <c r="D1668" s="1116" t="s">
        <v>899</v>
      </c>
      <c r="E1668" s="1603">
        <v>1000</v>
      </c>
      <c r="F1668" s="1603">
        <v>40</v>
      </c>
      <c r="G1668" s="1603">
        <v>4.3</v>
      </c>
      <c r="H1668" s="263">
        <f t="shared" si="77"/>
        <v>4.3E-3</v>
      </c>
      <c r="I1668" s="1603">
        <f t="shared" si="76"/>
        <v>172</v>
      </c>
      <c r="J1668" s="311" t="s">
        <v>242</v>
      </c>
    </row>
    <row r="1669" spans="2:10">
      <c r="B1669" s="827"/>
      <c r="C1669" s="21">
        <v>7960</v>
      </c>
      <c r="D1669" s="21" t="s">
        <v>900</v>
      </c>
      <c r="E1669" s="1603"/>
      <c r="F1669" s="1603"/>
      <c r="G1669" s="1603"/>
      <c r="H1669" s="978" t="e">
        <f t="shared" si="77"/>
        <v>#DIV/0!</v>
      </c>
      <c r="I1669" s="1603">
        <f t="shared" si="76"/>
        <v>0</v>
      </c>
      <c r="J1669" s="311"/>
    </row>
    <row r="1670" spans="2:10">
      <c r="B1670" s="827"/>
      <c r="C1670" s="21">
        <v>8163</v>
      </c>
      <c r="D1670" s="21" t="s">
        <v>5200</v>
      </c>
      <c r="E1670" s="1603"/>
      <c r="F1670" s="1603"/>
      <c r="G1670" s="1603"/>
      <c r="H1670" s="978" t="e">
        <f t="shared" si="77"/>
        <v>#DIV/0!</v>
      </c>
      <c r="I1670" s="1603">
        <f t="shared" si="76"/>
        <v>0</v>
      </c>
      <c r="J1670" s="311"/>
    </row>
    <row r="1671" spans="2:10">
      <c r="B1671" s="827"/>
      <c r="C1671" s="21">
        <v>22396</v>
      </c>
      <c r="D1671" s="21" t="s">
        <v>5201</v>
      </c>
      <c r="E1671" s="1603"/>
      <c r="F1671" s="1603"/>
      <c r="G1671" s="1603"/>
      <c r="H1671" s="978" t="e">
        <f t="shared" si="77"/>
        <v>#DIV/0!</v>
      </c>
      <c r="I1671" s="1603">
        <f t="shared" si="76"/>
        <v>0</v>
      </c>
      <c r="J1671" s="311"/>
    </row>
    <row r="1672" spans="2:10">
      <c r="B1672" s="827"/>
      <c r="C1672" s="21">
        <v>6650</v>
      </c>
      <c r="D1672" s="21" t="s">
        <v>3958</v>
      </c>
      <c r="E1672" s="1603"/>
      <c r="F1672" s="1603"/>
      <c r="G1672" s="1603"/>
      <c r="H1672" s="978" t="e">
        <f t="shared" si="77"/>
        <v>#DIV/0!</v>
      </c>
      <c r="I1672" s="1603">
        <f t="shared" si="76"/>
        <v>0</v>
      </c>
      <c r="J1672" s="311"/>
    </row>
    <row r="1673" spans="2:10">
      <c r="B1673" s="827"/>
      <c r="C1673" s="21">
        <v>13716</v>
      </c>
      <c r="D1673" s="21" t="s">
        <v>2796</v>
      </c>
      <c r="E1673" s="1603"/>
      <c r="F1673" s="1603"/>
      <c r="G1673" s="1603"/>
      <c r="H1673" s="978" t="e">
        <f t="shared" si="77"/>
        <v>#DIV/0!</v>
      </c>
      <c r="I1673" s="1603">
        <f t="shared" si="76"/>
        <v>0</v>
      </c>
      <c r="J1673" s="311"/>
    </row>
    <row r="1674" spans="2:10">
      <c r="B1674" s="827"/>
      <c r="C1674" s="21">
        <v>21497</v>
      </c>
      <c r="D1674" s="21" t="s">
        <v>3960</v>
      </c>
      <c r="E1674" s="1603"/>
      <c r="F1674" s="1603"/>
      <c r="G1674" s="1603"/>
      <c r="H1674" s="978" t="e">
        <f t="shared" si="77"/>
        <v>#DIV/0!</v>
      </c>
      <c r="I1674" s="1603">
        <f t="shared" si="76"/>
        <v>0</v>
      </c>
      <c r="J1674" s="311"/>
    </row>
    <row r="1675" spans="2:10">
      <c r="B1675" s="827"/>
      <c r="C1675" s="21">
        <v>1134</v>
      </c>
      <c r="D1675" s="21" t="s">
        <v>3959</v>
      </c>
      <c r="E1675" s="1603"/>
      <c r="F1675" s="1603"/>
      <c r="G1675" s="1603"/>
      <c r="H1675" s="978" t="e">
        <f t="shared" si="77"/>
        <v>#DIV/0!</v>
      </c>
      <c r="I1675" s="1603">
        <f t="shared" si="76"/>
        <v>0</v>
      </c>
      <c r="J1675" s="311"/>
    </row>
    <row r="1676" spans="2:10">
      <c r="B1676" s="827"/>
      <c r="C1676" s="21">
        <v>10427</v>
      </c>
      <c r="D1676" s="21" t="s">
        <v>5202</v>
      </c>
      <c r="E1676" s="1603"/>
      <c r="F1676" s="1603"/>
      <c r="G1676" s="1603"/>
      <c r="H1676" s="978" t="e">
        <f t="shared" si="77"/>
        <v>#DIV/0!</v>
      </c>
      <c r="I1676" s="1603">
        <f t="shared" si="76"/>
        <v>0</v>
      </c>
      <c r="J1676" s="311"/>
    </row>
    <row r="1677" spans="2:10">
      <c r="B1677" s="827"/>
      <c r="C1677" s="21">
        <v>22397</v>
      </c>
      <c r="D1677" s="21" t="s">
        <v>5203</v>
      </c>
      <c r="E1677" s="1603"/>
      <c r="F1677" s="1603"/>
      <c r="G1677" s="1603"/>
      <c r="H1677" s="978" t="e">
        <f t="shared" si="77"/>
        <v>#DIV/0!</v>
      </c>
      <c r="I1677" s="1603">
        <f t="shared" si="76"/>
        <v>0</v>
      </c>
      <c r="J1677" s="311"/>
    </row>
    <row r="1678" spans="2:10">
      <c r="B1678" s="827"/>
      <c r="C1678" s="21">
        <v>22276</v>
      </c>
      <c r="D1678" s="21" t="s">
        <v>5204</v>
      </c>
      <c r="E1678" s="1603"/>
      <c r="F1678" s="1603"/>
      <c r="G1678" s="1603"/>
      <c r="H1678" s="978" t="e">
        <f t="shared" si="77"/>
        <v>#DIV/0!</v>
      </c>
      <c r="I1678" s="1603">
        <f t="shared" si="76"/>
        <v>0</v>
      </c>
      <c r="J1678" s="311"/>
    </row>
    <row r="1679" spans="2:10">
      <c r="B1679" s="827"/>
      <c r="C1679" s="21">
        <v>22281</v>
      </c>
      <c r="D1679" s="21" t="s">
        <v>5205</v>
      </c>
      <c r="E1679" s="1603"/>
      <c r="F1679" s="1603"/>
      <c r="G1679" s="1603"/>
      <c r="H1679" s="978" t="e">
        <f t="shared" si="77"/>
        <v>#DIV/0!</v>
      </c>
      <c r="I1679" s="1603">
        <f t="shared" si="76"/>
        <v>0</v>
      </c>
      <c r="J1679" s="311"/>
    </row>
    <row r="1680" spans="2:10">
      <c r="B1680" s="827"/>
      <c r="C1680" s="21">
        <v>8017</v>
      </c>
      <c r="D1680" s="21" t="s">
        <v>2283</v>
      </c>
      <c r="E1680" s="1603"/>
      <c r="F1680" s="1603"/>
      <c r="G1680" s="1603"/>
      <c r="H1680" s="978" t="e">
        <f t="shared" si="77"/>
        <v>#DIV/0!</v>
      </c>
      <c r="I1680" s="1603">
        <f t="shared" si="76"/>
        <v>0</v>
      </c>
      <c r="J1680" s="311"/>
    </row>
    <row r="1681" spans="2:10">
      <c r="B1681" s="827"/>
      <c r="C1681" s="21">
        <v>13577</v>
      </c>
      <c r="D1681" s="21" t="s">
        <v>5206</v>
      </c>
      <c r="E1681" s="1603"/>
      <c r="F1681" s="1603"/>
      <c r="G1681" s="1603"/>
      <c r="H1681" s="978" t="e">
        <f t="shared" si="77"/>
        <v>#DIV/0!</v>
      </c>
      <c r="I1681" s="1603">
        <f t="shared" si="76"/>
        <v>0</v>
      </c>
      <c r="J1681" s="311"/>
    </row>
    <row r="1682" spans="2:10">
      <c r="B1682" s="827"/>
      <c r="C1682" s="21">
        <v>21030</v>
      </c>
      <c r="D1682" s="21" t="s">
        <v>3447</v>
      </c>
      <c r="E1682" s="1603"/>
      <c r="F1682" s="1603"/>
      <c r="G1682" s="1603"/>
      <c r="H1682" s="978" t="e">
        <f t="shared" si="77"/>
        <v>#DIV/0!</v>
      </c>
      <c r="I1682" s="1603">
        <f t="shared" si="76"/>
        <v>0</v>
      </c>
      <c r="J1682" s="311"/>
    </row>
    <row r="1683" spans="2:10">
      <c r="B1683" s="827"/>
      <c r="C1683" s="21">
        <v>21029</v>
      </c>
      <c r="D1683" s="21" t="s">
        <v>3449</v>
      </c>
      <c r="E1683" s="1603"/>
      <c r="F1683" s="1603"/>
      <c r="G1683" s="1603"/>
      <c r="H1683" s="978" t="e">
        <f t="shared" si="77"/>
        <v>#DIV/0!</v>
      </c>
      <c r="I1683" s="1603">
        <f t="shared" si="76"/>
        <v>0</v>
      </c>
      <c r="J1683" s="311"/>
    </row>
    <row r="1684" spans="2:10">
      <c r="B1684" s="827"/>
      <c r="C1684" s="21">
        <v>9500</v>
      </c>
      <c r="D1684" s="21" t="s">
        <v>2800</v>
      </c>
      <c r="E1684" s="1603"/>
      <c r="F1684" s="1603"/>
      <c r="G1684" s="1603"/>
      <c r="H1684" s="978" t="e">
        <f t="shared" si="77"/>
        <v>#DIV/0!</v>
      </c>
      <c r="I1684" s="1603">
        <f t="shared" si="76"/>
        <v>0</v>
      </c>
      <c r="J1684" s="311"/>
    </row>
    <row r="1685" spans="2:10">
      <c r="B1685" s="827"/>
      <c r="C1685" s="21">
        <v>21868</v>
      </c>
      <c r="D1685" s="21" t="s">
        <v>4519</v>
      </c>
      <c r="E1685" s="1603"/>
      <c r="F1685" s="1603"/>
      <c r="G1685" s="1603"/>
      <c r="H1685" s="978" t="e">
        <f t="shared" si="77"/>
        <v>#DIV/0!</v>
      </c>
      <c r="I1685" s="1603">
        <f t="shared" si="76"/>
        <v>0</v>
      </c>
      <c r="J1685" s="311"/>
    </row>
    <row r="1686" spans="2:10">
      <c r="B1686" s="827"/>
      <c r="C1686" s="21">
        <v>6901</v>
      </c>
      <c r="D1686" s="21" t="s">
        <v>1374</v>
      </c>
      <c r="E1686" s="1603"/>
      <c r="F1686" s="1603"/>
      <c r="G1686" s="1603"/>
      <c r="H1686" s="978" t="e">
        <f t="shared" si="77"/>
        <v>#DIV/0!</v>
      </c>
      <c r="I1686" s="1603">
        <f t="shared" si="76"/>
        <v>0</v>
      </c>
      <c r="J1686" s="311"/>
    </row>
    <row r="1687" spans="2:10">
      <c r="B1687" s="827"/>
      <c r="C1687" s="21">
        <v>1691</v>
      </c>
      <c r="D1687" s="21" t="s">
        <v>5207</v>
      </c>
      <c r="E1687" s="1603"/>
      <c r="F1687" s="1603"/>
      <c r="G1687" s="1603"/>
      <c r="H1687" s="978" t="e">
        <f t="shared" si="77"/>
        <v>#DIV/0!</v>
      </c>
      <c r="I1687" s="1603">
        <f t="shared" si="76"/>
        <v>0</v>
      </c>
      <c r="J1687" s="311"/>
    </row>
    <row r="1688" spans="2:10">
      <c r="B1688" s="827"/>
      <c r="C1688" s="21">
        <v>106</v>
      </c>
      <c r="D1688" s="21" t="s">
        <v>3976</v>
      </c>
      <c r="E1688" s="1603"/>
      <c r="F1688" s="1603"/>
      <c r="G1688" s="1603"/>
      <c r="H1688" s="978" t="e">
        <f t="shared" si="77"/>
        <v>#DIV/0!</v>
      </c>
      <c r="I1688" s="1603">
        <f t="shared" si="76"/>
        <v>0</v>
      </c>
      <c r="J1688" s="311"/>
    </row>
    <row r="1689" spans="2:10">
      <c r="B1689" s="827"/>
      <c r="C1689" s="21">
        <v>15403</v>
      </c>
      <c r="D1689" s="1116" t="s">
        <v>3356</v>
      </c>
      <c r="E1689" s="1603">
        <v>26</v>
      </c>
      <c r="F1689" s="1603">
        <v>0</v>
      </c>
      <c r="G1689" s="1603">
        <v>15.1</v>
      </c>
      <c r="H1689" s="978">
        <f t="shared" si="77"/>
        <v>0.5807692307692307</v>
      </c>
      <c r="I1689" s="1603">
        <f t="shared" si="76"/>
        <v>0</v>
      </c>
      <c r="J1689" s="311" t="s">
        <v>242</v>
      </c>
    </row>
    <row r="1690" spans="2:10">
      <c r="B1690" s="827"/>
      <c r="C1690" s="21">
        <v>21032</v>
      </c>
      <c r="D1690" s="21" t="s">
        <v>3450</v>
      </c>
      <c r="E1690" s="1603"/>
      <c r="F1690" s="1603"/>
      <c r="G1690" s="1603"/>
      <c r="H1690" s="978" t="e">
        <f t="shared" si="77"/>
        <v>#DIV/0!</v>
      </c>
      <c r="I1690" s="1603">
        <f t="shared" si="76"/>
        <v>0</v>
      </c>
      <c r="J1690" s="311"/>
    </row>
    <row r="1691" spans="2:10">
      <c r="B1691" s="827"/>
      <c r="C1691" s="21">
        <v>9923</v>
      </c>
      <c r="D1691" s="21" t="s">
        <v>1890</v>
      </c>
      <c r="E1691" s="1603"/>
      <c r="F1691" s="1603"/>
      <c r="G1691" s="1603"/>
      <c r="H1691" s="978" t="e">
        <f t="shared" si="77"/>
        <v>#DIV/0!</v>
      </c>
      <c r="I1691" s="1603">
        <f t="shared" si="76"/>
        <v>0</v>
      </c>
      <c r="J1691" s="311"/>
    </row>
    <row r="1692" spans="2:10">
      <c r="B1692" s="827"/>
      <c r="C1692" s="21">
        <v>21226</v>
      </c>
      <c r="D1692" s="21" t="s">
        <v>3619</v>
      </c>
      <c r="E1692" s="1603"/>
      <c r="F1692" s="1603"/>
      <c r="G1692" s="1603"/>
      <c r="H1692" s="978" t="e">
        <f t="shared" si="77"/>
        <v>#DIV/0!</v>
      </c>
      <c r="I1692" s="1603">
        <f t="shared" si="76"/>
        <v>0</v>
      </c>
      <c r="J1692" s="311"/>
    </row>
    <row r="1693" spans="2:10">
      <c r="B1693" s="827"/>
      <c r="C1693" s="21">
        <v>21227</v>
      </c>
      <c r="D1693" s="21" t="s">
        <v>3483</v>
      </c>
      <c r="E1693" s="1603"/>
      <c r="F1693" s="1603"/>
      <c r="G1693" s="1603"/>
      <c r="H1693" s="978" t="e">
        <f t="shared" si="77"/>
        <v>#DIV/0!</v>
      </c>
      <c r="I1693" s="1603">
        <f t="shared" si="76"/>
        <v>0</v>
      </c>
      <c r="J1693" s="311"/>
    </row>
    <row r="1694" spans="2:10">
      <c r="B1694" s="827"/>
      <c r="C1694" s="21">
        <v>21228</v>
      </c>
      <c r="D1694" s="21" t="s">
        <v>3620</v>
      </c>
      <c r="E1694" s="1603"/>
      <c r="F1694" s="1603"/>
      <c r="G1694" s="1603"/>
      <c r="H1694" s="978" t="e">
        <f t="shared" si="77"/>
        <v>#DIV/0!</v>
      </c>
      <c r="I1694" s="1603">
        <f t="shared" si="76"/>
        <v>0</v>
      </c>
      <c r="J1694" s="311"/>
    </row>
    <row r="1695" spans="2:10">
      <c r="B1695" s="827"/>
      <c r="C1695" s="21">
        <v>21229</v>
      </c>
      <c r="D1695" s="21" t="s">
        <v>3484</v>
      </c>
      <c r="E1695" s="1603"/>
      <c r="F1695" s="1603"/>
      <c r="G1695" s="1603"/>
      <c r="H1695" s="978" t="e">
        <f t="shared" si="77"/>
        <v>#DIV/0!</v>
      </c>
      <c r="I1695" s="1603">
        <f t="shared" si="76"/>
        <v>0</v>
      </c>
      <c r="J1695" s="311"/>
    </row>
    <row r="1696" spans="2:10">
      <c r="B1696" s="827"/>
      <c r="C1696" s="21">
        <v>14478</v>
      </c>
      <c r="D1696" s="21" t="s">
        <v>5208</v>
      </c>
      <c r="E1696" s="1603">
        <v>50</v>
      </c>
      <c r="F1696" s="1603"/>
      <c r="G1696" s="1603">
        <v>52</v>
      </c>
      <c r="H1696" s="978">
        <f t="shared" si="77"/>
        <v>1.04</v>
      </c>
      <c r="I1696" s="1603">
        <f t="shared" si="76"/>
        <v>0</v>
      </c>
      <c r="J1696" s="311"/>
    </row>
    <row r="1697" spans="2:10">
      <c r="B1697" s="827"/>
      <c r="C1697" s="21">
        <v>21027</v>
      </c>
      <c r="D1697" s="21" t="s">
        <v>3451</v>
      </c>
      <c r="E1697" s="1603">
        <v>0</v>
      </c>
      <c r="F1697" s="1603"/>
      <c r="G1697" s="1603">
        <v>0</v>
      </c>
      <c r="H1697" s="978" t="e">
        <f t="shared" si="77"/>
        <v>#DIV/0!</v>
      </c>
      <c r="I1697" s="1603">
        <f t="shared" si="76"/>
        <v>0</v>
      </c>
      <c r="J1697" s="311"/>
    </row>
    <row r="1698" spans="2:10">
      <c r="B1698" s="827"/>
      <c r="C1698" s="21">
        <v>10228</v>
      </c>
      <c r="D1698" s="21" t="s">
        <v>1894</v>
      </c>
      <c r="E1698" s="1603">
        <v>25</v>
      </c>
      <c r="F1698" s="1603"/>
      <c r="G1698" s="1603">
        <v>52</v>
      </c>
      <c r="H1698" s="978">
        <f t="shared" si="77"/>
        <v>2.08</v>
      </c>
      <c r="I1698" s="1603">
        <f t="shared" si="76"/>
        <v>0</v>
      </c>
      <c r="J1698" s="311"/>
    </row>
    <row r="1699" spans="2:10">
      <c r="B1699" s="827"/>
      <c r="C1699" s="21">
        <v>20014</v>
      </c>
      <c r="D1699" s="21" t="s">
        <v>3977</v>
      </c>
      <c r="E1699" s="1603"/>
      <c r="F1699" s="1603"/>
      <c r="G1699" s="1603"/>
      <c r="H1699" s="978" t="e">
        <f t="shared" si="77"/>
        <v>#DIV/0!</v>
      </c>
      <c r="I1699" s="1603">
        <f t="shared" si="76"/>
        <v>0</v>
      </c>
      <c r="J1699" s="311"/>
    </row>
    <row r="1700" spans="2:10">
      <c r="B1700" s="827"/>
      <c r="C1700" s="21">
        <v>9755</v>
      </c>
      <c r="D1700" s="21" t="s">
        <v>4520</v>
      </c>
      <c r="E1700" s="1603">
        <v>24</v>
      </c>
      <c r="F1700" s="1603"/>
      <c r="G1700" s="1603">
        <v>16.600000000000001</v>
      </c>
      <c r="H1700" s="978">
        <f t="shared" si="77"/>
        <v>0.69166666666666676</v>
      </c>
      <c r="I1700" s="1603">
        <f t="shared" si="76"/>
        <v>0</v>
      </c>
      <c r="J1700" s="311"/>
    </row>
    <row r="1701" spans="2:10">
      <c r="B1701" s="827"/>
      <c r="C1701" s="21">
        <v>10396</v>
      </c>
      <c r="D1701" s="21" t="s">
        <v>1898</v>
      </c>
      <c r="E1701" s="1603"/>
      <c r="F1701" s="1603"/>
      <c r="G1701" s="1603"/>
      <c r="H1701" s="978" t="e">
        <f t="shared" si="77"/>
        <v>#DIV/0!</v>
      </c>
      <c r="I1701" s="1603">
        <f t="shared" si="76"/>
        <v>0</v>
      </c>
      <c r="J1701" s="311"/>
    </row>
    <row r="1702" spans="2:10">
      <c r="B1702" s="827"/>
      <c r="C1702" s="21">
        <v>22383</v>
      </c>
      <c r="D1702" s="21" t="s">
        <v>5209</v>
      </c>
      <c r="E1702" s="1603"/>
      <c r="F1702" s="1603"/>
      <c r="G1702" s="1603"/>
      <c r="H1702" s="978" t="e">
        <f t="shared" si="77"/>
        <v>#DIV/0!</v>
      </c>
      <c r="I1702" s="1603">
        <f t="shared" si="76"/>
        <v>0</v>
      </c>
      <c r="J1702" s="311"/>
    </row>
    <row r="1703" spans="2:10">
      <c r="B1703" s="827"/>
      <c r="C1703" s="21">
        <v>21869</v>
      </c>
      <c r="D1703" s="21" t="s">
        <v>5210</v>
      </c>
      <c r="E1703" s="1603"/>
      <c r="F1703" s="1603"/>
      <c r="G1703" s="1603"/>
      <c r="H1703" s="978" t="e">
        <f t="shared" si="77"/>
        <v>#DIV/0!</v>
      </c>
      <c r="I1703" s="1603">
        <f t="shared" si="76"/>
        <v>0</v>
      </c>
      <c r="J1703" s="311"/>
    </row>
    <row r="1704" spans="2:10">
      <c r="B1704" s="827"/>
      <c r="C1704" s="21">
        <v>13330</v>
      </c>
      <c r="D1704" s="21" t="s">
        <v>5211</v>
      </c>
      <c r="E1704" s="1603"/>
      <c r="F1704" s="1603"/>
      <c r="G1704" s="1603"/>
      <c r="H1704" s="978" t="e">
        <f t="shared" si="77"/>
        <v>#DIV/0!</v>
      </c>
      <c r="I1704" s="1603">
        <f t="shared" si="76"/>
        <v>0</v>
      </c>
      <c r="J1704" s="311"/>
    </row>
    <row r="1705" spans="2:10">
      <c r="B1705" s="827"/>
      <c r="C1705" s="21">
        <v>13578</v>
      </c>
      <c r="D1705" s="21" t="s">
        <v>5212</v>
      </c>
      <c r="E1705" s="1603"/>
      <c r="F1705" s="1603"/>
      <c r="G1705" s="1603"/>
      <c r="H1705" s="978" t="e">
        <f t="shared" si="77"/>
        <v>#DIV/0!</v>
      </c>
      <c r="I1705" s="1603">
        <f t="shared" si="76"/>
        <v>0</v>
      </c>
      <c r="J1705" s="311"/>
    </row>
    <row r="1706" spans="2:10">
      <c r="B1706" s="827"/>
      <c r="C1706" s="21">
        <v>9771</v>
      </c>
      <c r="D1706" s="21" t="s">
        <v>5213</v>
      </c>
      <c r="E1706" s="1603"/>
      <c r="F1706" s="1603"/>
      <c r="G1706" s="1603"/>
      <c r="H1706" s="978" t="e">
        <f t="shared" si="77"/>
        <v>#DIV/0!</v>
      </c>
      <c r="I1706" s="1603">
        <f t="shared" si="76"/>
        <v>0</v>
      </c>
      <c r="J1706" s="311"/>
    </row>
    <row r="1707" spans="2:10">
      <c r="B1707" s="827"/>
      <c r="C1707" s="21">
        <v>1145</v>
      </c>
      <c r="D1707" s="21" t="s">
        <v>3961</v>
      </c>
      <c r="E1707" s="1603"/>
      <c r="F1707" s="1603"/>
      <c r="G1707" s="1603"/>
      <c r="H1707" s="978" t="e">
        <f t="shared" si="77"/>
        <v>#DIV/0!</v>
      </c>
      <c r="I1707" s="1603">
        <f t="shared" si="76"/>
        <v>0</v>
      </c>
      <c r="J1707" s="311"/>
    </row>
    <row r="1708" spans="2:10">
      <c r="B1708" s="827"/>
      <c r="C1708" s="21">
        <v>14842</v>
      </c>
      <c r="D1708" s="21" t="s">
        <v>5214</v>
      </c>
      <c r="E1708" s="1603"/>
      <c r="F1708" s="1603"/>
      <c r="G1708" s="1603"/>
      <c r="H1708" s="978" t="e">
        <f t="shared" si="77"/>
        <v>#DIV/0!</v>
      </c>
      <c r="I1708" s="1603">
        <f t="shared" si="76"/>
        <v>0</v>
      </c>
      <c r="J1708" s="311"/>
    </row>
    <row r="1709" spans="2:10">
      <c r="B1709" s="827"/>
      <c r="C1709" s="21">
        <v>21256</v>
      </c>
      <c r="D1709" s="21" t="s">
        <v>3621</v>
      </c>
      <c r="E1709" s="1603"/>
      <c r="F1709" s="1603"/>
      <c r="G1709" s="1603"/>
      <c r="H1709" s="978" t="e">
        <f t="shared" si="77"/>
        <v>#DIV/0!</v>
      </c>
      <c r="I1709" s="1603">
        <f t="shared" si="76"/>
        <v>0</v>
      </c>
      <c r="J1709" s="311"/>
    </row>
    <row r="1710" spans="2:10">
      <c r="B1710" s="827"/>
      <c r="C1710" s="21">
        <v>21255</v>
      </c>
      <c r="D1710" s="21" t="s">
        <v>4523</v>
      </c>
      <c r="E1710" s="1603"/>
      <c r="F1710" s="1603"/>
      <c r="G1710" s="1603"/>
      <c r="H1710" s="978" t="e">
        <f t="shared" si="77"/>
        <v>#DIV/0!</v>
      </c>
      <c r="I1710" s="1603">
        <f t="shared" si="76"/>
        <v>0</v>
      </c>
      <c r="J1710" s="311"/>
    </row>
    <row r="1711" spans="2:10">
      <c r="B1711" s="827"/>
      <c r="C1711" s="21">
        <v>9362</v>
      </c>
      <c r="D1711" s="21" t="s">
        <v>4524</v>
      </c>
      <c r="E1711" s="1603"/>
      <c r="F1711" s="1603"/>
      <c r="G1711" s="1603"/>
      <c r="H1711" s="978" t="e">
        <f t="shared" si="77"/>
        <v>#DIV/0!</v>
      </c>
      <c r="I1711" s="1603">
        <f t="shared" si="76"/>
        <v>0</v>
      </c>
      <c r="J1711" s="311"/>
    </row>
    <row r="1712" spans="2:10">
      <c r="B1712" s="827"/>
      <c r="C1712" s="21">
        <v>18135</v>
      </c>
      <c r="D1712" s="21" t="s">
        <v>2802</v>
      </c>
      <c r="E1712" s="1603"/>
      <c r="F1712" s="1603"/>
      <c r="G1712" s="1603"/>
      <c r="H1712" s="978" t="e">
        <f t="shared" si="77"/>
        <v>#DIV/0!</v>
      </c>
      <c r="I1712" s="1603">
        <f t="shared" si="76"/>
        <v>0</v>
      </c>
      <c r="J1712" s="311"/>
    </row>
    <row r="1713" spans="2:61">
      <c r="B1713" s="827"/>
      <c r="C1713" s="21">
        <v>20803</v>
      </c>
      <c r="D1713" s="21" t="s">
        <v>3173</v>
      </c>
      <c r="E1713" s="1603"/>
      <c r="F1713" s="1603"/>
      <c r="G1713" s="1603"/>
      <c r="H1713" s="978" t="e">
        <f t="shared" si="77"/>
        <v>#DIV/0!</v>
      </c>
      <c r="I1713" s="1603">
        <f t="shared" si="76"/>
        <v>0</v>
      </c>
      <c r="J1713" s="311"/>
    </row>
    <row r="1714" spans="2:61">
      <c r="B1714" s="827"/>
      <c r="C1714" s="21">
        <v>20007</v>
      </c>
      <c r="D1714" s="21" t="s">
        <v>2293</v>
      </c>
      <c r="E1714" s="1603"/>
      <c r="F1714" s="1603"/>
      <c r="G1714" s="1603"/>
      <c r="H1714" s="978" t="e">
        <f t="shared" si="77"/>
        <v>#DIV/0!</v>
      </c>
      <c r="I1714" s="1603">
        <f t="shared" si="76"/>
        <v>0</v>
      </c>
      <c r="J1714" s="311"/>
    </row>
    <row r="1715" spans="2:61">
      <c r="B1715" s="827"/>
      <c r="C1715" s="21">
        <v>22278</v>
      </c>
      <c r="D1715" s="21" t="s">
        <v>5215</v>
      </c>
      <c r="E1715" s="1603"/>
      <c r="F1715" s="1603"/>
      <c r="G1715" s="1603"/>
      <c r="H1715" s="978" t="e">
        <f t="shared" si="77"/>
        <v>#DIV/0!</v>
      </c>
      <c r="I1715" s="1603">
        <f t="shared" si="76"/>
        <v>0</v>
      </c>
      <c r="J1715" s="311"/>
    </row>
    <row r="1716" spans="2:61">
      <c r="B1716" s="827"/>
      <c r="C1716" s="21">
        <v>22277</v>
      </c>
      <c r="D1716" s="21" t="s">
        <v>5216</v>
      </c>
      <c r="E1716" s="1603"/>
      <c r="F1716" s="1603"/>
      <c r="G1716" s="1603"/>
      <c r="H1716" s="978" t="e">
        <f t="shared" si="77"/>
        <v>#DIV/0!</v>
      </c>
      <c r="I1716" s="1603">
        <f t="shared" si="76"/>
        <v>0</v>
      </c>
      <c r="J1716" s="311"/>
    </row>
    <row r="1717" spans="2:61">
      <c r="B1717" s="827"/>
      <c r="C1717" s="21">
        <v>22385</v>
      </c>
      <c r="D1717" s="21" t="s">
        <v>5217</v>
      </c>
      <c r="E1717" s="1603"/>
      <c r="F1717" s="1603"/>
      <c r="G1717" s="1603"/>
      <c r="H1717" s="978" t="e">
        <f t="shared" si="77"/>
        <v>#DIV/0!</v>
      </c>
      <c r="I1717" s="1603">
        <f t="shared" si="76"/>
        <v>0</v>
      </c>
      <c r="J1717" s="311"/>
    </row>
    <row r="1718" spans="2:61">
      <c r="B1718" s="827"/>
      <c r="C1718" s="21">
        <v>20011</v>
      </c>
      <c r="D1718" s="21" t="s">
        <v>2294</v>
      </c>
      <c r="E1718" s="1603"/>
      <c r="F1718" s="1603"/>
      <c r="G1718" s="1603"/>
      <c r="H1718" s="978" t="e">
        <f t="shared" si="77"/>
        <v>#DIV/0!</v>
      </c>
      <c r="I1718" s="1603">
        <f t="shared" si="76"/>
        <v>0</v>
      </c>
      <c r="J1718" s="311"/>
    </row>
    <row r="1719" spans="2:61">
      <c r="B1719" s="827"/>
      <c r="C1719" s="21">
        <v>22279</v>
      </c>
      <c r="D1719" s="21" t="s">
        <v>5218</v>
      </c>
      <c r="E1719" s="1603"/>
      <c r="F1719" s="1603"/>
      <c r="G1719" s="1603"/>
      <c r="H1719" s="978" t="e">
        <f t="shared" si="77"/>
        <v>#DIV/0!</v>
      </c>
      <c r="I1719" s="1603">
        <f t="shared" si="76"/>
        <v>0</v>
      </c>
      <c r="J1719" s="311"/>
    </row>
    <row r="1720" spans="2:61" s="1594" customFormat="1">
      <c r="C1720" s="21"/>
      <c r="D1720" s="1116" t="s">
        <v>5228</v>
      </c>
      <c r="E1720" s="1603">
        <v>24</v>
      </c>
      <c r="F1720" s="1603">
        <v>20</v>
      </c>
      <c r="G1720" s="1603">
        <v>12.9</v>
      </c>
      <c r="H1720" s="978">
        <f t="shared" si="77"/>
        <v>0.53749999999999998</v>
      </c>
      <c r="I1720" s="1603">
        <f t="shared" ref="I1720:I1753" si="78">+F1720*G1720</f>
        <v>258</v>
      </c>
      <c r="J1720" s="311" t="s">
        <v>554</v>
      </c>
      <c r="K1720" s="123"/>
      <c r="L1720" s="123"/>
      <c r="M1720" s="123"/>
      <c r="N1720" s="123"/>
      <c r="O1720" s="123"/>
      <c r="P1720" s="123"/>
      <c r="Q1720" s="123"/>
      <c r="R1720" s="123"/>
      <c r="S1720" s="123"/>
      <c r="T1720" s="123"/>
      <c r="U1720" s="123"/>
      <c r="V1720" s="123"/>
      <c r="W1720" s="123"/>
      <c r="X1720" s="123"/>
      <c r="Y1720" s="123"/>
      <c r="Z1720" s="123"/>
      <c r="AA1720" s="123"/>
      <c r="AB1720" s="123"/>
      <c r="AC1720" s="123"/>
      <c r="AD1720" s="123"/>
      <c r="AE1720" s="123"/>
      <c r="AF1720" s="123"/>
      <c r="AG1720" s="123"/>
      <c r="AH1720" s="123"/>
      <c r="AI1720" s="123"/>
      <c r="AJ1720" s="123"/>
      <c r="AK1720" s="123"/>
      <c r="AL1720" s="123"/>
      <c r="AM1720" s="123"/>
      <c r="AN1720" s="123"/>
      <c r="AO1720" s="123"/>
      <c r="AP1720" s="123"/>
      <c r="AQ1720" s="123"/>
      <c r="AR1720" s="123"/>
      <c r="AS1720" s="123"/>
      <c r="AT1720" s="123"/>
      <c r="AU1720" s="123"/>
      <c r="AV1720" s="123"/>
      <c r="AW1720" s="123"/>
      <c r="AX1720" s="123"/>
      <c r="AY1720" s="123"/>
      <c r="AZ1720" s="123"/>
      <c r="BA1720" s="123"/>
      <c r="BB1720" s="123"/>
      <c r="BC1720" s="123"/>
      <c r="BD1720" s="123"/>
      <c r="BE1720" s="123"/>
      <c r="BF1720" s="123"/>
      <c r="BG1720" s="123"/>
      <c r="BH1720" s="123"/>
      <c r="BI1720" s="123"/>
    </row>
    <row r="1721" spans="2:61">
      <c r="B1721" s="827"/>
      <c r="C1721" s="21">
        <v>21867</v>
      </c>
      <c r="D1721" s="1116" t="s">
        <v>4525</v>
      </c>
      <c r="E1721" s="1603">
        <v>24</v>
      </c>
      <c r="F1721" s="1603">
        <v>0</v>
      </c>
      <c r="G1721" s="1603">
        <v>12</v>
      </c>
      <c r="H1721" s="978">
        <f t="shared" si="77"/>
        <v>0.5</v>
      </c>
      <c r="I1721" s="1603">
        <f t="shared" si="78"/>
        <v>0</v>
      </c>
      <c r="J1721" s="311" t="s">
        <v>554</v>
      </c>
    </row>
    <row r="1722" spans="2:61">
      <c r="B1722" s="827"/>
      <c r="C1722" s="21">
        <v>6408</v>
      </c>
      <c r="D1722" s="21" t="s">
        <v>3453</v>
      </c>
      <c r="E1722" s="1603"/>
      <c r="F1722" s="1603"/>
      <c r="G1722" s="1603"/>
      <c r="H1722" s="978" t="e">
        <f t="shared" ref="H1722:H1750" si="79">+G1722/E1722</f>
        <v>#DIV/0!</v>
      </c>
      <c r="I1722" s="1603">
        <f t="shared" si="78"/>
        <v>0</v>
      </c>
      <c r="J1722" s="311"/>
    </row>
    <row r="1723" spans="2:61">
      <c r="B1723" s="827"/>
      <c r="C1723" s="21">
        <v>6407</v>
      </c>
      <c r="D1723" s="21" t="s">
        <v>3454</v>
      </c>
      <c r="E1723" s="1603"/>
      <c r="F1723" s="1603"/>
      <c r="G1723" s="1603"/>
      <c r="H1723" s="978" t="e">
        <f t="shared" si="79"/>
        <v>#DIV/0!</v>
      </c>
      <c r="I1723" s="1603">
        <f t="shared" si="78"/>
        <v>0</v>
      </c>
      <c r="J1723" s="311"/>
    </row>
    <row r="1724" spans="2:61">
      <c r="B1724" s="827"/>
      <c r="C1724" s="21">
        <v>14403</v>
      </c>
      <c r="D1724" s="21" t="s">
        <v>2277</v>
      </c>
      <c r="E1724" s="1603"/>
      <c r="F1724" s="1603"/>
      <c r="G1724" s="1603"/>
      <c r="H1724" s="978" t="e">
        <f t="shared" si="79"/>
        <v>#DIV/0!</v>
      </c>
      <c r="I1724" s="1603">
        <f t="shared" si="78"/>
        <v>0</v>
      </c>
      <c r="J1724" s="311"/>
    </row>
    <row r="1725" spans="2:61" s="1594" customFormat="1">
      <c r="C1725" s="21"/>
      <c r="D1725" s="21" t="s">
        <v>3177</v>
      </c>
      <c r="E1725" s="1603">
        <v>24</v>
      </c>
      <c r="F1725" s="1603"/>
      <c r="G1725" s="1603">
        <v>35</v>
      </c>
      <c r="H1725" s="978">
        <f t="shared" si="79"/>
        <v>1.4583333333333333</v>
      </c>
      <c r="I1725" s="1603">
        <f t="shared" si="78"/>
        <v>0</v>
      </c>
      <c r="J1725" s="311"/>
      <c r="K1725" s="123"/>
      <c r="L1725" s="123"/>
      <c r="M1725" s="123"/>
      <c r="N1725" s="123"/>
      <c r="O1725" s="123"/>
      <c r="P1725" s="123"/>
      <c r="Q1725" s="123"/>
      <c r="R1725" s="123"/>
      <c r="S1725" s="123"/>
      <c r="T1725" s="123"/>
      <c r="U1725" s="123"/>
      <c r="V1725" s="123"/>
      <c r="W1725" s="123"/>
      <c r="X1725" s="123"/>
      <c r="Y1725" s="123"/>
      <c r="Z1725" s="123"/>
      <c r="AA1725" s="123"/>
      <c r="AB1725" s="123"/>
      <c r="AC1725" s="123"/>
      <c r="AD1725" s="123"/>
      <c r="AE1725" s="123"/>
      <c r="AF1725" s="123"/>
      <c r="AG1725" s="123"/>
      <c r="AH1725" s="123"/>
      <c r="AI1725" s="123"/>
      <c r="AJ1725" s="123"/>
      <c r="AK1725" s="123"/>
      <c r="AL1725" s="123"/>
      <c r="AM1725" s="123"/>
      <c r="AN1725" s="123"/>
      <c r="AO1725" s="123"/>
      <c r="AP1725" s="123"/>
      <c r="AQ1725" s="123"/>
      <c r="AR1725" s="123"/>
      <c r="AS1725" s="123"/>
      <c r="AT1725" s="123"/>
      <c r="AU1725" s="123"/>
      <c r="AV1725" s="123"/>
      <c r="AW1725" s="123"/>
      <c r="AX1725" s="123"/>
      <c r="AY1725" s="123"/>
      <c r="AZ1725" s="123"/>
      <c r="BA1725" s="123"/>
      <c r="BB1725" s="123"/>
      <c r="BC1725" s="123"/>
      <c r="BD1725" s="123"/>
      <c r="BE1725" s="123"/>
      <c r="BF1725" s="123"/>
      <c r="BG1725" s="123"/>
      <c r="BH1725" s="123"/>
      <c r="BI1725" s="123"/>
    </row>
    <row r="1726" spans="2:61">
      <c r="B1726" s="827"/>
      <c r="C1726" s="21">
        <v>21026</v>
      </c>
      <c r="D1726" s="21" t="s">
        <v>3455</v>
      </c>
      <c r="E1726" s="1603">
        <v>24</v>
      </c>
      <c r="F1726" s="1603"/>
      <c r="G1726" s="1603">
        <v>35</v>
      </c>
      <c r="H1726" s="978">
        <f t="shared" si="79"/>
        <v>1.4583333333333333</v>
      </c>
      <c r="I1726" s="1603">
        <f t="shared" si="78"/>
        <v>0</v>
      </c>
      <c r="J1726" s="311"/>
    </row>
    <row r="1727" spans="2:61">
      <c r="B1727" s="827"/>
      <c r="C1727" s="21">
        <v>21224</v>
      </c>
      <c r="D1727" s="21" t="s">
        <v>3622</v>
      </c>
      <c r="E1727" s="1603"/>
      <c r="F1727" s="1603"/>
      <c r="G1727" s="1603"/>
      <c r="H1727" s="978" t="e">
        <f t="shared" si="79"/>
        <v>#DIV/0!</v>
      </c>
      <c r="I1727" s="1603">
        <f t="shared" si="78"/>
        <v>0</v>
      </c>
      <c r="J1727" s="311"/>
    </row>
    <row r="1728" spans="2:61">
      <c r="B1728" s="827"/>
      <c r="C1728" s="21">
        <v>21225</v>
      </c>
      <c r="D1728" s="21" t="s">
        <v>3799</v>
      </c>
      <c r="E1728" s="1603"/>
      <c r="F1728" s="1603"/>
      <c r="G1728" s="1603"/>
      <c r="H1728" s="978" t="e">
        <f t="shared" si="79"/>
        <v>#DIV/0!</v>
      </c>
      <c r="I1728" s="1603">
        <f t="shared" si="78"/>
        <v>0</v>
      </c>
      <c r="J1728" s="311"/>
    </row>
    <row r="1729" spans="2:10">
      <c r="B1729" s="827"/>
      <c r="C1729" s="21">
        <v>21232</v>
      </c>
      <c r="D1729" s="21" t="s">
        <v>3486</v>
      </c>
      <c r="E1729" s="1603"/>
      <c r="F1729" s="1603"/>
      <c r="G1729" s="1603"/>
      <c r="H1729" s="978" t="e">
        <f t="shared" si="79"/>
        <v>#DIV/0!</v>
      </c>
      <c r="I1729" s="1603">
        <f t="shared" si="78"/>
        <v>0</v>
      </c>
      <c r="J1729" s="311"/>
    </row>
    <row r="1730" spans="2:10">
      <c r="B1730" s="827"/>
      <c r="C1730" s="21">
        <v>21231</v>
      </c>
      <c r="D1730" s="21" t="s">
        <v>3487</v>
      </c>
      <c r="E1730" s="1603"/>
      <c r="F1730" s="1603"/>
      <c r="G1730" s="1603"/>
      <c r="H1730" s="978" t="e">
        <f t="shared" si="79"/>
        <v>#DIV/0!</v>
      </c>
      <c r="I1730" s="1603">
        <f t="shared" si="78"/>
        <v>0</v>
      </c>
      <c r="J1730" s="311"/>
    </row>
    <row r="1731" spans="2:10">
      <c r="B1731" s="827"/>
      <c r="C1731" s="21">
        <v>9560</v>
      </c>
      <c r="D1731" s="21" t="s">
        <v>5219</v>
      </c>
      <c r="E1731" s="1603"/>
      <c r="F1731" s="1603"/>
      <c r="G1731" s="1603"/>
      <c r="H1731" s="978" t="e">
        <f t="shared" si="79"/>
        <v>#DIV/0!</v>
      </c>
      <c r="I1731" s="1603">
        <f t="shared" si="78"/>
        <v>0</v>
      </c>
      <c r="J1731" s="311"/>
    </row>
    <row r="1732" spans="2:10">
      <c r="B1732" s="827"/>
      <c r="C1732" s="21">
        <v>9561</v>
      </c>
      <c r="D1732" s="21" t="s">
        <v>5220</v>
      </c>
      <c r="E1732" s="1603"/>
      <c r="F1732" s="1603"/>
      <c r="G1732" s="1603"/>
      <c r="H1732" s="978" t="e">
        <f t="shared" si="79"/>
        <v>#DIV/0!</v>
      </c>
      <c r="I1732" s="1603">
        <f t="shared" si="78"/>
        <v>0</v>
      </c>
      <c r="J1732" s="311"/>
    </row>
    <row r="1733" spans="2:10">
      <c r="B1733" s="827"/>
      <c r="C1733" s="21">
        <v>9563</v>
      </c>
      <c r="D1733" s="21" t="s">
        <v>3623</v>
      </c>
      <c r="E1733" s="1603"/>
      <c r="F1733" s="1603"/>
      <c r="G1733" s="1603"/>
      <c r="H1733" s="978" t="e">
        <f t="shared" si="79"/>
        <v>#DIV/0!</v>
      </c>
      <c r="I1733" s="1603">
        <f t="shared" si="78"/>
        <v>0</v>
      </c>
      <c r="J1733" s="311"/>
    </row>
    <row r="1734" spans="2:10">
      <c r="B1734" s="827"/>
      <c r="C1734" s="21">
        <v>22387</v>
      </c>
      <c r="D1734" s="21" t="s">
        <v>5221</v>
      </c>
      <c r="E1734" s="1603"/>
      <c r="F1734" s="1603"/>
      <c r="G1734" s="1603"/>
      <c r="H1734" s="978" t="e">
        <f t="shared" si="79"/>
        <v>#DIV/0!</v>
      </c>
      <c r="I1734" s="1603">
        <f t="shared" si="78"/>
        <v>0</v>
      </c>
      <c r="J1734" s="311"/>
    </row>
    <row r="1735" spans="2:10">
      <c r="B1735" s="827"/>
      <c r="C1735" s="21">
        <v>22386</v>
      </c>
      <c r="D1735" s="21" t="s">
        <v>5222</v>
      </c>
      <c r="E1735" s="1603"/>
      <c r="F1735" s="1603"/>
      <c r="G1735" s="1603"/>
      <c r="H1735" s="978" t="e">
        <f t="shared" si="79"/>
        <v>#DIV/0!</v>
      </c>
      <c r="I1735" s="1603">
        <f t="shared" si="78"/>
        <v>0</v>
      </c>
      <c r="J1735" s="311"/>
    </row>
    <row r="1736" spans="2:10">
      <c r="B1736" s="827"/>
      <c r="C1736" s="21">
        <v>16123</v>
      </c>
      <c r="D1736" s="21" t="s">
        <v>3800</v>
      </c>
      <c r="E1736" s="1603"/>
      <c r="F1736" s="1603"/>
      <c r="G1736" s="1603"/>
      <c r="H1736" s="978" t="e">
        <f t="shared" si="79"/>
        <v>#DIV/0!</v>
      </c>
      <c r="I1736" s="1603">
        <f t="shared" si="78"/>
        <v>0</v>
      </c>
      <c r="J1736" s="311"/>
    </row>
    <row r="1737" spans="2:10">
      <c r="B1737" s="827"/>
      <c r="C1737" s="21">
        <v>20008</v>
      </c>
      <c r="D1737" s="21" t="s">
        <v>2292</v>
      </c>
      <c r="E1737" s="1603"/>
      <c r="F1737" s="1603"/>
      <c r="G1737" s="1603"/>
      <c r="H1737" s="978" t="e">
        <f t="shared" si="79"/>
        <v>#DIV/0!</v>
      </c>
      <c r="I1737" s="1603">
        <f t="shared" si="78"/>
        <v>0</v>
      </c>
      <c r="J1737" s="311"/>
    </row>
    <row r="1738" spans="2:10">
      <c r="B1738" s="827"/>
      <c r="C1738" s="21">
        <v>20009</v>
      </c>
      <c r="D1738" s="21" t="s">
        <v>2290</v>
      </c>
      <c r="E1738" s="1603"/>
      <c r="F1738" s="1603"/>
      <c r="G1738" s="1603"/>
      <c r="H1738" s="978" t="e">
        <f t="shared" si="79"/>
        <v>#DIV/0!</v>
      </c>
      <c r="I1738" s="1603">
        <f t="shared" si="78"/>
        <v>0</v>
      </c>
      <c r="J1738" s="311"/>
    </row>
    <row r="1739" spans="2:10">
      <c r="B1739" s="827"/>
      <c r="C1739" s="21">
        <v>7101</v>
      </c>
      <c r="D1739" s="21" t="s">
        <v>5223</v>
      </c>
      <c r="E1739" s="1603"/>
      <c r="F1739" s="1603"/>
      <c r="G1739" s="1603"/>
      <c r="H1739" s="978" t="e">
        <f t="shared" si="79"/>
        <v>#DIV/0!</v>
      </c>
      <c r="I1739" s="1603">
        <f t="shared" si="78"/>
        <v>0</v>
      </c>
      <c r="J1739" s="311"/>
    </row>
    <row r="1740" spans="2:10">
      <c r="B1740" s="827"/>
      <c r="C1740" s="21">
        <v>22384</v>
      </c>
      <c r="D1740" s="21" t="s">
        <v>5224</v>
      </c>
      <c r="E1740" s="1603"/>
      <c r="F1740" s="1603"/>
      <c r="G1740" s="1603"/>
      <c r="H1740" s="978" t="e">
        <f t="shared" si="79"/>
        <v>#DIV/0!</v>
      </c>
      <c r="I1740" s="1603">
        <f t="shared" si="78"/>
        <v>0</v>
      </c>
      <c r="J1740" s="311"/>
    </row>
    <row r="1741" spans="2:10">
      <c r="B1741" s="827"/>
      <c r="C1741" s="21">
        <v>21028</v>
      </c>
      <c r="D1741" s="21" t="s">
        <v>3456</v>
      </c>
      <c r="E1741" s="1603"/>
      <c r="F1741" s="1603"/>
      <c r="G1741" s="1603"/>
      <c r="H1741" s="978" t="e">
        <f t="shared" si="79"/>
        <v>#DIV/0!</v>
      </c>
      <c r="I1741" s="1603">
        <f t="shared" si="78"/>
        <v>0</v>
      </c>
      <c r="J1741" s="311"/>
    </row>
    <row r="1742" spans="2:10">
      <c r="B1742" s="827"/>
      <c r="C1742" s="21">
        <v>9772</v>
      </c>
      <c r="D1742" s="21" t="s">
        <v>3186</v>
      </c>
      <c r="E1742" s="1603"/>
      <c r="F1742" s="1603"/>
      <c r="G1742" s="1603"/>
      <c r="H1742" s="978" t="e">
        <f t="shared" si="79"/>
        <v>#DIV/0!</v>
      </c>
      <c r="I1742" s="1603">
        <f t="shared" si="78"/>
        <v>0</v>
      </c>
      <c r="J1742" s="311"/>
    </row>
    <row r="1743" spans="2:10">
      <c r="B1743" s="827"/>
      <c r="C1743" s="21">
        <v>13329</v>
      </c>
      <c r="D1743" s="21" t="s">
        <v>2390</v>
      </c>
      <c r="E1743" s="1603"/>
      <c r="F1743" s="1603"/>
      <c r="G1743" s="1603"/>
      <c r="H1743" s="978" t="e">
        <f t="shared" si="79"/>
        <v>#DIV/0!</v>
      </c>
      <c r="I1743" s="1603">
        <f t="shared" si="78"/>
        <v>0</v>
      </c>
      <c r="J1743" s="311"/>
    </row>
    <row r="1744" spans="2:10">
      <c r="B1744" s="827"/>
      <c r="C1744" s="21">
        <v>22280</v>
      </c>
      <c r="D1744" s="21" t="s">
        <v>5225</v>
      </c>
      <c r="E1744" s="1603"/>
      <c r="F1744" s="1603"/>
      <c r="G1744" s="1603"/>
      <c r="H1744" s="978" t="e">
        <f t="shared" si="79"/>
        <v>#DIV/0!</v>
      </c>
      <c r="I1744" s="1603">
        <f t="shared" si="78"/>
        <v>0</v>
      </c>
      <c r="J1744" s="311"/>
    </row>
    <row r="1745" spans="2:10">
      <c r="B1745" s="827"/>
      <c r="C1745" s="21">
        <v>13695</v>
      </c>
      <c r="D1745" s="21" t="s">
        <v>3457</v>
      </c>
      <c r="E1745" s="1603"/>
      <c r="F1745" s="1603"/>
      <c r="G1745" s="1603"/>
      <c r="H1745" s="978" t="e">
        <f t="shared" si="79"/>
        <v>#DIV/0!</v>
      </c>
      <c r="I1745" s="1603">
        <f t="shared" si="78"/>
        <v>0</v>
      </c>
      <c r="J1745" s="311"/>
    </row>
    <row r="1746" spans="2:10">
      <c r="B1746" s="827"/>
      <c r="C1746" s="21">
        <v>9209</v>
      </c>
      <c r="D1746" s="21" t="s">
        <v>3458</v>
      </c>
      <c r="E1746" s="1603"/>
      <c r="F1746" s="1603"/>
      <c r="G1746" s="1603"/>
      <c r="H1746" s="978" t="e">
        <f t="shared" si="79"/>
        <v>#DIV/0!</v>
      </c>
      <c r="I1746" s="1603">
        <f t="shared" si="78"/>
        <v>0</v>
      </c>
      <c r="J1746" s="311"/>
    </row>
    <row r="1747" spans="2:10">
      <c r="B1747" s="827"/>
      <c r="C1747" s="21">
        <v>9198</v>
      </c>
      <c r="D1747" s="21" t="s">
        <v>4526</v>
      </c>
      <c r="E1747" s="1603"/>
      <c r="F1747" s="1603"/>
      <c r="G1747" s="1603"/>
      <c r="H1747" s="978" t="e">
        <f t="shared" si="79"/>
        <v>#DIV/0!</v>
      </c>
      <c r="I1747" s="1603">
        <f t="shared" si="78"/>
        <v>0</v>
      </c>
      <c r="J1747" s="311"/>
    </row>
    <row r="1748" spans="2:10">
      <c r="B1748" s="827"/>
      <c r="C1748" s="21">
        <v>9207</v>
      </c>
      <c r="D1748" s="21" t="s">
        <v>1581</v>
      </c>
      <c r="E1748" s="1603"/>
      <c r="F1748" s="1603"/>
      <c r="G1748" s="1603"/>
      <c r="H1748" s="978" t="e">
        <f t="shared" si="79"/>
        <v>#DIV/0!</v>
      </c>
      <c r="I1748" s="1603">
        <f t="shared" si="78"/>
        <v>0</v>
      </c>
      <c r="J1748" s="311"/>
    </row>
    <row r="1749" spans="2:10">
      <c r="B1749" s="827"/>
      <c r="C1749" s="21">
        <v>10853</v>
      </c>
      <c r="D1749" s="21" t="s">
        <v>1583</v>
      </c>
      <c r="E1749" s="1603"/>
      <c r="F1749" s="1603"/>
      <c r="G1749" s="1603"/>
      <c r="H1749" s="978" t="e">
        <f t="shared" si="79"/>
        <v>#DIV/0!</v>
      </c>
      <c r="I1749" s="1603">
        <f t="shared" si="78"/>
        <v>0</v>
      </c>
      <c r="J1749" s="311"/>
    </row>
    <row r="1750" spans="2:10">
      <c r="B1750" s="827"/>
      <c r="C1750" s="21">
        <v>20013</v>
      </c>
      <c r="D1750" s="21" t="s">
        <v>2288</v>
      </c>
      <c r="E1750" s="1603"/>
      <c r="F1750" s="1603"/>
      <c r="G1750" s="1603"/>
      <c r="H1750" s="978" t="e">
        <f t="shared" si="79"/>
        <v>#DIV/0!</v>
      </c>
      <c r="I1750" s="1603">
        <f t="shared" si="78"/>
        <v>0</v>
      </c>
      <c r="J1750" s="311"/>
    </row>
    <row r="1751" spans="2:10">
      <c r="B1751" s="827"/>
      <c r="C1751" s="21">
        <v>6330</v>
      </c>
      <c r="D1751" s="21" t="s">
        <v>5226</v>
      </c>
      <c r="E1751" s="1603"/>
      <c r="F1751" s="1603"/>
      <c r="G1751" s="1603"/>
      <c r="H1751" s="978" t="e">
        <f>+G1751/E1751</f>
        <v>#DIV/0!</v>
      </c>
      <c r="I1751" s="1603">
        <f t="shared" si="78"/>
        <v>0</v>
      </c>
      <c r="J1751" s="311"/>
    </row>
    <row r="1752" spans="2:10">
      <c r="B1752" s="827"/>
      <c r="C1752" s="1608"/>
      <c r="D1752" s="1270" t="s">
        <v>5254</v>
      </c>
      <c r="E1752" s="1603">
        <v>50</v>
      </c>
      <c r="F1752" s="1603">
        <v>10</v>
      </c>
      <c r="G1752" s="1603">
        <v>11</v>
      </c>
      <c r="H1752" s="978">
        <f>+G1752/E1752</f>
        <v>0.22</v>
      </c>
      <c r="I1752" s="1603">
        <f t="shared" si="78"/>
        <v>110</v>
      </c>
      <c r="J1752" s="311" t="s">
        <v>4767</v>
      </c>
    </row>
    <row r="1753" spans="2:10">
      <c r="B1753" s="827"/>
      <c r="C1753" s="1608"/>
      <c r="D1753" s="1270" t="s">
        <v>5255</v>
      </c>
      <c r="E1753" s="1603">
        <v>10</v>
      </c>
      <c r="F1753" s="1603">
        <v>0</v>
      </c>
      <c r="G1753" s="1603">
        <v>4</v>
      </c>
      <c r="H1753" s="978">
        <f>+G1753/E1753</f>
        <v>0.4</v>
      </c>
      <c r="I1753" s="1603">
        <f t="shared" si="78"/>
        <v>0</v>
      </c>
      <c r="J1753" s="311" t="s">
        <v>4767</v>
      </c>
    </row>
    <row r="1754" spans="2:10">
      <c r="B1754" s="827"/>
      <c r="C1754" s="1389"/>
      <c r="E1754" s="1389"/>
      <c r="F1754" s="1389"/>
      <c r="G1754" s="1389"/>
      <c r="I1754" s="101">
        <f>SUM(I1659:I1753)</f>
        <v>2172</v>
      </c>
    </row>
    <row r="1755" spans="2:10">
      <c r="B1755" s="827"/>
      <c r="C1755" s="1389"/>
      <c r="E1755" s="1389"/>
      <c r="F1755" s="1389"/>
      <c r="G1755" s="1389"/>
    </row>
    <row r="1756" spans="2:10">
      <c r="B1756" s="827"/>
      <c r="C1756" s="1389"/>
      <c r="E1756" s="1389"/>
      <c r="F1756" s="1389"/>
      <c r="G1756" s="1389"/>
    </row>
    <row r="1757" spans="2:10">
      <c r="B1757" s="827"/>
      <c r="C1757" s="1389"/>
      <c r="E1757" s="1389"/>
      <c r="F1757" s="1389"/>
      <c r="G1757" s="1389"/>
    </row>
    <row r="1758" spans="2:10">
      <c r="B1758" s="827"/>
      <c r="C1758" s="1389"/>
      <c r="E1758" s="1389"/>
      <c r="F1758" s="1389"/>
      <c r="G1758" s="1389"/>
    </row>
    <row r="1759" spans="2:10">
      <c r="B1759" s="827"/>
      <c r="C1759" s="1389"/>
      <c r="E1759" s="1389"/>
      <c r="F1759" s="1389"/>
      <c r="G1759" s="1389"/>
    </row>
    <row r="1760" spans="2:10" ht="48.75" customHeight="1">
      <c r="B1760" s="827"/>
      <c r="C1760" s="453" t="s">
        <v>3318</v>
      </c>
      <c r="D1760" s="2116" t="s">
        <v>5650</v>
      </c>
      <c r="E1760" s="39" t="s">
        <v>3978</v>
      </c>
      <c r="F1760" s="453" t="s">
        <v>68</v>
      </c>
      <c r="G1760" s="39" t="s">
        <v>903</v>
      </c>
      <c r="H1760" s="970" t="s">
        <v>559</v>
      </c>
      <c r="I1760" s="39" t="s">
        <v>560</v>
      </c>
      <c r="J1760" s="523"/>
    </row>
    <row r="1761" spans="2:61" s="1594" customFormat="1">
      <c r="C1761" s="311"/>
      <c r="D1761" s="311" t="s">
        <v>5469</v>
      </c>
      <c r="E1761" s="2099">
        <v>864</v>
      </c>
      <c r="F1761" s="2099">
        <v>1</v>
      </c>
      <c r="G1761" s="2099">
        <v>191.6</v>
      </c>
      <c r="H1761" s="900">
        <f t="shared" ref="H1761:H1778" si="80">+G1761/E1761</f>
        <v>0.22175925925925924</v>
      </c>
      <c r="I1761" s="2099">
        <f t="shared" ref="I1761:I1778" si="81">+F1761*G1761</f>
        <v>191.6</v>
      </c>
      <c r="J1761" s="311" t="s">
        <v>3221</v>
      </c>
      <c r="K1761" s="123"/>
      <c r="L1761" s="123"/>
      <c r="M1761" s="123"/>
      <c r="N1761" s="123"/>
      <c r="O1761" s="123"/>
      <c r="P1761" s="123"/>
      <c r="Q1761" s="123"/>
      <c r="R1761" s="123"/>
      <c r="S1761" s="123"/>
      <c r="T1761" s="123"/>
      <c r="U1761" s="123"/>
      <c r="V1761" s="123"/>
      <c r="W1761" s="123"/>
      <c r="X1761" s="123"/>
      <c r="Y1761" s="123"/>
      <c r="Z1761" s="123"/>
      <c r="AA1761" s="123"/>
      <c r="AB1761" s="123"/>
      <c r="AC1761" s="123"/>
      <c r="AD1761" s="123"/>
      <c r="AE1761" s="123"/>
      <c r="AF1761" s="123"/>
      <c r="AG1761" s="123"/>
      <c r="AH1761" s="123"/>
      <c r="AI1761" s="123"/>
      <c r="AJ1761" s="123"/>
      <c r="AK1761" s="123"/>
      <c r="AL1761" s="123"/>
      <c r="AM1761" s="123"/>
      <c r="AN1761" s="123"/>
      <c r="AO1761" s="123"/>
      <c r="AP1761" s="123"/>
      <c r="AQ1761" s="123"/>
      <c r="AR1761" s="123"/>
      <c r="AS1761" s="123"/>
      <c r="AT1761" s="123"/>
      <c r="AU1761" s="123"/>
      <c r="AV1761" s="123"/>
      <c r="AW1761" s="123"/>
      <c r="AX1761" s="123"/>
      <c r="AY1761" s="123"/>
      <c r="AZ1761" s="123"/>
      <c r="BA1761" s="123"/>
      <c r="BB1761" s="123"/>
      <c r="BC1761" s="123"/>
      <c r="BD1761" s="123"/>
      <c r="BE1761" s="123"/>
      <c r="BF1761" s="123"/>
      <c r="BG1761" s="123"/>
      <c r="BH1761" s="123"/>
      <c r="BI1761" s="123"/>
    </row>
    <row r="1762" spans="2:61" s="1594" customFormat="1">
      <c r="C1762" s="311"/>
      <c r="D1762" s="311" t="s">
        <v>5470</v>
      </c>
      <c r="E1762" s="2099">
        <v>48</v>
      </c>
      <c r="F1762" s="2099">
        <v>1</v>
      </c>
      <c r="G1762" s="2099">
        <v>34.799999999999997</v>
      </c>
      <c r="H1762" s="900">
        <f t="shared" si="80"/>
        <v>0.72499999999999998</v>
      </c>
      <c r="I1762" s="2099">
        <f t="shared" si="81"/>
        <v>34.799999999999997</v>
      </c>
      <c r="J1762" s="311" t="s">
        <v>3221</v>
      </c>
      <c r="K1762" s="123"/>
      <c r="L1762" s="123"/>
      <c r="M1762" s="123"/>
      <c r="N1762" s="123"/>
      <c r="O1762" s="123"/>
      <c r="P1762" s="123"/>
      <c r="Q1762" s="123"/>
      <c r="R1762" s="123"/>
      <c r="S1762" s="123"/>
      <c r="T1762" s="123"/>
      <c r="U1762" s="123"/>
      <c r="V1762" s="123"/>
      <c r="W1762" s="123"/>
      <c r="X1762" s="123"/>
      <c r="Y1762" s="123"/>
      <c r="Z1762" s="123"/>
      <c r="AA1762" s="123"/>
      <c r="AB1762" s="123"/>
      <c r="AC1762" s="123"/>
      <c r="AD1762" s="123"/>
      <c r="AE1762" s="123"/>
      <c r="AF1762" s="123"/>
      <c r="AG1762" s="123"/>
      <c r="AH1762" s="123"/>
      <c r="AI1762" s="123"/>
      <c r="AJ1762" s="123"/>
      <c r="AK1762" s="123"/>
      <c r="AL1762" s="123"/>
      <c r="AM1762" s="123"/>
      <c r="AN1762" s="123"/>
      <c r="AO1762" s="123"/>
      <c r="AP1762" s="123"/>
      <c r="AQ1762" s="123"/>
      <c r="AR1762" s="123"/>
      <c r="AS1762" s="123"/>
      <c r="AT1762" s="123"/>
      <c r="AU1762" s="123"/>
      <c r="AV1762" s="123"/>
      <c r="AW1762" s="123"/>
      <c r="AX1762" s="123"/>
      <c r="AY1762" s="123"/>
      <c r="AZ1762" s="123"/>
      <c r="BA1762" s="123"/>
      <c r="BB1762" s="123"/>
      <c r="BC1762" s="123"/>
      <c r="BD1762" s="123"/>
      <c r="BE1762" s="123"/>
      <c r="BF1762" s="123"/>
      <c r="BG1762" s="123"/>
      <c r="BH1762" s="123"/>
      <c r="BI1762" s="123"/>
    </row>
    <row r="1763" spans="2:61">
      <c r="B1763" s="827"/>
      <c r="C1763" s="311">
        <v>9579</v>
      </c>
      <c r="D1763" s="311" t="s">
        <v>899</v>
      </c>
      <c r="E1763" s="2099">
        <v>1000</v>
      </c>
      <c r="F1763" s="2099">
        <v>20</v>
      </c>
      <c r="G1763" s="2099">
        <v>4.3</v>
      </c>
      <c r="H1763" s="2117">
        <f t="shared" si="80"/>
        <v>4.3E-3</v>
      </c>
      <c r="I1763" s="2099">
        <f t="shared" si="81"/>
        <v>86</v>
      </c>
      <c r="J1763" s="311" t="s">
        <v>3221</v>
      </c>
    </row>
    <row r="1764" spans="2:61">
      <c r="B1764" s="827"/>
      <c r="C1764" s="311">
        <v>13716</v>
      </c>
      <c r="D1764" s="311" t="s">
        <v>2796</v>
      </c>
      <c r="E1764" s="2099">
        <v>20</v>
      </c>
      <c r="F1764" s="2099">
        <v>30</v>
      </c>
      <c r="G1764" s="2099">
        <v>25.8</v>
      </c>
      <c r="H1764" s="900">
        <f t="shared" si="80"/>
        <v>1.29</v>
      </c>
      <c r="I1764" s="2099">
        <f t="shared" si="81"/>
        <v>774</v>
      </c>
      <c r="J1764" s="311" t="s">
        <v>3221</v>
      </c>
    </row>
    <row r="1765" spans="2:61">
      <c r="B1765" s="827"/>
      <c r="C1765" s="311">
        <v>10427</v>
      </c>
      <c r="D1765" s="311" t="s">
        <v>5202</v>
      </c>
      <c r="E1765" s="2099">
        <v>12</v>
      </c>
      <c r="F1765" s="2099">
        <v>10</v>
      </c>
      <c r="G1765" s="2099">
        <v>6.5</v>
      </c>
      <c r="H1765" s="900">
        <f t="shared" si="80"/>
        <v>0.54166666666666663</v>
      </c>
      <c r="I1765" s="2099">
        <f t="shared" si="81"/>
        <v>65</v>
      </c>
      <c r="J1765" s="311" t="s">
        <v>4537</v>
      </c>
    </row>
    <row r="1766" spans="2:61">
      <c r="B1766" s="827"/>
      <c r="C1766" s="311">
        <v>21030</v>
      </c>
      <c r="D1766" s="311" t="s">
        <v>3447</v>
      </c>
      <c r="E1766" s="2099">
        <v>864</v>
      </c>
      <c r="F1766" s="2099">
        <v>1</v>
      </c>
      <c r="G1766" s="2099">
        <v>90</v>
      </c>
      <c r="H1766" s="900">
        <f t="shared" si="80"/>
        <v>0.10416666666666667</v>
      </c>
      <c r="I1766" s="2099">
        <f t="shared" si="81"/>
        <v>90</v>
      </c>
      <c r="J1766" s="311" t="s">
        <v>3221</v>
      </c>
    </row>
    <row r="1767" spans="2:61">
      <c r="B1767" s="827"/>
      <c r="C1767" s="311">
        <v>21029</v>
      </c>
      <c r="D1767" s="311" t="s">
        <v>3449</v>
      </c>
      <c r="E1767" s="2099">
        <v>864</v>
      </c>
      <c r="F1767" s="2099">
        <v>1</v>
      </c>
      <c r="G1767" s="2099">
        <v>90</v>
      </c>
      <c r="H1767" s="900">
        <f t="shared" si="80"/>
        <v>0.10416666666666667</v>
      </c>
      <c r="I1767" s="2099">
        <f t="shared" si="81"/>
        <v>90</v>
      </c>
      <c r="J1767" s="311" t="s">
        <v>3221</v>
      </c>
    </row>
    <row r="1768" spans="2:61" s="1594" customFormat="1">
      <c r="C1768" s="311"/>
      <c r="D1768" s="311" t="s">
        <v>5661</v>
      </c>
      <c r="E1768" s="2099">
        <v>36</v>
      </c>
      <c r="F1768" s="2099">
        <v>4</v>
      </c>
      <c r="G1768" s="2099">
        <v>30</v>
      </c>
      <c r="H1768" s="900">
        <f t="shared" si="80"/>
        <v>0.83333333333333337</v>
      </c>
      <c r="I1768" s="2099">
        <f t="shared" si="81"/>
        <v>120</v>
      </c>
      <c r="J1768" s="311" t="s">
        <v>3221</v>
      </c>
      <c r="K1768" s="123"/>
      <c r="L1768" s="123"/>
      <c r="M1768" s="123"/>
      <c r="N1768" s="123"/>
      <c r="O1768" s="123"/>
      <c r="P1768" s="123"/>
      <c r="Q1768" s="123"/>
      <c r="R1768" s="123"/>
      <c r="S1768" s="123"/>
      <c r="T1768" s="123"/>
      <c r="U1768" s="123"/>
      <c r="V1768" s="123"/>
      <c r="W1768" s="123"/>
      <c r="X1768" s="123"/>
      <c r="Y1768" s="123"/>
      <c r="Z1768" s="123"/>
      <c r="AA1768" s="123"/>
      <c r="AB1768" s="123"/>
      <c r="AC1768" s="123"/>
      <c r="AD1768" s="123"/>
      <c r="AE1768" s="123"/>
      <c r="AF1768" s="123"/>
      <c r="AG1768" s="123"/>
      <c r="AH1768" s="123"/>
      <c r="AI1768" s="123"/>
      <c r="AJ1768" s="123"/>
      <c r="AK1768" s="123"/>
      <c r="AL1768" s="123"/>
      <c r="AM1768" s="123"/>
      <c r="AN1768" s="123"/>
      <c r="AO1768" s="123"/>
      <c r="AP1768" s="123"/>
      <c r="AQ1768" s="123"/>
      <c r="AR1768" s="123"/>
      <c r="AS1768" s="123"/>
      <c r="AT1768" s="123"/>
      <c r="AU1768" s="123"/>
      <c r="AV1768" s="123"/>
      <c r="AW1768" s="123"/>
      <c r="AX1768" s="123"/>
      <c r="AY1768" s="123"/>
      <c r="AZ1768" s="123"/>
      <c r="BA1768" s="123"/>
      <c r="BB1768" s="123"/>
      <c r="BC1768" s="123"/>
      <c r="BD1768" s="123"/>
      <c r="BE1768" s="123"/>
      <c r="BF1768" s="123"/>
      <c r="BG1768" s="123"/>
      <c r="BH1768" s="123"/>
      <c r="BI1768" s="123"/>
    </row>
    <row r="1769" spans="2:61">
      <c r="B1769" s="827"/>
      <c r="C1769" s="311">
        <v>15403</v>
      </c>
      <c r="D1769" s="311" t="s">
        <v>3356</v>
      </c>
      <c r="E1769" s="2099">
        <v>26</v>
      </c>
      <c r="F1769" s="2099">
        <v>20</v>
      </c>
      <c r="G1769" s="2099">
        <v>15.1</v>
      </c>
      <c r="H1769" s="900">
        <f t="shared" si="80"/>
        <v>0.5807692307692307</v>
      </c>
      <c r="I1769" s="2099">
        <f t="shared" si="81"/>
        <v>302</v>
      </c>
      <c r="J1769" s="311" t="s">
        <v>3221</v>
      </c>
    </row>
    <row r="1770" spans="2:61">
      <c r="B1770" s="827"/>
      <c r="C1770" s="311">
        <v>21032</v>
      </c>
      <c r="D1770" s="311" t="s">
        <v>3450</v>
      </c>
      <c r="E1770" s="2099">
        <v>120</v>
      </c>
      <c r="F1770" s="2099">
        <v>10</v>
      </c>
      <c r="G1770" s="2099">
        <v>19</v>
      </c>
      <c r="H1770" s="900">
        <f t="shared" si="80"/>
        <v>0.15833333333333333</v>
      </c>
      <c r="I1770" s="2099">
        <f t="shared" si="81"/>
        <v>190</v>
      </c>
      <c r="J1770" s="311" t="s">
        <v>3221</v>
      </c>
    </row>
    <row r="1771" spans="2:61">
      <c r="B1771" s="827"/>
      <c r="C1771" s="311">
        <v>9923</v>
      </c>
      <c r="D1771" s="311" t="s">
        <v>1890</v>
      </c>
      <c r="E1771" s="2099">
        <v>72</v>
      </c>
      <c r="F1771" s="2099">
        <v>10</v>
      </c>
      <c r="G1771" s="2099">
        <v>21.6</v>
      </c>
      <c r="H1771" s="900">
        <f t="shared" si="80"/>
        <v>0.30000000000000004</v>
      </c>
      <c r="I1771" s="2099">
        <f t="shared" si="81"/>
        <v>216</v>
      </c>
      <c r="J1771" s="311" t="s">
        <v>3221</v>
      </c>
    </row>
    <row r="1772" spans="2:61">
      <c r="B1772" s="827"/>
      <c r="C1772" s="311">
        <v>20014</v>
      </c>
      <c r="D1772" s="311" t="s">
        <v>5468</v>
      </c>
      <c r="E1772" s="2099">
        <v>20</v>
      </c>
      <c r="F1772" s="2099">
        <v>5</v>
      </c>
      <c r="G1772" s="2099">
        <v>43</v>
      </c>
      <c r="H1772" s="900">
        <f t="shared" si="80"/>
        <v>2.15</v>
      </c>
      <c r="I1772" s="2099">
        <f t="shared" si="81"/>
        <v>215</v>
      </c>
      <c r="J1772" s="311" t="s">
        <v>3221</v>
      </c>
    </row>
    <row r="1773" spans="2:61">
      <c r="B1773" s="827"/>
      <c r="C1773" s="311">
        <v>22383</v>
      </c>
      <c r="D1773" s="311" t="s">
        <v>5478</v>
      </c>
      <c r="E1773" s="2099">
        <v>50</v>
      </c>
      <c r="F1773" s="2099">
        <v>10</v>
      </c>
      <c r="G1773" s="2099">
        <v>11</v>
      </c>
      <c r="H1773" s="900">
        <f t="shared" si="80"/>
        <v>0.22</v>
      </c>
      <c r="I1773" s="2099">
        <f t="shared" si="81"/>
        <v>110</v>
      </c>
      <c r="J1773" s="311" t="s">
        <v>4767</v>
      </c>
    </row>
    <row r="1774" spans="2:61">
      <c r="B1774" s="827"/>
      <c r="C1774" s="311">
        <v>21869</v>
      </c>
      <c r="D1774" s="311" t="s">
        <v>5477</v>
      </c>
      <c r="E1774" s="2099">
        <v>50</v>
      </c>
      <c r="F1774" s="2099">
        <v>20</v>
      </c>
      <c r="G1774" s="2099">
        <v>2.8</v>
      </c>
      <c r="H1774" s="900">
        <f t="shared" si="80"/>
        <v>5.5999999999999994E-2</v>
      </c>
      <c r="I1774" s="2099">
        <f t="shared" si="81"/>
        <v>56</v>
      </c>
      <c r="J1774" s="311" t="s">
        <v>4767</v>
      </c>
    </row>
    <row r="1775" spans="2:61">
      <c r="B1775" s="827"/>
      <c r="C1775" s="311">
        <v>14842</v>
      </c>
      <c r="D1775" s="311" t="s">
        <v>5474</v>
      </c>
      <c r="E1775" s="2099">
        <v>120</v>
      </c>
      <c r="F1775" s="2099">
        <v>1</v>
      </c>
      <c r="G1775" s="2099">
        <v>105.6</v>
      </c>
      <c r="H1775" s="900">
        <f t="shared" si="80"/>
        <v>0.88</v>
      </c>
      <c r="I1775" s="2099">
        <f t="shared" si="81"/>
        <v>105.6</v>
      </c>
      <c r="J1775" s="311" t="s">
        <v>3221</v>
      </c>
    </row>
    <row r="1776" spans="2:61" s="1594" customFormat="1">
      <c r="C1776" s="311"/>
      <c r="D1776" s="311" t="s">
        <v>5475</v>
      </c>
      <c r="E1776" s="2099">
        <v>12</v>
      </c>
      <c r="F1776" s="2099">
        <v>15</v>
      </c>
      <c r="G1776" s="2099">
        <v>3.3</v>
      </c>
      <c r="H1776" s="900">
        <f t="shared" si="80"/>
        <v>0.27499999999999997</v>
      </c>
      <c r="I1776" s="2099">
        <f t="shared" si="81"/>
        <v>49.5</v>
      </c>
      <c r="J1776" s="311" t="s">
        <v>4034</v>
      </c>
      <c r="K1776" s="123"/>
      <c r="L1776" s="123"/>
      <c r="M1776" s="123"/>
      <c r="N1776" s="123"/>
      <c r="O1776" s="123"/>
      <c r="P1776" s="123"/>
      <c r="Q1776" s="123"/>
      <c r="R1776" s="123"/>
      <c r="S1776" s="123"/>
      <c r="T1776" s="123"/>
      <c r="U1776" s="123"/>
      <c r="V1776" s="123"/>
      <c r="W1776" s="123"/>
      <c r="X1776" s="123"/>
      <c r="Y1776" s="123"/>
      <c r="Z1776" s="123"/>
      <c r="AA1776" s="123"/>
      <c r="AB1776" s="123"/>
      <c r="AC1776" s="123"/>
      <c r="AD1776" s="123"/>
      <c r="AE1776" s="123"/>
      <c r="AF1776" s="123"/>
      <c r="AG1776" s="123"/>
      <c r="AH1776" s="123"/>
      <c r="AI1776" s="123"/>
      <c r="AJ1776" s="123"/>
      <c r="AK1776" s="123"/>
      <c r="AL1776" s="123"/>
      <c r="AM1776" s="123"/>
      <c r="AN1776" s="123"/>
      <c r="AO1776" s="123"/>
      <c r="AP1776" s="123"/>
      <c r="AQ1776" s="123"/>
      <c r="AR1776" s="123"/>
      <c r="AS1776" s="123"/>
      <c r="AT1776" s="123"/>
      <c r="AU1776" s="123"/>
      <c r="AV1776" s="123"/>
      <c r="AW1776" s="123"/>
      <c r="AX1776" s="123"/>
      <c r="AY1776" s="123"/>
      <c r="AZ1776" s="123"/>
      <c r="BA1776" s="123"/>
      <c r="BB1776" s="123"/>
      <c r="BC1776" s="123"/>
      <c r="BD1776" s="123"/>
      <c r="BE1776" s="123"/>
      <c r="BF1776" s="123"/>
      <c r="BG1776" s="123"/>
      <c r="BH1776" s="123"/>
      <c r="BI1776" s="123"/>
    </row>
    <row r="1777" spans="2:61" s="1594" customFormat="1">
      <c r="C1777" s="311"/>
      <c r="D1777" s="311" t="s">
        <v>5476</v>
      </c>
      <c r="E1777" s="2099">
        <v>12</v>
      </c>
      <c r="F1777" s="2099">
        <v>10</v>
      </c>
      <c r="G1777" s="2099">
        <v>5.6</v>
      </c>
      <c r="H1777" s="900">
        <f t="shared" si="80"/>
        <v>0.46666666666666662</v>
      </c>
      <c r="I1777" s="2099">
        <f t="shared" si="81"/>
        <v>56</v>
      </c>
      <c r="J1777" s="311" t="s">
        <v>4034</v>
      </c>
      <c r="K1777" s="123"/>
      <c r="L1777" s="123"/>
      <c r="M1777" s="123"/>
      <c r="N1777" s="123"/>
      <c r="O1777" s="123"/>
      <c r="P1777" s="123"/>
      <c r="Q1777" s="123"/>
      <c r="R1777" s="123"/>
      <c r="S1777" s="123"/>
      <c r="T1777" s="123"/>
      <c r="U1777" s="123"/>
      <c r="V1777" s="123"/>
      <c r="W1777" s="123"/>
      <c r="X1777" s="123"/>
      <c r="Y1777" s="123"/>
      <c r="Z1777" s="123"/>
      <c r="AA1777" s="123"/>
      <c r="AB1777" s="123"/>
      <c r="AC1777" s="123"/>
      <c r="AD1777" s="123"/>
      <c r="AE1777" s="123"/>
      <c r="AF1777" s="123"/>
      <c r="AG1777" s="123"/>
      <c r="AH1777" s="123"/>
      <c r="AI1777" s="123"/>
      <c r="AJ1777" s="123"/>
      <c r="AK1777" s="123"/>
      <c r="AL1777" s="123"/>
      <c r="AM1777" s="123"/>
      <c r="AN1777" s="123"/>
      <c r="AO1777" s="123"/>
      <c r="AP1777" s="123"/>
      <c r="AQ1777" s="123"/>
      <c r="AR1777" s="123"/>
      <c r="AS1777" s="123"/>
      <c r="AT1777" s="123"/>
      <c r="AU1777" s="123"/>
      <c r="AV1777" s="123"/>
      <c r="AW1777" s="123"/>
      <c r="AX1777" s="123"/>
      <c r="AY1777" s="123"/>
      <c r="AZ1777" s="123"/>
      <c r="BA1777" s="123"/>
      <c r="BB1777" s="123"/>
      <c r="BC1777" s="123"/>
      <c r="BD1777" s="123"/>
      <c r="BE1777" s="123"/>
      <c r="BF1777" s="123"/>
      <c r="BG1777" s="123"/>
      <c r="BH1777" s="123"/>
      <c r="BI1777" s="123"/>
    </row>
    <row r="1778" spans="2:61">
      <c r="B1778" s="827"/>
      <c r="C1778" s="311">
        <v>22385</v>
      </c>
      <c r="D1778" s="311" t="s">
        <v>5217</v>
      </c>
      <c r="E1778" s="2099">
        <v>20</v>
      </c>
      <c r="F1778" s="2099">
        <v>1</v>
      </c>
      <c r="G1778" s="2099">
        <v>49.2</v>
      </c>
      <c r="H1778" s="900">
        <f t="shared" si="80"/>
        <v>2.46</v>
      </c>
      <c r="I1778" s="2099">
        <f t="shared" si="81"/>
        <v>49.2</v>
      </c>
      <c r="J1778" s="311" t="s">
        <v>3221</v>
      </c>
    </row>
    <row r="1779" spans="2:61">
      <c r="B1779" s="827"/>
      <c r="C1779" s="311">
        <v>14403</v>
      </c>
      <c r="D1779" s="311" t="s">
        <v>2277</v>
      </c>
      <c r="E1779" s="2099">
        <v>24</v>
      </c>
      <c r="F1779" s="2099">
        <v>10</v>
      </c>
      <c r="G1779" s="2099">
        <v>25.2</v>
      </c>
      <c r="H1779" s="900">
        <f t="shared" ref="H1779:H1788" si="82">+G1779/E1779</f>
        <v>1.05</v>
      </c>
      <c r="I1779" s="2099">
        <f t="shared" ref="I1779:I1788" si="83">+F1779*G1779</f>
        <v>252</v>
      </c>
      <c r="J1779" s="311" t="s">
        <v>3221</v>
      </c>
    </row>
    <row r="1780" spans="2:61">
      <c r="C1780" s="311"/>
      <c r="D1780" s="311" t="s">
        <v>3177</v>
      </c>
      <c r="E1780" s="2099">
        <v>24</v>
      </c>
      <c r="F1780" s="2099">
        <v>10</v>
      </c>
      <c r="G1780" s="2099">
        <v>35</v>
      </c>
      <c r="H1780" s="900">
        <f t="shared" si="82"/>
        <v>1.4583333333333333</v>
      </c>
      <c r="I1780" s="2099">
        <f t="shared" si="83"/>
        <v>350</v>
      </c>
      <c r="J1780" s="311" t="s">
        <v>3221</v>
      </c>
    </row>
    <row r="1781" spans="2:61">
      <c r="C1781" s="311">
        <v>21026</v>
      </c>
      <c r="D1781" s="311" t="s">
        <v>3455</v>
      </c>
      <c r="E1781" s="2099">
        <v>24</v>
      </c>
      <c r="F1781" s="2099">
        <v>10</v>
      </c>
      <c r="G1781" s="2099">
        <v>35</v>
      </c>
      <c r="H1781" s="900">
        <f t="shared" si="82"/>
        <v>1.4583333333333333</v>
      </c>
      <c r="I1781" s="2099">
        <f t="shared" si="83"/>
        <v>350</v>
      </c>
      <c r="J1781" s="311" t="s">
        <v>3221</v>
      </c>
    </row>
    <row r="1782" spans="2:61" ht="15" customHeight="1">
      <c r="C1782" s="311">
        <v>21232</v>
      </c>
      <c r="D1782" s="311" t="s">
        <v>3486</v>
      </c>
      <c r="E1782" s="2099">
        <v>60</v>
      </c>
      <c r="F1782" s="2099">
        <v>2</v>
      </c>
      <c r="G1782" s="2099">
        <v>22.2</v>
      </c>
      <c r="H1782" s="900">
        <f t="shared" si="82"/>
        <v>0.37</v>
      </c>
      <c r="I1782" s="2099">
        <f t="shared" si="83"/>
        <v>44.4</v>
      </c>
      <c r="J1782" s="311" t="s">
        <v>3221</v>
      </c>
    </row>
    <row r="1783" spans="2:61" ht="15" customHeight="1">
      <c r="C1783" s="311">
        <v>9561</v>
      </c>
      <c r="D1783" s="311" t="s">
        <v>5220</v>
      </c>
      <c r="E1783" s="2099">
        <v>60</v>
      </c>
      <c r="F1783" s="2099">
        <v>2</v>
      </c>
      <c r="G1783" s="2099">
        <v>22.2</v>
      </c>
      <c r="H1783" s="900">
        <f t="shared" si="82"/>
        <v>0.37</v>
      </c>
      <c r="I1783" s="2099">
        <f t="shared" si="83"/>
        <v>44.4</v>
      </c>
      <c r="J1783" s="311" t="s">
        <v>3221</v>
      </c>
    </row>
    <row r="1784" spans="2:61" ht="15" customHeight="1">
      <c r="C1784" s="311">
        <v>22387</v>
      </c>
      <c r="D1784" s="311" t="s">
        <v>5221</v>
      </c>
      <c r="E1784" s="2099">
        <v>60</v>
      </c>
      <c r="F1784" s="2099">
        <v>2</v>
      </c>
      <c r="G1784" s="2099">
        <v>22.2</v>
      </c>
      <c r="H1784" s="900">
        <f t="shared" si="82"/>
        <v>0.37</v>
      </c>
      <c r="I1784" s="2099">
        <f t="shared" si="83"/>
        <v>44.4</v>
      </c>
      <c r="J1784" s="311" t="s">
        <v>3221</v>
      </c>
    </row>
    <row r="1785" spans="2:61" ht="15" customHeight="1">
      <c r="C1785" s="311">
        <v>7101</v>
      </c>
      <c r="D1785" s="311" t="s">
        <v>5223</v>
      </c>
      <c r="E1785" s="2099">
        <v>78</v>
      </c>
      <c r="F1785" s="2099">
        <v>2</v>
      </c>
      <c r="G1785" s="2099">
        <v>32.799999999999997</v>
      </c>
      <c r="H1785" s="900">
        <f t="shared" si="82"/>
        <v>0.42051282051282046</v>
      </c>
      <c r="I1785" s="2099">
        <f t="shared" si="83"/>
        <v>65.599999999999994</v>
      </c>
      <c r="J1785" s="311" t="s">
        <v>3221</v>
      </c>
    </row>
    <row r="1786" spans="2:61" s="1594" customFormat="1">
      <c r="C1786" s="311"/>
      <c r="D1786" s="311" t="s">
        <v>5471</v>
      </c>
      <c r="E1786" s="2099">
        <v>288</v>
      </c>
      <c r="F1786" s="2099">
        <v>1</v>
      </c>
      <c r="G1786" s="2099">
        <v>75.599999999999994</v>
      </c>
      <c r="H1786" s="900">
        <f t="shared" si="82"/>
        <v>0.26249999999999996</v>
      </c>
      <c r="I1786" s="2099">
        <f t="shared" si="83"/>
        <v>75.599999999999994</v>
      </c>
      <c r="J1786" s="311" t="s">
        <v>3221</v>
      </c>
      <c r="K1786" s="123"/>
      <c r="L1786" s="123"/>
      <c r="M1786" s="123"/>
      <c r="N1786" s="123"/>
      <c r="O1786" s="123"/>
      <c r="P1786" s="123"/>
      <c r="Q1786" s="123"/>
      <c r="R1786" s="123"/>
      <c r="S1786" s="123"/>
      <c r="T1786" s="123"/>
      <c r="U1786" s="123"/>
      <c r="V1786" s="123"/>
      <c r="W1786" s="123"/>
      <c r="X1786" s="123"/>
      <c r="Y1786" s="123"/>
      <c r="Z1786" s="123"/>
      <c r="AA1786" s="123"/>
      <c r="AB1786" s="123"/>
      <c r="AC1786" s="123"/>
      <c r="AD1786" s="123"/>
      <c r="AE1786" s="123"/>
      <c r="AF1786" s="123"/>
      <c r="AG1786" s="123"/>
      <c r="AH1786" s="123"/>
      <c r="AI1786" s="123"/>
      <c r="AJ1786" s="123"/>
      <c r="AK1786" s="123"/>
      <c r="AL1786" s="123"/>
      <c r="AM1786" s="123"/>
      <c r="AN1786" s="123"/>
      <c r="AO1786" s="123"/>
      <c r="AP1786" s="123"/>
      <c r="AQ1786" s="123"/>
      <c r="AR1786" s="123"/>
      <c r="AS1786" s="123"/>
      <c r="AT1786" s="123"/>
      <c r="AU1786" s="123"/>
      <c r="AV1786" s="123"/>
      <c r="AW1786" s="123"/>
      <c r="AX1786" s="123"/>
      <c r="AY1786" s="123"/>
      <c r="AZ1786" s="123"/>
      <c r="BA1786" s="123"/>
      <c r="BB1786" s="123"/>
      <c r="BC1786" s="123"/>
      <c r="BD1786" s="123"/>
      <c r="BE1786" s="123"/>
      <c r="BF1786" s="123"/>
      <c r="BG1786" s="123"/>
      <c r="BH1786" s="123"/>
      <c r="BI1786" s="123"/>
    </row>
    <row r="1787" spans="2:61" s="1594" customFormat="1">
      <c r="C1787" s="311"/>
      <c r="D1787" s="311" t="s">
        <v>5472</v>
      </c>
      <c r="E1787" s="2099">
        <v>288</v>
      </c>
      <c r="F1787" s="2099">
        <v>1</v>
      </c>
      <c r="G1787" s="2099">
        <v>75.599999999999994</v>
      </c>
      <c r="H1787" s="900">
        <f t="shared" si="82"/>
        <v>0.26249999999999996</v>
      </c>
      <c r="I1787" s="2099">
        <f t="shared" si="83"/>
        <v>75.599999999999994</v>
      </c>
      <c r="J1787" s="311" t="s">
        <v>3221</v>
      </c>
      <c r="K1787" s="123"/>
      <c r="L1787" s="123"/>
      <c r="M1787" s="123"/>
      <c r="N1787" s="123"/>
      <c r="O1787" s="123"/>
      <c r="P1787" s="123"/>
      <c r="Q1787" s="123"/>
      <c r="R1787" s="123"/>
      <c r="S1787" s="123"/>
      <c r="T1787" s="123"/>
      <c r="U1787" s="123"/>
      <c r="V1787" s="123"/>
      <c r="W1787" s="123"/>
      <c r="X1787" s="123"/>
      <c r="Y1787" s="123"/>
      <c r="Z1787" s="123"/>
      <c r="AA1787" s="123"/>
      <c r="AB1787" s="123"/>
      <c r="AC1787" s="123"/>
      <c r="AD1787" s="123"/>
      <c r="AE1787" s="123"/>
      <c r="AF1787" s="123"/>
      <c r="AG1787" s="123"/>
      <c r="AH1787" s="123"/>
      <c r="AI1787" s="123"/>
      <c r="AJ1787" s="123"/>
      <c r="AK1787" s="123"/>
      <c r="AL1787" s="123"/>
      <c r="AM1787" s="123"/>
      <c r="AN1787" s="123"/>
      <c r="AO1787" s="123"/>
      <c r="AP1787" s="123"/>
      <c r="AQ1787" s="123"/>
      <c r="AR1787" s="123"/>
      <c r="AS1787" s="123"/>
      <c r="AT1787" s="123"/>
      <c r="AU1787" s="123"/>
      <c r="AV1787" s="123"/>
      <c r="AW1787" s="123"/>
      <c r="AX1787" s="123"/>
      <c r="AY1787" s="123"/>
      <c r="AZ1787" s="123"/>
      <c r="BA1787" s="123"/>
      <c r="BB1787" s="123"/>
      <c r="BC1787" s="123"/>
      <c r="BD1787" s="123"/>
      <c r="BE1787" s="123"/>
      <c r="BF1787" s="123"/>
      <c r="BG1787" s="123"/>
      <c r="BH1787" s="123"/>
      <c r="BI1787" s="123"/>
    </row>
    <row r="1788" spans="2:61" s="1594" customFormat="1">
      <c r="C1788" s="311"/>
      <c r="D1788" s="311" t="s">
        <v>5473</v>
      </c>
      <c r="E1788" s="2099">
        <v>288</v>
      </c>
      <c r="F1788" s="2099">
        <v>1</v>
      </c>
      <c r="G1788" s="2099">
        <v>75.599999999999994</v>
      </c>
      <c r="H1788" s="900">
        <f t="shared" si="82"/>
        <v>0.26249999999999996</v>
      </c>
      <c r="I1788" s="2099">
        <f t="shared" si="83"/>
        <v>75.599999999999994</v>
      </c>
      <c r="J1788" s="311" t="s">
        <v>3221</v>
      </c>
      <c r="K1788" s="123"/>
      <c r="L1788" s="123"/>
      <c r="M1788" s="123"/>
      <c r="N1788" s="123"/>
      <c r="O1788" s="123"/>
      <c r="P1788" s="123"/>
      <c r="Q1788" s="123"/>
      <c r="R1788" s="123"/>
      <c r="S1788" s="123"/>
      <c r="T1788" s="123"/>
      <c r="U1788" s="123"/>
      <c r="V1788" s="123"/>
      <c r="W1788" s="123"/>
      <c r="X1788" s="123"/>
      <c r="Y1788" s="123"/>
      <c r="Z1788" s="123"/>
      <c r="AA1788" s="123"/>
      <c r="AB1788" s="123"/>
      <c r="AC1788" s="123"/>
      <c r="AD1788" s="123"/>
      <c r="AE1788" s="123"/>
      <c r="AF1788" s="123"/>
      <c r="AG1788" s="123"/>
      <c r="AH1788" s="123"/>
      <c r="AI1788" s="123"/>
      <c r="AJ1788" s="123"/>
      <c r="AK1788" s="123"/>
      <c r="AL1788" s="123"/>
      <c r="AM1788" s="123"/>
      <c r="AN1788" s="123"/>
      <c r="AO1788" s="123"/>
      <c r="AP1788" s="123"/>
      <c r="AQ1788" s="123"/>
      <c r="AR1788" s="123"/>
      <c r="AS1788" s="123"/>
      <c r="AT1788" s="123"/>
      <c r="AU1788" s="123"/>
      <c r="AV1788" s="123"/>
      <c r="AW1788" s="123"/>
      <c r="AX1788" s="123"/>
      <c r="AY1788" s="123"/>
      <c r="AZ1788" s="123"/>
      <c r="BA1788" s="123"/>
      <c r="BB1788" s="123"/>
      <c r="BC1788" s="123"/>
      <c r="BD1788" s="123"/>
      <c r="BE1788" s="123"/>
      <c r="BF1788" s="123"/>
      <c r="BG1788" s="123"/>
      <c r="BH1788" s="123"/>
      <c r="BI1788" s="123"/>
    </row>
    <row r="1789" spans="2:61">
      <c r="C1789" s="2101"/>
      <c r="D1789" s="332"/>
      <c r="E1789" s="2101"/>
      <c r="F1789" s="2101"/>
      <c r="G1789" s="2101"/>
      <c r="H1789" s="963"/>
      <c r="I1789" s="2097">
        <f>SUM(I1761:I1788)</f>
        <v>4178.3</v>
      </c>
      <c r="J1789" s="311" t="s">
        <v>560</v>
      </c>
    </row>
    <row r="1797" spans="3:10" ht="30">
      <c r="D1797" s="2135" t="s">
        <v>6027</v>
      </c>
      <c r="F1797" s="491" t="s">
        <v>68</v>
      </c>
      <c r="G1797" s="2137" t="s">
        <v>903</v>
      </c>
      <c r="I1797" s="101" t="s">
        <v>560</v>
      </c>
    </row>
    <row r="1798" spans="3:10">
      <c r="C1798" s="21"/>
      <c r="D1798" s="1116" t="s">
        <v>5228</v>
      </c>
      <c r="E1798" s="2131">
        <v>24</v>
      </c>
      <c r="F1798" s="2131">
        <v>70</v>
      </c>
      <c r="G1798" s="2131">
        <v>12.9</v>
      </c>
      <c r="H1798" s="978">
        <f t="shared" ref="H1798" si="84">+G1798/E1798</f>
        <v>0.53749999999999998</v>
      </c>
      <c r="I1798" s="2131">
        <f t="shared" ref="I1798" si="85">+F1798*G1798</f>
        <v>903</v>
      </c>
      <c r="J1798" s="311"/>
    </row>
    <row r="1799" spans="3:10">
      <c r="C1799" s="311">
        <v>9579</v>
      </c>
      <c r="D1799" s="311" t="s">
        <v>899</v>
      </c>
      <c r="E1799" s="2133">
        <v>1000</v>
      </c>
      <c r="F1799" s="2133">
        <v>40</v>
      </c>
      <c r="G1799" s="2133">
        <v>4.3</v>
      </c>
      <c r="H1799" s="2117">
        <f t="shared" ref="H1799" si="86">+G1799/E1799</f>
        <v>4.3E-3</v>
      </c>
      <c r="I1799" s="2133">
        <f t="shared" ref="I1799" si="87">+F1799*G1799</f>
        <v>172</v>
      </c>
      <c r="J1799" s="311"/>
    </row>
    <row r="1800" spans="3:10">
      <c r="G1800" s="2132" t="s">
        <v>560</v>
      </c>
      <c r="I1800" s="101">
        <f>SUM(I1798:I1799)</f>
        <v>1075</v>
      </c>
      <c r="J1800" s="123" t="s">
        <v>65</v>
      </c>
    </row>
    <row r="1801" spans="3:10">
      <c r="D1801" s="314" t="s">
        <v>1392</v>
      </c>
    </row>
    <row r="1802" spans="3:10">
      <c r="C1802" s="21"/>
      <c r="D1802" s="1116" t="s">
        <v>5228</v>
      </c>
      <c r="E1802" s="2131">
        <v>24</v>
      </c>
      <c r="F1802" s="2131">
        <v>10</v>
      </c>
      <c r="G1802" s="2131">
        <v>12.9</v>
      </c>
      <c r="H1802" s="978">
        <f t="shared" ref="H1802" si="88">+G1802/E1802</f>
        <v>0.53749999999999998</v>
      </c>
      <c r="I1802" s="2131">
        <f t="shared" ref="I1802" si="89">+F1802*G1802</f>
        <v>129</v>
      </c>
      <c r="J1802" s="311" t="s">
        <v>1392</v>
      </c>
    </row>
    <row r="1803" spans="3:10" ht="15.75" thickBot="1"/>
    <row r="1804" spans="3:10" ht="57.75" customHeight="1" thickBot="1">
      <c r="D1804" s="2221" t="s">
        <v>65</v>
      </c>
      <c r="E1804" s="2220"/>
      <c r="F1804" s="2324" t="s">
        <v>6028</v>
      </c>
      <c r="G1804" s="2325"/>
      <c r="H1804" s="2218"/>
      <c r="I1804" s="1037">
        <f>+I1800-I1802</f>
        <v>946</v>
      </c>
      <c r="J1804" s="2219" t="s">
        <v>560</v>
      </c>
    </row>
    <row r="1806" spans="3:10">
      <c r="F1806" s="2135"/>
    </row>
  </sheetData>
  <sortState ref="C1307:D1445">
    <sortCondition ref="D1307:D1445"/>
  </sortState>
  <mergeCells count="18">
    <mergeCell ref="G1464:H1464"/>
    <mergeCell ref="F1804:G1804"/>
    <mergeCell ref="G1300:H1300"/>
    <mergeCell ref="G536:H536"/>
    <mergeCell ref="D1645:G1645"/>
    <mergeCell ref="D1646:G1646"/>
    <mergeCell ref="G1636:H1636"/>
    <mergeCell ref="G1633:H1633"/>
    <mergeCell ref="G1570:H1570"/>
    <mergeCell ref="E25:H25"/>
    <mergeCell ref="E99:F99"/>
    <mergeCell ref="E98:F98"/>
    <mergeCell ref="E109:F109"/>
    <mergeCell ref="G421:H421"/>
    <mergeCell ref="G304:H304"/>
    <mergeCell ref="G239:H239"/>
    <mergeCell ref="G172:H172"/>
    <mergeCell ref="G173:H173"/>
  </mergeCells>
  <pageMargins left="0.25" right="0.25" top="0.75" bottom="0.75" header="0.3" footer="0.2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2:G8"/>
  <sheetViews>
    <sheetView workbookViewId="0">
      <selection activeCell="E3" sqref="E3"/>
    </sheetView>
  </sheetViews>
  <sheetFormatPr baseColWidth="10" defaultRowHeight="15"/>
  <cols>
    <col min="5" max="5" width="39.7109375" customWidth="1"/>
  </cols>
  <sheetData>
    <row r="2" spans="2:7">
      <c r="E2" t="s">
        <v>2313</v>
      </c>
    </row>
    <row r="5" spans="2:7">
      <c r="B5" s="497" t="s">
        <v>0</v>
      </c>
      <c r="C5" s="260" t="s">
        <v>122</v>
      </c>
      <c r="D5" s="260" t="s">
        <v>547</v>
      </c>
      <c r="E5" s="498" t="s">
        <v>1</v>
      </c>
      <c r="F5" s="260" t="s">
        <v>2311</v>
      </c>
      <c r="G5" s="260" t="s">
        <v>2312</v>
      </c>
    </row>
    <row r="6" spans="2:7">
      <c r="B6" s="33">
        <v>20649</v>
      </c>
      <c r="C6" s="405">
        <v>696</v>
      </c>
      <c r="D6" s="405">
        <v>0.26</v>
      </c>
      <c r="E6" s="499" t="s">
        <v>2308</v>
      </c>
      <c r="F6">
        <v>12</v>
      </c>
      <c r="G6">
        <v>584</v>
      </c>
    </row>
    <row r="7" spans="2:7">
      <c r="B7" s="33">
        <v>20648</v>
      </c>
      <c r="C7" s="405">
        <v>288</v>
      </c>
      <c r="D7" s="405">
        <v>0.44</v>
      </c>
      <c r="E7" s="499" t="s">
        <v>2309</v>
      </c>
      <c r="F7">
        <v>3</v>
      </c>
      <c r="G7">
        <v>285</v>
      </c>
    </row>
    <row r="8" spans="2:7">
      <c r="B8" s="500">
        <v>20647</v>
      </c>
      <c r="C8" s="338">
        <v>180</v>
      </c>
      <c r="D8" s="338">
        <v>1.38</v>
      </c>
      <c r="E8" s="501" t="s">
        <v>2310</v>
      </c>
      <c r="F8">
        <v>27</v>
      </c>
      <c r="G8">
        <v>153</v>
      </c>
    </row>
  </sheetData>
  <pageMargins left="0.7" right="0.7" top="0.75" bottom="0.75" header="0.3" footer="0.3"/>
  <pageSetup paperSize="119" orientation="landscape"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4:G16"/>
  <sheetViews>
    <sheetView workbookViewId="0">
      <selection activeCell="G11" sqref="G11"/>
    </sheetView>
  </sheetViews>
  <sheetFormatPr baseColWidth="10" defaultRowHeight="15"/>
  <cols>
    <col min="3" max="3" width="56.28515625" customWidth="1"/>
    <col min="4" max="4" width="16.28515625" customWidth="1"/>
    <col min="5" max="5" width="13.7109375" customWidth="1"/>
  </cols>
  <sheetData>
    <row r="4" spans="2:7" ht="45">
      <c r="B4" s="426" t="s">
        <v>0</v>
      </c>
      <c r="C4" s="426" t="s">
        <v>1924</v>
      </c>
      <c r="D4" s="425" t="s">
        <v>19</v>
      </c>
      <c r="E4" s="425" t="s">
        <v>20</v>
      </c>
      <c r="F4" s="425" t="s">
        <v>21</v>
      </c>
      <c r="G4" s="17" t="s">
        <v>24</v>
      </c>
    </row>
    <row r="5" spans="2:7">
      <c r="B5" s="426">
        <v>12972</v>
      </c>
      <c r="C5" s="15" t="s">
        <v>1342</v>
      </c>
      <c r="D5" s="426" t="s">
        <v>65</v>
      </c>
      <c r="E5" s="426" t="s">
        <v>591</v>
      </c>
      <c r="F5" s="426" t="s">
        <v>591</v>
      </c>
      <c r="G5" s="405"/>
    </row>
    <row r="6" spans="2:7">
      <c r="B6" s="426">
        <v>16330</v>
      </c>
      <c r="C6" s="15" t="s">
        <v>1343</v>
      </c>
      <c r="D6" s="426" t="s">
        <v>558</v>
      </c>
      <c r="E6" s="426" t="s">
        <v>555</v>
      </c>
      <c r="F6" s="426" t="s">
        <v>546</v>
      </c>
      <c r="G6" s="405" t="s">
        <v>555</v>
      </c>
    </row>
    <row r="7" spans="2:7">
      <c r="B7" s="426">
        <v>16329</v>
      </c>
      <c r="C7" s="15" t="s">
        <v>1344</v>
      </c>
      <c r="D7" s="426" t="s">
        <v>591</v>
      </c>
      <c r="E7" s="426" t="s">
        <v>591</v>
      </c>
      <c r="F7" s="426" t="s">
        <v>677</v>
      </c>
      <c r="G7" s="405" t="s">
        <v>677</v>
      </c>
    </row>
    <row r="8" spans="2:7">
      <c r="B8" s="426">
        <v>9707</v>
      </c>
      <c r="C8" s="15" t="s">
        <v>1345</v>
      </c>
      <c r="D8" s="426" t="s">
        <v>1933</v>
      </c>
      <c r="E8" s="426" t="s">
        <v>591</v>
      </c>
      <c r="F8" s="426" t="s">
        <v>677</v>
      </c>
      <c r="G8" s="405" t="s">
        <v>677</v>
      </c>
    </row>
    <row r="9" spans="2:7">
      <c r="B9" s="426">
        <v>6602</v>
      </c>
      <c r="C9" s="15" t="s">
        <v>1346</v>
      </c>
      <c r="D9" s="426" t="s">
        <v>1933</v>
      </c>
      <c r="E9" s="426" t="s">
        <v>677</v>
      </c>
      <c r="F9" s="426" t="s">
        <v>677</v>
      </c>
      <c r="G9" s="405" t="s">
        <v>677</v>
      </c>
    </row>
    <row r="10" spans="2:7">
      <c r="B10" s="426">
        <v>6920</v>
      </c>
      <c r="C10" s="15" t="s">
        <v>1347</v>
      </c>
      <c r="D10" s="426" t="s">
        <v>1933</v>
      </c>
      <c r="E10" s="426" t="s">
        <v>591</v>
      </c>
      <c r="F10" s="426" t="s">
        <v>591</v>
      </c>
      <c r="G10" s="405" t="s">
        <v>677</v>
      </c>
    </row>
    <row r="11" spans="2:7">
      <c r="B11" s="426">
        <v>6601</v>
      </c>
      <c r="C11" s="15" t="s">
        <v>1348</v>
      </c>
      <c r="D11" s="426" t="s">
        <v>1130</v>
      </c>
      <c r="E11" s="426" t="s">
        <v>558</v>
      </c>
      <c r="F11" s="426" t="s">
        <v>558</v>
      </c>
      <c r="G11" s="405" t="s">
        <v>558</v>
      </c>
    </row>
    <row r="12" spans="2:7" hidden="1">
      <c r="B12" s="405">
        <v>10583</v>
      </c>
      <c r="C12" s="405" t="s">
        <v>1349</v>
      </c>
      <c r="D12" s="426"/>
      <c r="E12" s="426"/>
      <c r="F12" s="426"/>
    </row>
    <row r="13" spans="2:7" hidden="1">
      <c r="B13" s="405">
        <v>10230</v>
      </c>
      <c r="C13" s="405" t="s">
        <v>1350</v>
      </c>
      <c r="D13" s="426"/>
      <c r="E13" s="426"/>
      <c r="F13" s="426"/>
    </row>
    <row r="14" spans="2:7" hidden="1">
      <c r="B14" s="405">
        <v>10824</v>
      </c>
      <c r="C14" s="405" t="s">
        <v>1351</v>
      </c>
      <c r="D14" s="426"/>
      <c r="E14" s="426"/>
      <c r="F14" s="426"/>
    </row>
    <row r="15" spans="2:7" hidden="1">
      <c r="B15" s="405">
        <v>12197</v>
      </c>
      <c r="C15" s="405" t="s">
        <v>1352</v>
      </c>
      <c r="D15" s="426"/>
      <c r="E15" s="426"/>
      <c r="F15" s="426"/>
    </row>
    <row r="16" spans="2:7">
      <c r="D16" s="424"/>
      <c r="E16" s="424"/>
      <c r="F16" s="424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9"/>
  <sheetViews>
    <sheetView topLeftCell="A43" workbookViewId="0">
      <selection activeCell="E44" sqref="E44"/>
    </sheetView>
  </sheetViews>
  <sheetFormatPr baseColWidth="10" defaultRowHeight="15"/>
  <cols>
    <col min="1" max="1" width="11.42578125" style="2132"/>
    <col min="2" max="2" width="21.5703125" style="2208" customWidth="1"/>
    <col min="3" max="3" width="23" style="1201" hidden="1" customWidth="1"/>
    <col min="4" max="4" width="43.85546875" style="1201" customWidth="1"/>
    <col min="5" max="6" width="11.42578125" style="2132"/>
    <col min="7" max="7" width="15.7109375" customWidth="1"/>
    <col min="10" max="10" width="14" customWidth="1"/>
  </cols>
  <sheetData>
    <row r="2" spans="1:13" ht="33.75" customHeight="1">
      <c r="A2" s="2156" t="s">
        <v>5852</v>
      </c>
      <c r="B2" s="2157" t="s">
        <v>565</v>
      </c>
      <c r="C2" s="2158"/>
      <c r="D2" s="2159" t="s">
        <v>793</v>
      </c>
      <c r="E2" s="2159" t="s">
        <v>5853</v>
      </c>
      <c r="F2" s="2160" t="s">
        <v>2647</v>
      </c>
      <c r="G2" s="39" t="s">
        <v>19</v>
      </c>
      <c r="H2" s="39" t="s">
        <v>110</v>
      </c>
      <c r="I2" s="39" t="s">
        <v>111</v>
      </c>
      <c r="J2" s="39" t="s">
        <v>20</v>
      </c>
      <c r="K2" s="39" t="s">
        <v>110</v>
      </c>
      <c r="L2" s="39" t="s">
        <v>111</v>
      </c>
      <c r="M2" s="39" t="s">
        <v>21</v>
      </c>
    </row>
    <row r="3" spans="1:13" ht="15" customHeight="1">
      <c r="A3" s="2150">
        <v>1103002</v>
      </c>
      <c r="B3" s="2161">
        <v>7591221010020</v>
      </c>
      <c r="C3" s="2147">
        <v>17591221410117</v>
      </c>
      <c r="D3" s="2143" t="s">
        <v>5854</v>
      </c>
      <c r="E3" s="2148" t="s">
        <v>5855</v>
      </c>
      <c r="F3" s="2155">
        <v>12</v>
      </c>
      <c r="G3" s="693"/>
      <c r="H3" s="693"/>
      <c r="I3" s="693"/>
      <c r="J3" s="693"/>
      <c r="K3" s="693"/>
      <c r="L3" s="693"/>
      <c r="M3" s="693"/>
    </row>
    <row r="4" spans="1:13" ht="15.75" customHeight="1">
      <c r="A4" s="2150">
        <v>1103152</v>
      </c>
      <c r="B4" s="2161">
        <v>7591221031520</v>
      </c>
      <c r="C4" s="2147">
        <v>17591221031527</v>
      </c>
      <c r="D4" s="2143" t="s">
        <v>5856</v>
      </c>
      <c r="E4" s="2151">
        <v>1059</v>
      </c>
      <c r="F4" s="2155">
        <v>12</v>
      </c>
      <c r="G4" s="693"/>
      <c r="H4" s="693"/>
      <c r="I4" s="693"/>
      <c r="J4" s="693"/>
      <c r="K4" s="693"/>
      <c r="L4" s="693"/>
      <c r="M4" s="693"/>
    </row>
    <row r="5" spans="1:13" ht="15" customHeight="1">
      <c r="A5" s="2150">
        <v>1103003</v>
      </c>
      <c r="B5" s="2161">
        <v>7591221010037</v>
      </c>
      <c r="C5" s="2147">
        <v>17591221410209</v>
      </c>
      <c r="D5" s="2143" t="s">
        <v>5857</v>
      </c>
      <c r="E5" s="2148" t="s">
        <v>5858</v>
      </c>
      <c r="F5" s="2155">
        <v>12</v>
      </c>
      <c r="G5" s="693"/>
      <c r="H5" s="693"/>
      <c r="I5" s="693"/>
      <c r="J5" s="693"/>
      <c r="K5" s="693"/>
      <c r="L5" s="693"/>
      <c r="M5" s="693"/>
    </row>
    <row r="6" spans="1:13" ht="15" customHeight="1">
      <c r="A6" s="2149">
        <v>1103011</v>
      </c>
      <c r="B6" s="2162">
        <v>7591221010075</v>
      </c>
      <c r="C6" s="2147">
        <v>17591221410353</v>
      </c>
      <c r="D6" s="2143" t="s">
        <v>5859</v>
      </c>
      <c r="E6" s="2148" t="s">
        <v>5801</v>
      </c>
      <c r="F6" s="2155">
        <v>12</v>
      </c>
      <c r="G6" s="693"/>
      <c r="H6" s="693"/>
      <c r="I6" s="693"/>
      <c r="J6" s="693"/>
      <c r="K6" s="693"/>
      <c r="L6" s="693"/>
      <c r="M6" s="693"/>
    </row>
    <row r="7" spans="1:13" ht="15.75" customHeight="1">
      <c r="A7" s="2149">
        <v>1103020</v>
      </c>
      <c r="B7" s="2161">
        <v>7591221010259</v>
      </c>
      <c r="C7" s="2145">
        <v>17591221410513</v>
      </c>
      <c r="D7" s="2143" t="s">
        <v>5860</v>
      </c>
      <c r="E7" s="2148" t="s">
        <v>5797</v>
      </c>
      <c r="F7" s="2155">
        <v>12</v>
      </c>
      <c r="G7" s="693"/>
      <c r="H7" s="693"/>
      <c r="I7" s="693"/>
      <c r="J7" s="693"/>
      <c r="K7" s="693"/>
      <c r="L7" s="693"/>
      <c r="M7" s="693"/>
    </row>
    <row r="8" spans="1:13" ht="15.75" customHeight="1">
      <c r="A8" s="2149">
        <v>1103022</v>
      </c>
      <c r="B8" s="2161">
        <v>7591221010266</v>
      </c>
      <c r="C8" s="2143" t="s">
        <v>5861</v>
      </c>
      <c r="D8" s="2143" t="s">
        <v>5862</v>
      </c>
      <c r="E8" s="2148" t="s">
        <v>5863</v>
      </c>
      <c r="F8" s="2155">
        <v>12</v>
      </c>
      <c r="G8" s="693"/>
      <c r="H8" s="693"/>
      <c r="I8" s="693"/>
      <c r="J8" s="693"/>
      <c r="K8" s="693"/>
      <c r="L8" s="693"/>
      <c r="M8" s="693"/>
    </row>
    <row r="9" spans="1:13" ht="15" customHeight="1">
      <c r="A9" s="2151">
        <v>1103039</v>
      </c>
      <c r="B9" s="2161">
        <v>7591221010365</v>
      </c>
      <c r="C9" s="2147">
        <v>17591221410841</v>
      </c>
      <c r="D9" s="2143" t="s">
        <v>5864</v>
      </c>
      <c r="E9" s="2148" t="s">
        <v>5865</v>
      </c>
      <c r="F9" s="2155">
        <v>12</v>
      </c>
      <c r="G9" s="693"/>
      <c r="H9" s="693"/>
      <c r="I9" s="693"/>
      <c r="J9" s="693"/>
      <c r="K9" s="693"/>
      <c r="L9" s="693"/>
      <c r="M9" s="693"/>
    </row>
    <row r="10" spans="1:13" ht="15" customHeight="1">
      <c r="A10" s="2151">
        <v>1103048</v>
      </c>
      <c r="B10" s="2163">
        <v>7591221010396</v>
      </c>
      <c r="C10" s="2145">
        <v>17591221410971</v>
      </c>
      <c r="D10" s="2143" t="s">
        <v>5866</v>
      </c>
      <c r="E10" s="2148" t="s">
        <v>5867</v>
      </c>
      <c r="F10" s="2155">
        <v>12</v>
      </c>
      <c r="G10" s="693"/>
      <c r="H10" s="693"/>
      <c r="I10" s="693"/>
      <c r="J10" s="693"/>
      <c r="K10" s="693"/>
      <c r="L10" s="693"/>
      <c r="M10" s="693"/>
    </row>
    <row r="11" spans="1:13" ht="15" customHeight="1">
      <c r="A11" s="2151">
        <v>1103054</v>
      </c>
      <c r="B11" s="2161">
        <v>7591221010426</v>
      </c>
      <c r="C11" s="2145">
        <v>17591221411077</v>
      </c>
      <c r="D11" s="2143" t="s">
        <v>5868</v>
      </c>
      <c r="E11" s="2148" t="s">
        <v>5869</v>
      </c>
      <c r="F11" s="2155">
        <v>12</v>
      </c>
      <c r="G11" s="693"/>
      <c r="H11" s="693"/>
      <c r="I11" s="693"/>
      <c r="J11" s="693"/>
      <c r="K11" s="693"/>
      <c r="L11" s="693"/>
      <c r="M11" s="693"/>
    </row>
    <row r="12" spans="1:13" ht="15" customHeight="1">
      <c r="A12" s="2151">
        <v>1103055</v>
      </c>
      <c r="B12" s="2163">
        <v>7591221010433</v>
      </c>
      <c r="C12" s="2143" t="s">
        <v>5870</v>
      </c>
      <c r="D12" s="2143" t="s">
        <v>5871</v>
      </c>
      <c r="E12" s="2148" t="s">
        <v>5869</v>
      </c>
      <c r="F12" s="2155">
        <v>12</v>
      </c>
      <c r="G12" s="693"/>
      <c r="H12" s="693"/>
      <c r="I12" s="693"/>
      <c r="J12" s="693"/>
      <c r="K12" s="693"/>
      <c r="L12" s="693"/>
      <c r="M12" s="693"/>
    </row>
    <row r="13" spans="1:13" ht="15" customHeight="1">
      <c r="A13" s="2151">
        <v>1103074</v>
      </c>
      <c r="B13" s="2161">
        <v>7591221010563</v>
      </c>
      <c r="C13" s="2164">
        <v>17591221411336</v>
      </c>
      <c r="D13" s="2143" t="s">
        <v>5872</v>
      </c>
      <c r="E13" s="2165" t="s">
        <v>5873</v>
      </c>
      <c r="F13" s="2153">
        <v>12</v>
      </c>
      <c r="G13" s="693"/>
      <c r="H13" s="693"/>
      <c r="I13" s="693"/>
      <c r="J13" s="693"/>
      <c r="K13" s="693"/>
      <c r="L13" s="693"/>
      <c r="M13" s="693"/>
    </row>
    <row r="14" spans="1:13" ht="15.75" customHeight="1">
      <c r="A14" s="2151">
        <v>1103076</v>
      </c>
      <c r="B14" s="2161">
        <v>7591221010567</v>
      </c>
      <c r="C14" s="2145">
        <v>17591221411374</v>
      </c>
      <c r="D14" s="2143" t="s">
        <v>5874</v>
      </c>
      <c r="E14" s="2148" t="s">
        <v>5798</v>
      </c>
      <c r="F14" s="2153">
        <v>12</v>
      </c>
      <c r="G14" s="693"/>
      <c r="H14" s="693"/>
      <c r="I14" s="693"/>
      <c r="J14" s="693"/>
      <c r="K14" s="693"/>
      <c r="L14" s="693"/>
      <c r="M14" s="693"/>
    </row>
    <row r="15" spans="1:13" ht="15" customHeight="1">
      <c r="A15" s="2151">
        <v>1103156</v>
      </c>
      <c r="B15" s="2162">
        <v>7591221001080</v>
      </c>
      <c r="C15" s="2145">
        <v>17591221411458</v>
      </c>
      <c r="D15" s="2143" t="s">
        <v>5875</v>
      </c>
      <c r="E15" s="2148" t="s">
        <v>5876</v>
      </c>
      <c r="F15" s="2154">
        <v>12</v>
      </c>
      <c r="G15" s="693"/>
      <c r="H15" s="693"/>
      <c r="I15" s="693"/>
      <c r="J15" s="693"/>
      <c r="K15" s="693"/>
      <c r="L15" s="693"/>
      <c r="M15" s="693"/>
    </row>
    <row r="16" spans="1:13" ht="15.75" customHeight="1">
      <c r="A16" s="2148" t="s">
        <v>5877</v>
      </c>
      <c r="B16" s="2163">
        <v>7591221010617</v>
      </c>
      <c r="C16" s="2143" t="s">
        <v>5878</v>
      </c>
      <c r="D16" s="2143" t="s">
        <v>5879</v>
      </c>
      <c r="E16" s="2165" t="s">
        <v>5880</v>
      </c>
      <c r="F16" s="2154">
        <v>12</v>
      </c>
      <c r="G16" s="693"/>
      <c r="H16" s="693"/>
      <c r="I16" s="693"/>
      <c r="J16" s="693"/>
      <c r="K16" s="693"/>
      <c r="L16" s="693"/>
      <c r="M16" s="693"/>
    </row>
    <row r="17" spans="1:13" ht="15.75" customHeight="1">
      <c r="A17" s="2148" t="s">
        <v>5881</v>
      </c>
      <c r="B17" s="2162">
        <v>7591221010648</v>
      </c>
      <c r="C17" s="2145">
        <v>17591221411497</v>
      </c>
      <c r="D17" s="2143" t="s">
        <v>5882</v>
      </c>
      <c r="E17" s="2148" t="s">
        <v>5799</v>
      </c>
      <c r="F17" s="2153">
        <v>12</v>
      </c>
      <c r="G17" s="693"/>
      <c r="H17" s="693"/>
      <c r="I17" s="693"/>
      <c r="J17" s="693"/>
      <c r="K17" s="693"/>
      <c r="L17" s="693"/>
      <c r="M17" s="693"/>
    </row>
    <row r="18" spans="1:13" ht="15" customHeight="1">
      <c r="A18" s="2149">
        <v>1103091</v>
      </c>
      <c r="B18" s="2161">
        <v>1591221010662</v>
      </c>
      <c r="C18" s="2147">
        <v>17591221118402</v>
      </c>
      <c r="D18" s="2143" t="s">
        <v>5883</v>
      </c>
      <c r="E18" s="2148" t="s">
        <v>5858</v>
      </c>
      <c r="F18" s="2154">
        <v>12</v>
      </c>
      <c r="G18" s="693"/>
      <c r="H18" s="693"/>
      <c r="I18" s="693"/>
      <c r="J18" s="693"/>
      <c r="K18" s="693"/>
      <c r="L18" s="693"/>
      <c r="M18" s="693"/>
    </row>
    <row r="19" spans="1:13" ht="15.75" customHeight="1">
      <c r="A19" s="2150">
        <v>1103092</v>
      </c>
      <c r="B19" s="2161">
        <v>71591221010679</v>
      </c>
      <c r="C19" s="2143" t="s">
        <v>5884</v>
      </c>
      <c r="D19" s="2143" t="s">
        <v>5885</v>
      </c>
      <c r="E19" s="2148" t="s">
        <v>5800</v>
      </c>
      <c r="F19" s="2153">
        <v>12</v>
      </c>
      <c r="G19" s="693"/>
      <c r="H19" s="693"/>
      <c r="I19" s="693"/>
      <c r="J19" s="693"/>
      <c r="K19" s="693"/>
      <c r="L19" s="693"/>
      <c r="M19" s="693"/>
    </row>
    <row r="20" spans="1:13" ht="15.75" customHeight="1">
      <c r="A20" s="2150">
        <v>1103097</v>
      </c>
      <c r="B20" s="2162">
        <v>7591221010709</v>
      </c>
      <c r="C20" s="2147">
        <v>17591221411671</v>
      </c>
      <c r="D20" s="2166" t="s">
        <v>5808</v>
      </c>
      <c r="E20" s="2148" t="s">
        <v>5886</v>
      </c>
      <c r="F20" s="2153">
        <v>12</v>
      </c>
      <c r="G20" s="693"/>
      <c r="H20" s="693"/>
      <c r="I20" s="693"/>
      <c r="J20" s="693"/>
      <c r="K20" s="693"/>
      <c r="L20" s="693"/>
      <c r="M20" s="693"/>
    </row>
    <row r="21" spans="1:13" ht="15.75" customHeight="1">
      <c r="A21" s="2149">
        <v>1103098</v>
      </c>
      <c r="B21" s="2162">
        <v>1591221010123</v>
      </c>
      <c r="C21" s="2145">
        <v>17591221411701</v>
      </c>
      <c r="D21" s="2143" t="s">
        <v>5887</v>
      </c>
      <c r="E21" s="2148" t="s">
        <v>5801</v>
      </c>
      <c r="F21" s="2154">
        <v>12</v>
      </c>
      <c r="G21" s="693"/>
      <c r="H21" s="693"/>
      <c r="I21" s="693"/>
      <c r="J21" s="693"/>
      <c r="K21" s="693"/>
      <c r="L21" s="693"/>
      <c r="M21" s="693"/>
    </row>
    <row r="22" spans="1:13" ht="15.75" customHeight="1">
      <c r="A22" s="2150">
        <v>1103105</v>
      </c>
      <c r="B22" s="2162">
        <v>1591221010754</v>
      </c>
      <c r="C22" s="2145">
        <v>17591221411756</v>
      </c>
      <c r="D22" s="2143" t="s">
        <v>5888</v>
      </c>
      <c r="E22" s="2148" t="s">
        <v>5802</v>
      </c>
      <c r="F22" s="2153">
        <v>12</v>
      </c>
      <c r="G22" s="693"/>
      <c r="H22" s="693"/>
      <c r="I22" s="693"/>
      <c r="J22" s="693"/>
      <c r="K22" s="693"/>
      <c r="L22" s="693"/>
      <c r="M22" s="693"/>
    </row>
    <row r="23" spans="1:13" ht="15.75" customHeight="1">
      <c r="A23" s="2149">
        <v>1103115</v>
      </c>
      <c r="B23" s="2161">
        <v>7591221010785</v>
      </c>
      <c r="C23" s="2145">
        <v>17591221411624</v>
      </c>
      <c r="D23" s="2143" t="s">
        <v>5889</v>
      </c>
      <c r="E23" s="2148" t="s">
        <v>5802</v>
      </c>
      <c r="F23" s="2155">
        <v>12</v>
      </c>
      <c r="G23" s="693"/>
      <c r="H23" s="693"/>
      <c r="I23" s="693"/>
      <c r="J23" s="693"/>
      <c r="K23" s="693"/>
      <c r="L23" s="693"/>
      <c r="M23" s="693"/>
    </row>
    <row r="24" spans="1:13" ht="15" customHeight="1">
      <c r="A24" s="2148" t="s">
        <v>5890</v>
      </c>
      <c r="B24" s="2162">
        <v>1591221010815</v>
      </c>
      <c r="C24" s="2145">
        <v>17591221411923</v>
      </c>
      <c r="D24" s="2143" t="s">
        <v>5891</v>
      </c>
      <c r="E24" s="2148" t="s">
        <v>5892</v>
      </c>
      <c r="F24" s="2153">
        <v>12</v>
      </c>
      <c r="G24" s="693"/>
      <c r="H24" s="693"/>
      <c r="I24" s="693"/>
      <c r="J24" s="693"/>
      <c r="K24" s="693"/>
      <c r="L24" s="693"/>
      <c r="M24" s="693"/>
    </row>
    <row r="25" spans="1:13" ht="15" customHeight="1">
      <c r="A25" s="2148" t="s">
        <v>5893</v>
      </c>
      <c r="B25" s="2161">
        <v>7591221010839</v>
      </c>
      <c r="C25" s="2147">
        <v>17591221411978</v>
      </c>
      <c r="D25" s="2166" t="s">
        <v>5809</v>
      </c>
      <c r="E25" s="2148" t="s">
        <v>5894</v>
      </c>
      <c r="F25" s="2153">
        <v>12</v>
      </c>
      <c r="G25" s="693"/>
      <c r="H25" s="693"/>
      <c r="I25" s="693"/>
      <c r="J25" s="693"/>
      <c r="K25" s="693"/>
      <c r="L25" s="693"/>
      <c r="M25" s="693"/>
    </row>
    <row r="26" spans="1:13" ht="15.75" customHeight="1">
      <c r="A26" s="2149">
        <v>1103121</v>
      </c>
      <c r="B26" s="2162">
        <v>7591221010853</v>
      </c>
      <c r="C26" s="2145">
        <v>17591221412012</v>
      </c>
      <c r="D26" s="2166" t="s">
        <v>5810</v>
      </c>
      <c r="E26" s="2148" t="s">
        <v>5895</v>
      </c>
      <c r="F26" s="2153">
        <v>12</v>
      </c>
      <c r="G26" s="693"/>
      <c r="H26" s="693"/>
      <c r="I26" s="693"/>
      <c r="J26" s="693"/>
      <c r="K26" s="693"/>
      <c r="L26" s="693"/>
      <c r="M26" s="693"/>
    </row>
    <row r="27" spans="1:13" ht="15" customHeight="1">
      <c r="A27" s="2149">
        <v>1103123</v>
      </c>
      <c r="B27" s="2161">
        <v>7591221010877</v>
      </c>
      <c r="C27" s="2147">
        <v>17591221412050</v>
      </c>
      <c r="D27" s="2143" t="s">
        <v>5896</v>
      </c>
      <c r="E27" s="2148" t="s">
        <v>5858</v>
      </c>
      <c r="F27" s="2154">
        <v>12</v>
      </c>
      <c r="G27" s="693"/>
      <c r="H27" s="693"/>
      <c r="I27" s="693"/>
      <c r="J27" s="693"/>
      <c r="K27" s="693"/>
      <c r="L27" s="693"/>
      <c r="M27" s="693"/>
    </row>
    <row r="28" spans="1:13" ht="15" customHeight="1">
      <c r="A28" s="2165" t="s">
        <v>5897</v>
      </c>
      <c r="B28" s="2167">
        <v>7591221031544</v>
      </c>
      <c r="C28" s="2168" t="s">
        <v>5898</v>
      </c>
      <c r="D28" s="2143" t="s">
        <v>5899</v>
      </c>
      <c r="E28" s="2165" t="s">
        <v>5900</v>
      </c>
      <c r="F28" s="2155">
        <v>12</v>
      </c>
      <c r="G28" s="693"/>
      <c r="H28" s="693"/>
      <c r="I28" s="693"/>
      <c r="J28" s="693"/>
      <c r="K28" s="693"/>
      <c r="L28" s="693"/>
      <c r="M28" s="693"/>
    </row>
    <row r="29" spans="1:13" ht="15" customHeight="1">
      <c r="A29" s="2149">
        <v>1103130</v>
      </c>
      <c r="B29" s="2161">
        <v>7591221010891</v>
      </c>
      <c r="C29" s="2169">
        <v>175912212098</v>
      </c>
      <c r="D29" s="2143" t="s">
        <v>5901</v>
      </c>
      <c r="E29" s="2148" t="s">
        <v>5892</v>
      </c>
      <c r="F29" s="2155">
        <v>12</v>
      </c>
      <c r="G29" s="693"/>
      <c r="H29" s="693"/>
      <c r="I29" s="693"/>
      <c r="J29" s="693"/>
      <c r="K29" s="693"/>
      <c r="L29" s="693"/>
      <c r="M29" s="693"/>
    </row>
    <row r="30" spans="1:13" ht="15" customHeight="1">
      <c r="A30" s="2149">
        <v>1103132</v>
      </c>
      <c r="B30" s="2162">
        <v>7591221031322</v>
      </c>
      <c r="C30" s="2147">
        <v>17591221031329</v>
      </c>
      <c r="D30" s="2143" t="s">
        <v>5902</v>
      </c>
      <c r="E30" s="2148" t="s">
        <v>5903</v>
      </c>
      <c r="F30" s="2155">
        <v>12</v>
      </c>
      <c r="G30" s="693"/>
      <c r="H30" s="693"/>
      <c r="I30" s="693"/>
      <c r="J30" s="693"/>
      <c r="K30" s="693"/>
      <c r="L30" s="693"/>
      <c r="M30" s="693"/>
    </row>
    <row r="31" spans="1:13" ht="15" customHeight="1">
      <c r="A31" s="2170">
        <v>1103134</v>
      </c>
      <c r="B31" s="2161">
        <v>7591221031346</v>
      </c>
      <c r="C31" s="2145">
        <v>17591221031343</v>
      </c>
      <c r="D31" s="2143" t="s">
        <v>5904</v>
      </c>
      <c r="E31" s="2148" t="s">
        <v>5905</v>
      </c>
      <c r="F31" s="2153">
        <v>12</v>
      </c>
      <c r="G31" s="693"/>
      <c r="H31" s="693"/>
      <c r="I31" s="693"/>
      <c r="J31" s="693"/>
      <c r="K31" s="693"/>
      <c r="L31" s="693"/>
      <c r="M31" s="693"/>
    </row>
    <row r="32" spans="1:13" ht="15" customHeight="1">
      <c r="A32" s="2149">
        <v>1103136</v>
      </c>
      <c r="B32" s="2162">
        <v>7591221031360</v>
      </c>
      <c r="C32" s="2143" t="s">
        <v>5906</v>
      </c>
      <c r="D32" s="2143" t="s">
        <v>5907</v>
      </c>
      <c r="E32" s="2148" t="s">
        <v>5908</v>
      </c>
      <c r="F32" s="2155">
        <v>12</v>
      </c>
      <c r="G32" s="693"/>
      <c r="H32" s="693"/>
      <c r="I32" s="693"/>
      <c r="J32" s="693"/>
      <c r="K32" s="693"/>
      <c r="L32" s="693"/>
      <c r="M32" s="693"/>
    </row>
    <row r="33" spans="1:13" ht="15.75" customHeight="1">
      <c r="A33" s="2151">
        <v>1161125</v>
      </c>
      <c r="B33" s="2161">
        <v>7591221611258</v>
      </c>
      <c r="C33" s="2146">
        <v>47591221611258</v>
      </c>
      <c r="D33" s="2143" t="s">
        <v>5909</v>
      </c>
      <c r="E33" s="2148" t="s">
        <v>5910</v>
      </c>
      <c r="F33" s="2153">
        <v>24</v>
      </c>
      <c r="G33" s="693"/>
      <c r="H33" s="693"/>
      <c r="I33" s="693"/>
      <c r="J33" s="693"/>
      <c r="K33" s="693"/>
      <c r="L33" s="693"/>
      <c r="M33" s="693"/>
    </row>
    <row r="34" spans="1:13" ht="15.75" customHeight="1">
      <c r="A34" s="2151">
        <v>1161002</v>
      </c>
      <c r="B34" s="2162">
        <v>7591221610022</v>
      </c>
      <c r="C34" s="2146">
        <v>47591221810020</v>
      </c>
      <c r="D34" s="2143" t="s">
        <v>5911</v>
      </c>
      <c r="E34" s="2148" t="s">
        <v>5912</v>
      </c>
      <c r="F34" s="2153">
        <v>24</v>
      </c>
      <c r="G34" s="693"/>
      <c r="H34" s="693"/>
      <c r="I34" s="693"/>
      <c r="J34" s="693"/>
      <c r="K34" s="693"/>
      <c r="L34" s="693"/>
      <c r="M34" s="693"/>
    </row>
    <row r="35" spans="1:13" ht="15.75" customHeight="1">
      <c r="A35" s="2149">
        <v>1161152</v>
      </c>
      <c r="B35" s="2162">
        <v>7591221611524</v>
      </c>
      <c r="C35" s="2145">
        <v>37591221611525</v>
      </c>
      <c r="D35" s="2168" t="s">
        <v>5913</v>
      </c>
      <c r="E35" s="2148" t="s">
        <v>5892</v>
      </c>
      <c r="F35" s="2153">
        <v>24</v>
      </c>
      <c r="G35" s="693"/>
      <c r="H35" s="693"/>
      <c r="I35" s="693"/>
      <c r="J35" s="693"/>
      <c r="K35" s="693"/>
      <c r="L35" s="693"/>
      <c r="M35" s="693"/>
    </row>
    <row r="36" spans="1:13" ht="15.75" customHeight="1">
      <c r="A36" s="2151">
        <v>1161039</v>
      </c>
      <c r="B36" s="2161">
        <v>7591221610398</v>
      </c>
      <c r="C36" s="2145">
        <v>27591221610392</v>
      </c>
      <c r="D36" s="2143" t="s">
        <v>5914</v>
      </c>
      <c r="E36" s="2148" t="s">
        <v>5915</v>
      </c>
      <c r="F36" s="2154">
        <v>24</v>
      </c>
      <c r="G36" s="693"/>
      <c r="H36" s="693"/>
      <c r="I36" s="693"/>
      <c r="J36" s="693"/>
      <c r="K36" s="693"/>
      <c r="L36" s="693"/>
      <c r="M36" s="693"/>
    </row>
    <row r="37" spans="1:13" ht="15.75" customHeight="1">
      <c r="A37" s="2151">
        <v>1161046</v>
      </c>
      <c r="B37" s="2161">
        <v>7591221610466</v>
      </c>
      <c r="C37" s="2145">
        <v>37591221610467</v>
      </c>
      <c r="D37" s="2143" t="s">
        <v>5916</v>
      </c>
      <c r="E37" s="2148" t="s">
        <v>5858</v>
      </c>
      <c r="F37" s="2153">
        <v>24</v>
      </c>
      <c r="G37" s="693"/>
      <c r="H37" s="693"/>
      <c r="I37" s="693"/>
      <c r="J37" s="693"/>
      <c r="K37" s="693"/>
      <c r="L37" s="693"/>
      <c r="M37" s="693"/>
    </row>
    <row r="38" spans="1:13" ht="15.75" customHeight="1">
      <c r="A38" s="2151">
        <v>1161055</v>
      </c>
      <c r="B38" s="2163" t="s">
        <v>5917</v>
      </c>
      <c r="C38" s="2147">
        <v>31591221610559</v>
      </c>
      <c r="D38" s="2143" t="s">
        <v>5918</v>
      </c>
      <c r="E38" s="2148" t="s">
        <v>5919</v>
      </c>
      <c r="F38" s="2153">
        <v>24</v>
      </c>
      <c r="G38" s="693"/>
      <c r="H38" s="693"/>
      <c r="I38" s="693"/>
      <c r="J38" s="693"/>
      <c r="K38" s="693"/>
      <c r="L38" s="693"/>
      <c r="M38" s="693"/>
    </row>
    <row r="39" spans="1:13" ht="15.75" customHeight="1">
      <c r="A39" s="2148" t="s">
        <v>5920</v>
      </c>
      <c r="B39" s="2163" t="s">
        <v>5921</v>
      </c>
      <c r="C39" s="2143" t="s">
        <v>5922</v>
      </c>
      <c r="D39" s="2168" t="s">
        <v>5923</v>
      </c>
      <c r="E39" s="2148" t="s">
        <v>5924</v>
      </c>
      <c r="F39" s="2155">
        <v>24</v>
      </c>
      <c r="G39" s="693"/>
      <c r="H39" s="693"/>
      <c r="I39" s="693"/>
      <c r="J39" s="693"/>
      <c r="K39" s="693"/>
      <c r="L39" s="693"/>
      <c r="M39" s="693"/>
    </row>
    <row r="40" spans="1:13" ht="15.75" customHeight="1">
      <c r="A40" s="2151">
        <v>1161091</v>
      </c>
      <c r="B40" s="2161">
        <v>7591221610916</v>
      </c>
      <c r="C40" s="2145">
        <v>37591221610917</v>
      </c>
      <c r="D40" s="2143" t="s">
        <v>5925</v>
      </c>
      <c r="E40" s="2148" t="s">
        <v>5803</v>
      </c>
      <c r="F40" s="2153">
        <v>24</v>
      </c>
      <c r="G40" s="693"/>
      <c r="H40" s="693"/>
      <c r="I40" s="693"/>
      <c r="J40" s="693"/>
      <c r="K40" s="693"/>
      <c r="L40" s="693"/>
      <c r="M40" s="693"/>
    </row>
    <row r="41" spans="1:13" ht="15.75" customHeight="1">
      <c r="A41" s="2151">
        <v>1161115</v>
      </c>
      <c r="B41" s="2167" t="s">
        <v>5926</v>
      </c>
      <c r="C41" s="2145">
        <v>47591221611157</v>
      </c>
      <c r="D41" s="2143" t="s">
        <v>5927</v>
      </c>
      <c r="E41" s="2165" t="s">
        <v>5928</v>
      </c>
      <c r="F41" s="2153">
        <v>24</v>
      </c>
      <c r="G41" s="693"/>
      <c r="H41" s="693"/>
      <c r="I41" s="693"/>
      <c r="J41" s="693"/>
      <c r="K41" s="693"/>
      <c r="L41" s="693"/>
      <c r="M41" s="693"/>
    </row>
    <row r="42" spans="1:13" ht="15.75" customHeight="1">
      <c r="A42" s="2148" t="s">
        <v>5929</v>
      </c>
      <c r="B42" s="2163">
        <v>7591221611272</v>
      </c>
      <c r="C42" s="2143" t="s">
        <v>5930</v>
      </c>
      <c r="D42" s="2143" t="s">
        <v>5931</v>
      </c>
      <c r="E42" s="2148" t="s">
        <v>5892</v>
      </c>
      <c r="F42" s="2154">
        <v>24</v>
      </c>
      <c r="G42" s="693"/>
      <c r="H42" s="693"/>
      <c r="I42" s="693"/>
      <c r="J42" s="693"/>
      <c r="K42" s="693"/>
      <c r="L42" s="693"/>
      <c r="M42" s="693"/>
    </row>
    <row r="43" spans="1:13" ht="15.75" customHeight="1">
      <c r="A43" s="2171">
        <v>11111</v>
      </c>
      <c r="B43" s="2172" t="s">
        <v>5932</v>
      </c>
      <c r="C43" s="2173">
        <v>37591221411385</v>
      </c>
      <c r="D43" s="2144" t="s">
        <v>5933</v>
      </c>
      <c r="E43" s="2152" t="s">
        <v>5798</v>
      </c>
      <c r="F43" s="2154">
        <v>24</v>
      </c>
      <c r="G43" s="693"/>
      <c r="H43" s="693"/>
      <c r="I43" s="693"/>
      <c r="J43" s="693"/>
      <c r="K43" s="693"/>
      <c r="L43" s="693"/>
      <c r="M43" s="693"/>
    </row>
    <row r="44" spans="1:13" ht="15.75" customHeight="1">
      <c r="A44" s="2165">
        <v>114601</v>
      </c>
      <c r="B44" s="2167">
        <v>7591221140093</v>
      </c>
      <c r="C44" s="2145">
        <v>37591221410432</v>
      </c>
      <c r="D44" s="2143" t="s">
        <v>5934</v>
      </c>
      <c r="E44" s="2165" t="s">
        <v>5935</v>
      </c>
      <c r="F44" s="2155">
        <v>24</v>
      </c>
      <c r="G44" s="693"/>
      <c r="H44" s="693"/>
      <c r="I44" s="693"/>
      <c r="J44" s="693"/>
      <c r="K44" s="693"/>
      <c r="L44" s="693"/>
      <c r="M44" s="693"/>
    </row>
    <row r="45" spans="1:13" ht="15" customHeight="1">
      <c r="A45" s="2149">
        <v>1147020</v>
      </c>
      <c r="B45" s="2163">
        <v>7591221150252</v>
      </c>
      <c r="C45" s="2143" t="s">
        <v>5936</v>
      </c>
      <c r="D45" s="2143" t="s">
        <v>5937</v>
      </c>
      <c r="E45" s="2165" t="s">
        <v>5938</v>
      </c>
      <c r="F45" s="2160" t="s">
        <v>5939</v>
      </c>
      <c r="G45" s="693"/>
      <c r="H45" s="693"/>
      <c r="I45" s="693"/>
      <c r="J45" s="693"/>
      <c r="K45" s="693"/>
      <c r="L45" s="693"/>
      <c r="M45" s="693"/>
    </row>
    <row r="46" spans="1:13" ht="15.75" customHeight="1">
      <c r="A46" s="2148" t="s">
        <v>5940</v>
      </c>
      <c r="B46" s="2163">
        <v>1591221150337</v>
      </c>
      <c r="C46" s="2143" t="s">
        <v>5941</v>
      </c>
      <c r="D46" s="2143" t="s">
        <v>5942</v>
      </c>
      <c r="E46" s="2148" t="s">
        <v>5804</v>
      </c>
      <c r="F46" s="2153">
        <v>24</v>
      </c>
      <c r="G46" s="693"/>
      <c r="H46" s="693"/>
      <c r="I46" s="693"/>
      <c r="J46" s="693"/>
      <c r="K46" s="693"/>
      <c r="L46" s="693"/>
      <c r="M46" s="693"/>
    </row>
    <row r="47" spans="1:13" ht="15.75" customHeight="1">
      <c r="A47" s="2171">
        <v>1130125</v>
      </c>
      <c r="B47" s="2174">
        <v>7591221301258</v>
      </c>
      <c r="C47" s="2175">
        <v>17591221301255</v>
      </c>
      <c r="D47" s="2144" t="s">
        <v>5943</v>
      </c>
      <c r="E47" s="2171" t="s">
        <v>5944</v>
      </c>
      <c r="F47" s="2154">
        <v>6</v>
      </c>
      <c r="G47" s="693"/>
      <c r="H47" s="693"/>
      <c r="I47" s="693"/>
      <c r="J47" s="693"/>
      <c r="K47" s="693"/>
      <c r="L47" s="693"/>
      <c r="M47" s="693"/>
    </row>
    <row r="48" spans="1:13" ht="15.75" customHeight="1">
      <c r="A48" s="2148" t="s">
        <v>5945</v>
      </c>
      <c r="B48" s="2162">
        <v>7591221090022</v>
      </c>
      <c r="C48" s="2146">
        <v>47591221410149</v>
      </c>
      <c r="D48" s="2166" t="s">
        <v>5811</v>
      </c>
      <c r="E48" s="2148" t="s">
        <v>5805</v>
      </c>
      <c r="F48" s="2153">
        <v>6</v>
      </c>
      <c r="G48" s="693"/>
      <c r="H48" s="693"/>
      <c r="I48" s="693"/>
      <c r="J48" s="693"/>
      <c r="K48" s="693"/>
      <c r="L48" s="693"/>
      <c r="M48" s="693"/>
    </row>
    <row r="49" spans="1:13" ht="15.75" customHeight="1">
      <c r="A49" s="2148" t="s">
        <v>5946</v>
      </c>
      <c r="B49" s="2163">
        <v>7591221090398</v>
      </c>
      <c r="C49" s="2168" t="s">
        <v>5947</v>
      </c>
      <c r="D49" s="2143" t="s">
        <v>5948</v>
      </c>
      <c r="E49" s="2165" t="s">
        <v>5949</v>
      </c>
      <c r="F49" s="2153">
        <v>6</v>
      </c>
      <c r="G49" s="693"/>
      <c r="H49" s="693"/>
      <c r="I49" s="693"/>
      <c r="J49" s="693"/>
      <c r="K49" s="693"/>
      <c r="L49" s="693"/>
      <c r="M49" s="693"/>
    </row>
    <row r="50" spans="1:13" ht="15" customHeight="1">
      <c r="A50" s="2150">
        <v>1130239</v>
      </c>
      <c r="B50" s="2161">
        <v>7591221302392</v>
      </c>
      <c r="C50" s="2147">
        <v>17591221302399</v>
      </c>
      <c r="D50" s="2143" t="s">
        <v>5950</v>
      </c>
      <c r="E50" s="2148" t="s">
        <v>5951</v>
      </c>
      <c r="F50" s="2153">
        <v>6</v>
      </c>
      <c r="G50" s="693"/>
      <c r="H50" s="693"/>
      <c r="I50" s="693"/>
      <c r="J50" s="693"/>
      <c r="K50" s="693"/>
      <c r="L50" s="693"/>
      <c r="M50" s="693"/>
    </row>
    <row r="51" spans="1:13" ht="15.75" customHeight="1">
      <c r="A51" s="2150">
        <v>1130115</v>
      </c>
      <c r="B51" s="2161">
        <v>7591221090787</v>
      </c>
      <c r="C51" s="2147">
        <v>17591221411855</v>
      </c>
      <c r="D51" s="2143" t="s">
        <v>5952</v>
      </c>
      <c r="E51" s="2148" t="s">
        <v>5953</v>
      </c>
      <c r="F51" s="2153">
        <v>8</v>
      </c>
      <c r="G51" s="693"/>
      <c r="H51" s="693"/>
      <c r="I51" s="693"/>
      <c r="J51" s="693"/>
      <c r="K51" s="693"/>
      <c r="L51" s="693"/>
      <c r="M51" s="693"/>
    </row>
    <row r="52" spans="1:13" ht="15" customHeight="1">
      <c r="A52" s="2148" t="s">
        <v>5954</v>
      </c>
      <c r="B52" s="2163" t="s">
        <v>5955</v>
      </c>
      <c r="C52" s="2168" t="s">
        <v>5956</v>
      </c>
      <c r="D52" s="2143" t="s">
        <v>5957</v>
      </c>
      <c r="E52" s="2148" t="s">
        <v>5958</v>
      </c>
      <c r="F52" s="2176">
        <v>24</v>
      </c>
      <c r="G52" s="693"/>
      <c r="H52" s="693"/>
      <c r="I52" s="693"/>
      <c r="J52" s="693"/>
      <c r="K52" s="693"/>
      <c r="L52" s="693"/>
      <c r="M52" s="693"/>
    </row>
    <row r="53" spans="1:13" ht="15" customHeight="1">
      <c r="A53" s="2152" t="s">
        <v>5959</v>
      </c>
      <c r="B53" s="2172" t="s">
        <v>5960</v>
      </c>
      <c r="C53" s="2144" t="s">
        <v>5961</v>
      </c>
      <c r="D53" s="2144" t="s">
        <v>5962</v>
      </c>
      <c r="E53" s="2152" t="s">
        <v>5963</v>
      </c>
      <c r="F53" s="2177">
        <v>24</v>
      </c>
      <c r="G53" s="693"/>
      <c r="H53" s="693"/>
      <c r="I53" s="693"/>
      <c r="J53" s="693"/>
      <c r="K53" s="693"/>
      <c r="L53" s="693"/>
      <c r="M53" s="693"/>
    </row>
    <row r="54" spans="1:13" ht="15" customHeight="1">
      <c r="A54" s="2178">
        <v>1106601</v>
      </c>
      <c r="B54" s="2179">
        <v>7591221106600</v>
      </c>
      <c r="C54" s="2180">
        <v>17591221106607</v>
      </c>
      <c r="D54" s="2143" t="s">
        <v>5964</v>
      </c>
      <c r="E54" s="2148" t="s">
        <v>5965</v>
      </c>
      <c r="F54" s="2176">
        <v>24</v>
      </c>
      <c r="G54" s="693"/>
      <c r="H54" s="693"/>
      <c r="I54" s="693"/>
      <c r="J54" s="693"/>
      <c r="K54" s="693"/>
      <c r="L54" s="693"/>
      <c r="M54" s="693"/>
    </row>
    <row r="55" spans="1:13" ht="15" customHeight="1">
      <c r="A55" s="2178">
        <v>1114601</v>
      </c>
      <c r="B55" s="2163" t="s">
        <v>5966</v>
      </c>
      <c r="C55" s="2180">
        <v>17591221111465</v>
      </c>
      <c r="D55" s="2143" t="s">
        <v>5967</v>
      </c>
      <c r="E55" s="2148" t="s">
        <v>5968</v>
      </c>
      <c r="F55" s="2177">
        <v>24</v>
      </c>
      <c r="G55" s="693"/>
      <c r="H55" s="693"/>
      <c r="I55" s="693"/>
      <c r="J55" s="693"/>
      <c r="K55" s="693"/>
      <c r="L55" s="693"/>
      <c r="M55" s="693"/>
    </row>
    <row r="56" spans="1:13" ht="15.75">
      <c r="A56" s="2181">
        <v>1116610</v>
      </c>
      <c r="B56" s="2182">
        <v>7591221166109</v>
      </c>
      <c r="C56" s="2183">
        <v>17591221166106</v>
      </c>
      <c r="D56" s="2143" t="s">
        <v>5969</v>
      </c>
      <c r="E56" s="2148" t="s">
        <v>5970</v>
      </c>
      <c r="F56" s="2177">
        <v>24</v>
      </c>
      <c r="G56" s="693"/>
      <c r="H56" s="693"/>
      <c r="I56" s="693"/>
      <c r="J56" s="693"/>
      <c r="K56" s="693"/>
      <c r="L56" s="693"/>
      <c r="M56" s="693"/>
    </row>
    <row r="57" spans="1:13" ht="15.75">
      <c r="A57" s="2178">
        <v>1117610</v>
      </c>
      <c r="B57" s="2179">
        <v>7591221176108</v>
      </c>
      <c r="C57" s="2184">
        <v>17591221176105</v>
      </c>
      <c r="D57" s="2143" t="s">
        <v>5969</v>
      </c>
      <c r="E57" s="2148" t="s">
        <v>5971</v>
      </c>
      <c r="F57" s="2185">
        <v>12</v>
      </c>
      <c r="G57" s="693"/>
      <c r="H57" s="693"/>
      <c r="I57" s="693"/>
      <c r="J57" s="693"/>
      <c r="K57" s="693"/>
      <c r="L57" s="693"/>
      <c r="M57" s="693"/>
    </row>
    <row r="58" spans="1:13" ht="15" customHeight="1">
      <c r="A58" s="2178">
        <v>1104163</v>
      </c>
      <c r="B58" s="2182">
        <v>7591221271100</v>
      </c>
      <c r="C58" s="2180">
        <v>37591221271101</v>
      </c>
      <c r="D58" s="2143" t="s">
        <v>5972</v>
      </c>
      <c r="E58" s="2148" t="s">
        <v>5973</v>
      </c>
      <c r="F58" s="2176">
        <v>24</v>
      </c>
      <c r="G58" s="693"/>
      <c r="H58" s="693"/>
      <c r="I58" s="693"/>
      <c r="J58" s="693"/>
      <c r="K58" s="693"/>
      <c r="L58" s="693"/>
      <c r="M58" s="693"/>
    </row>
    <row r="59" spans="1:13" ht="15" customHeight="1">
      <c r="A59" s="2186">
        <v>1104465</v>
      </c>
      <c r="B59" s="2187">
        <v>7591221271117</v>
      </c>
      <c r="C59" s="2180">
        <v>37591221271118</v>
      </c>
      <c r="D59" s="2188" t="s">
        <v>759</v>
      </c>
      <c r="E59" s="2148" t="s">
        <v>5974</v>
      </c>
      <c r="F59" s="2177">
        <v>24</v>
      </c>
      <c r="G59" s="693"/>
      <c r="H59" s="693"/>
      <c r="I59" s="693"/>
      <c r="J59" s="693"/>
      <c r="K59" s="693"/>
      <c r="L59" s="693"/>
      <c r="M59" s="693"/>
    </row>
    <row r="60" spans="1:13" ht="15" customHeight="1">
      <c r="A60" s="2178">
        <v>1104467</v>
      </c>
      <c r="B60" s="2187">
        <v>7591221271124</v>
      </c>
      <c r="C60" s="2180">
        <v>37591221271125</v>
      </c>
      <c r="D60" s="2189" t="s">
        <v>764</v>
      </c>
      <c r="E60" s="2148" t="s">
        <v>5975</v>
      </c>
      <c r="F60" s="2177">
        <v>24</v>
      </c>
      <c r="G60" s="693"/>
      <c r="H60" s="693"/>
      <c r="I60" s="693"/>
      <c r="J60" s="693"/>
      <c r="K60" s="693"/>
      <c r="L60" s="693"/>
      <c r="M60" s="693"/>
    </row>
    <row r="61" spans="1:13" ht="15" customHeight="1">
      <c r="A61" s="2190">
        <v>1104161</v>
      </c>
      <c r="B61" s="2179">
        <v>7591221271155</v>
      </c>
      <c r="C61" s="2180">
        <v>37591221271156</v>
      </c>
      <c r="D61" s="2143" t="s">
        <v>5976</v>
      </c>
      <c r="E61" s="2148" t="s">
        <v>5977</v>
      </c>
      <c r="F61" s="2177">
        <v>24</v>
      </c>
      <c r="G61" s="693"/>
      <c r="H61" s="693"/>
      <c r="I61" s="693"/>
      <c r="J61" s="693"/>
      <c r="K61" s="693"/>
      <c r="L61" s="693"/>
      <c r="M61" s="693"/>
    </row>
    <row r="62" spans="1:13" ht="15" customHeight="1">
      <c r="A62" s="2190">
        <v>1105163</v>
      </c>
      <c r="B62" s="2179">
        <v>7591221281109</v>
      </c>
      <c r="C62" s="2180">
        <v>17591221281106</v>
      </c>
      <c r="D62" s="2143" t="s">
        <v>5978</v>
      </c>
      <c r="E62" s="2148" t="s">
        <v>5979</v>
      </c>
      <c r="F62" s="2191">
        <v>12</v>
      </c>
      <c r="G62" s="693"/>
      <c r="H62" s="693"/>
      <c r="I62" s="693"/>
      <c r="J62" s="693"/>
      <c r="K62" s="693"/>
      <c r="L62" s="693"/>
      <c r="M62" s="693"/>
    </row>
    <row r="63" spans="1:13" ht="15" customHeight="1">
      <c r="A63" s="2178">
        <v>1105465</v>
      </c>
      <c r="B63" s="2182">
        <v>7591221218116</v>
      </c>
      <c r="C63" s="2184">
        <v>17591221218113</v>
      </c>
      <c r="D63" s="2143" t="s">
        <v>5980</v>
      </c>
      <c r="E63" s="2148" t="s">
        <v>5981</v>
      </c>
      <c r="F63" s="2191">
        <v>12</v>
      </c>
      <c r="G63" s="693"/>
      <c r="H63" s="693"/>
      <c r="I63" s="693"/>
      <c r="J63" s="693"/>
      <c r="K63" s="693"/>
      <c r="L63" s="693"/>
      <c r="M63" s="693"/>
    </row>
    <row r="64" spans="1:13" ht="15" customHeight="1">
      <c r="A64" s="2178">
        <v>1105467</v>
      </c>
      <c r="B64" s="2179">
        <v>7591221281123</v>
      </c>
      <c r="C64" s="2184">
        <v>17591221281120</v>
      </c>
      <c r="D64" s="2188" t="s">
        <v>764</v>
      </c>
      <c r="E64" s="2148" t="s">
        <v>5982</v>
      </c>
      <c r="F64" s="2191">
        <v>12</v>
      </c>
      <c r="G64" s="693"/>
      <c r="H64" s="693"/>
      <c r="I64" s="693"/>
      <c r="J64" s="693"/>
      <c r="K64" s="693"/>
      <c r="L64" s="693"/>
      <c r="M64" s="693"/>
    </row>
    <row r="65" spans="1:13" ht="15" customHeight="1">
      <c r="A65" s="2178">
        <v>1105161</v>
      </c>
      <c r="B65" s="2187">
        <v>7591221051610</v>
      </c>
      <c r="C65" s="2184">
        <v>17591221051617</v>
      </c>
      <c r="D65" s="2143" t="s">
        <v>5983</v>
      </c>
      <c r="E65" s="2148" t="s">
        <v>5982</v>
      </c>
      <c r="F65" s="2176">
        <v>12</v>
      </c>
      <c r="G65" s="693"/>
      <c r="H65" s="693"/>
      <c r="I65" s="693"/>
      <c r="J65" s="693"/>
      <c r="K65" s="693"/>
      <c r="L65" s="693"/>
      <c r="M65" s="693"/>
    </row>
    <row r="66" spans="1:13" s="1594" customFormat="1" ht="20.25" customHeight="1">
      <c r="A66" s="2186">
        <v>1120163</v>
      </c>
      <c r="B66" s="2179">
        <v>7591221081105</v>
      </c>
      <c r="C66" s="2192">
        <v>7591221081105</v>
      </c>
      <c r="D66" s="2168" t="s">
        <v>766</v>
      </c>
      <c r="E66" s="2193" t="s">
        <v>5984</v>
      </c>
      <c r="F66" s="2185">
        <v>4</v>
      </c>
      <c r="G66" s="693"/>
      <c r="H66" s="693"/>
      <c r="I66" s="693"/>
      <c r="J66" s="693"/>
      <c r="K66" s="693"/>
      <c r="L66" s="693"/>
      <c r="M66" s="693"/>
    </row>
    <row r="67" spans="1:13" ht="15" customHeight="1">
      <c r="A67" s="2181">
        <v>1120465</v>
      </c>
      <c r="B67" s="2182">
        <v>7591221194652</v>
      </c>
      <c r="C67" s="2194">
        <v>7591221194652</v>
      </c>
      <c r="D67" s="2143" t="s">
        <v>5985</v>
      </c>
      <c r="E67" s="2165" t="s">
        <v>5986</v>
      </c>
      <c r="F67" s="2160">
        <v>4</v>
      </c>
      <c r="G67" s="693"/>
      <c r="H67" s="693"/>
      <c r="I67" s="693"/>
      <c r="J67" s="693"/>
      <c r="K67" s="693"/>
      <c r="L67" s="693"/>
      <c r="M67" s="693"/>
    </row>
    <row r="68" spans="1:13" ht="15" customHeight="1">
      <c r="A68" s="2181">
        <v>1120467</v>
      </c>
      <c r="B68" s="2182">
        <v>7591221194676</v>
      </c>
      <c r="C68" s="2194">
        <v>7591221194667</v>
      </c>
      <c r="D68" s="2188" t="s">
        <v>764</v>
      </c>
      <c r="E68" s="2148" t="s">
        <v>5987</v>
      </c>
      <c r="F68" s="2195">
        <v>4</v>
      </c>
      <c r="G68" s="693"/>
      <c r="H68" s="693"/>
      <c r="I68" s="693"/>
      <c r="J68" s="693"/>
      <c r="K68" s="693"/>
      <c r="L68" s="693"/>
      <c r="M68" s="693"/>
    </row>
    <row r="69" spans="1:13" ht="15" customHeight="1">
      <c r="A69" s="2178">
        <v>1104471</v>
      </c>
      <c r="B69" s="2187">
        <v>7591221044711</v>
      </c>
      <c r="C69" s="2183">
        <v>17591221044718</v>
      </c>
      <c r="D69" s="2143" t="s">
        <v>5988</v>
      </c>
      <c r="E69" s="2148" t="s">
        <v>5989</v>
      </c>
      <c r="F69" s="2177">
        <v>24</v>
      </c>
      <c r="G69" s="693"/>
      <c r="H69" s="693"/>
      <c r="I69" s="693"/>
      <c r="J69" s="693"/>
      <c r="K69" s="693"/>
      <c r="L69" s="693"/>
      <c r="M69" s="693"/>
    </row>
    <row r="70" spans="1:13" ht="15" customHeight="1">
      <c r="A70" s="2178">
        <v>1104473</v>
      </c>
      <c r="B70" s="2182">
        <v>7591221044728</v>
      </c>
      <c r="C70" s="2184">
        <v>17591221044725</v>
      </c>
      <c r="D70" s="2143" t="s">
        <v>5990</v>
      </c>
      <c r="E70" s="2148" t="s">
        <v>5991</v>
      </c>
      <c r="F70" s="2177">
        <v>24</v>
      </c>
      <c r="G70" s="693"/>
      <c r="H70" s="693"/>
      <c r="I70" s="693"/>
      <c r="J70" s="693"/>
      <c r="K70" s="693"/>
      <c r="L70" s="693"/>
      <c r="M70" s="693"/>
    </row>
    <row r="71" spans="1:13" ht="15" customHeight="1">
      <c r="A71" s="2181">
        <v>1104475</v>
      </c>
      <c r="B71" s="2187">
        <v>7591221044735</v>
      </c>
      <c r="C71" s="2184">
        <v>17591221044732</v>
      </c>
      <c r="D71" s="2143" t="s">
        <v>5992</v>
      </c>
      <c r="E71" s="2148" t="s">
        <v>5993</v>
      </c>
      <c r="F71" s="2177">
        <v>24</v>
      </c>
      <c r="G71" s="693"/>
      <c r="H71" s="693"/>
      <c r="I71" s="693"/>
      <c r="J71" s="693"/>
      <c r="K71" s="693"/>
      <c r="L71" s="693"/>
      <c r="M71" s="693"/>
    </row>
    <row r="72" spans="1:13" ht="15" customHeight="1">
      <c r="A72" s="2186">
        <v>1104469</v>
      </c>
      <c r="B72" s="2182">
        <v>7591221044698</v>
      </c>
      <c r="C72" s="2184">
        <v>17591221044695</v>
      </c>
      <c r="D72" s="2143" t="s">
        <v>5994</v>
      </c>
      <c r="E72" s="2148" t="s">
        <v>5995</v>
      </c>
      <c r="F72" s="2177">
        <v>24</v>
      </c>
      <c r="G72" s="693"/>
      <c r="H72" s="693"/>
      <c r="I72" s="693"/>
      <c r="J72" s="693"/>
      <c r="K72" s="693"/>
      <c r="L72" s="693"/>
      <c r="M72" s="693"/>
    </row>
    <row r="73" spans="1:13" ht="15" customHeight="1">
      <c r="A73" s="2186">
        <v>1105471</v>
      </c>
      <c r="B73" s="2182">
        <v>7591221054710</v>
      </c>
      <c r="C73" s="2183">
        <v>17591221054717</v>
      </c>
      <c r="D73" s="2143" t="s">
        <v>5996</v>
      </c>
      <c r="E73" s="2148" t="s">
        <v>5982</v>
      </c>
      <c r="F73" s="2185">
        <v>12</v>
      </c>
      <c r="G73" s="693"/>
      <c r="H73" s="693"/>
      <c r="I73" s="693"/>
      <c r="J73" s="693"/>
      <c r="K73" s="693"/>
      <c r="L73" s="693"/>
      <c r="M73" s="693"/>
    </row>
    <row r="74" spans="1:13" ht="15" customHeight="1">
      <c r="A74" s="2178">
        <v>1105473</v>
      </c>
      <c r="B74" s="2187">
        <v>7591221054734</v>
      </c>
      <c r="C74" s="2183">
        <v>17591221054731</v>
      </c>
      <c r="D74" s="2143" t="s">
        <v>5997</v>
      </c>
      <c r="E74" s="2148" t="s">
        <v>5998</v>
      </c>
      <c r="F74" s="2191">
        <v>12</v>
      </c>
      <c r="G74" s="693"/>
      <c r="H74" s="693"/>
      <c r="I74" s="693"/>
      <c r="J74" s="693"/>
      <c r="K74" s="693"/>
      <c r="L74" s="693"/>
      <c r="M74" s="693"/>
    </row>
    <row r="75" spans="1:13" ht="15" customHeight="1">
      <c r="A75" s="2186">
        <v>1105475</v>
      </c>
      <c r="B75" s="2182">
        <v>7591221054758</v>
      </c>
      <c r="C75" s="2184">
        <v>17591221054755</v>
      </c>
      <c r="D75" s="2143" t="s">
        <v>5999</v>
      </c>
      <c r="E75" s="2148" t="s">
        <v>6000</v>
      </c>
      <c r="F75" s="2177">
        <v>12</v>
      </c>
      <c r="G75" s="693"/>
      <c r="H75" s="693"/>
      <c r="I75" s="693"/>
      <c r="J75" s="693"/>
      <c r="K75" s="693"/>
      <c r="L75" s="693"/>
      <c r="M75" s="693"/>
    </row>
    <row r="76" spans="1:13" ht="15" customHeight="1">
      <c r="A76" s="2196">
        <v>1105469</v>
      </c>
      <c r="B76" s="2182">
        <v>7591221054697</v>
      </c>
      <c r="C76" s="2183">
        <v>17591221054694</v>
      </c>
      <c r="D76" s="2143" t="s">
        <v>6001</v>
      </c>
      <c r="E76" s="2165" t="s">
        <v>6002</v>
      </c>
      <c r="F76" s="2177">
        <v>12</v>
      </c>
      <c r="G76" s="693"/>
      <c r="H76" s="693"/>
      <c r="I76" s="693"/>
      <c r="J76" s="693"/>
      <c r="K76" s="693"/>
      <c r="L76" s="693"/>
      <c r="M76" s="693"/>
    </row>
    <row r="77" spans="1:13" ht="15.75" customHeight="1">
      <c r="A77" s="2196">
        <v>1106620</v>
      </c>
      <c r="B77" s="2182">
        <v>7591221000038</v>
      </c>
      <c r="C77" s="2184">
        <v>17591221000003</v>
      </c>
      <c r="D77" s="2143" t="s">
        <v>6003</v>
      </c>
      <c r="E77" s="2148" t="s">
        <v>6004</v>
      </c>
      <c r="F77" s="2195">
        <v>24</v>
      </c>
      <c r="G77" s="693"/>
      <c r="H77" s="693"/>
      <c r="I77" s="693"/>
      <c r="J77" s="693"/>
      <c r="K77" s="693"/>
      <c r="L77" s="693"/>
      <c r="M77" s="693"/>
    </row>
    <row r="78" spans="1:13" ht="15" customHeight="1">
      <c r="A78" s="2196">
        <v>1106622</v>
      </c>
      <c r="B78" s="2179">
        <v>7591221000045</v>
      </c>
      <c r="C78" s="2183">
        <v>17591221000004</v>
      </c>
      <c r="D78" s="2143" t="s">
        <v>6005</v>
      </c>
      <c r="E78" s="2148" t="s">
        <v>6004</v>
      </c>
      <c r="F78" s="2176">
        <v>24</v>
      </c>
      <c r="G78" s="693"/>
      <c r="H78" s="693"/>
      <c r="I78" s="693"/>
      <c r="J78" s="693"/>
      <c r="K78" s="693"/>
      <c r="L78" s="693"/>
      <c r="M78" s="693"/>
    </row>
    <row r="79" spans="1:13" ht="15" customHeight="1">
      <c r="A79" s="2197">
        <v>1106624</v>
      </c>
      <c r="B79" s="2182">
        <v>7591221000052</v>
      </c>
      <c r="C79" s="2180">
        <v>17591221000005</v>
      </c>
      <c r="D79" s="2143" t="s">
        <v>6006</v>
      </c>
      <c r="E79" s="2148" t="s">
        <v>6004</v>
      </c>
      <c r="F79" s="2177">
        <v>24</v>
      </c>
      <c r="G79" s="693"/>
      <c r="H79" s="693"/>
      <c r="I79" s="693"/>
      <c r="J79" s="693"/>
      <c r="K79" s="693"/>
      <c r="L79" s="693"/>
      <c r="M79" s="693"/>
    </row>
    <row r="80" spans="1:13" ht="15" customHeight="1">
      <c r="A80" s="2197">
        <v>1107620</v>
      </c>
      <c r="B80" s="2182">
        <v>7591221000076</v>
      </c>
      <c r="C80" s="2180">
        <v>17591221000073</v>
      </c>
      <c r="D80" s="2188" t="s">
        <v>5796</v>
      </c>
      <c r="E80" s="2148" t="s">
        <v>6007</v>
      </c>
      <c r="F80" s="2177">
        <v>12</v>
      </c>
      <c r="G80" s="693"/>
      <c r="H80" s="693"/>
      <c r="I80" s="693"/>
      <c r="J80" s="693"/>
      <c r="K80" s="693"/>
      <c r="L80" s="693"/>
      <c r="M80" s="693"/>
    </row>
    <row r="81" spans="1:13" ht="15" customHeight="1">
      <c r="A81" s="2197">
        <v>1107622</v>
      </c>
      <c r="B81" s="2187">
        <v>7591221000083</v>
      </c>
      <c r="C81" s="2184">
        <v>17591221000080</v>
      </c>
      <c r="D81" s="2189" t="s">
        <v>5806</v>
      </c>
      <c r="E81" s="2148" t="s">
        <v>6007</v>
      </c>
      <c r="F81" s="2198">
        <v>12</v>
      </c>
      <c r="G81" s="693"/>
      <c r="H81" s="693"/>
      <c r="I81" s="693"/>
      <c r="J81" s="693"/>
      <c r="K81" s="693"/>
      <c r="L81" s="693"/>
      <c r="M81" s="693"/>
    </row>
    <row r="82" spans="1:13" ht="15" customHeight="1">
      <c r="A82" s="2196">
        <v>1107624</v>
      </c>
      <c r="B82" s="2182">
        <v>7591221000090</v>
      </c>
      <c r="C82" s="2183">
        <v>17591221000097</v>
      </c>
      <c r="D82" s="2143" t="s">
        <v>6008</v>
      </c>
      <c r="E82" s="2148" t="s">
        <v>6007</v>
      </c>
      <c r="F82" s="2198">
        <v>12</v>
      </c>
      <c r="G82" s="693"/>
      <c r="H82" s="693"/>
      <c r="I82" s="693"/>
      <c r="J82" s="693"/>
      <c r="K82" s="693"/>
      <c r="L82" s="693"/>
      <c r="M82" s="693"/>
    </row>
    <row r="83" spans="1:13" ht="15" customHeight="1">
      <c r="A83" s="2148" t="s">
        <v>6009</v>
      </c>
      <c r="B83" s="2163">
        <v>7591221066270</v>
      </c>
      <c r="C83" s="2184">
        <v>17591221066277</v>
      </c>
      <c r="D83" s="2188" t="s">
        <v>5807</v>
      </c>
      <c r="E83" s="2148" t="s">
        <v>6010</v>
      </c>
      <c r="F83" s="2177">
        <v>24</v>
      </c>
      <c r="G83" s="693"/>
      <c r="H83" s="693"/>
      <c r="I83" s="693"/>
      <c r="J83" s="693"/>
      <c r="K83" s="693"/>
      <c r="L83" s="693"/>
      <c r="M83" s="693"/>
    </row>
    <row r="84" spans="1:13" ht="15" customHeight="1">
      <c r="A84" s="2196">
        <v>1107627</v>
      </c>
      <c r="B84" s="2163">
        <v>7591221076279</v>
      </c>
      <c r="C84" s="2199">
        <v>17591221076276</v>
      </c>
      <c r="D84" s="2188" t="s">
        <v>5807</v>
      </c>
      <c r="E84" s="2148" t="s">
        <v>6007</v>
      </c>
      <c r="F84" s="2176">
        <v>12</v>
      </c>
      <c r="G84" s="693"/>
      <c r="H84" s="693"/>
      <c r="I84" s="693"/>
      <c r="J84" s="693"/>
      <c r="K84" s="693"/>
      <c r="L84" s="693"/>
      <c r="M84" s="693"/>
    </row>
    <row r="85" spans="1:13" ht="15" customHeight="1">
      <c r="A85" s="2196">
        <v>1107603</v>
      </c>
      <c r="B85" s="2163" t="s">
        <v>6011</v>
      </c>
      <c r="C85" s="2184">
        <v>17591221110765</v>
      </c>
      <c r="D85" s="2143" t="s">
        <v>6012</v>
      </c>
      <c r="E85" s="2148" t="s">
        <v>6013</v>
      </c>
      <c r="F85" s="2177">
        <v>12</v>
      </c>
      <c r="G85" s="693"/>
      <c r="H85" s="693"/>
      <c r="I85" s="693"/>
      <c r="J85" s="693"/>
      <c r="K85" s="693"/>
      <c r="L85" s="693"/>
      <c r="M85" s="693"/>
    </row>
    <row r="86" spans="1:13" ht="15" customHeight="1">
      <c r="A86" s="2196">
        <v>1178605</v>
      </c>
      <c r="B86" s="2163" t="s">
        <v>6014</v>
      </c>
      <c r="C86" s="2184">
        <v>10000075905078</v>
      </c>
      <c r="D86" s="2143" t="s">
        <v>6015</v>
      </c>
      <c r="E86" s="2148" t="s">
        <v>6016</v>
      </c>
      <c r="F86" s="2177">
        <v>24</v>
      </c>
      <c r="G86" s="693"/>
      <c r="H86" s="693"/>
      <c r="I86" s="693"/>
      <c r="J86" s="693"/>
      <c r="K86" s="693"/>
      <c r="L86" s="693"/>
      <c r="M86" s="693"/>
    </row>
    <row r="87" spans="1:13" ht="15" customHeight="1">
      <c r="A87" s="2148" t="s">
        <v>6017</v>
      </c>
      <c r="B87" s="2163">
        <v>7591221118405</v>
      </c>
      <c r="C87" s="2143" t="s">
        <v>6018</v>
      </c>
      <c r="D87" s="2168" t="s">
        <v>6019</v>
      </c>
      <c r="E87" s="2148" t="s">
        <v>6020</v>
      </c>
      <c r="F87" s="2177">
        <v>8</v>
      </c>
      <c r="G87" s="693"/>
      <c r="H87" s="693"/>
      <c r="I87" s="693"/>
      <c r="J87" s="693"/>
      <c r="K87" s="693"/>
      <c r="L87" s="693"/>
      <c r="M87" s="693"/>
    </row>
    <row r="88" spans="1:13" ht="15" customHeight="1">
      <c r="A88" s="2200">
        <v>1165000</v>
      </c>
      <c r="B88" s="2201">
        <v>7591221118504</v>
      </c>
      <c r="C88" s="2202">
        <v>17591221118501</v>
      </c>
      <c r="D88" s="2203" t="s">
        <v>6021</v>
      </c>
      <c r="E88" s="2204" t="s">
        <v>6022</v>
      </c>
      <c r="F88" s="2176">
        <v>4</v>
      </c>
      <c r="G88" s="693"/>
      <c r="H88" s="693"/>
      <c r="I88" s="693"/>
      <c r="J88" s="693"/>
      <c r="K88" s="693"/>
      <c r="L88" s="693"/>
      <c r="M88" s="693"/>
    </row>
    <row r="89" spans="1:13">
      <c r="A89" s="940"/>
      <c r="B89" s="2205"/>
      <c r="C89" s="2206"/>
      <c r="D89" s="2206"/>
      <c r="E89" s="946"/>
      <c r="F89" s="940"/>
      <c r="G89" s="693"/>
      <c r="H89" s="693"/>
      <c r="I89" s="693"/>
      <c r="J89" s="693"/>
      <c r="K89" s="693"/>
      <c r="L89" s="693"/>
      <c r="M89" s="693"/>
    </row>
    <row r="90" spans="1:13" ht="15.75">
      <c r="A90" s="940"/>
      <c r="B90" s="2205">
        <v>7591221625255</v>
      </c>
      <c r="C90" s="2206"/>
      <c r="D90" s="2206" t="s">
        <v>5812</v>
      </c>
      <c r="E90" s="946" t="s">
        <v>5813</v>
      </c>
      <c r="F90" s="2177">
        <v>72</v>
      </c>
      <c r="G90" s="693"/>
      <c r="H90" s="693"/>
      <c r="I90" s="693"/>
      <c r="J90" s="693"/>
      <c r="K90" s="693"/>
      <c r="L90" s="693"/>
      <c r="M90" s="693"/>
    </row>
    <row r="91" spans="1:13" ht="15.75">
      <c r="A91" s="940"/>
      <c r="B91" s="2205">
        <v>7591221625231</v>
      </c>
      <c r="C91" s="2206"/>
      <c r="D91" s="2206" t="s">
        <v>5814</v>
      </c>
      <c r="E91" s="2207" t="s">
        <v>5815</v>
      </c>
      <c r="F91" s="2177">
        <v>72</v>
      </c>
      <c r="G91" s="693"/>
      <c r="H91" s="693"/>
      <c r="I91" s="693"/>
      <c r="J91" s="693"/>
      <c r="K91" s="693"/>
      <c r="L91" s="693"/>
      <c r="M91" s="693"/>
    </row>
    <row r="92" spans="1:13" ht="15.75">
      <c r="A92" s="940"/>
      <c r="B92" s="2205">
        <v>7591221625316</v>
      </c>
      <c r="C92" s="2206"/>
      <c r="D92" s="2206" t="s">
        <v>5816</v>
      </c>
      <c r="E92" s="2207" t="s">
        <v>5813</v>
      </c>
      <c r="F92" s="2177">
        <v>72</v>
      </c>
      <c r="G92" s="693"/>
      <c r="H92" s="693"/>
      <c r="I92" s="693"/>
      <c r="J92" s="693"/>
      <c r="K92" s="693"/>
      <c r="L92" s="693"/>
      <c r="M92" s="693"/>
    </row>
    <row r="93" spans="1:13" ht="15.75">
      <c r="A93" s="940"/>
      <c r="B93" s="2205">
        <v>7591221625217</v>
      </c>
      <c r="C93" s="2206"/>
      <c r="D93" s="2206" t="s">
        <v>5817</v>
      </c>
      <c r="E93" s="2207" t="s">
        <v>5818</v>
      </c>
      <c r="F93" s="2177">
        <v>72</v>
      </c>
      <c r="G93" s="693"/>
      <c r="H93" s="693"/>
      <c r="I93" s="693"/>
      <c r="J93" s="693"/>
      <c r="K93" s="693"/>
      <c r="L93" s="693"/>
      <c r="M93" s="693"/>
    </row>
    <row r="94" spans="1:13" s="1594" customFormat="1" ht="15.75">
      <c r="A94" s="940"/>
      <c r="B94" s="2205">
        <v>7591221625187</v>
      </c>
      <c r="C94" s="2206"/>
      <c r="D94" s="2206" t="s">
        <v>5848</v>
      </c>
      <c r="E94" s="2207" t="s">
        <v>5815</v>
      </c>
      <c r="F94" s="2177">
        <v>48</v>
      </c>
      <c r="G94" s="693"/>
      <c r="H94" s="693"/>
      <c r="I94" s="693"/>
      <c r="J94" s="693"/>
      <c r="K94" s="693"/>
      <c r="L94" s="693"/>
      <c r="M94" s="693"/>
    </row>
    <row r="95" spans="1:13" s="1594" customFormat="1" ht="15.75">
      <c r="A95" s="940"/>
      <c r="B95" s="2205">
        <v>7591221625125</v>
      </c>
      <c r="C95" s="2206"/>
      <c r="D95" s="2206" t="s">
        <v>5851</v>
      </c>
      <c r="E95" s="2207" t="s">
        <v>5849</v>
      </c>
      <c r="F95" s="2177">
        <v>48</v>
      </c>
      <c r="G95" s="693"/>
      <c r="H95" s="693"/>
      <c r="I95" s="693"/>
      <c r="J95" s="693"/>
      <c r="K95" s="693"/>
      <c r="L95" s="693"/>
      <c r="M95" s="693"/>
    </row>
    <row r="96" spans="1:13" s="1594" customFormat="1" ht="15.75">
      <c r="A96" s="940"/>
      <c r="B96" s="2205">
        <v>7591221635117</v>
      </c>
      <c r="C96" s="2206"/>
      <c r="D96" s="2206" t="s">
        <v>5850</v>
      </c>
      <c r="E96" s="2207" t="s">
        <v>5815</v>
      </c>
      <c r="F96" s="2177">
        <v>48</v>
      </c>
      <c r="G96" s="693"/>
      <c r="H96" s="693"/>
      <c r="I96" s="693"/>
      <c r="J96" s="693"/>
      <c r="K96" s="693"/>
      <c r="L96" s="693"/>
      <c r="M96" s="693"/>
    </row>
    <row r="97" spans="1:13" ht="15.75">
      <c r="A97" s="940"/>
      <c r="B97" s="2205">
        <v>7591221625330</v>
      </c>
      <c r="C97" s="2206"/>
      <c r="D97" s="2206" t="s">
        <v>5819</v>
      </c>
      <c r="E97" s="946" t="s">
        <v>5820</v>
      </c>
      <c r="F97" s="2177">
        <v>24</v>
      </c>
      <c r="G97" s="693"/>
      <c r="H97" s="693"/>
      <c r="I97" s="693"/>
      <c r="J97" s="693"/>
      <c r="K97" s="693"/>
      <c r="L97" s="693"/>
      <c r="M97" s="693"/>
    </row>
    <row r="98" spans="1:13" ht="15.75">
      <c r="A98" s="940"/>
      <c r="B98" s="2205">
        <v>7591221625354</v>
      </c>
      <c r="C98" s="2206"/>
      <c r="D98" s="2206" t="s">
        <v>5821</v>
      </c>
      <c r="E98" s="946" t="s">
        <v>5820</v>
      </c>
      <c r="F98" s="2177">
        <v>24</v>
      </c>
      <c r="G98" s="693"/>
      <c r="H98" s="693"/>
      <c r="I98" s="693"/>
      <c r="J98" s="693"/>
      <c r="K98" s="693"/>
      <c r="L98" s="693"/>
      <c r="M98" s="693"/>
    </row>
    <row r="99" spans="1:13" ht="15.75">
      <c r="A99" s="940"/>
      <c r="B99" s="2177">
        <v>7591221625415</v>
      </c>
      <c r="C99" s="2206"/>
      <c r="D99" s="2206" t="s">
        <v>5822</v>
      </c>
      <c r="E99" s="2207" t="s">
        <v>5823</v>
      </c>
      <c r="F99" s="2177">
        <v>24</v>
      </c>
      <c r="G99" s="693"/>
      <c r="H99" s="693"/>
      <c r="I99" s="693"/>
      <c r="J99" s="693"/>
      <c r="K99" s="693"/>
      <c r="L99" s="693"/>
      <c r="M99" s="693"/>
    </row>
    <row r="100" spans="1:13" ht="15.75">
      <c r="A100" s="940"/>
      <c r="B100" s="2205">
        <v>7591221635452</v>
      </c>
      <c r="C100" s="2206"/>
      <c r="D100" s="2206" t="s">
        <v>5824</v>
      </c>
      <c r="E100" s="2207" t="s">
        <v>5823</v>
      </c>
      <c r="F100" s="2177">
        <v>24</v>
      </c>
      <c r="G100" s="693"/>
      <c r="H100" s="693"/>
      <c r="I100" s="693"/>
      <c r="J100" s="693"/>
      <c r="K100" s="693"/>
      <c r="L100" s="693"/>
      <c r="M100" s="693"/>
    </row>
    <row r="101" spans="1:13" ht="15.75">
      <c r="A101" s="940"/>
      <c r="B101" s="2205">
        <v>7591221635476</v>
      </c>
      <c r="C101" s="2206"/>
      <c r="D101" s="2206" t="s">
        <v>5825</v>
      </c>
      <c r="E101" s="2207" t="s">
        <v>5823</v>
      </c>
      <c r="F101" s="2177">
        <v>24</v>
      </c>
      <c r="G101" s="693"/>
      <c r="H101" s="693"/>
      <c r="I101" s="693"/>
      <c r="J101" s="693"/>
      <c r="K101" s="693"/>
      <c r="L101" s="693"/>
      <c r="M101" s="693"/>
    </row>
    <row r="102" spans="1:13" ht="15.75">
      <c r="A102" s="940"/>
      <c r="B102" s="2205">
        <v>7591221171004</v>
      </c>
      <c r="C102" s="2206"/>
      <c r="D102" s="2206" t="s">
        <v>5826</v>
      </c>
      <c r="E102" s="2207" t="s">
        <v>5827</v>
      </c>
      <c r="F102" s="2177">
        <v>30</v>
      </c>
      <c r="G102" s="693"/>
      <c r="H102" s="693"/>
      <c r="I102" s="693"/>
      <c r="J102" s="693"/>
      <c r="K102" s="693"/>
      <c r="L102" s="693"/>
      <c r="M102" s="693"/>
    </row>
    <row r="103" spans="1:13" ht="15.75">
      <c r="A103" s="940"/>
      <c r="B103" s="2205">
        <v>7591221181003</v>
      </c>
      <c r="C103" s="2206"/>
      <c r="D103" s="2206" t="s">
        <v>5828</v>
      </c>
      <c r="E103" s="2207" t="s">
        <v>5829</v>
      </c>
      <c r="F103" s="2177">
        <v>20</v>
      </c>
      <c r="G103" s="693"/>
      <c r="H103" s="693"/>
      <c r="I103" s="693"/>
      <c r="J103" s="693"/>
      <c r="K103" s="693"/>
      <c r="L103" s="693"/>
      <c r="M103" s="693"/>
    </row>
    <row r="104" spans="1:13" ht="15.75">
      <c r="A104" s="940"/>
      <c r="B104" s="2205">
        <v>7591221113846</v>
      </c>
      <c r="C104" s="2206"/>
      <c r="D104" s="2206" t="s">
        <v>5830</v>
      </c>
      <c r="E104" s="2207" t="s">
        <v>5831</v>
      </c>
      <c r="F104" s="2177">
        <v>6</v>
      </c>
      <c r="G104" s="693"/>
      <c r="H104" s="693"/>
      <c r="I104" s="693"/>
      <c r="J104" s="693"/>
      <c r="K104" s="693"/>
      <c r="L104" s="693"/>
      <c r="M104" s="693"/>
    </row>
    <row r="105" spans="1:13" ht="15.75">
      <c r="A105" s="940"/>
      <c r="B105" s="2177">
        <v>7591221117011</v>
      </c>
      <c r="C105" s="2206"/>
      <c r="D105" s="2206" t="s">
        <v>5832</v>
      </c>
      <c r="E105" s="946" t="s">
        <v>5827</v>
      </c>
      <c r="F105" s="2177">
        <v>30</v>
      </c>
      <c r="G105" s="693"/>
      <c r="H105" s="693"/>
      <c r="I105" s="693"/>
      <c r="J105" s="693"/>
      <c r="K105" s="693"/>
      <c r="L105" s="693"/>
      <c r="M105" s="693"/>
    </row>
    <row r="106" spans="1:13" ht="15.75">
      <c r="A106" s="940"/>
      <c r="B106" s="2205">
        <v>7591221181010</v>
      </c>
      <c r="C106" s="2206"/>
      <c r="D106" s="2206" t="s">
        <v>5833</v>
      </c>
      <c r="E106" s="2207" t="s">
        <v>5829</v>
      </c>
      <c r="F106" s="2177">
        <v>20</v>
      </c>
      <c r="G106" s="693"/>
      <c r="H106" s="693"/>
      <c r="I106" s="693"/>
      <c r="J106" s="693"/>
      <c r="K106" s="693"/>
      <c r="L106" s="693"/>
      <c r="M106" s="693"/>
    </row>
    <row r="107" spans="1:13" ht="15.75">
      <c r="A107" s="940"/>
      <c r="B107" s="2205">
        <v>7591221171028</v>
      </c>
      <c r="C107" s="2206"/>
      <c r="D107" s="2206" t="s">
        <v>5834</v>
      </c>
      <c r="E107" s="2207" t="s">
        <v>5827</v>
      </c>
      <c r="F107" s="2177">
        <v>30</v>
      </c>
      <c r="G107" s="693"/>
      <c r="H107" s="693"/>
      <c r="I107" s="693"/>
      <c r="J107" s="693"/>
      <c r="K107" s="693"/>
      <c r="L107" s="693"/>
      <c r="M107" s="693"/>
    </row>
    <row r="108" spans="1:13" ht="15.75">
      <c r="A108" s="940"/>
      <c r="B108" s="2205">
        <v>7591221181027</v>
      </c>
      <c r="C108" s="2206"/>
      <c r="D108" s="2206" t="s">
        <v>5835</v>
      </c>
      <c r="E108" s="2207" t="s">
        <v>5829</v>
      </c>
      <c r="F108" s="2177">
        <v>20</v>
      </c>
      <c r="G108" s="693"/>
      <c r="H108" s="693"/>
      <c r="I108" s="693"/>
      <c r="J108" s="693"/>
      <c r="K108" s="693"/>
      <c r="L108" s="693"/>
      <c r="M108" s="693"/>
    </row>
    <row r="109" spans="1:13" ht="15.75">
      <c r="A109" s="940"/>
      <c r="B109" s="2177">
        <v>7591221714041</v>
      </c>
      <c r="C109" s="2206"/>
      <c r="D109" s="2206" t="s">
        <v>5836</v>
      </c>
      <c r="E109" s="2207" t="s">
        <v>5827</v>
      </c>
      <c r="F109" s="2177">
        <v>30</v>
      </c>
      <c r="G109" s="693"/>
      <c r="H109" s="693"/>
      <c r="I109" s="693"/>
      <c r="J109" s="693"/>
      <c r="K109" s="693"/>
      <c r="L109" s="693"/>
      <c r="M109" s="693"/>
    </row>
    <row r="110" spans="1:13" ht="15.75">
      <c r="A110" s="940"/>
      <c r="B110" s="2177">
        <v>7591221734049</v>
      </c>
      <c r="C110" s="2206"/>
      <c r="D110" s="2206" t="s">
        <v>5837</v>
      </c>
      <c r="E110" s="2207" t="s">
        <v>5829</v>
      </c>
      <c r="F110" s="2177">
        <v>20</v>
      </c>
      <c r="G110" s="693"/>
      <c r="H110" s="693"/>
      <c r="I110" s="693"/>
      <c r="J110" s="693"/>
      <c r="K110" s="693"/>
      <c r="L110" s="693"/>
      <c r="M110" s="693"/>
    </row>
    <row r="111" spans="1:13" ht="15.75">
      <c r="A111" s="940"/>
      <c r="B111" s="2205">
        <v>7591221117149</v>
      </c>
      <c r="C111" s="2206"/>
      <c r="D111" s="2206" t="s">
        <v>5838</v>
      </c>
      <c r="E111" s="2207" t="s">
        <v>5827</v>
      </c>
      <c r="F111" s="2177">
        <v>30</v>
      </c>
      <c r="G111" s="693"/>
      <c r="H111" s="693"/>
      <c r="I111" s="693"/>
      <c r="J111" s="693"/>
      <c r="K111" s="693"/>
      <c r="L111" s="693"/>
      <c r="M111" s="693"/>
    </row>
    <row r="112" spans="1:13" ht="15.75">
      <c r="A112" s="940"/>
      <c r="B112" s="2205">
        <v>7591221117149</v>
      </c>
      <c r="C112" s="2206"/>
      <c r="D112" s="2206" t="s">
        <v>5839</v>
      </c>
      <c r="E112" s="2207" t="s">
        <v>5829</v>
      </c>
      <c r="F112" s="2177">
        <v>20</v>
      </c>
      <c r="G112" s="693"/>
      <c r="H112" s="693"/>
      <c r="I112" s="693"/>
      <c r="J112" s="693"/>
      <c r="K112" s="693"/>
      <c r="L112" s="693"/>
      <c r="M112" s="693"/>
    </row>
    <row r="113" spans="1:13" ht="15.75">
      <c r="A113" s="940"/>
      <c r="B113" s="2205">
        <v>7591221714089</v>
      </c>
      <c r="C113" s="2206"/>
      <c r="D113" s="2206" t="s">
        <v>5840</v>
      </c>
      <c r="E113" s="2207" t="s">
        <v>5827</v>
      </c>
      <c r="F113" s="2177">
        <v>30</v>
      </c>
      <c r="G113" s="693"/>
      <c r="H113" s="693"/>
      <c r="I113" s="693"/>
      <c r="J113" s="693"/>
      <c r="K113" s="693"/>
      <c r="L113" s="693"/>
      <c r="M113" s="693"/>
    </row>
    <row r="114" spans="1:13" ht="15.75">
      <c r="A114" s="940"/>
      <c r="B114" s="2205">
        <v>7591221734087</v>
      </c>
      <c r="C114" s="2206"/>
      <c r="D114" s="2206" t="s">
        <v>5841</v>
      </c>
      <c r="E114" s="2207" t="s">
        <v>5829</v>
      </c>
      <c r="F114" s="2177">
        <v>20</v>
      </c>
      <c r="G114" s="693"/>
      <c r="H114" s="693"/>
      <c r="I114" s="693"/>
      <c r="J114" s="693"/>
      <c r="K114" s="693"/>
      <c r="L114" s="693"/>
      <c r="M114" s="693"/>
    </row>
    <row r="115" spans="1:13" ht="15.75">
      <c r="A115" s="940"/>
      <c r="B115" s="2205">
        <v>7591221714096</v>
      </c>
      <c r="C115" s="2206"/>
      <c r="D115" s="2206" t="s">
        <v>5842</v>
      </c>
      <c r="E115" s="2207" t="s">
        <v>5827</v>
      </c>
      <c r="F115" s="2177">
        <v>30</v>
      </c>
      <c r="G115" s="693"/>
      <c r="H115" s="693"/>
      <c r="I115" s="693"/>
      <c r="J115" s="693"/>
      <c r="K115" s="693"/>
      <c r="L115" s="693"/>
      <c r="M115" s="693"/>
    </row>
    <row r="116" spans="1:13" ht="15.75">
      <c r="A116" s="940"/>
      <c r="B116" s="2205">
        <v>7591221734094</v>
      </c>
      <c r="C116" s="2206"/>
      <c r="D116" s="2206" t="s">
        <v>5843</v>
      </c>
      <c r="E116" s="2207" t="s">
        <v>5829</v>
      </c>
      <c r="F116" s="2177">
        <v>20</v>
      </c>
      <c r="G116" s="693"/>
      <c r="H116" s="693"/>
      <c r="I116" s="693"/>
      <c r="J116" s="693"/>
      <c r="K116" s="693"/>
      <c r="L116" s="693"/>
      <c r="M116" s="693"/>
    </row>
    <row r="117" spans="1:13" ht="15.75">
      <c r="A117" s="940"/>
      <c r="B117" s="2205">
        <v>7591221908228</v>
      </c>
      <c r="C117" s="2206"/>
      <c r="D117" s="2206" t="s">
        <v>5844</v>
      </c>
      <c r="E117" s="2207" t="s">
        <v>5845</v>
      </c>
      <c r="F117" s="2177">
        <v>48</v>
      </c>
      <c r="G117" s="693"/>
      <c r="H117" s="693"/>
      <c r="I117" s="693"/>
      <c r="J117" s="693"/>
      <c r="K117" s="693"/>
      <c r="L117" s="693"/>
      <c r="M117" s="693"/>
    </row>
    <row r="118" spans="1:13" ht="15.75">
      <c r="A118" s="940"/>
      <c r="B118" s="2205">
        <v>7591221908211</v>
      </c>
      <c r="C118" s="2206"/>
      <c r="D118" s="2206" t="s">
        <v>5846</v>
      </c>
      <c r="E118" s="2207" t="s">
        <v>5847</v>
      </c>
      <c r="F118" s="2177">
        <v>48</v>
      </c>
      <c r="G118" s="693"/>
      <c r="H118" s="693"/>
      <c r="I118" s="693"/>
      <c r="J118" s="693"/>
      <c r="K118" s="693"/>
      <c r="L118" s="693"/>
      <c r="M118" s="693"/>
    </row>
    <row r="119" spans="1:13">
      <c r="B119" s="2208" t="s">
        <v>65</v>
      </c>
    </row>
  </sheetData>
  <pageMargins left="0.7" right="0.7" top="0.75" bottom="0.75" header="0.3" footer="0.3"/>
  <pageSetup paperSize="11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2:M17"/>
  <sheetViews>
    <sheetView workbookViewId="0">
      <selection activeCell="F3" sqref="F3:I18"/>
    </sheetView>
  </sheetViews>
  <sheetFormatPr baseColWidth="10" defaultRowHeight="15"/>
  <cols>
    <col min="3" max="3" width="11.42578125" customWidth="1"/>
    <col min="4" max="4" width="11.42578125" style="357" customWidth="1"/>
    <col min="6" max="6" width="47.42578125" customWidth="1"/>
    <col min="7" max="7" width="15.7109375" customWidth="1"/>
    <col min="8" max="8" width="13.85546875" customWidth="1"/>
    <col min="9" max="9" width="11.42578125" customWidth="1"/>
  </cols>
  <sheetData>
    <row r="2" spans="2:13" ht="15.75" thickBot="1"/>
    <row r="3" spans="2:13" ht="45">
      <c r="F3" s="913" t="s">
        <v>5567</v>
      </c>
      <c r="G3" s="1286" t="s">
        <v>19</v>
      </c>
      <c r="H3" s="216" t="s">
        <v>20</v>
      </c>
      <c r="I3" s="216" t="s">
        <v>21</v>
      </c>
      <c r="J3" s="1282" t="s">
        <v>3524</v>
      </c>
      <c r="K3" s="1926" t="s">
        <v>111</v>
      </c>
      <c r="L3" s="694" t="s">
        <v>3320</v>
      </c>
      <c r="M3" s="694" t="s">
        <v>3321</v>
      </c>
    </row>
    <row r="4" spans="2:13" ht="30">
      <c r="B4" s="111" t="s">
        <v>0</v>
      </c>
      <c r="C4" s="3" t="s">
        <v>1562</v>
      </c>
      <c r="D4" s="87" t="s">
        <v>1561</v>
      </c>
      <c r="E4" s="87" t="s">
        <v>1560</v>
      </c>
      <c r="F4" s="913" t="s">
        <v>107</v>
      </c>
      <c r="G4" s="395" t="s">
        <v>68</v>
      </c>
      <c r="H4" s="395"/>
      <c r="I4" s="395"/>
      <c r="J4" s="444"/>
      <c r="K4" s="1896"/>
      <c r="L4" s="1897"/>
      <c r="M4" s="1897"/>
    </row>
    <row r="5" spans="2:13" hidden="1">
      <c r="B5" s="111">
        <v>13163</v>
      </c>
      <c r="C5" s="87">
        <v>24</v>
      </c>
      <c r="D5" s="87">
        <v>21.84</v>
      </c>
      <c r="E5" s="6">
        <f t="shared" ref="E5:E15" si="0">D5/C5</f>
        <v>0.91</v>
      </c>
      <c r="F5" s="111" t="s">
        <v>1333</v>
      </c>
      <c r="G5" s="16" t="s">
        <v>4088</v>
      </c>
      <c r="H5" s="913" t="s">
        <v>677</v>
      </c>
      <c r="I5" s="913" t="s">
        <v>591</v>
      </c>
      <c r="J5" s="444">
        <v>12</v>
      </c>
      <c r="K5" s="1896">
        <v>75</v>
      </c>
      <c r="L5" s="399">
        <f t="shared" ref="L5:L15" si="1">+J5/C5</f>
        <v>0.5</v>
      </c>
      <c r="M5" s="399">
        <f t="shared" ref="M5:M15" si="2">+K5/C5</f>
        <v>3.125</v>
      </c>
    </row>
    <row r="6" spans="2:13" hidden="1">
      <c r="B6" s="111">
        <v>13164</v>
      </c>
      <c r="C6" s="87">
        <v>24</v>
      </c>
      <c r="D6" s="87">
        <v>22.56</v>
      </c>
      <c r="E6" s="6">
        <f t="shared" si="0"/>
        <v>0.94</v>
      </c>
      <c r="F6" s="111" t="s">
        <v>1334</v>
      </c>
      <c r="G6" s="16" t="s">
        <v>676</v>
      </c>
      <c r="H6" s="913" t="s">
        <v>591</v>
      </c>
      <c r="I6" s="913" t="s">
        <v>591</v>
      </c>
      <c r="J6" s="444">
        <v>32</v>
      </c>
      <c r="K6" s="1896">
        <v>21</v>
      </c>
      <c r="L6" s="399">
        <f t="shared" si="1"/>
        <v>1.3333333333333333</v>
      </c>
      <c r="M6" s="399">
        <f t="shared" si="2"/>
        <v>0.875</v>
      </c>
    </row>
    <row r="7" spans="2:13" hidden="1">
      <c r="B7" s="111">
        <v>13165</v>
      </c>
      <c r="C7" s="87">
        <v>24</v>
      </c>
      <c r="D7" s="87">
        <v>25.2</v>
      </c>
      <c r="E7" s="6">
        <f t="shared" si="0"/>
        <v>1.05</v>
      </c>
      <c r="F7" s="111" t="s">
        <v>1335</v>
      </c>
      <c r="G7" s="913" t="s">
        <v>591</v>
      </c>
      <c r="H7" s="913" t="s">
        <v>591</v>
      </c>
      <c r="I7" s="913" t="s">
        <v>591</v>
      </c>
      <c r="J7" s="444">
        <v>0</v>
      </c>
      <c r="K7" s="1896">
        <v>47</v>
      </c>
      <c r="L7" s="399">
        <f t="shared" si="1"/>
        <v>0</v>
      </c>
      <c r="M7" s="399">
        <f t="shared" si="2"/>
        <v>1.9583333333333333</v>
      </c>
    </row>
    <row r="8" spans="2:13" hidden="1">
      <c r="B8" s="111">
        <v>13166</v>
      </c>
      <c r="C8" s="87">
        <v>12</v>
      </c>
      <c r="D8" s="87">
        <v>10.8</v>
      </c>
      <c r="E8" s="6">
        <f t="shared" si="0"/>
        <v>0.9</v>
      </c>
      <c r="F8" s="111" t="s">
        <v>1336</v>
      </c>
      <c r="G8" s="1276" t="s">
        <v>590</v>
      </c>
      <c r="H8" s="913" t="s">
        <v>591</v>
      </c>
      <c r="I8" s="913" t="s">
        <v>677</v>
      </c>
      <c r="J8" s="444">
        <v>0</v>
      </c>
      <c r="K8" s="1896">
        <v>0</v>
      </c>
      <c r="L8" s="399">
        <f t="shared" si="1"/>
        <v>0</v>
      </c>
      <c r="M8" s="399">
        <f t="shared" si="2"/>
        <v>0</v>
      </c>
    </row>
    <row r="9" spans="2:13" hidden="1">
      <c r="B9" s="111">
        <v>13167</v>
      </c>
      <c r="C9" s="87">
        <v>12</v>
      </c>
      <c r="D9" s="87">
        <v>12</v>
      </c>
      <c r="E9" s="6">
        <f t="shared" si="0"/>
        <v>1</v>
      </c>
      <c r="F9" s="111" t="s">
        <v>1337</v>
      </c>
      <c r="G9" s="1276" t="s">
        <v>590</v>
      </c>
      <c r="H9" s="913" t="s">
        <v>677</v>
      </c>
      <c r="I9" s="913" t="s">
        <v>677</v>
      </c>
      <c r="J9" s="444">
        <v>8</v>
      </c>
      <c r="K9" s="1896">
        <v>12</v>
      </c>
      <c r="L9" s="399">
        <f t="shared" si="1"/>
        <v>0.66666666666666663</v>
      </c>
      <c r="M9" s="399">
        <f t="shared" si="2"/>
        <v>1</v>
      </c>
    </row>
    <row r="10" spans="2:13" hidden="1">
      <c r="B10" s="338">
        <v>13168</v>
      </c>
      <c r="C10" s="395">
        <v>12</v>
      </c>
      <c r="D10" s="395">
        <v>5.16</v>
      </c>
      <c r="E10" s="887">
        <f t="shared" si="0"/>
        <v>0.43</v>
      </c>
      <c r="F10" s="338" t="s">
        <v>1338</v>
      </c>
      <c r="G10" s="913" t="s">
        <v>590</v>
      </c>
      <c r="H10" s="913" t="s">
        <v>677</v>
      </c>
      <c r="I10" s="913" t="s">
        <v>677</v>
      </c>
      <c r="J10" s="444">
        <v>12</v>
      </c>
      <c r="K10" s="1896">
        <v>7</v>
      </c>
      <c r="L10" s="399">
        <f t="shared" si="1"/>
        <v>1</v>
      </c>
      <c r="M10" s="399">
        <f t="shared" si="2"/>
        <v>0.58333333333333337</v>
      </c>
    </row>
    <row r="11" spans="2:13" hidden="1">
      <c r="B11" s="693">
        <v>13169</v>
      </c>
      <c r="C11" s="913">
        <v>12</v>
      </c>
      <c r="D11" s="913">
        <v>8.0399999999999991</v>
      </c>
      <c r="E11" s="6">
        <f t="shared" si="0"/>
        <v>0.66999999999999993</v>
      </c>
      <c r="F11" s="693" t="s">
        <v>1339</v>
      </c>
      <c r="G11" s="913" t="s">
        <v>591</v>
      </c>
      <c r="H11" s="913" t="s">
        <v>591</v>
      </c>
      <c r="I11" s="913" t="s">
        <v>677</v>
      </c>
      <c r="J11" s="444">
        <v>2</v>
      </c>
      <c r="K11" s="1896">
        <v>4</v>
      </c>
      <c r="L11" s="399">
        <f t="shared" si="1"/>
        <v>0.16666666666666666</v>
      </c>
      <c r="M11" s="399">
        <f t="shared" si="2"/>
        <v>0.33333333333333331</v>
      </c>
    </row>
    <row r="12" spans="2:13" hidden="1">
      <c r="B12" s="778">
        <v>21444</v>
      </c>
      <c r="C12" s="1277">
        <v>12</v>
      </c>
      <c r="D12" s="1277">
        <v>14.4</v>
      </c>
      <c r="E12" s="1277">
        <f t="shared" si="0"/>
        <v>1.2</v>
      </c>
      <c r="F12" s="1283" t="s">
        <v>4568</v>
      </c>
      <c r="G12" s="913" t="s">
        <v>4088</v>
      </c>
      <c r="H12" s="913" t="s">
        <v>3718</v>
      </c>
      <c r="I12" s="913" t="s">
        <v>546</v>
      </c>
      <c r="J12" s="444"/>
      <c r="K12" s="1896">
        <v>0</v>
      </c>
      <c r="L12" s="399">
        <f t="shared" si="1"/>
        <v>0</v>
      </c>
      <c r="M12" s="399">
        <f t="shared" si="2"/>
        <v>0</v>
      </c>
    </row>
    <row r="13" spans="2:13" hidden="1">
      <c r="B13" s="777">
        <v>21443</v>
      </c>
      <c r="C13" s="1277">
        <v>12</v>
      </c>
      <c r="D13" s="1277">
        <v>14.4</v>
      </c>
      <c r="E13" s="1277">
        <f t="shared" si="0"/>
        <v>1.2</v>
      </c>
      <c r="F13" s="1284" t="s">
        <v>4567</v>
      </c>
      <c r="G13" s="913" t="s">
        <v>1130</v>
      </c>
      <c r="H13" s="913" t="s">
        <v>5568</v>
      </c>
      <c r="I13" s="913" t="s">
        <v>558</v>
      </c>
      <c r="J13" s="444"/>
      <c r="K13" s="1896">
        <v>4</v>
      </c>
      <c r="L13" s="399">
        <f t="shared" si="1"/>
        <v>0</v>
      </c>
      <c r="M13" s="399">
        <f t="shared" si="2"/>
        <v>0.33333333333333331</v>
      </c>
    </row>
    <row r="14" spans="2:13" hidden="1">
      <c r="B14" s="778">
        <v>21442</v>
      </c>
      <c r="C14" s="1277">
        <v>12</v>
      </c>
      <c r="D14" s="1277">
        <v>14.4</v>
      </c>
      <c r="E14" s="1277">
        <f t="shared" si="0"/>
        <v>1.2</v>
      </c>
      <c r="F14" s="1283" t="s">
        <v>4566</v>
      </c>
      <c r="G14" s="913" t="s">
        <v>4088</v>
      </c>
      <c r="H14" s="913" t="s">
        <v>591</v>
      </c>
      <c r="I14" s="913" t="s">
        <v>546</v>
      </c>
      <c r="J14" s="444"/>
      <c r="K14" s="1896">
        <v>0</v>
      </c>
      <c r="L14" s="399">
        <f t="shared" si="1"/>
        <v>0</v>
      </c>
      <c r="M14" s="399">
        <f t="shared" si="2"/>
        <v>0</v>
      </c>
    </row>
    <row r="15" spans="2:13" ht="15.75" hidden="1" thickBot="1">
      <c r="B15" s="26"/>
      <c r="C15" s="305">
        <v>12</v>
      </c>
      <c r="D15" s="1277">
        <v>14.4</v>
      </c>
      <c r="E15" s="6">
        <f t="shared" si="0"/>
        <v>1.2</v>
      </c>
      <c r="F15" s="1285" t="s">
        <v>3750</v>
      </c>
      <c r="G15" s="913" t="s">
        <v>4088</v>
      </c>
      <c r="H15" s="913" t="s">
        <v>3718</v>
      </c>
      <c r="I15" s="913" t="s">
        <v>546</v>
      </c>
      <c r="J15" s="445"/>
      <c r="K15" s="1216"/>
      <c r="L15" s="399">
        <f t="shared" si="1"/>
        <v>0</v>
      </c>
      <c r="M15" s="399">
        <f t="shared" si="2"/>
        <v>0</v>
      </c>
    </row>
    <row r="16" spans="2:13">
      <c r="C16" s="1274"/>
      <c r="D16" s="1274"/>
      <c r="E16" s="1274"/>
      <c r="F16" t="s">
        <v>5570</v>
      </c>
      <c r="G16" s="14" t="s">
        <v>675</v>
      </c>
      <c r="H16" s="14" t="s">
        <v>677</v>
      </c>
      <c r="I16" s="14" t="s">
        <v>555</v>
      </c>
      <c r="J16" s="1274"/>
      <c r="K16" s="1274"/>
    </row>
    <row r="17" spans="6:9">
      <c r="F17" t="s">
        <v>5571</v>
      </c>
      <c r="G17" s="14" t="s">
        <v>4088</v>
      </c>
      <c r="H17" s="14" t="s">
        <v>3718</v>
      </c>
      <c r="I17" s="1932" t="s">
        <v>5572</v>
      </c>
    </row>
  </sheetData>
  <pageMargins left="0.7" right="0.7" top="0.75" bottom="0.75" header="0.3" footer="0.3"/>
  <pageSetup paperSize="11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2:J48"/>
  <sheetViews>
    <sheetView topLeftCell="A25" workbookViewId="0">
      <selection activeCell="A52" sqref="A52"/>
    </sheetView>
  </sheetViews>
  <sheetFormatPr baseColWidth="10" defaultRowHeight="15"/>
  <cols>
    <col min="2" max="2" width="37.85546875" style="407" customWidth="1"/>
    <col min="3" max="3" width="16.7109375" style="407" bestFit="1" customWidth="1"/>
    <col min="4" max="4" width="39.7109375" style="57" customWidth="1"/>
    <col min="5" max="8" width="11.42578125" style="456"/>
    <col min="9" max="10" width="11.42578125" style="336"/>
  </cols>
  <sheetData>
    <row r="2" spans="2:10" ht="15.75" thickBot="1">
      <c r="B2" s="407" t="s">
        <v>2171</v>
      </c>
      <c r="D2" s="57" t="s">
        <v>2213</v>
      </c>
    </row>
    <row r="3" spans="2:10">
      <c r="E3" s="456" t="s">
        <v>2172</v>
      </c>
      <c r="G3" s="456" t="s">
        <v>2173</v>
      </c>
      <c r="J3" s="474" t="s">
        <v>1389</v>
      </c>
    </row>
    <row r="4" spans="2:10" ht="15.75" thickBot="1">
      <c r="B4" s="23" t="s">
        <v>116</v>
      </c>
      <c r="C4" s="23" t="s">
        <v>2174</v>
      </c>
      <c r="D4" s="461" t="s">
        <v>107</v>
      </c>
      <c r="E4" s="460" t="s">
        <v>2175</v>
      </c>
      <c r="F4" s="460" t="s">
        <v>2175</v>
      </c>
      <c r="G4" s="460" t="s">
        <v>2175</v>
      </c>
      <c r="H4" s="460" t="s">
        <v>2175</v>
      </c>
      <c r="J4" s="475">
        <v>4.16</v>
      </c>
    </row>
    <row r="5" spans="2:10" ht="45">
      <c r="B5" s="23" t="s">
        <v>2176</v>
      </c>
      <c r="C5" s="23" t="s">
        <v>2177</v>
      </c>
      <c r="D5" s="461"/>
      <c r="E5" s="460" t="s">
        <v>2178</v>
      </c>
      <c r="F5" s="460" t="s">
        <v>2179</v>
      </c>
      <c r="G5" s="460" t="s">
        <v>2178</v>
      </c>
      <c r="H5" s="374" t="s">
        <v>2179</v>
      </c>
      <c r="I5" s="471" t="s">
        <v>2226</v>
      </c>
      <c r="J5" s="476" t="s">
        <v>2225</v>
      </c>
    </row>
    <row r="6" spans="2:10">
      <c r="B6" s="23" t="s">
        <v>2180</v>
      </c>
      <c r="C6" s="23"/>
      <c r="D6" s="461"/>
      <c r="E6" s="460"/>
      <c r="F6" s="460"/>
      <c r="G6" s="460"/>
      <c r="H6" s="374"/>
      <c r="I6" s="6"/>
      <c r="J6" s="6"/>
    </row>
    <row r="7" spans="2:10">
      <c r="B7" s="23">
        <v>75900118918710</v>
      </c>
      <c r="C7" s="23">
        <v>7590011891863</v>
      </c>
      <c r="D7" s="461" t="s">
        <v>2181</v>
      </c>
      <c r="E7" s="460">
        <v>1.21</v>
      </c>
      <c r="F7" s="460">
        <v>1.4</v>
      </c>
      <c r="G7" s="460">
        <v>86.9</v>
      </c>
      <c r="H7" s="374">
        <v>100.8</v>
      </c>
      <c r="I7" s="6">
        <f>E7/J$4</f>
        <v>0.29086538461538458</v>
      </c>
      <c r="J7" s="6">
        <f>G7/J$4</f>
        <v>20.889423076923077</v>
      </c>
    </row>
    <row r="8" spans="2:10">
      <c r="B8" s="23">
        <v>76222011416200</v>
      </c>
      <c r="C8" s="23">
        <v>7590011891962</v>
      </c>
      <c r="D8" s="461" t="s">
        <v>2182</v>
      </c>
      <c r="E8" s="460">
        <v>1.21</v>
      </c>
      <c r="F8" s="460">
        <v>1.4</v>
      </c>
      <c r="G8" s="460">
        <v>86.9</v>
      </c>
      <c r="H8" s="374">
        <v>100.8</v>
      </c>
      <c r="I8" s="6">
        <f t="shared" ref="I8:I38" si="0">E8/J$4</f>
        <v>0.29086538461538458</v>
      </c>
      <c r="J8" s="6">
        <f t="shared" ref="J8:J38" si="1">G8/J$4</f>
        <v>20.889423076923077</v>
      </c>
    </row>
    <row r="9" spans="2:10">
      <c r="B9" s="23">
        <v>76222011416400</v>
      </c>
      <c r="C9" s="23">
        <v>7590011892525</v>
      </c>
      <c r="D9" s="461" t="s">
        <v>2183</v>
      </c>
      <c r="E9" s="460">
        <v>1.21</v>
      </c>
      <c r="F9" s="460">
        <v>1.4</v>
      </c>
      <c r="G9" s="460">
        <v>86.9</v>
      </c>
      <c r="H9" s="374">
        <v>100.8</v>
      </c>
      <c r="I9" s="6">
        <f t="shared" si="0"/>
        <v>0.29086538461538458</v>
      </c>
      <c r="J9" s="6">
        <f t="shared" si="1"/>
        <v>20.889423076923077</v>
      </c>
    </row>
    <row r="10" spans="2:10">
      <c r="B10" s="23">
        <v>75900118919910</v>
      </c>
      <c r="C10" s="23">
        <v>7590011891986</v>
      </c>
      <c r="D10" s="461" t="s">
        <v>2184</v>
      </c>
      <c r="E10" s="460">
        <v>1.21</v>
      </c>
      <c r="F10" s="460">
        <v>1.4</v>
      </c>
      <c r="G10" s="460">
        <v>86.9</v>
      </c>
      <c r="H10" s="374">
        <v>100.8</v>
      </c>
      <c r="I10" s="6">
        <f t="shared" si="0"/>
        <v>0.29086538461538458</v>
      </c>
      <c r="J10" s="6">
        <f t="shared" si="1"/>
        <v>20.889423076923077</v>
      </c>
    </row>
    <row r="11" spans="2:10">
      <c r="B11" s="23">
        <v>75900118918910</v>
      </c>
      <c r="C11" s="23">
        <v>7590011891887</v>
      </c>
      <c r="D11" s="461" t="s">
        <v>2185</v>
      </c>
      <c r="E11" s="460">
        <v>1.21</v>
      </c>
      <c r="F11" s="460">
        <v>1.4</v>
      </c>
      <c r="G11" s="460">
        <v>86.9</v>
      </c>
      <c r="H11" s="374">
        <v>100.8</v>
      </c>
      <c r="I11" s="6">
        <f t="shared" si="0"/>
        <v>0.29086538461538458</v>
      </c>
      <c r="J11" s="6">
        <f t="shared" si="1"/>
        <v>20.889423076923077</v>
      </c>
    </row>
    <row r="12" spans="2:10">
      <c r="B12" s="23" t="s">
        <v>2186</v>
      </c>
      <c r="C12" s="23"/>
      <c r="D12" s="461"/>
      <c r="E12" s="460"/>
      <c r="F12" s="460"/>
      <c r="G12" s="460"/>
      <c r="H12" s="374"/>
      <c r="I12" s="6">
        <f t="shared" si="0"/>
        <v>0</v>
      </c>
      <c r="J12" s="6">
        <f t="shared" si="1"/>
        <v>0</v>
      </c>
    </row>
    <row r="13" spans="2:10">
      <c r="B13" s="23">
        <v>76222106113300</v>
      </c>
      <c r="C13" s="23">
        <v>7591114001739</v>
      </c>
      <c r="D13" s="461" t="s">
        <v>2187</v>
      </c>
      <c r="E13" s="460">
        <v>3.06</v>
      </c>
      <c r="F13" s="460">
        <v>3.55</v>
      </c>
      <c r="G13" s="460">
        <v>61.2</v>
      </c>
      <c r="H13" s="374">
        <v>70.989999999999995</v>
      </c>
      <c r="I13" s="6">
        <f t="shared" si="0"/>
        <v>0.73557692307692302</v>
      </c>
      <c r="J13" s="6">
        <f t="shared" si="1"/>
        <v>14.711538461538462</v>
      </c>
    </row>
    <row r="14" spans="2:10">
      <c r="B14" s="23">
        <v>76222011231501</v>
      </c>
      <c r="C14" s="23">
        <v>7590011205158</v>
      </c>
      <c r="D14" s="461" t="s">
        <v>2188</v>
      </c>
      <c r="E14" s="460">
        <v>3.37</v>
      </c>
      <c r="F14" s="460">
        <v>3.9</v>
      </c>
      <c r="G14" s="460">
        <v>67.31</v>
      </c>
      <c r="H14" s="374">
        <v>78.08</v>
      </c>
      <c r="I14" s="6">
        <f t="shared" si="0"/>
        <v>0.81009615384615385</v>
      </c>
      <c r="J14" s="6">
        <f t="shared" si="1"/>
        <v>16.18028846153846</v>
      </c>
    </row>
    <row r="15" spans="2:10">
      <c r="B15" s="23" t="s">
        <v>2189</v>
      </c>
      <c r="C15" s="23"/>
      <c r="D15" s="461"/>
      <c r="E15" s="460"/>
      <c r="F15" s="460"/>
      <c r="G15" s="460"/>
      <c r="H15" s="374"/>
      <c r="I15" s="6">
        <f t="shared" si="0"/>
        <v>0</v>
      </c>
      <c r="J15" s="6">
        <f t="shared" si="1"/>
        <v>0</v>
      </c>
    </row>
    <row r="16" spans="2:10">
      <c r="B16" s="23">
        <v>76222011324800</v>
      </c>
      <c r="C16" s="23">
        <v>7590011890866</v>
      </c>
      <c r="D16" s="461" t="s">
        <v>2190</v>
      </c>
      <c r="E16" s="460">
        <v>5.81</v>
      </c>
      <c r="F16" s="460">
        <v>6.75</v>
      </c>
      <c r="G16" s="460">
        <v>81.41</v>
      </c>
      <c r="H16" s="374">
        <v>94.43</v>
      </c>
      <c r="I16" s="6">
        <f t="shared" si="0"/>
        <v>1.3966346153846152</v>
      </c>
      <c r="J16" s="6">
        <f t="shared" si="1"/>
        <v>19.569711538461537</v>
      </c>
    </row>
    <row r="17" spans="2:10">
      <c r="B17" s="23">
        <v>76222017670600</v>
      </c>
      <c r="C17" s="23">
        <v>7590011890903</v>
      </c>
      <c r="D17" s="461" t="s">
        <v>2191</v>
      </c>
      <c r="E17" s="460">
        <v>5.81</v>
      </c>
      <c r="F17" s="460">
        <v>6.75</v>
      </c>
      <c r="G17" s="460">
        <v>81.41</v>
      </c>
      <c r="H17" s="374">
        <v>94.43</v>
      </c>
      <c r="I17" s="6">
        <f t="shared" si="0"/>
        <v>1.3966346153846152</v>
      </c>
      <c r="J17" s="6">
        <f t="shared" si="1"/>
        <v>19.569711538461537</v>
      </c>
    </row>
    <row r="18" spans="2:10">
      <c r="B18" s="23" t="s">
        <v>2192</v>
      </c>
      <c r="C18" s="23"/>
      <c r="D18" s="461"/>
      <c r="E18" s="460"/>
      <c r="F18" s="460"/>
      <c r="G18" s="460"/>
      <c r="H18" s="374"/>
      <c r="I18" s="6" t="s">
        <v>65</v>
      </c>
      <c r="J18" s="6" t="s">
        <v>65</v>
      </c>
    </row>
    <row r="19" spans="2:10">
      <c r="B19" s="23">
        <v>76222011294600</v>
      </c>
      <c r="C19" s="23">
        <v>7622210711069</v>
      </c>
      <c r="D19" s="461" t="s">
        <v>2193</v>
      </c>
      <c r="E19" s="460">
        <v>2.63</v>
      </c>
      <c r="F19" s="460">
        <v>3.06</v>
      </c>
      <c r="G19" s="460">
        <v>47.41</v>
      </c>
      <c r="H19" s="374">
        <v>55</v>
      </c>
      <c r="I19" s="6">
        <f t="shared" si="0"/>
        <v>0.63221153846153844</v>
      </c>
      <c r="J19" s="6">
        <f t="shared" si="1"/>
        <v>11.396634615384615</v>
      </c>
    </row>
    <row r="20" spans="2:10">
      <c r="B20" s="23" t="s">
        <v>2194</v>
      </c>
      <c r="C20" s="23"/>
      <c r="D20" s="461"/>
      <c r="E20" s="460"/>
      <c r="F20" s="460"/>
      <c r="G20" s="460"/>
      <c r="H20" s="374"/>
      <c r="I20" s="6" t="s">
        <v>65</v>
      </c>
      <c r="J20" s="6" t="s">
        <v>65</v>
      </c>
    </row>
    <row r="21" spans="2:10">
      <c r="B21" s="23">
        <v>76222106152600</v>
      </c>
      <c r="C21" s="23">
        <v>7622210615183</v>
      </c>
      <c r="D21" s="461" t="s">
        <v>2195</v>
      </c>
      <c r="E21" s="460">
        <v>5.25</v>
      </c>
      <c r="F21" s="460">
        <v>6.09</v>
      </c>
      <c r="G21" s="460">
        <v>126</v>
      </c>
      <c r="H21" s="374">
        <v>146.16</v>
      </c>
      <c r="I21" s="6">
        <f t="shared" si="0"/>
        <v>1.2620192307692306</v>
      </c>
      <c r="J21" s="6">
        <f t="shared" si="1"/>
        <v>30.288461538461537</v>
      </c>
    </row>
    <row r="22" spans="2:10">
      <c r="B22" s="23">
        <v>75900111166311</v>
      </c>
      <c r="C22" s="23">
        <v>7590011116607</v>
      </c>
      <c r="D22" s="461" t="s">
        <v>2196</v>
      </c>
      <c r="E22" s="460">
        <v>3.02</v>
      </c>
      <c r="F22" s="460">
        <v>3.5</v>
      </c>
      <c r="G22" s="460">
        <v>144.82</v>
      </c>
      <c r="H22" s="374">
        <v>167.99</v>
      </c>
      <c r="I22" s="6">
        <f t="shared" si="0"/>
        <v>0.72596153846153844</v>
      </c>
      <c r="J22" s="6">
        <f t="shared" si="1"/>
        <v>34.8125</v>
      </c>
    </row>
    <row r="23" spans="2:10">
      <c r="B23" s="23">
        <v>76222106151500</v>
      </c>
      <c r="C23" s="23">
        <v>7622210613226</v>
      </c>
      <c r="D23" s="461" t="s">
        <v>2197</v>
      </c>
      <c r="E23" s="460">
        <v>5.25</v>
      </c>
      <c r="F23" s="460">
        <v>6.09</v>
      </c>
      <c r="G23" s="460">
        <v>126</v>
      </c>
      <c r="H23" s="374">
        <v>146.16</v>
      </c>
      <c r="I23" s="6">
        <f t="shared" si="0"/>
        <v>1.2620192307692306</v>
      </c>
      <c r="J23" s="6">
        <f t="shared" si="1"/>
        <v>30.288461538461537</v>
      </c>
    </row>
    <row r="24" spans="2:10">
      <c r="B24" s="23">
        <v>75900111176511</v>
      </c>
      <c r="C24" s="23">
        <v>7590011117604</v>
      </c>
      <c r="D24" s="461" t="s">
        <v>2198</v>
      </c>
      <c r="E24" s="460">
        <v>3.02</v>
      </c>
      <c r="F24" s="460">
        <v>3.5</v>
      </c>
      <c r="G24" s="460">
        <v>144.82</v>
      </c>
      <c r="H24" s="374">
        <v>167.99</v>
      </c>
      <c r="I24" s="6">
        <f t="shared" si="0"/>
        <v>0.72596153846153844</v>
      </c>
      <c r="J24" s="6">
        <f t="shared" si="1"/>
        <v>34.8125</v>
      </c>
    </row>
    <row r="25" spans="2:10">
      <c r="B25" s="23">
        <v>76222106153000</v>
      </c>
      <c r="C25" s="23">
        <v>7622210615190</v>
      </c>
      <c r="D25" s="461" t="s">
        <v>2199</v>
      </c>
      <c r="E25" s="460">
        <v>5.25</v>
      </c>
      <c r="F25" s="460">
        <v>6.09</v>
      </c>
      <c r="G25" s="460">
        <v>126</v>
      </c>
      <c r="H25" s="374">
        <v>146.16</v>
      </c>
      <c r="I25" s="6">
        <f t="shared" si="0"/>
        <v>1.2620192307692306</v>
      </c>
      <c r="J25" s="6">
        <f t="shared" si="1"/>
        <v>30.288461538461537</v>
      </c>
    </row>
    <row r="26" spans="2:10">
      <c r="B26" s="23">
        <v>75900111517311</v>
      </c>
      <c r="C26" s="23">
        <v>7590011151615</v>
      </c>
      <c r="D26" s="461" t="s">
        <v>2200</v>
      </c>
      <c r="E26" s="460">
        <v>3.02</v>
      </c>
      <c r="F26" s="460">
        <v>3.5</v>
      </c>
      <c r="G26" s="460">
        <v>144.82</v>
      </c>
      <c r="H26" s="374">
        <v>167.99</v>
      </c>
      <c r="I26" s="6">
        <f t="shared" si="0"/>
        <v>0.72596153846153844</v>
      </c>
      <c r="J26" s="6">
        <f t="shared" si="1"/>
        <v>34.8125</v>
      </c>
    </row>
    <row r="27" spans="2:10">
      <c r="B27" s="23">
        <v>76222106156900</v>
      </c>
      <c r="C27" s="23">
        <v>7622210615589</v>
      </c>
      <c r="D27" s="461" t="s">
        <v>2201</v>
      </c>
      <c r="E27" s="460">
        <v>5.25</v>
      </c>
      <c r="F27" s="460">
        <v>6.09</v>
      </c>
      <c r="G27" s="460">
        <v>126</v>
      </c>
      <c r="H27" s="374">
        <v>146.16</v>
      </c>
      <c r="I27" s="6">
        <f t="shared" si="0"/>
        <v>1.2620192307692306</v>
      </c>
      <c r="J27" s="6">
        <f t="shared" si="1"/>
        <v>30.288461538461537</v>
      </c>
    </row>
    <row r="28" spans="2:10">
      <c r="B28" s="23">
        <v>76222107722900</v>
      </c>
      <c r="C28" s="23">
        <v>7622210772510</v>
      </c>
      <c r="D28" s="461" t="s">
        <v>2202</v>
      </c>
      <c r="E28" s="460">
        <v>3.02</v>
      </c>
      <c r="F28" s="460">
        <v>3.5</v>
      </c>
      <c r="G28" s="460">
        <v>144.82</v>
      </c>
      <c r="H28" s="374">
        <v>167.99</v>
      </c>
      <c r="I28" s="6">
        <f t="shared" si="0"/>
        <v>0.72596153846153844</v>
      </c>
      <c r="J28" s="6">
        <f t="shared" si="1"/>
        <v>34.8125</v>
      </c>
    </row>
    <row r="29" spans="2:10">
      <c r="B29" s="23">
        <v>76222106545800</v>
      </c>
      <c r="C29" s="23">
        <v>7622210652959</v>
      </c>
      <c r="D29" s="461" t="s">
        <v>2203</v>
      </c>
      <c r="E29" s="460">
        <v>5.25</v>
      </c>
      <c r="F29" s="460">
        <v>6.09</v>
      </c>
      <c r="G29" s="460">
        <v>126</v>
      </c>
      <c r="H29" s="374">
        <v>146.16</v>
      </c>
      <c r="I29" s="6">
        <f t="shared" si="0"/>
        <v>1.2620192307692306</v>
      </c>
      <c r="J29" s="6">
        <f t="shared" si="1"/>
        <v>30.288461538461537</v>
      </c>
    </row>
    <row r="30" spans="2:10">
      <c r="B30" s="23">
        <v>76222106498600</v>
      </c>
      <c r="C30" s="23">
        <v>7622210649546</v>
      </c>
      <c r="D30" s="461" t="s">
        <v>2204</v>
      </c>
      <c r="E30" s="460">
        <v>3.02</v>
      </c>
      <c r="F30" s="460">
        <v>3.5</v>
      </c>
      <c r="G30" s="460">
        <v>144.82</v>
      </c>
      <c r="H30" s="374">
        <v>167.99</v>
      </c>
      <c r="I30" s="6">
        <f t="shared" si="0"/>
        <v>0.72596153846153844</v>
      </c>
      <c r="J30" s="6">
        <f t="shared" si="1"/>
        <v>34.8125</v>
      </c>
    </row>
    <row r="31" spans="2:10">
      <c r="B31" s="23" t="s">
        <v>2205</v>
      </c>
      <c r="C31" s="23"/>
      <c r="D31" s="461"/>
      <c r="E31" s="460"/>
      <c r="F31" s="460"/>
      <c r="G31" s="460"/>
      <c r="H31" s="374"/>
      <c r="I31" s="6" t="s">
        <v>65</v>
      </c>
      <c r="J31" s="6" t="s">
        <v>65</v>
      </c>
    </row>
    <row r="32" spans="2:10">
      <c r="B32" s="23">
        <v>75900118935000</v>
      </c>
      <c r="C32" s="23">
        <v>7590011138104</v>
      </c>
      <c r="D32" s="461" t="s">
        <v>2206</v>
      </c>
      <c r="E32" s="460">
        <v>5.13</v>
      </c>
      <c r="F32" s="460">
        <v>5.95</v>
      </c>
      <c r="G32" s="460">
        <v>164.14</v>
      </c>
      <c r="H32" s="374">
        <v>190.4</v>
      </c>
      <c r="I32" s="6">
        <f t="shared" si="0"/>
        <v>1.2331730769230769</v>
      </c>
      <c r="J32" s="6">
        <f t="shared" si="1"/>
        <v>39.456730769230766</v>
      </c>
    </row>
    <row r="33" spans="2:10">
      <c r="B33" s="23" t="s">
        <v>2207</v>
      </c>
      <c r="C33" s="23"/>
      <c r="D33" s="461"/>
      <c r="E33" s="460"/>
      <c r="F33" s="460"/>
      <c r="G33" s="460"/>
      <c r="H33" s="374"/>
      <c r="I33" s="6" t="s">
        <v>65</v>
      </c>
      <c r="J33" s="6" t="s">
        <v>65</v>
      </c>
    </row>
    <row r="34" spans="2:10">
      <c r="B34" s="23">
        <v>76222107065100</v>
      </c>
      <c r="C34" s="23">
        <v>7590011893041</v>
      </c>
      <c r="D34" s="461" t="s">
        <v>2208</v>
      </c>
      <c r="E34" s="460">
        <v>3.32</v>
      </c>
      <c r="F34" s="460">
        <v>3.85</v>
      </c>
      <c r="G34" s="460">
        <v>79.650000000000006</v>
      </c>
      <c r="H34" s="374">
        <v>92.4</v>
      </c>
      <c r="I34" s="6">
        <f t="shared" si="0"/>
        <v>0.79807692307692302</v>
      </c>
      <c r="J34" s="6">
        <f t="shared" si="1"/>
        <v>19.146634615384617</v>
      </c>
    </row>
    <row r="35" spans="2:10">
      <c r="B35" s="23" t="s">
        <v>2209</v>
      </c>
      <c r="C35" s="23"/>
      <c r="D35" s="461"/>
      <c r="E35" s="460"/>
      <c r="F35" s="460"/>
      <c r="G35" s="460"/>
      <c r="H35" s="374"/>
      <c r="I35" s="6">
        <f t="shared" si="0"/>
        <v>0</v>
      </c>
      <c r="J35" s="6" t="s">
        <v>65</v>
      </c>
    </row>
    <row r="36" spans="2:10">
      <c r="B36" s="23">
        <v>75900118909711</v>
      </c>
      <c r="C36" s="23">
        <v>7590011890972</v>
      </c>
      <c r="D36" s="461" t="s">
        <v>2210</v>
      </c>
      <c r="E36" s="460">
        <v>3.02</v>
      </c>
      <c r="F36" s="460">
        <v>3.5</v>
      </c>
      <c r="G36" s="460">
        <v>84.48</v>
      </c>
      <c r="H36" s="374">
        <v>97.99</v>
      </c>
      <c r="I36" s="6">
        <f t="shared" si="0"/>
        <v>0.72596153846153844</v>
      </c>
      <c r="J36" s="6">
        <f t="shared" si="1"/>
        <v>20.307692307692307</v>
      </c>
    </row>
    <row r="37" spans="2:10">
      <c r="B37" s="23">
        <v>75900118909611</v>
      </c>
      <c r="C37" s="23">
        <v>7590011890965</v>
      </c>
      <c r="D37" s="461" t="s">
        <v>2211</v>
      </c>
      <c r="E37" s="460">
        <v>3.02</v>
      </c>
      <c r="F37" s="460">
        <v>3.5</v>
      </c>
      <c r="G37" s="460">
        <v>84.48</v>
      </c>
      <c r="H37" s="374">
        <v>97.99</v>
      </c>
      <c r="I37" s="6">
        <f t="shared" si="0"/>
        <v>0.72596153846153844</v>
      </c>
      <c r="J37" s="6">
        <f t="shared" si="1"/>
        <v>20.307692307692307</v>
      </c>
    </row>
    <row r="38" spans="2:10">
      <c r="B38" s="23">
        <v>76222106489800</v>
      </c>
      <c r="C38" s="23">
        <v>7622210648969</v>
      </c>
      <c r="D38" s="461" t="s">
        <v>2212</v>
      </c>
      <c r="E38" s="460">
        <v>3.02</v>
      </c>
      <c r="F38" s="460">
        <v>3.5</v>
      </c>
      <c r="G38" s="460">
        <v>84.48</v>
      </c>
      <c r="H38" s="374">
        <v>97.99</v>
      </c>
      <c r="I38" s="6">
        <f t="shared" si="0"/>
        <v>0.72596153846153844</v>
      </c>
      <c r="J38" s="6">
        <f t="shared" si="1"/>
        <v>20.307692307692307</v>
      </c>
    </row>
    <row r="39" spans="2:10">
      <c r="J39" s="6" t="s">
        <v>65</v>
      </c>
    </row>
    <row r="40" spans="2:10">
      <c r="J40" s="6" t="s">
        <v>65</v>
      </c>
    </row>
    <row r="41" spans="2:10">
      <c r="J41" s="6" t="s">
        <v>65</v>
      </c>
    </row>
    <row r="42" spans="2:10">
      <c r="J42" s="6" t="s">
        <v>65</v>
      </c>
    </row>
    <row r="43" spans="2:10">
      <c r="J43" s="6" t="s">
        <v>65</v>
      </c>
    </row>
    <row r="44" spans="2:10" ht="25.5">
      <c r="B44" s="466" t="s">
        <v>2217</v>
      </c>
      <c r="C44" s="466" t="s">
        <v>2218</v>
      </c>
      <c r="D44" s="2335" t="s">
        <v>2219</v>
      </c>
      <c r="E44" s="467" t="s">
        <v>2220</v>
      </c>
      <c r="F44" s="466" t="s">
        <v>2220</v>
      </c>
      <c r="G44" s="467" t="s">
        <v>2220</v>
      </c>
      <c r="H44" s="466" t="s">
        <v>2220</v>
      </c>
      <c r="I44" s="2338" t="s">
        <v>2226</v>
      </c>
      <c r="J44" s="6" t="s">
        <v>65</v>
      </c>
    </row>
    <row r="45" spans="2:10" ht="45" customHeight="1">
      <c r="B45" s="468" t="s">
        <v>2221</v>
      </c>
      <c r="C45" s="468" t="s">
        <v>2222</v>
      </c>
      <c r="D45" s="2336"/>
      <c r="E45" s="469" t="s">
        <v>2223</v>
      </c>
      <c r="F45" s="468" t="s">
        <v>2224</v>
      </c>
      <c r="G45" s="469" t="s">
        <v>2223</v>
      </c>
      <c r="H45" s="468" t="s">
        <v>2224</v>
      </c>
      <c r="I45" s="2339"/>
      <c r="J45" s="476" t="s">
        <v>2225</v>
      </c>
    </row>
    <row r="46" spans="2:10" ht="15.75">
      <c r="B46" s="2337" t="s">
        <v>2214</v>
      </c>
      <c r="C46" s="2337"/>
      <c r="D46" s="2337"/>
      <c r="E46" s="2337"/>
      <c r="F46" s="2337"/>
      <c r="G46" s="2337"/>
      <c r="H46" s="2337"/>
      <c r="J46" s="6" t="s">
        <v>65</v>
      </c>
    </row>
    <row r="47" spans="2:10">
      <c r="B47" s="462">
        <v>75911140400411</v>
      </c>
      <c r="C47" s="462">
        <v>7591114040042</v>
      </c>
      <c r="D47" s="463" t="s">
        <v>2215</v>
      </c>
      <c r="E47" s="464">
        <v>9.06</v>
      </c>
      <c r="F47" s="465"/>
      <c r="G47" s="464">
        <v>108.68</v>
      </c>
      <c r="H47" s="472"/>
      <c r="I47" s="336">
        <f>G47/J$4</f>
        <v>26.125</v>
      </c>
      <c r="J47" s="6">
        <f>+E47/J$4</f>
        <v>2.1778846153846154</v>
      </c>
    </row>
    <row r="48" spans="2:10">
      <c r="B48" s="462">
        <v>76222015122600</v>
      </c>
      <c r="C48" s="462">
        <v>7622201512279</v>
      </c>
      <c r="D48" s="463" t="s">
        <v>2216</v>
      </c>
      <c r="E48" s="464">
        <v>4.3</v>
      </c>
      <c r="F48" s="465"/>
      <c r="G48" s="464">
        <v>103.16</v>
      </c>
      <c r="H48" s="472"/>
      <c r="I48" s="336">
        <f>G48/J$4</f>
        <v>24.79807692307692</v>
      </c>
      <c r="J48" s="6">
        <f>+E48/J$4</f>
        <v>1.033653846153846</v>
      </c>
    </row>
  </sheetData>
  <mergeCells count="3">
    <mergeCell ref="D44:D45"/>
    <mergeCell ref="B46:H46"/>
    <mergeCell ref="I44:I45"/>
  </mergeCells>
  <pageMargins left="0.7" right="0.7" top="0.75" bottom="0.75" header="0.3" footer="0.3"/>
  <pageSetup paperSize="11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6:J27"/>
  <sheetViews>
    <sheetView topLeftCell="A3" workbookViewId="0">
      <selection activeCell="F31" sqref="F31"/>
    </sheetView>
  </sheetViews>
  <sheetFormatPr baseColWidth="10" defaultRowHeight="15"/>
  <cols>
    <col min="2" max="2" width="14.5703125" customWidth="1"/>
    <col min="6" max="6" width="64.85546875" customWidth="1"/>
  </cols>
  <sheetData>
    <row r="6" spans="2:10">
      <c r="B6" s="1012" t="s">
        <v>3913</v>
      </c>
      <c r="C6" s="693" t="s">
        <v>0</v>
      </c>
      <c r="D6" s="693" t="s">
        <v>122</v>
      </c>
      <c r="E6" s="693" t="s">
        <v>547</v>
      </c>
      <c r="F6" s="693" t="s">
        <v>1</v>
      </c>
      <c r="G6" t="s">
        <v>3912</v>
      </c>
      <c r="H6" t="s">
        <v>3524</v>
      </c>
      <c r="I6" t="s">
        <v>111</v>
      </c>
      <c r="J6" t="s">
        <v>245</v>
      </c>
    </row>
    <row r="7" spans="2:10">
      <c r="C7" s="693">
        <v>8761</v>
      </c>
      <c r="D7" s="693">
        <v>12</v>
      </c>
      <c r="E7" s="693">
        <v>14</v>
      </c>
      <c r="F7" s="693" t="s">
        <v>3900</v>
      </c>
      <c r="G7" s="1013"/>
      <c r="H7" s="1013">
        <v>2</v>
      </c>
      <c r="I7" s="1013">
        <v>10</v>
      </c>
    </row>
    <row r="8" spans="2:10">
      <c r="C8" s="693">
        <v>2219</v>
      </c>
      <c r="D8" s="693">
        <v>12</v>
      </c>
      <c r="E8" s="693">
        <v>12</v>
      </c>
      <c r="F8" s="693" t="s">
        <v>3907</v>
      </c>
      <c r="G8" s="1013"/>
      <c r="H8" s="1013">
        <v>4</v>
      </c>
      <c r="I8" s="1013">
        <v>15</v>
      </c>
    </row>
    <row r="9" spans="2:10">
      <c r="B9" s="1012">
        <v>48</v>
      </c>
      <c r="C9" s="359">
        <v>14081</v>
      </c>
      <c r="D9" s="359">
        <v>24</v>
      </c>
      <c r="E9" s="359">
        <v>5</v>
      </c>
      <c r="F9" s="359" t="s">
        <v>3896</v>
      </c>
      <c r="G9" s="1013" t="s">
        <v>3910</v>
      </c>
      <c r="H9" s="1013">
        <v>92</v>
      </c>
      <c r="I9" s="1013">
        <v>0</v>
      </c>
      <c r="J9" s="14">
        <v>5</v>
      </c>
    </row>
    <row r="10" spans="2:10">
      <c r="C10" s="693">
        <v>2216</v>
      </c>
      <c r="D10" s="693">
        <v>12</v>
      </c>
      <c r="E10" s="693">
        <v>16</v>
      </c>
      <c r="F10" s="693" t="s">
        <v>3908</v>
      </c>
      <c r="G10" s="1013"/>
      <c r="H10" s="1013">
        <v>3</v>
      </c>
      <c r="I10" s="1013">
        <v>3</v>
      </c>
    </row>
    <row r="11" spans="2:10">
      <c r="B11" s="1012">
        <v>60</v>
      </c>
      <c r="C11" s="359">
        <v>10164</v>
      </c>
      <c r="D11" s="359">
        <v>30</v>
      </c>
      <c r="E11" s="359">
        <v>3</v>
      </c>
      <c r="F11" s="359" t="s">
        <v>3897</v>
      </c>
      <c r="G11" s="1013" t="s">
        <v>3911</v>
      </c>
      <c r="H11" s="1013">
        <v>106</v>
      </c>
      <c r="I11" s="1013">
        <v>0</v>
      </c>
      <c r="J11" s="14">
        <v>3</v>
      </c>
    </row>
    <row r="12" spans="2:10">
      <c r="C12" s="693">
        <v>13077</v>
      </c>
      <c r="D12" s="693">
        <v>48</v>
      </c>
      <c r="E12" s="693">
        <v>4.8499999999999996</v>
      </c>
      <c r="F12" s="693" t="s">
        <v>3909</v>
      </c>
      <c r="G12" s="1023">
        <v>0</v>
      </c>
      <c r="H12" s="14">
        <v>0</v>
      </c>
      <c r="I12" s="14">
        <v>0</v>
      </c>
    </row>
    <row r="13" spans="2:10">
      <c r="C13" s="693">
        <v>2220</v>
      </c>
      <c r="D13" s="693">
        <v>4</v>
      </c>
      <c r="E13" s="693">
        <v>24</v>
      </c>
      <c r="F13" s="693" t="s">
        <v>3906</v>
      </c>
      <c r="G13" s="1013">
        <v>0</v>
      </c>
      <c r="H13" s="1013">
        <v>0</v>
      </c>
      <c r="I13" s="1013">
        <v>4</v>
      </c>
    </row>
    <row r="14" spans="2:10">
      <c r="C14" s="693">
        <v>2719</v>
      </c>
      <c r="D14" s="693">
        <v>2</v>
      </c>
      <c r="E14" s="693">
        <v>82</v>
      </c>
      <c r="F14" s="693" t="s">
        <v>3904</v>
      </c>
      <c r="G14" s="1013">
        <v>0</v>
      </c>
      <c r="H14" s="1013">
        <v>0</v>
      </c>
      <c r="I14" s="1013">
        <v>4</v>
      </c>
    </row>
    <row r="15" spans="2:10">
      <c r="C15" s="693">
        <v>14083</v>
      </c>
      <c r="D15" s="693">
        <v>6</v>
      </c>
      <c r="E15" s="693">
        <v>8</v>
      </c>
      <c r="F15" s="693" t="s">
        <v>3898</v>
      </c>
      <c r="G15" s="1013">
        <v>0</v>
      </c>
      <c r="H15" s="1013">
        <v>0</v>
      </c>
      <c r="I15" s="1013">
        <v>6</v>
      </c>
    </row>
    <row r="16" spans="2:10">
      <c r="C16" s="693">
        <v>8757</v>
      </c>
      <c r="D16" s="693">
        <v>1</v>
      </c>
      <c r="E16" s="693">
        <v>421</v>
      </c>
      <c r="F16" s="693" t="s">
        <v>3901</v>
      </c>
      <c r="G16" s="1013"/>
      <c r="H16" s="1013">
        <v>0</v>
      </c>
      <c r="I16" s="1013">
        <v>1</v>
      </c>
    </row>
    <row r="17" spans="3:10">
      <c r="C17" s="693">
        <v>2722</v>
      </c>
      <c r="D17" s="693">
        <v>2</v>
      </c>
      <c r="E17" s="693">
        <v>108</v>
      </c>
      <c r="F17" s="693" t="s">
        <v>3903</v>
      </c>
      <c r="G17" s="1013"/>
      <c r="H17" s="1013">
        <v>2</v>
      </c>
      <c r="I17" s="1013">
        <v>5</v>
      </c>
    </row>
    <row r="18" spans="3:10">
      <c r="C18" s="693">
        <v>2225</v>
      </c>
      <c r="D18" s="693">
        <v>12</v>
      </c>
      <c r="E18" s="693">
        <v>14</v>
      </c>
      <c r="F18" s="693" t="s">
        <v>3905</v>
      </c>
      <c r="G18" s="1013"/>
      <c r="H18" s="1013">
        <v>1</v>
      </c>
      <c r="I18" s="1013">
        <v>13</v>
      </c>
    </row>
    <row r="19" spans="3:10">
      <c r="C19" s="693">
        <v>8762</v>
      </c>
      <c r="D19" s="693">
        <v>14</v>
      </c>
      <c r="E19" s="693">
        <v>2</v>
      </c>
      <c r="F19" s="693" t="s">
        <v>3899</v>
      </c>
      <c r="G19" s="1013"/>
      <c r="H19" s="1013"/>
      <c r="I19" s="1013">
        <v>0</v>
      </c>
    </row>
    <row r="20" spans="3:10">
      <c r="C20" s="693">
        <v>2724</v>
      </c>
      <c r="D20" s="693">
        <v>6</v>
      </c>
      <c r="E20" s="693">
        <v>24</v>
      </c>
      <c r="F20" s="693" t="s">
        <v>3902</v>
      </c>
      <c r="G20" s="1013"/>
      <c r="H20" s="1013">
        <v>0</v>
      </c>
      <c r="I20" s="1013">
        <v>6</v>
      </c>
    </row>
    <row r="21" spans="3:10">
      <c r="C21" s="693">
        <v>17426</v>
      </c>
      <c r="D21" s="693">
        <v>2</v>
      </c>
      <c r="E21" s="693">
        <v>99.82</v>
      </c>
      <c r="F21" s="693" t="s">
        <v>3895</v>
      </c>
      <c r="G21" s="1013"/>
      <c r="H21" s="1013">
        <v>0</v>
      </c>
      <c r="I21" s="1013">
        <v>2</v>
      </c>
    </row>
    <row r="25" spans="3:10">
      <c r="C25">
        <v>10164</v>
      </c>
      <c r="D25">
        <v>60</v>
      </c>
      <c r="E25">
        <v>3</v>
      </c>
      <c r="F25" t="s">
        <v>3897</v>
      </c>
      <c r="H25">
        <v>13.11</v>
      </c>
      <c r="I25">
        <v>4.3677000000000001</v>
      </c>
      <c r="J25" s="1442">
        <f>+H25/I25</f>
        <v>3.0015797788309633</v>
      </c>
    </row>
    <row r="26" spans="3:10">
      <c r="C26">
        <v>14081</v>
      </c>
      <c r="D26">
        <v>48</v>
      </c>
      <c r="E26">
        <v>5</v>
      </c>
      <c r="F26" t="s">
        <v>3896</v>
      </c>
      <c r="H26">
        <v>21.85</v>
      </c>
      <c r="I26">
        <v>4.3677000000000001</v>
      </c>
      <c r="J26" s="1442">
        <f>+H26/I26</f>
        <v>5.0026329647182726</v>
      </c>
    </row>
    <row r="27" spans="3:10">
      <c r="J27" s="1442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C1:H73"/>
  <sheetViews>
    <sheetView topLeftCell="C1" workbookViewId="0">
      <selection activeCell="L19" sqref="L19:L20"/>
    </sheetView>
  </sheetViews>
  <sheetFormatPr baseColWidth="10" defaultRowHeight="15"/>
  <cols>
    <col min="1" max="2" width="0" hidden="1" customWidth="1"/>
    <col min="3" max="4" width="11.42578125" style="586"/>
    <col min="5" max="6" width="11.42578125" style="586" customWidth="1"/>
    <col min="7" max="7" width="54.85546875" style="314" customWidth="1"/>
    <col min="8" max="8" width="15.28515625" style="586" customWidth="1"/>
  </cols>
  <sheetData>
    <row r="1" spans="3:8">
      <c r="H1" s="587" t="s">
        <v>21</v>
      </c>
    </row>
    <row r="2" spans="3:8" ht="30">
      <c r="C2" s="585" t="s">
        <v>2680</v>
      </c>
      <c r="D2" s="339" t="s">
        <v>1562</v>
      </c>
      <c r="E2" s="339"/>
      <c r="G2" s="391" t="s">
        <v>1</v>
      </c>
      <c r="H2" s="587" t="s">
        <v>68</v>
      </c>
    </row>
    <row r="3" spans="3:8">
      <c r="C3" s="587">
        <v>14531</v>
      </c>
      <c r="D3" s="587"/>
      <c r="E3" s="585"/>
      <c r="F3" s="585" t="s">
        <v>2681</v>
      </c>
      <c r="G3" s="554" t="s">
        <v>2648</v>
      </c>
      <c r="H3" s="305" t="s">
        <v>65</v>
      </c>
    </row>
    <row r="4" spans="3:8">
      <c r="C4" s="587">
        <v>8867</v>
      </c>
      <c r="D4" s="587" t="s">
        <v>2684</v>
      </c>
      <c r="E4" s="587"/>
      <c r="F4" s="587">
        <v>1.1399999999999999</v>
      </c>
      <c r="G4" s="554" t="s">
        <v>2649</v>
      </c>
      <c r="H4" s="587"/>
    </row>
    <row r="5" spans="3:8">
      <c r="C5" s="587">
        <v>3785</v>
      </c>
      <c r="D5" s="587" t="s">
        <v>2602</v>
      </c>
      <c r="E5" s="587"/>
      <c r="F5" s="587">
        <v>4.37</v>
      </c>
      <c r="G5" s="554" t="s">
        <v>2682</v>
      </c>
      <c r="H5" s="587"/>
    </row>
    <row r="6" spans="3:8">
      <c r="C6" s="587">
        <v>14905</v>
      </c>
      <c r="D6" s="587" t="s">
        <v>2684</v>
      </c>
      <c r="E6" s="587"/>
      <c r="F6" s="587">
        <v>0.73</v>
      </c>
      <c r="G6" s="554" t="s">
        <v>2650</v>
      </c>
      <c r="H6" s="587"/>
    </row>
    <row r="7" spans="3:8">
      <c r="C7" s="587">
        <v>6004</v>
      </c>
      <c r="D7" s="587" t="s">
        <v>2684</v>
      </c>
      <c r="E7" s="587"/>
      <c r="F7" s="587">
        <v>2.4700000000000002</v>
      </c>
      <c r="G7" s="554" t="s">
        <v>2651</v>
      </c>
      <c r="H7" s="587"/>
    </row>
    <row r="8" spans="3:8">
      <c r="C8" s="587">
        <v>5046</v>
      </c>
      <c r="D8" s="587" t="s">
        <v>2684</v>
      </c>
      <c r="E8" s="587"/>
      <c r="F8" s="587">
        <v>4.67</v>
      </c>
      <c r="G8" s="554" t="s">
        <v>2652</v>
      </c>
      <c r="H8" s="587"/>
    </row>
    <row r="9" spans="3:8">
      <c r="C9" s="587">
        <v>11736</v>
      </c>
      <c r="D9" s="587" t="s">
        <v>1157</v>
      </c>
      <c r="E9" s="587"/>
      <c r="F9" s="587">
        <v>4.0199999999999996</v>
      </c>
      <c r="G9" s="591" t="s">
        <v>2653</v>
      </c>
      <c r="H9" s="587"/>
    </row>
    <row r="10" spans="3:8">
      <c r="C10" s="587">
        <v>9024</v>
      </c>
      <c r="D10" s="587" t="s">
        <v>2684</v>
      </c>
      <c r="E10" s="587"/>
      <c r="F10" s="587">
        <v>0.85</v>
      </c>
      <c r="G10" s="554" t="s">
        <v>2654</v>
      </c>
      <c r="H10" s="587"/>
    </row>
    <row r="11" spans="3:8">
      <c r="C11" s="587">
        <v>1613</v>
      </c>
      <c r="D11" s="587" t="s">
        <v>2685</v>
      </c>
      <c r="E11" s="587"/>
      <c r="F11" s="587">
        <v>3.93</v>
      </c>
      <c r="G11" s="591" t="s">
        <v>2655</v>
      </c>
      <c r="H11" s="587"/>
    </row>
    <row r="12" spans="3:8">
      <c r="C12" s="587">
        <v>1552</v>
      </c>
      <c r="D12" s="587" t="s">
        <v>2684</v>
      </c>
      <c r="E12" s="587"/>
      <c r="F12" s="587">
        <v>1.28</v>
      </c>
      <c r="G12" s="554" t="s">
        <v>2656</v>
      </c>
      <c r="H12" s="587"/>
    </row>
    <row r="13" spans="3:8">
      <c r="C13" s="587">
        <v>1608</v>
      </c>
      <c r="D13" s="587" t="s">
        <v>585</v>
      </c>
      <c r="E13" s="587"/>
      <c r="F13" s="587">
        <v>2.5</v>
      </c>
      <c r="G13" s="592" t="s">
        <v>2657</v>
      </c>
      <c r="H13" s="587">
        <v>48</v>
      </c>
    </row>
    <row r="14" spans="3:8">
      <c r="C14" s="587">
        <v>1578</v>
      </c>
      <c r="D14" s="587" t="s">
        <v>2684</v>
      </c>
      <c r="E14" s="587"/>
      <c r="F14" s="587">
        <v>1.49</v>
      </c>
      <c r="G14" s="554" t="s">
        <v>2658</v>
      </c>
      <c r="H14" s="587">
        <v>2</v>
      </c>
    </row>
    <row r="15" spans="3:8">
      <c r="C15" s="587">
        <v>9315</v>
      </c>
      <c r="D15" s="587" t="s">
        <v>2684</v>
      </c>
      <c r="E15" s="587"/>
      <c r="F15" s="587">
        <v>6.39</v>
      </c>
      <c r="G15" s="592" t="s">
        <v>2659</v>
      </c>
      <c r="H15" s="587"/>
    </row>
    <row r="16" spans="3:8">
      <c r="C16" s="587">
        <v>1543</v>
      </c>
      <c r="D16" s="587" t="s">
        <v>2684</v>
      </c>
      <c r="E16" s="587"/>
      <c r="F16" s="587">
        <v>3.93</v>
      </c>
      <c r="G16" s="554" t="s">
        <v>2660</v>
      </c>
      <c r="H16" s="587"/>
    </row>
    <row r="17" spans="3:8">
      <c r="C17" s="587">
        <v>9188</v>
      </c>
      <c r="D17" s="587" t="s">
        <v>2684</v>
      </c>
      <c r="E17" s="587"/>
      <c r="F17" s="587">
        <v>2.5</v>
      </c>
      <c r="G17" s="554" t="s">
        <v>2661</v>
      </c>
      <c r="H17" s="587"/>
    </row>
    <row r="18" spans="3:8">
      <c r="C18" s="587">
        <v>19909</v>
      </c>
      <c r="D18" s="587" t="s">
        <v>2684</v>
      </c>
      <c r="E18" s="587"/>
      <c r="F18" s="587">
        <v>3.94</v>
      </c>
      <c r="G18" s="554" t="s">
        <v>2662</v>
      </c>
      <c r="H18" s="587"/>
    </row>
    <row r="19" spans="3:8">
      <c r="C19" s="587">
        <v>19910</v>
      </c>
      <c r="D19" s="587" t="s">
        <v>2684</v>
      </c>
      <c r="E19" s="587"/>
      <c r="F19" s="587">
        <v>7.18</v>
      </c>
      <c r="G19" s="554" t="s">
        <v>2663</v>
      </c>
      <c r="H19" s="587"/>
    </row>
    <row r="20" spans="3:8">
      <c r="C20" s="587">
        <v>19911</v>
      </c>
      <c r="D20" s="587" t="s">
        <v>2684</v>
      </c>
      <c r="E20" s="587"/>
      <c r="F20" s="587">
        <v>7.18</v>
      </c>
      <c r="G20" s="554" t="s">
        <v>2664</v>
      </c>
      <c r="H20" s="587"/>
    </row>
    <row r="21" spans="3:8">
      <c r="C21" s="587">
        <v>19908</v>
      </c>
      <c r="D21" s="587" t="s">
        <v>2684</v>
      </c>
      <c r="E21" s="587"/>
      <c r="F21" s="587">
        <v>7.18</v>
      </c>
      <c r="G21" s="554" t="s">
        <v>2665</v>
      </c>
      <c r="H21" s="587"/>
    </row>
    <row r="22" spans="3:8">
      <c r="C22" s="587">
        <v>17932</v>
      </c>
      <c r="D22" s="587" t="s">
        <v>2686</v>
      </c>
      <c r="E22" s="587"/>
      <c r="F22" s="587">
        <v>7.18</v>
      </c>
      <c r="G22" s="554" t="s">
        <v>2666</v>
      </c>
      <c r="H22" s="587"/>
    </row>
    <row r="23" spans="3:8">
      <c r="C23" s="587">
        <v>3548</v>
      </c>
      <c r="D23" s="587" t="s">
        <v>585</v>
      </c>
      <c r="E23" s="587"/>
      <c r="F23" s="587">
        <v>5.74</v>
      </c>
      <c r="G23" s="554" t="s">
        <v>2667</v>
      </c>
      <c r="H23" s="587"/>
    </row>
    <row r="24" spans="3:8">
      <c r="C24" s="587">
        <v>15354</v>
      </c>
      <c r="D24" s="587" t="s">
        <v>585</v>
      </c>
      <c r="E24" s="587"/>
      <c r="F24" s="587">
        <v>1.49</v>
      </c>
      <c r="G24" s="554" t="s">
        <v>2668</v>
      </c>
      <c r="H24" s="587"/>
    </row>
    <row r="25" spans="3:8">
      <c r="C25" s="587">
        <v>1570</v>
      </c>
      <c r="D25" s="587" t="s">
        <v>2684</v>
      </c>
      <c r="E25" s="587"/>
      <c r="F25" s="587">
        <v>1.32</v>
      </c>
      <c r="G25" s="554" t="s">
        <v>2669</v>
      </c>
      <c r="H25" s="587"/>
    </row>
    <row r="26" spans="3:8">
      <c r="C26" s="587">
        <v>14470</v>
      </c>
      <c r="D26" s="587" t="s">
        <v>2684</v>
      </c>
      <c r="E26" s="587"/>
      <c r="F26" s="587">
        <v>2.5</v>
      </c>
      <c r="G26" s="554" t="s">
        <v>2670</v>
      </c>
      <c r="H26" s="587"/>
    </row>
    <row r="27" spans="3:8">
      <c r="C27" s="587">
        <v>13511</v>
      </c>
      <c r="D27" s="587" t="s">
        <v>2684</v>
      </c>
      <c r="E27" s="587"/>
      <c r="F27" s="587">
        <v>2.4700000000000002</v>
      </c>
      <c r="G27" s="554" t="s">
        <v>2671</v>
      </c>
      <c r="H27" s="587"/>
    </row>
    <row r="28" spans="3:8">
      <c r="C28" s="587">
        <v>1537</v>
      </c>
      <c r="D28" s="587" t="s">
        <v>2684</v>
      </c>
      <c r="E28" s="587"/>
      <c r="F28" s="587">
        <v>4.38</v>
      </c>
      <c r="G28" s="554" t="s">
        <v>2672</v>
      </c>
      <c r="H28" s="587"/>
    </row>
    <row r="29" spans="3:8">
      <c r="C29" s="587">
        <v>12396</v>
      </c>
      <c r="D29" s="587" t="s">
        <v>2684</v>
      </c>
      <c r="E29" s="587"/>
      <c r="F29" s="587">
        <v>5.0999999999999996</v>
      </c>
      <c r="G29" s="554" t="s">
        <v>2673</v>
      </c>
      <c r="H29" s="587"/>
    </row>
    <row r="30" spans="3:8">
      <c r="C30" s="587">
        <v>14390</v>
      </c>
      <c r="D30" s="587" t="s">
        <v>2684</v>
      </c>
      <c r="E30" s="587"/>
      <c r="F30" s="587">
        <v>4.87</v>
      </c>
      <c r="G30" s="554" t="s">
        <v>2674</v>
      </c>
      <c r="H30" s="587"/>
    </row>
    <row r="31" spans="3:8">
      <c r="C31" s="587">
        <v>9775</v>
      </c>
      <c r="D31" s="587" t="s">
        <v>2684</v>
      </c>
      <c r="E31" s="587"/>
      <c r="F31" s="587">
        <v>2.48</v>
      </c>
      <c r="G31" s="592" t="s">
        <v>2675</v>
      </c>
      <c r="H31" s="587">
        <v>2</v>
      </c>
    </row>
    <row r="32" spans="3:8">
      <c r="C32" s="587">
        <v>1573</v>
      </c>
      <c r="D32" s="587" t="s">
        <v>2684</v>
      </c>
      <c r="E32" s="587"/>
      <c r="F32" s="587">
        <v>4.37</v>
      </c>
      <c r="G32" s="554" t="s">
        <v>2676</v>
      </c>
      <c r="H32" s="587"/>
    </row>
    <row r="33" spans="3:8">
      <c r="C33" s="587">
        <v>13512</v>
      </c>
      <c r="D33" s="587" t="s">
        <v>2687</v>
      </c>
      <c r="E33" s="587"/>
      <c r="F33" s="587">
        <v>7.38</v>
      </c>
      <c r="G33" s="554" t="s">
        <v>2677</v>
      </c>
      <c r="H33" s="587"/>
    </row>
    <row r="34" spans="3:8">
      <c r="C34" s="587">
        <v>9316</v>
      </c>
      <c r="D34" s="587" t="s">
        <v>2602</v>
      </c>
      <c r="E34" s="587"/>
      <c r="F34" s="587">
        <v>1.28</v>
      </c>
      <c r="G34" s="554" t="s">
        <v>2683</v>
      </c>
      <c r="H34" s="587"/>
    </row>
    <row r="35" spans="3:8">
      <c r="C35" s="587">
        <v>16090</v>
      </c>
      <c r="D35" s="587" t="s">
        <v>2684</v>
      </c>
      <c r="E35" s="587"/>
      <c r="F35" s="587">
        <v>0.9</v>
      </c>
      <c r="G35" s="554" t="s">
        <v>2678</v>
      </c>
      <c r="H35" s="587"/>
    </row>
    <row r="36" spans="3:8">
      <c r="C36" s="587">
        <v>17951</v>
      </c>
      <c r="D36" s="587" t="s">
        <v>2684</v>
      </c>
      <c r="E36" s="587"/>
      <c r="F36" s="587">
        <v>5.9</v>
      </c>
      <c r="G36" s="554" t="s">
        <v>2679</v>
      </c>
      <c r="H36" s="587"/>
    </row>
    <row r="37" spans="3:8">
      <c r="C37" s="305">
        <v>1617</v>
      </c>
      <c r="D37" s="587" t="s">
        <v>2685</v>
      </c>
      <c r="E37" s="587"/>
      <c r="F37" s="587">
        <v>5.74</v>
      </c>
      <c r="G37" s="554" t="s">
        <v>2688</v>
      </c>
      <c r="H37" s="587"/>
    </row>
    <row r="38" spans="3:8">
      <c r="C38" s="587">
        <v>1615</v>
      </c>
      <c r="D38" s="587">
        <v>22</v>
      </c>
      <c r="E38" s="587"/>
      <c r="F38" s="587">
        <v>1.28</v>
      </c>
      <c r="G38" s="554" t="s">
        <v>2689</v>
      </c>
      <c r="H38" s="587"/>
    </row>
    <row r="39" spans="3:8">
      <c r="C39" s="587">
        <v>1575</v>
      </c>
      <c r="D39" s="587" t="s">
        <v>2684</v>
      </c>
      <c r="E39" s="587"/>
      <c r="F39" s="587">
        <v>1.22</v>
      </c>
      <c r="G39" s="554" t="s">
        <v>2690</v>
      </c>
      <c r="H39" s="587"/>
    </row>
    <row r="40" spans="3:8">
      <c r="C40" s="587">
        <v>8824</v>
      </c>
      <c r="D40" s="587" t="s">
        <v>2696</v>
      </c>
      <c r="E40" s="587"/>
      <c r="F40" s="587">
        <v>6.77</v>
      </c>
      <c r="G40" s="554" t="s">
        <v>2691</v>
      </c>
      <c r="H40" s="587"/>
    </row>
    <row r="41" spans="3:8">
      <c r="C41" s="587">
        <v>1606</v>
      </c>
      <c r="D41" s="587" t="s">
        <v>585</v>
      </c>
      <c r="E41" s="587"/>
      <c r="F41" s="587">
        <v>0.94</v>
      </c>
      <c r="G41" s="554" t="s">
        <v>2692</v>
      </c>
      <c r="H41" s="587"/>
    </row>
    <row r="42" spans="3:8">
      <c r="C42" s="587">
        <v>16091</v>
      </c>
      <c r="D42" s="587" t="s">
        <v>2697</v>
      </c>
      <c r="E42" s="587"/>
      <c r="F42" s="587">
        <v>1.4</v>
      </c>
      <c r="G42" s="592" t="s">
        <v>2693</v>
      </c>
      <c r="H42" s="587">
        <v>54</v>
      </c>
    </row>
    <row r="43" spans="3:8">
      <c r="C43" s="587">
        <v>1612</v>
      </c>
      <c r="D43" s="587" t="s">
        <v>2696</v>
      </c>
      <c r="E43" s="587"/>
      <c r="F43" s="587">
        <v>1.18</v>
      </c>
      <c r="G43" s="592" t="s">
        <v>2694</v>
      </c>
      <c r="H43" s="587">
        <v>32</v>
      </c>
    </row>
    <row r="44" spans="3:8">
      <c r="C44" s="587">
        <v>19416</v>
      </c>
      <c r="D44" s="587" t="s">
        <v>2696</v>
      </c>
      <c r="E44" s="587"/>
      <c r="F44" s="587">
        <v>0.74</v>
      </c>
      <c r="G44" s="554" t="s">
        <v>2695</v>
      </c>
      <c r="H44" s="587"/>
    </row>
    <row r="45" spans="3:8">
      <c r="F45" s="587">
        <v>0.74</v>
      </c>
      <c r="G45"/>
    </row>
    <row r="46" spans="3:8">
      <c r="G46"/>
    </row>
    <row r="47" spans="3:8">
      <c r="G47"/>
    </row>
    <row r="48" spans="3:8">
      <c r="G48"/>
    </row>
    <row r="49" spans="7:7">
      <c r="G49"/>
    </row>
    <row r="50" spans="7:7">
      <c r="G50"/>
    </row>
    <row r="51" spans="7:7">
      <c r="G51"/>
    </row>
    <row r="52" spans="7:7">
      <c r="G52"/>
    </row>
    <row r="53" spans="7:7">
      <c r="G53"/>
    </row>
    <row r="54" spans="7:7">
      <c r="G54"/>
    </row>
    <row r="55" spans="7:7">
      <c r="G55"/>
    </row>
    <row r="56" spans="7:7">
      <c r="G56"/>
    </row>
    <row r="57" spans="7:7">
      <c r="G57"/>
    </row>
    <row r="58" spans="7:7">
      <c r="G58"/>
    </row>
    <row r="59" spans="7:7">
      <c r="G59"/>
    </row>
    <row r="60" spans="7:7">
      <c r="G60"/>
    </row>
    <row r="61" spans="7:7">
      <c r="G61"/>
    </row>
    <row r="62" spans="7:7">
      <c r="G62"/>
    </row>
    <row r="63" spans="7:7">
      <c r="G63"/>
    </row>
    <row r="64" spans="7:7">
      <c r="G64"/>
    </row>
    <row r="65" spans="7:7">
      <c r="G65"/>
    </row>
    <row r="66" spans="7:7">
      <c r="G66"/>
    </row>
    <row r="67" spans="7:7">
      <c r="G67"/>
    </row>
    <row r="68" spans="7:7">
      <c r="G68"/>
    </row>
    <row r="69" spans="7:7">
      <c r="G69"/>
    </row>
    <row r="70" spans="7:7">
      <c r="G70"/>
    </row>
    <row r="71" spans="7:7">
      <c r="G71"/>
    </row>
    <row r="72" spans="7:7">
      <c r="G72"/>
    </row>
    <row r="73" spans="7:7">
      <c r="G73"/>
    </row>
  </sheetData>
  <sortState ref="C4:G69">
    <sortCondition ref="G4:G69"/>
  </sortState>
  <pageMargins left="0.7" right="0.7" top="0.75" bottom="0.75" header="0.3" footer="0.3"/>
  <pageSetup paperSize="11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R98"/>
  <sheetViews>
    <sheetView topLeftCell="B1" workbookViewId="0">
      <selection activeCell="L8" sqref="L8"/>
    </sheetView>
  </sheetViews>
  <sheetFormatPr baseColWidth="10" defaultRowHeight="15"/>
  <cols>
    <col min="1" max="1" width="0" hidden="1" customWidth="1"/>
    <col min="4" max="4" width="11" style="1232" customWidth="1"/>
    <col min="5" max="5" width="11.42578125" style="1232" customWidth="1"/>
    <col min="6" max="6" width="8.42578125" style="1232" customWidth="1"/>
    <col min="7" max="7" width="14.140625" style="1233" customWidth="1"/>
    <col min="8" max="8" width="11.28515625" style="1232" customWidth="1"/>
    <col min="9" max="9" width="9.5703125" style="1233" customWidth="1"/>
    <col min="10" max="10" width="7.5703125" style="1233" customWidth="1"/>
    <col min="11" max="11" width="9.85546875" style="1233" customWidth="1"/>
    <col min="12" max="12" width="11.85546875" style="1233" customWidth="1"/>
    <col min="13" max="13" width="10" style="1233" customWidth="1"/>
    <col min="14" max="14" width="12" style="1232" customWidth="1"/>
    <col min="15" max="15" width="7.140625" style="25" customWidth="1"/>
    <col min="16" max="16" width="9.140625" style="25" customWidth="1"/>
    <col min="17" max="17" width="20.5703125" customWidth="1"/>
  </cols>
  <sheetData>
    <row r="1" spans="1:17">
      <c r="A1" t="s">
        <v>3516</v>
      </c>
    </row>
    <row r="2" spans="1:17" ht="15" customHeight="1">
      <c r="D2" s="2349" t="s">
        <v>3686</v>
      </c>
      <c r="E2" s="2349"/>
      <c r="F2" s="2349"/>
      <c r="G2" s="2349"/>
      <c r="H2" s="2349"/>
      <c r="I2" s="2349"/>
      <c r="J2" s="2349"/>
      <c r="K2" s="2349"/>
      <c r="L2" s="2349"/>
      <c r="M2" s="2349"/>
      <c r="N2" s="2349"/>
      <c r="O2" s="2050"/>
      <c r="P2" s="2050"/>
      <c r="Q2" s="2051"/>
    </row>
    <row r="3" spans="1:17" ht="15" customHeight="1">
      <c r="D3" s="2350"/>
      <c r="E3" s="2350"/>
      <c r="F3" s="2350"/>
      <c r="G3" s="2350"/>
      <c r="H3" s="2350"/>
      <c r="I3" s="2350"/>
      <c r="J3" s="2350"/>
      <c r="K3" s="2350"/>
      <c r="L3" s="2350"/>
      <c r="M3" s="2350"/>
      <c r="N3" s="2350"/>
      <c r="O3" s="2050"/>
      <c r="P3" s="2050"/>
      <c r="Q3" s="2051"/>
    </row>
    <row r="4" spans="1:17" ht="23.25">
      <c r="D4" s="2052" t="s">
        <v>2311</v>
      </c>
      <c r="E4" s="2052" t="s">
        <v>2312</v>
      </c>
      <c r="F4" s="2053" t="s">
        <v>3668</v>
      </c>
      <c r="G4" s="2053" t="s">
        <v>3669</v>
      </c>
      <c r="H4" s="2052" t="s">
        <v>3670</v>
      </c>
      <c r="I4" s="2053" t="s">
        <v>3671</v>
      </c>
      <c r="J4" s="2053" t="s">
        <v>3672</v>
      </c>
      <c r="K4" s="2053" t="s">
        <v>3673</v>
      </c>
      <c r="L4" s="2052" t="s">
        <v>3674</v>
      </c>
      <c r="M4" s="2052" t="s">
        <v>3675</v>
      </c>
      <c r="N4" s="2052" t="s">
        <v>3676</v>
      </c>
      <c r="O4" s="2054" t="s">
        <v>3677</v>
      </c>
      <c r="P4" s="2055" t="s">
        <v>3515</v>
      </c>
      <c r="Q4" s="2051"/>
    </row>
    <row r="5" spans="1:17" ht="80.25" customHeight="1">
      <c r="D5" s="2052" t="s">
        <v>3511</v>
      </c>
      <c r="E5" s="2052" t="s">
        <v>3512</v>
      </c>
      <c r="F5" s="2053" t="s">
        <v>3517</v>
      </c>
      <c r="G5" s="2053" t="s">
        <v>3518</v>
      </c>
      <c r="H5" s="2052" t="s">
        <v>3519</v>
      </c>
      <c r="I5" s="2053" t="s">
        <v>3522</v>
      </c>
      <c r="J5" s="2053" t="s">
        <v>3520</v>
      </c>
      <c r="K5" s="2053" t="s">
        <v>3521</v>
      </c>
      <c r="L5" s="2053" t="s">
        <v>3975</v>
      </c>
      <c r="M5" s="2052" t="s">
        <v>3513</v>
      </c>
      <c r="N5" s="2052" t="s">
        <v>3514</v>
      </c>
      <c r="O5" s="2052" t="s">
        <v>4045</v>
      </c>
      <c r="P5" s="2053" t="s">
        <v>4044</v>
      </c>
      <c r="Q5" s="2051"/>
    </row>
    <row r="6" spans="1:17">
      <c r="D6" s="2056">
        <v>44558</v>
      </c>
      <c r="E6" s="2052" t="s">
        <v>3684</v>
      </c>
      <c r="F6" s="2053">
        <v>237.95</v>
      </c>
      <c r="G6" s="2053">
        <v>3263602725</v>
      </c>
      <c r="H6" s="2052" t="s">
        <v>3720</v>
      </c>
      <c r="I6" s="2053">
        <v>1093.9000000000001</v>
      </c>
      <c r="J6" s="2053">
        <v>4.5999999999999996</v>
      </c>
      <c r="K6" s="2057">
        <f>+Tabla7[[#This Row],[Columna8]]/Tabla7[[#This Row],[Columna9]]</f>
        <v>237.804347826087</v>
      </c>
      <c r="L6" s="2058">
        <f>+Tabla7[[#This Row],[Columna10]]-Tabla7[[#This Row],[Columna5]]</f>
        <v>-0.14565217391299257</v>
      </c>
      <c r="M6" s="2052" t="s">
        <v>3513</v>
      </c>
      <c r="N6" s="2052"/>
      <c r="O6" s="2052"/>
      <c r="P6" s="2052"/>
      <c r="Q6" s="2051"/>
    </row>
    <row r="7" spans="1:17">
      <c r="D7" s="2059">
        <v>44571</v>
      </c>
      <c r="E7" s="2060" t="s">
        <v>3734</v>
      </c>
      <c r="F7" s="2061">
        <v>812.36</v>
      </c>
      <c r="G7" s="2061">
        <v>3270087545</v>
      </c>
      <c r="H7" s="2060" t="s">
        <v>3720</v>
      </c>
      <c r="I7" s="2061">
        <v>1335.38</v>
      </c>
      <c r="J7" s="2061">
        <v>4.62</v>
      </c>
      <c r="K7" s="2062">
        <f>+Tabla7[[#This Row],[Columna8]]/Tabla7[[#This Row],[Columna9]]</f>
        <v>289.04329004329009</v>
      </c>
      <c r="L7" s="2058">
        <v>0</v>
      </c>
      <c r="M7" s="2060" t="s">
        <v>3513</v>
      </c>
      <c r="N7" s="2060" t="s">
        <v>65</v>
      </c>
      <c r="O7" s="2052"/>
      <c r="P7" s="2052"/>
      <c r="Q7" s="2051"/>
    </row>
    <row r="8" spans="1:17" s="827" customFormat="1">
      <c r="D8" s="2059">
        <v>44571</v>
      </c>
      <c r="E8" s="2060" t="s">
        <v>3734</v>
      </c>
      <c r="F8" s="2061">
        <v>812.36</v>
      </c>
      <c r="G8" s="2061">
        <v>20247911772</v>
      </c>
      <c r="H8" s="2060" t="s">
        <v>3963</v>
      </c>
      <c r="I8" s="2061">
        <v>2417.7199999999998</v>
      </c>
      <c r="J8" s="2061">
        <v>4.62</v>
      </c>
      <c r="K8" s="2062">
        <f>+Tabla7[[#This Row],[Columna8]]/Tabla7[[#This Row],[Columna9]]</f>
        <v>523.31601731601722</v>
      </c>
      <c r="L8" s="2058">
        <v>0</v>
      </c>
      <c r="M8" s="2060" t="s">
        <v>3513</v>
      </c>
      <c r="N8" s="2060"/>
      <c r="O8" s="2052"/>
      <c r="P8" s="2052"/>
      <c r="Q8" s="2051"/>
    </row>
    <row r="9" spans="1:17">
      <c r="D9" s="2059">
        <v>44580</v>
      </c>
      <c r="E9" s="2060" t="s">
        <v>3889</v>
      </c>
      <c r="F9" s="2061">
        <v>286.63</v>
      </c>
      <c r="G9" s="2061">
        <v>3271951148</v>
      </c>
      <c r="H9" s="2060" t="s">
        <v>3720</v>
      </c>
      <c r="I9" s="2061">
        <v>1313.83</v>
      </c>
      <c r="J9" s="2061">
        <v>4.58</v>
      </c>
      <c r="K9" s="2062">
        <f>+Tabla7[[#This Row],[Columna8]]/Tabla7[[#This Row],[Columna9]]</f>
        <v>286.86244541484712</v>
      </c>
      <c r="L9" s="2063">
        <f>+Tabla7[[#This Row],[Columna10]]-Tabla7[[#This Row],[Columna5]]</f>
        <v>0.23244541484712045</v>
      </c>
      <c r="M9" s="2060" t="s">
        <v>3513</v>
      </c>
      <c r="N9" s="2052" t="s">
        <v>65</v>
      </c>
      <c r="O9" s="2052"/>
      <c r="P9" s="2052"/>
      <c r="Q9" s="2051"/>
    </row>
    <row r="10" spans="1:17">
      <c r="D10" s="2059">
        <v>44585</v>
      </c>
      <c r="E10" s="2060" t="s">
        <v>3962</v>
      </c>
      <c r="F10" s="2061">
        <v>736.5</v>
      </c>
      <c r="G10" s="2061">
        <v>3273985502</v>
      </c>
      <c r="H10" s="2060" t="s">
        <v>3720</v>
      </c>
      <c r="I10" s="2061">
        <v>3343.71</v>
      </c>
      <c r="J10" s="2061">
        <v>4.54</v>
      </c>
      <c r="K10" s="2062">
        <f>+Tabla7[[#This Row],[Columna8]]/Tabla7[[#This Row],[Columna9]]</f>
        <v>736.5</v>
      </c>
      <c r="L10" s="2063">
        <f>+Tabla7[[#This Row],[Columna10]]-Tabla7[[#This Row],[Columna5]]</f>
        <v>0</v>
      </c>
      <c r="M10" s="2060" t="s">
        <v>3513</v>
      </c>
      <c r="N10" s="2052" t="s">
        <v>65</v>
      </c>
      <c r="O10" s="2052"/>
      <c r="P10" s="2052"/>
      <c r="Q10" s="2051"/>
    </row>
    <row r="11" spans="1:17">
      <c r="D11" s="2059">
        <v>44586</v>
      </c>
      <c r="E11" s="2060" t="s">
        <v>3964</v>
      </c>
      <c r="F11" s="2061">
        <v>912.35</v>
      </c>
      <c r="G11" s="2061">
        <v>3275002990</v>
      </c>
      <c r="H11" s="2060" t="s">
        <v>3720</v>
      </c>
      <c r="I11" s="2061">
        <v>1824.81</v>
      </c>
      <c r="J11" s="2061">
        <v>4.5199999999999996</v>
      </c>
      <c r="K11" s="2062">
        <f>+Tabla7[[#This Row],[Columna8]]/Tabla7[[#This Row],[Columna9]]</f>
        <v>403.71902654867262</v>
      </c>
      <c r="L11" s="2060"/>
      <c r="M11" s="2060" t="s">
        <v>3513</v>
      </c>
      <c r="N11" s="2064" t="s">
        <v>65</v>
      </c>
      <c r="O11" s="2052"/>
      <c r="P11" s="2052"/>
      <c r="Q11" s="2051"/>
    </row>
    <row r="12" spans="1:17">
      <c r="D12" s="2059">
        <v>44586</v>
      </c>
      <c r="E12" s="2060" t="s">
        <v>3964</v>
      </c>
      <c r="F12" s="2061">
        <v>912.35</v>
      </c>
      <c r="G12" s="2061">
        <v>20344512301</v>
      </c>
      <c r="H12" s="2060" t="s">
        <v>3963</v>
      </c>
      <c r="I12" s="2061">
        <v>2300</v>
      </c>
      <c r="J12" s="2061">
        <v>4.5199999999999996</v>
      </c>
      <c r="K12" s="2062">
        <f>+Tabla7[[#This Row],[Columna8]]/Tabla7[[#This Row],[Columna9]]</f>
        <v>508.84955752212392</v>
      </c>
      <c r="L12" s="2060"/>
      <c r="M12" s="2060" t="s">
        <v>3513</v>
      </c>
      <c r="N12" s="2064"/>
      <c r="O12" s="2052"/>
      <c r="P12" s="2052"/>
      <c r="Q12" s="2051"/>
    </row>
    <row r="13" spans="1:17">
      <c r="D13" s="2065"/>
      <c r="E13" s="2065"/>
      <c r="F13" s="2065"/>
      <c r="G13" s="2061"/>
      <c r="H13" s="2060"/>
      <c r="I13" s="2061"/>
      <c r="J13" s="2061" t="s">
        <v>560</v>
      </c>
      <c r="K13" s="2062">
        <f>+K11+K12</f>
        <v>912.56858407079653</v>
      </c>
      <c r="L13" s="2060"/>
      <c r="M13" s="2060" t="s">
        <v>3513</v>
      </c>
      <c r="N13" s="2064"/>
      <c r="O13" s="2064"/>
      <c r="P13" s="2064"/>
      <c r="Q13" s="2051"/>
    </row>
    <row r="14" spans="1:17">
      <c r="D14" s="2066" t="s">
        <v>4441</v>
      </c>
      <c r="E14" s="2064" t="s">
        <v>4442</v>
      </c>
      <c r="F14" s="2067" t="s">
        <v>4443</v>
      </c>
      <c r="G14" s="2064">
        <v>104248</v>
      </c>
      <c r="H14" s="2064" t="s">
        <v>4504</v>
      </c>
      <c r="I14" s="2064">
        <v>226.17</v>
      </c>
      <c r="J14" s="2064">
        <v>4.4400000000000004</v>
      </c>
      <c r="K14" s="2068">
        <f>+I14/J14</f>
        <v>50.939189189189179</v>
      </c>
      <c r="L14" s="2064"/>
      <c r="M14" s="2064" t="s">
        <v>3523</v>
      </c>
      <c r="N14" s="2069"/>
      <c r="O14" s="2352">
        <f>+F14-K17</f>
        <v>0.6900790083932975</v>
      </c>
      <c r="P14" s="2351" t="s">
        <v>3515</v>
      </c>
      <c r="Q14" s="2051"/>
    </row>
    <row r="15" spans="1:17" s="827" customFormat="1">
      <c r="D15" s="2066" t="s">
        <v>4441</v>
      </c>
      <c r="E15" s="2064" t="s">
        <v>4442</v>
      </c>
      <c r="F15" s="2067" t="s">
        <v>65</v>
      </c>
      <c r="G15" s="2064">
        <v>667491404</v>
      </c>
      <c r="H15" s="2064" t="s">
        <v>4613</v>
      </c>
      <c r="I15" s="2064">
        <v>780.32</v>
      </c>
      <c r="J15" s="2064">
        <v>4.4400000000000004</v>
      </c>
      <c r="K15" s="2068">
        <f>+I15/J15</f>
        <v>175.74774774774775</v>
      </c>
      <c r="L15" s="2064"/>
      <c r="M15" s="2064" t="s">
        <v>3523</v>
      </c>
      <c r="N15" s="2069"/>
      <c r="O15" s="2353"/>
      <c r="P15" s="2351"/>
      <c r="Q15" s="2051"/>
    </row>
    <row r="16" spans="1:17" s="827" customFormat="1">
      <c r="D16" s="2066">
        <v>44602</v>
      </c>
      <c r="E16" s="2064" t="s">
        <v>4442</v>
      </c>
      <c r="F16" s="2067"/>
      <c r="G16" s="2064">
        <v>13306</v>
      </c>
      <c r="H16" s="2064" t="s">
        <v>4504</v>
      </c>
      <c r="I16" s="2064">
        <v>587</v>
      </c>
      <c r="J16" s="2064">
        <v>4.3899999999999997</v>
      </c>
      <c r="K16" s="2068">
        <f>+I16/J16</f>
        <v>133.7129840546697</v>
      </c>
      <c r="L16" s="2064"/>
      <c r="M16" s="2064" t="s">
        <v>3523</v>
      </c>
      <c r="N16" s="2069"/>
      <c r="O16" s="2353"/>
      <c r="P16" s="2351"/>
      <c r="Q16" s="2051"/>
    </row>
    <row r="17" spans="4:18" s="827" customFormat="1">
      <c r="D17" s="2070"/>
      <c r="E17" s="2071"/>
      <c r="F17" s="2072"/>
      <c r="G17" s="2073"/>
      <c r="H17" s="2073"/>
      <c r="I17" s="2073"/>
      <c r="J17" s="2073"/>
      <c r="K17" s="2063">
        <f>+K14+K15+K16</f>
        <v>360.39992099160668</v>
      </c>
      <c r="L17" s="2060"/>
      <c r="M17" s="2060" t="s">
        <v>3513</v>
      </c>
      <c r="N17" s="2069"/>
      <c r="O17" s="2353"/>
      <c r="P17" s="2351"/>
      <c r="Q17" s="2051"/>
    </row>
    <row r="18" spans="4:18" s="827" customFormat="1">
      <c r="D18" s="2070"/>
      <c r="E18" s="2071"/>
      <c r="F18" s="2072"/>
      <c r="G18" s="2073"/>
      <c r="H18" s="2073"/>
      <c r="I18" s="2073"/>
      <c r="J18" s="2073"/>
      <c r="K18" s="2074">
        <f>+F14-K17</f>
        <v>0.6900790083932975</v>
      </c>
      <c r="L18" s="2075"/>
      <c r="M18" s="2075" t="s">
        <v>3515</v>
      </c>
      <c r="N18" s="2069"/>
      <c r="O18" s="2353"/>
      <c r="P18" s="2351"/>
      <c r="Q18" s="2051"/>
    </row>
    <row r="19" spans="4:18">
      <c r="D19" s="2059">
        <v>44609</v>
      </c>
      <c r="E19" s="2060" t="s">
        <v>4560</v>
      </c>
      <c r="F19" s="2060">
        <v>256.5</v>
      </c>
      <c r="G19" s="2060">
        <v>13541</v>
      </c>
      <c r="H19" s="2060" t="s">
        <v>4504</v>
      </c>
      <c r="I19" s="2060">
        <v>1126</v>
      </c>
      <c r="J19" s="2060">
        <v>4.3899999999999997</v>
      </c>
      <c r="K19" s="2063">
        <f t="shared" ref="K19:K37" si="0">+I19/J19</f>
        <v>256.49202733485197</v>
      </c>
      <c r="L19" s="2060"/>
      <c r="M19" s="2060" t="s">
        <v>3513</v>
      </c>
      <c r="N19" s="2069"/>
      <c r="O19" s="2076">
        <f>+K19-F19</f>
        <v>-7.9726651480314104E-3</v>
      </c>
      <c r="P19" s="2073" t="s">
        <v>3515</v>
      </c>
      <c r="Q19" s="2051"/>
    </row>
    <row r="20" spans="4:18">
      <c r="D20" s="2059">
        <v>44609</v>
      </c>
      <c r="E20" s="2060" t="s">
        <v>4561</v>
      </c>
      <c r="F20" s="2060">
        <v>221.86</v>
      </c>
      <c r="G20" s="2060">
        <v>3282121899</v>
      </c>
      <c r="H20" s="2060" t="s">
        <v>3720</v>
      </c>
      <c r="I20" s="2060">
        <v>963.47</v>
      </c>
      <c r="J20" s="2060">
        <v>4.34</v>
      </c>
      <c r="K20" s="2063">
        <f t="shared" si="0"/>
        <v>221.99769585253458</v>
      </c>
      <c r="L20" s="2060"/>
      <c r="M20" s="2063" t="s">
        <v>3513</v>
      </c>
      <c r="N20" s="2069"/>
      <c r="O20" s="2076">
        <f>+K20-F20</f>
        <v>0.13769585253456285</v>
      </c>
      <c r="P20" s="2073" t="s">
        <v>4044</v>
      </c>
      <c r="Q20" s="2051"/>
    </row>
    <row r="21" spans="4:18">
      <c r="D21" s="2059">
        <v>44613</v>
      </c>
      <c r="E21" s="2060" t="s">
        <v>4574</v>
      </c>
      <c r="F21" s="2060">
        <v>816</v>
      </c>
      <c r="G21" s="2060">
        <v>33635</v>
      </c>
      <c r="H21" s="2060" t="s">
        <v>4504</v>
      </c>
      <c r="I21" s="2060">
        <v>3443.52</v>
      </c>
      <c r="J21" s="2060">
        <v>4.22</v>
      </c>
      <c r="K21" s="2063">
        <f t="shared" si="0"/>
        <v>816</v>
      </c>
      <c r="L21" s="2060"/>
      <c r="M21" s="2060" t="s">
        <v>3513</v>
      </c>
      <c r="N21" s="2069"/>
      <c r="O21" s="2076">
        <f>+K21-F21</f>
        <v>0</v>
      </c>
      <c r="P21" s="2069"/>
      <c r="Q21" s="2051"/>
    </row>
    <row r="22" spans="4:18">
      <c r="D22" s="2059">
        <v>44615</v>
      </c>
      <c r="E22" s="2060" t="s">
        <v>4602</v>
      </c>
      <c r="F22" s="2060">
        <v>228.54</v>
      </c>
      <c r="G22" s="2060">
        <v>683225650</v>
      </c>
      <c r="H22" s="2060" t="s">
        <v>4613</v>
      </c>
      <c r="I22" s="2060">
        <v>973.06</v>
      </c>
      <c r="J22" s="2060">
        <v>4.38</v>
      </c>
      <c r="K22" s="2063">
        <f t="shared" si="0"/>
        <v>222.15981735159818</v>
      </c>
      <c r="L22" s="2060"/>
      <c r="M22" s="2060" t="s">
        <v>3513</v>
      </c>
      <c r="N22" s="2069"/>
      <c r="O22" s="2076">
        <v>6.38</v>
      </c>
      <c r="P22" s="2076">
        <f>+Q22-O22</f>
        <v>1.25</v>
      </c>
      <c r="Q22" s="2051">
        <v>7.63</v>
      </c>
      <c r="R22" t="s">
        <v>5185</v>
      </c>
    </row>
    <row r="23" spans="4:18">
      <c r="D23" s="2059">
        <v>44614</v>
      </c>
      <c r="E23" s="2060" t="s">
        <v>4642</v>
      </c>
      <c r="F23" s="2060">
        <v>206.4</v>
      </c>
      <c r="G23" s="2060">
        <v>13818</v>
      </c>
      <c r="H23" s="2060" t="s">
        <v>4504</v>
      </c>
      <c r="I23" s="2060">
        <v>906</v>
      </c>
      <c r="J23" s="2060">
        <v>4.3899999999999997</v>
      </c>
      <c r="K23" s="2063">
        <f t="shared" si="0"/>
        <v>206.37813211845105</v>
      </c>
      <c r="L23" s="2060"/>
      <c r="M23" s="2060" t="s">
        <v>3513</v>
      </c>
      <c r="N23" s="2069"/>
      <c r="O23" s="2076">
        <f>+K23-F23</f>
        <v>-2.1867881548956802E-2</v>
      </c>
      <c r="P23" s="2073" t="s">
        <v>3515</v>
      </c>
      <c r="Q23" s="2051"/>
    </row>
    <row r="24" spans="4:18">
      <c r="D24" s="2059">
        <v>44622</v>
      </c>
      <c r="E24" s="2060" t="s">
        <v>4742</v>
      </c>
      <c r="F24" s="2060">
        <v>220.37</v>
      </c>
      <c r="G24" s="2060">
        <v>689288332</v>
      </c>
      <c r="H24" s="2060" t="s">
        <v>4613</v>
      </c>
      <c r="I24" s="2060">
        <v>987.26</v>
      </c>
      <c r="J24" s="2060">
        <v>4.33</v>
      </c>
      <c r="K24" s="2063">
        <f t="shared" si="0"/>
        <v>228.00461893764432</v>
      </c>
      <c r="L24" s="2060"/>
      <c r="M24" s="2063" t="s">
        <v>3513</v>
      </c>
      <c r="N24" s="2069"/>
      <c r="O24" s="2077">
        <f>+K24-F24</f>
        <v>7.6346189376443192</v>
      </c>
      <c r="P24" s="2073" t="s">
        <v>4044</v>
      </c>
      <c r="Q24" s="2051"/>
    </row>
    <row r="25" spans="4:18">
      <c r="D25" s="2066">
        <v>44628</v>
      </c>
      <c r="E25" s="2064" t="s">
        <v>4894</v>
      </c>
      <c r="F25" s="2343">
        <v>616.28</v>
      </c>
      <c r="G25" s="2064">
        <v>683227310</v>
      </c>
      <c r="H25" s="2064" t="s">
        <v>4613</v>
      </c>
      <c r="I25" s="2064">
        <v>447.36</v>
      </c>
      <c r="J25" s="2064">
        <v>4.38</v>
      </c>
      <c r="K25" s="2068">
        <f t="shared" si="0"/>
        <v>102.13698630136987</v>
      </c>
      <c r="L25" s="2064"/>
      <c r="M25" s="2343" t="s">
        <v>3513</v>
      </c>
      <c r="N25" s="2069"/>
      <c r="O25" s="2354" t="s">
        <v>65</v>
      </c>
      <c r="P25" s="2356" t="s">
        <v>65</v>
      </c>
      <c r="Q25" s="2051"/>
    </row>
    <row r="26" spans="4:18" s="1594" customFormat="1">
      <c r="D26" s="2066">
        <v>44628</v>
      </c>
      <c r="E26" s="2064" t="s">
        <v>4894</v>
      </c>
      <c r="F26" s="2345"/>
      <c r="G26" s="2064">
        <v>698723385</v>
      </c>
      <c r="H26" s="2064" t="s">
        <v>4613</v>
      </c>
      <c r="I26" s="2064">
        <v>1291.58</v>
      </c>
      <c r="J26" s="2064">
        <v>4.2690000000000001</v>
      </c>
      <c r="K26" s="2068">
        <f t="shared" si="0"/>
        <v>302.54860623096744</v>
      </c>
      <c r="L26" s="2064"/>
      <c r="M26" s="2344"/>
      <c r="N26" s="2069"/>
      <c r="O26" s="2355"/>
      <c r="P26" s="2357"/>
      <c r="Q26" s="2051"/>
    </row>
    <row r="27" spans="4:18" s="1594" customFormat="1" ht="15" customHeight="1">
      <c r="D27" s="2066">
        <v>44629</v>
      </c>
      <c r="E27" s="2064" t="s">
        <v>4894</v>
      </c>
      <c r="F27" s="2078"/>
      <c r="G27" s="2073"/>
      <c r="H27" s="2073"/>
      <c r="I27" s="2073"/>
      <c r="J27" s="2073"/>
      <c r="K27" s="2068" t="e">
        <f t="shared" si="0"/>
        <v>#DIV/0!</v>
      </c>
      <c r="L27" s="2073"/>
      <c r="M27" s="2344"/>
      <c r="N27" s="2069"/>
      <c r="O27" s="2076"/>
      <c r="P27" s="2073"/>
      <c r="Q27" s="2051"/>
    </row>
    <row r="28" spans="4:18" s="1594" customFormat="1" ht="15" customHeight="1">
      <c r="D28" s="2066">
        <v>44630</v>
      </c>
      <c r="E28" s="2064" t="s">
        <v>4894</v>
      </c>
      <c r="F28" s="2078"/>
      <c r="G28" s="2073"/>
      <c r="H28" s="2073"/>
      <c r="I28" s="2073"/>
      <c r="J28" s="2073"/>
      <c r="K28" s="2068" t="e">
        <f t="shared" si="0"/>
        <v>#DIV/0!</v>
      </c>
      <c r="L28" s="2073"/>
      <c r="M28" s="2344"/>
      <c r="N28" s="2069"/>
      <c r="O28" s="2076"/>
      <c r="P28" s="2073"/>
      <c r="Q28" s="2051"/>
    </row>
    <row r="29" spans="4:18" s="1594" customFormat="1" ht="15" customHeight="1">
      <c r="D29" s="2066">
        <v>44631</v>
      </c>
      <c r="E29" s="2064" t="s">
        <v>4894</v>
      </c>
      <c r="F29" s="2078"/>
      <c r="G29" s="2073"/>
      <c r="H29" s="2073"/>
      <c r="I29" s="2073"/>
      <c r="J29" s="2073"/>
      <c r="K29" s="2068" t="e">
        <f t="shared" si="0"/>
        <v>#DIV/0!</v>
      </c>
      <c r="L29" s="2073"/>
      <c r="M29" s="2344"/>
      <c r="N29" s="2069"/>
      <c r="O29" s="2076"/>
      <c r="P29" s="2073"/>
      <c r="Q29" s="2051"/>
    </row>
    <row r="30" spans="4:18" s="1594" customFormat="1">
      <c r="D30" s="2066">
        <v>44632</v>
      </c>
      <c r="E30" s="2064" t="s">
        <v>4894</v>
      </c>
      <c r="F30" s="2078"/>
      <c r="G30" s="2073">
        <v>20988873295</v>
      </c>
      <c r="H30" s="2073" t="s">
        <v>3720</v>
      </c>
      <c r="I30" s="2073">
        <v>935.23</v>
      </c>
      <c r="J30" s="2073">
        <v>4.42</v>
      </c>
      <c r="K30" s="2068">
        <f t="shared" si="0"/>
        <v>211.59049773755657</v>
      </c>
      <c r="L30" s="2073"/>
      <c r="M30" s="2344"/>
      <c r="N30" s="2069"/>
      <c r="O30" s="2076"/>
      <c r="P30" s="2073"/>
      <c r="Q30" s="2051"/>
    </row>
    <row r="31" spans="4:18" s="1594" customFormat="1">
      <c r="D31" s="2066"/>
      <c r="E31" s="2064"/>
      <c r="F31" s="2078"/>
      <c r="G31" s="2073"/>
      <c r="H31" s="2073"/>
      <c r="I31" s="2073"/>
      <c r="J31" s="2073" t="s">
        <v>560</v>
      </c>
      <c r="K31" s="2068">
        <f>+K25+K26+K30</f>
        <v>616.27609026989387</v>
      </c>
      <c r="L31" s="2073"/>
      <c r="M31" s="2345"/>
      <c r="N31" s="2069"/>
      <c r="O31" s="2076"/>
      <c r="P31" s="2073"/>
      <c r="Q31" s="2051"/>
    </row>
    <row r="32" spans="4:18" s="1594" customFormat="1" ht="15.75" thickBot="1">
      <c r="D32" s="2066"/>
      <c r="E32" s="2064"/>
      <c r="F32" s="2078"/>
      <c r="G32" s="2073"/>
      <c r="H32" s="2073"/>
      <c r="I32" s="2073"/>
      <c r="J32" s="2073"/>
      <c r="K32" s="2068"/>
      <c r="L32" s="2073"/>
      <c r="M32" s="2073"/>
      <c r="N32" s="2069"/>
      <c r="O32" s="2076"/>
      <c r="P32" s="2073"/>
      <c r="Q32" s="2051"/>
    </row>
    <row r="33" spans="4:17" ht="48" customHeight="1" thickBot="1">
      <c r="D33" s="2079">
        <v>44635</v>
      </c>
      <c r="E33" s="2080" t="s">
        <v>5229</v>
      </c>
      <c r="F33" s="2080">
        <v>403.02</v>
      </c>
      <c r="G33" s="2080">
        <v>706681129</v>
      </c>
      <c r="H33" s="2080" t="s">
        <v>4613</v>
      </c>
      <c r="I33" s="2080">
        <v>1644.5</v>
      </c>
      <c r="J33" s="2080">
        <v>4.298</v>
      </c>
      <c r="K33" s="2081">
        <f t="shared" si="0"/>
        <v>382.6198231735691</v>
      </c>
      <c r="L33" s="2080"/>
      <c r="M33" s="2340" t="s">
        <v>3513</v>
      </c>
      <c r="N33" s="2082"/>
      <c r="O33" s="2083" t="s">
        <v>65</v>
      </c>
      <c r="P33" s="2084" t="s">
        <v>65</v>
      </c>
      <c r="Q33" s="2085" t="s">
        <v>5640</v>
      </c>
    </row>
    <row r="34" spans="4:17" s="1594" customFormat="1">
      <c r="D34" s="2079">
        <v>44636</v>
      </c>
      <c r="E34" s="2080" t="s">
        <v>5229</v>
      </c>
      <c r="F34" s="2080" t="s">
        <v>65</v>
      </c>
      <c r="G34" s="2080">
        <v>20988864261</v>
      </c>
      <c r="H34" s="2080" t="s">
        <v>3720</v>
      </c>
      <c r="I34" s="2080">
        <v>90.16</v>
      </c>
      <c r="J34" s="2080">
        <v>4.41</v>
      </c>
      <c r="K34" s="2081">
        <f t="shared" si="0"/>
        <v>20.444444444444443</v>
      </c>
      <c r="L34" s="2080"/>
      <c r="M34" s="2341"/>
      <c r="N34" s="2082"/>
      <c r="O34" s="2083"/>
      <c r="P34" s="2071"/>
      <c r="Q34" s="2051"/>
    </row>
    <row r="35" spans="4:17" s="1594" customFormat="1">
      <c r="D35" s="2070"/>
      <c r="E35" s="2071"/>
      <c r="F35" s="2071"/>
      <c r="G35" s="2071"/>
      <c r="H35" s="2071"/>
      <c r="I35" s="2071"/>
      <c r="J35" s="2071" t="s">
        <v>560</v>
      </c>
      <c r="K35" s="2081">
        <f>+K33+K34</f>
        <v>403.06426761801356</v>
      </c>
      <c r="L35" s="2080"/>
      <c r="M35" s="2342"/>
      <c r="N35" s="2082"/>
      <c r="O35" s="2083"/>
      <c r="P35" s="2071"/>
      <c r="Q35" s="2051"/>
    </row>
    <row r="36" spans="4:17" ht="15.75" thickBot="1">
      <c r="D36" s="2086">
        <v>44636</v>
      </c>
      <c r="E36" s="2087" t="s">
        <v>5230</v>
      </c>
      <c r="F36" s="2087">
        <v>806.6</v>
      </c>
      <c r="G36" s="2087">
        <v>3297037998</v>
      </c>
      <c r="H36" s="2087" t="s">
        <v>3720</v>
      </c>
      <c r="I36" s="2087">
        <v>3562.52</v>
      </c>
      <c r="J36" s="2087">
        <v>4.42</v>
      </c>
      <c r="K36" s="2088">
        <f t="shared" si="0"/>
        <v>806</v>
      </c>
      <c r="L36" s="2087"/>
      <c r="M36" s="2087" t="s">
        <v>3513</v>
      </c>
      <c r="N36" s="2069"/>
      <c r="O36" s="2083" t="s">
        <v>65</v>
      </c>
      <c r="P36" s="2069"/>
      <c r="Q36" s="2051"/>
    </row>
    <row r="37" spans="4:17" ht="39" customHeight="1" thickBot="1">
      <c r="D37" s="2070">
        <v>44639</v>
      </c>
      <c r="E37" s="2073" t="s">
        <v>5258</v>
      </c>
      <c r="F37" s="2073">
        <v>2120</v>
      </c>
      <c r="G37" s="2073">
        <v>20988864261</v>
      </c>
      <c r="H37" s="2073" t="s">
        <v>3720</v>
      </c>
      <c r="I37" s="2073">
        <v>109.66</v>
      </c>
      <c r="J37" s="2073">
        <v>4.42</v>
      </c>
      <c r="K37" s="2088">
        <f t="shared" si="0"/>
        <v>24.809954751131222</v>
      </c>
      <c r="L37" s="2073"/>
      <c r="M37" s="2073" t="s">
        <v>3514</v>
      </c>
      <c r="N37" s="2069"/>
      <c r="O37" s="2063">
        <f>+F37-K37</f>
        <v>2095.190045248869</v>
      </c>
      <c r="P37" s="2089" t="s">
        <v>3515</v>
      </c>
      <c r="Q37" s="2085" t="s">
        <v>5641</v>
      </c>
    </row>
    <row r="38" spans="4:17" s="1594" customFormat="1">
      <c r="D38" s="2070"/>
      <c r="E38" s="2073"/>
      <c r="F38" s="2073"/>
      <c r="G38" s="2073"/>
      <c r="H38" s="2073"/>
      <c r="I38" s="2073"/>
      <c r="J38" s="2073"/>
      <c r="K38" s="2083"/>
      <c r="L38" s="2073"/>
      <c r="M38" s="2073"/>
      <c r="N38" s="2069"/>
      <c r="O38" s="2083"/>
      <c r="P38" s="2069"/>
      <c r="Q38" s="2051"/>
    </row>
    <row r="39" spans="4:17">
      <c r="D39" s="2090">
        <v>44642</v>
      </c>
      <c r="E39" s="2091" t="s">
        <v>5274</v>
      </c>
      <c r="F39" s="2091">
        <v>332.42</v>
      </c>
      <c r="G39" s="2091">
        <v>721514256</v>
      </c>
      <c r="H39" s="2091" t="s">
        <v>4613</v>
      </c>
      <c r="I39" s="2091">
        <v>1465.37</v>
      </c>
      <c r="J39" s="2091">
        <v>4.4080000000000004</v>
      </c>
      <c r="K39" s="2092">
        <f>+I39/J39</f>
        <v>332.43421052631572</v>
      </c>
      <c r="L39" s="2091"/>
      <c r="M39" s="2091" t="s">
        <v>3513</v>
      </c>
      <c r="N39" s="2069"/>
      <c r="O39" s="2083">
        <f>+F39-K39</f>
        <v>-1.4210526315707739E-2</v>
      </c>
      <c r="P39" s="2069"/>
      <c r="Q39" s="2051"/>
    </row>
    <row r="40" spans="4:17">
      <c r="D40" s="2056">
        <v>44649</v>
      </c>
      <c r="E40" s="2052" t="s">
        <v>5498</v>
      </c>
      <c r="F40" s="2052">
        <v>606.66</v>
      </c>
      <c r="G40" s="2052">
        <v>727773949</v>
      </c>
      <c r="H40" s="2052" t="s">
        <v>4613</v>
      </c>
      <c r="I40" s="2052">
        <v>2011.48</v>
      </c>
      <c r="J40" s="2052">
        <v>4.42</v>
      </c>
      <c r="K40" s="2058">
        <f>+I40/J40</f>
        <v>455.08597285067873</v>
      </c>
      <c r="L40" s="2052"/>
      <c r="M40" s="2346" t="s">
        <v>3513</v>
      </c>
      <c r="N40" s="2082"/>
      <c r="O40" s="2083" t="s">
        <v>65</v>
      </c>
      <c r="P40" s="2082" t="s">
        <v>65</v>
      </c>
      <c r="Q40" s="2051"/>
    </row>
    <row r="41" spans="4:17" s="1594" customFormat="1">
      <c r="D41" s="2056">
        <v>44650</v>
      </c>
      <c r="E41" s="2052" t="s">
        <v>5498</v>
      </c>
      <c r="F41" s="2052"/>
      <c r="G41" s="2052">
        <v>20988861448</v>
      </c>
      <c r="H41" s="2052" t="s">
        <v>3720</v>
      </c>
      <c r="I41" s="2052">
        <v>669.81</v>
      </c>
      <c r="J41" s="2052">
        <v>4.42</v>
      </c>
      <c r="K41" s="2058">
        <f>+I41/J41</f>
        <v>151.54072398190044</v>
      </c>
      <c r="L41" s="2052"/>
      <c r="M41" s="2347"/>
      <c r="N41" s="2082"/>
      <c r="O41" s="2083"/>
      <c r="P41" s="2082"/>
      <c r="Q41" s="2051"/>
    </row>
    <row r="42" spans="4:17" s="1594" customFormat="1">
      <c r="D42" s="2059"/>
      <c r="E42" s="2060"/>
      <c r="F42" s="2060"/>
      <c r="G42" s="2060"/>
      <c r="H42" s="2060"/>
      <c r="I42" s="2060"/>
      <c r="J42" s="2060" t="s">
        <v>560</v>
      </c>
      <c r="K42" s="2058">
        <f>SUM(K40:K41)</f>
        <v>606.62669683257923</v>
      </c>
      <c r="L42" s="2060"/>
      <c r="M42" s="2348"/>
      <c r="N42" s="2082"/>
      <c r="O42" s="2083">
        <f>+F40-K42</f>
        <v>3.3303167420740465E-2</v>
      </c>
      <c r="P42" s="2082"/>
      <c r="Q42" s="2051"/>
    </row>
    <row r="43" spans="4:17">
      <c r="D43" s="2070">
        <v>44656</v>
      </c>
      <c r="E43" s="2073" t="s">
        <v>5566</v>
      </c>
      <c r="F43" s="2073">
        <v>322.17</v>
      </c>
      <c r="G43" s="2073"/>
      <c r="H43" s="2073"/>
      <c r="I43" s="2073"/>
      <c r="J43" s="2073"/>
      <c r="K43" s="2081" t="s">
        <v>65</v>
      </c>
      <c r="L43" s="2073"/>
      <c r="M43" s="2073" t="s">
        <v>3514</v>
      </c>
      <c r="N43" s="2069"/>
      <c r="O43" s="2069"/>
      <c r="P43" s="2069"/>
      <c r="Q43" s="2051"/>
    </row>
    <row r="44" spans="4:17">
      <c r="D44" s="2070">
        <v>44663</v>
      </c>
      <c r="E44" s="2073" t="s">
        <v>5651</v>
      </c>
      <c r="F44" s="2073">
        <v>45.6</v>
      </c>
      <c r="G44" s="2073"/>
      <c r="H44" s="2073"/>
      <c r="I44" s="2073"/>
      <c r="J44" s="2073"/>
      <c r="K44" s="2073"/>
      <c r="L44" s="2073"/>
      <c r="M44" s="2134" t="s">
        <v>3514</v>
      </c>
      <c r="N44" s="2069"/>
      <c r="O44" s="2069"/>
      <c r="P44" s="2069"/>
      <c r="Q44" s="2051"/>
    </row>
    <row r="45" spans="4:17">
      <c r="D45" s="2115">
        <v>44663</v>
      </c>
      <c r="E45" s="2073" t="s">
        <v>5652</v>
      </c>
      <c r="F45" s="2073">
        <v>440.71</v>
      </c>
      <c r="G45" s="2073"/>
      <c r="H45" s="2073"/>
      <c r="I45" s="2073"/>
      <c r="J45" s="2073"/>
      <c r="K45" s="2073"/>
      <c r="L45" s="2073"/>
      <c r="M45" s="2134" t="s">
        <v>3514</v>
      </c>
      <c r="N45" s="2069"/>
      <c r="O45" s="2069"/>
      <c r="P45" s="2069"/>
      <c r="Q45" s="2051"/>
    </row>
    <row r="46" spans="4:17">
      <c r="D46" s="2222">
        <v>44669</v>
      </c>
      <c r="E46" s="1234" t="s">
        <v>6029</v>
      </c>
      <c r="F46" s="1234">
        <v>325.58</v>
      </c>
      <c r="G46" s="1234"/>
      <c r="H46" s="1234"/>
      <c r="I46" s="1234"/>
      <c r="J46" s="1234"/>
      <c r="K46" s="1234"/>
      <c r="L46" s="1234"/>
      <c r="M46" s="2134" t="s">
        <v>3514</v>
      </c>
      <c r="N46" s="1236"/>
      <c r="O46" s="21"/>
      <c r="P46" s="21"/>
    </row>
    <row r="47" spans="4:17">
      <c r="D47" s="1234"/>
      <c r="E47" s="1234"/>
      <c r="F47" s="1234"/>
      <c r="G47" s="1234"/>
      <c r="H47" s="1234"/>
      <c r="I47" s="1234"/>
      <c r="J47" s="1234"/>
      <c r="K47" s="1234"/>
      <c r="L47" s="1234"/>
      <c r="M47" s="1234"/>
      <c r="N47" s="1236"/>
      <c r="O47" s="21"/>
      <c r="P47" s="21"/>
    </row>
    <row r="48" spans="4:17">
      <c r="D48" s="1234"/>
      <c r="E48" s="1234"/>
      <c r="F48" s="1234"/>
      <c r="G48" s="1234"/>
      <c r="H48" s="1234"/>
      <c r="I48" s="1234"/>
      <c r="J48" s="1234"/>
      <c r="K48" s="1234"/>
      <c r="L48" s="1234"/>
      <c r="M48" s="1234"/>
      <c r="N48" s="1236"/>
      <c r="O48" s="21"/>
      <c r="P48" s="21"/>
    </row>
    <row r="49" spans="4:16">
      <c r="D49" s="1234"/>
      <c r="E49" s="1234"/>
      <c r="F49" s="1234"/>
      <c r="G49" s="1234"/>
      <c r="H49" s="1234"/>
      <c r="I49" s="1234"/>
      <c r="J49" s="1234"/>
      <c r="K49" s="1234"/>
      <c r="L49" s="1234"/>
      <c r="M49" s="1234"/>
      <c r="N49" s="1236"/>
      <c r="O49" s="21"/>
      <c r="P49" s="21"/>
    </row>
    <row r="50" spans="4:16">
      <c r="D50" s="1234"/>
      <c r="E50" s="1234"/>
      <c r="F50" s="1234"/>
      <c r="G50" s="1234"/>
      <c r="H50" s="1234"/>
      <c r="I50" s="1234"/>
      <c r="J50" s="1234"/>
      <c r="K50" s="1234"/>
      <c r="L50" s="1234"/>
      <c r="M50" s="1234"/>
      <c r="N50" s="1236"/>
      <c r="O50" s="21"/>
      <c r="P50" s="21"/>
    </row>
    <row r="51" spans="4:16">
      <c r="D51" s="1234"/>
      <c r="E51" s="1234"/>
      <c r="F51" s="1234"/>
      <c r="G51" s="1234"/>
      <c r="H51" s="1234"/>
      <c r="I51" s="1234"/>
      <c r="J51" s="1234"/>
      <c r="K51" s="1234"/>
      <c r="L51" s="1234"/>
      <c r="M51" s="1234"/>
      <c r="N51" s="1236"/>
      <c r="O51" s="21"/>
      <c r="P51" s="21"/>
    </row>
    <row r="52" spans="4:16">
      <c r="D52" s="1234"/>
      <c r="E52" s="1234"/>
      <c r="F52" s="1234"/>
      <c r="G52" s="1234"/>
      <c r="H52" s="1234"/>
      <c r="I52" s="1234"/>
      <c r="J52" s="1234"/>
      <c r="K52" s="1234"/>
      <c r="L52" s="1234"/>
      <c r="M52" s="1234"/>
      <c r="N52" s="1236"/>
      <c r="O52" s="21"/>
      <c r="P52" s="21"/>
    </row>
    <row r="53" spans="4:16">
      <c r="D53" s="1234"/>
      <c r="E53" s="1234"/>
      <c r="F53" s="1234"/>
      <c r="G53" s="1234"/>
      <c r="H53" s="1234"/>
      <c r="I53" s="1234"/>
      <c r="J53" s="1234"/>
      <c r="K53" s="1234"/>
      <c r="L53" s="1234"/>
      <c r="M53" s="1234"/>
      <c r="N53" s="1236"/>
      <c r="O53" s="21"/>
      <c r="P53" s="21"/>
    </row>
    <row r="54" spans="4:16">
      <c r="D54" s="1234"/>
      <c r="E54" s="1234"/>
      <c r="F54" s="1234"/>
      <c r="G54" s="1234"/>
      <c r="H54" s="1234"/>
      <c r="I54" s="1234"/>
      <c r="J54" s="1234"/>
      <c r="K54" s="1234"/>
      <c r="L54" s="1234"/>
      <c r="M54" s="1234"/>
      <c r="N54" s="1236"/>
      <c r="O54" s="21"/>
      <c r="P54" s="21"/>
    </row>
    <row r="55" spans="4:16">
      <c r="D55" s="1234"/>
      <c r="E55" s="1234"/>
      <c r="F55" s="1234"/>
      <c r="G55" s="1234"/>
      <c r="H55" s="1234"/>
      <c r="I55" s="1234"/>
      <c r="J55" s="1234"/>
      <c r="K55" s="1234"/>
      <c r="L55" s="1234"/>
      <c r="M55" s="1234"/>
      <c r="N55" s="1236"/>
      <c r="O55" s="21"/>
      <c r="P55" s="21"/>
    </row>
    <row r="56" spans="4:16">
      <c r="D56" s="1234"/>
      <c r="E56" s="1234"/>
      <c r="F56" s="1234"/>
      <c r="G56" s="1234"/>
      <c r="H56" s="1234"/>
      <c r="I56" s="1234"/>
      <c r="J56" s="1234"/>
      <c r="K56" s="1234"/>
      <c r="L56" s="1234"/>
      <c r="M56" s="1234"/>
      <c r="N56" s="1236"/>
      <c r="O56" s="21"/>
      <c r="P56" s="21"/>
    </row>
    <row r="57" spans="4:16">
      <c r="D57" s="1234"/>
      <c r="E57" s="1234"/>
      <c r="F57" s="1234"/>
      <c r="G57" s="1234"/>
      <c r="H57" s="1234"/>
      <c r="I57" s="1234"/>
      <c r="J57" s="1234"/>
      <c r="K57" s="1234"/>
      <c r="L57" s="1234"/>
      <c r="M57" s="1234"/>
      <c r="N57" s="1236"/>
      <c r="O57" s="21"/>
      <c r="P57" s="21"/>
    </row>
    <row r="58" spans="4:16">
      <c r="D58" s="1234"/>
      <c r="E58" s="1234"/>
      <c r="F58" s="1234"/>
      <c r="G58" s="1234"/>
      <c r="H58" s="1234"/>
      <c r="I58" s="1234"/>
      <c r="J58" s="1234"/>
      <c r="K58" s="1234"/>
      <c r="L58" s="1234"/>
      <c r="M58" s="1234"/>
      <c r="N58" s="1236"/>
      <c r="O58" s="21"/>
      <c r="P58" s="21"/>
    </row>
    <row r="59" spans="4:16">
      <c r="D59" s="1234"/>
      <c r="E59" s="1234"/>
      <c r="F59" s="1234"/>
      <c r="G59" s="1234"/>
      <c r="H59" s="1234"/>
      <c r="I59" s="1234"/>
      <c r="J59" s="1234"/>
      <c r="K59" s="1234"/>
      <c r="L59" s="1234"/>
      <c r="M59" s="1234"/>
      <c r="N59" s="1236"/>
      <c r="O59" s="21"/>
      <c r="P59" s="21"/>
    </row>
    <row r="60" spans="4:16">
      <c r="D60" s="1234"/>
      <c r="E60" s="1234"/>
      <c r="F60" s="1234"/>
      <c r="G60" s="1234"/>
      <c r="H60" s="1234"/>
      <c r="I60" s="1234"/>
      <c r="J60" s="1234"/>
      <c r="K60" s="1234"/>
      <c r="L60" s="1234"/>
      <c r="M60" s="1234"/>
      <c r="N60" s="1236"/>
      <c r="O60" s="21"/>
      <c r="P60" s="21"/>
    </row>
    <row r="61" spans="4:16">
      <c r="D61" s="1234"/>
      <c r="E61" s="1234"/>
      <c r="F61" s="1234"/>
      <c r="G61" s="1234"/>
      <c r="H61" s="1234"/>
      <c r="I61" s="1234"/>
      <c r="J61" s="1234"/>
      <c r="K61" s="1234"/>
      <c r="L61" s="1234"/>
      <c r="M61" s="1234"/>
      <c r="N61" s="1236"/>
      <c r="O61" s="21"/>
      <c r="P61" s="21"/>
    </row>
    <row r="62" spans="4:16">
      <c r="D62" s="1235"/>
      <c r="E62" s="1235"/>
      <c r="F62" s="1235"/>
      <c r="G62" s="1234"/>
      <c r="H62" s="1235"/>
      <c r="I62" s="1234"/>
      <c r="J62" s="1234"/>
      <c r="K62" s="1234"/>
      <c r="L62" s="1234"/>
      <c r="M62" s="1234"/>
      <c r="N62" s="1236"/>
      <c r="O62" s="21"/>
      <c r="P62" s="21"/>
    </row>
    <row r="63" spans="4:16">
      <c r="D63" s="1235"/>
      <c r="E63" s="1235"/>
      <c r="F63" s="1235"/>
      <c r="G63" s="1234"/>
      <c r="H63" s="1235"/>
      <c r="I63" s="1234"/>
      <c r="J63" s="1234"/>
      <c r="K63" s="1234"/>
      <c r="L63" s="1234"/>
      <c r="M63" s="1234"/>
      <c r="N63" s="1236"/>
      <c r="O63" s="21"/>
      <c r="P63" s="21"/>
    </row>
    <row r="64" spans="4:16">
      <c r="D64" s="1235"/>
      <c r="E64" s="1235"/>
      <c r="F64" s="1235"/>
      <c r="G64" s="1234"/>
      <c r="H64" s="1235"/>
      <c r="I64" s="1234"/>
      <c r="J64" s="1234"/>
      <c r="K64" s="1234"/>
      <c r="L64" s="1234"/>
      <c r="M64" s="1234"/>
      <c r="N64" s="1236"/>
      <c r="O64" s="21"/>
      <c r="P64" s="21"/>
    </row>
    <row r="65" spans="4:16">
      <c r="D65" s="1235"/>
      <c r="E65" s="1235"/>
      <c r="F65" s="1235"/>
      <c r="G65" s="1234"/>
      <c r="H65" s="1235"/>
      <c r="I65" s="1234"/>
      <c r="J65" s="1234"/>
      <c r="K65" s="1234"/>
      <c r="L65" s="1234"/>
      <c r="M65" s="1234"/>
      <c r="N65" s="1236"/>
      <c r="O65" s="21"/>
      <c r="P65" s="21"/>
    </row>
    <row r="66" spans="4:16">
      <c r="D66" s="1235"/>
      <c r="E66" s="1235"/>
      <c r="F66" s="1235"/>
      <c r="G66" s="1234"/>
      <c r="H66" s="1235"/>
      <c r="I66" s="1234"/>
      <c r="J66" s="1234"/>
      <c r="K66" s="1234"/>
      <c r="L66" s="1234"/>
      <c r="M66" s="1234"/>
      <c r="N66" s="1236"/>
      <c r="O66" s="21"/>
      <c r="P66" s="21"/>
    </row>
    <row r="67" spans="4:16">
      <c r="D67" s="1235"/>
      <c r="E67" s="1235"/>
      <c r="F67" s="1235"/>
      <c r="G67" s="1234"/>
      <c r="H67" s="1235"/>
      <c r="I67" s="1234"/>
      <c r="J67" s="1234"/>
      <c r="K67" s="1234"/>
      <c r="L67" s="1234"/>
      <c r="M67" s="1234"/>
      <c r="N67" s="1236"/>
      <c r="O67" s="21"/>
      <c r="P67" s="21"/>
    </row>
    <row r="68" spans="4:16">
      <c r="D68" s="1235"/>
      <c r="E68" s="1235"/>
      <c r="F68" s="1235"/>
      <c r="G68" s="1234"/>
      <c r="H68" s="1235"/>
      <c r="I68" s="1234"/>
      <c r="J68" s="1234"/>
      <c r="K68" s="1234"/>
      <c r="L68" s="1234"/>
      <c r="M68" s="1234"/>
      <c r="N68" s="1236"/>
      <c r="O68" s="21"/>
      <c r="P68" s="21"/>
    </row>
    <row r="69" spans="4:16">
      <c r="D69" s="1235"/>
      <c r="E69" s="1235"/>
      <c r="F69" s="1235"/>
      <c r="G69" s="1234"/>
      <c r="H69" s="1235"/>
      <c r="I69" s="1234"/>
      <c r="J69" s="1234"/>
      <c r="K69" s="1234"/>
      <c r="L69" s="1234"/>
      <c r="M69" s="1234"/>
      <c r="N69" s="1236"/>
      <c r="O69" s="21"/>
      <c r="P69" s="21"/>
    </row>
    <row r="70" spans="4:16">
      <c r="D70" s="1235"/>
      <c r="E70" s="1235"/>
      <c r="F70" s="1235"/>
      <c r="G70" s="1234"/>
      <c r="H70" s="1235"/>
      <c r="I70" s="1234"/>
      <c r="J70" s="1234"/>
      <c r="K70" s="1234"/>
      <c r="L70" s="1234"/>
      <c r="M70" s="1234"/>
      <c r="N70" s="1236"/>
      <c r="O70" s="21"/>
      <c r="P70" s="21"/>
    </row>
    <row r="71" spans="4:16">
      <c r="D71" s="1235"/>
      <c r="E71" s="1235"/>
      <c r="F71" s="1235"/>
      <c r="G71" s="1234"/>
      <c r="H71" s="1235"/>
      <c r="I71" s="1234"/>
      <c r="J71" s="1234"/>
      <c r="K71" s="1234"/>
      <c r="L71" s="1234"/>
      <c r="M71" s="1234"/>
      <c r="N71" s="1236"/>
      <c r="O71" s="21"/>
      <c r="P71" s="21"/>
    </row>
    <row r="72" spans="4:16">
      <c r="D72" s="1235"/>
      <c r="E72" s="1235"/>
      <c r="F72" s="1235"/>
      <c r="G72" s="1234"/>
      <c r="H72" s="1235"/>
      <c r="I72" s="1234"/>
      <c r="J72" s="1234"/>
      <c r="K72" s="1234"/>
      <c r="L72" s="1234"/>
      <c r="M72" s="1234"/>
      <c r="N72" s="1236"/>
      <c r="O72" s="21"/>
      <c r="P72" s="21"/>
    </row>
    <row r="73" spans="4:16">
      <c r="D73" s="1235"/>
      <c r="E73" s="1235"/>
      <c r="F73" s="1235"/>
      <c r="G73" s="1234"/>
      <c r="H73" s="1235"/>
      <c r="I73" s="1234"/>
      <c r="J73" s="1234"/>
      <c r="K73" s="1234"/>
      <c r="L73" s="1234"/>
      <c r="M73" s="1234"/>
      <c r="N73" s="1236"/>
      <c r="O73" s="21"/>
      <c r="P73" s="21"/>
    </row>
    <row r="74" spans="4:16">
      <c r="D74" s="1235"/>
      <c r="E74" s="1235"/>
      <c r="F74" s="1235"/>
      <c r="G74" s="1234"/>
      <c r="H74" s="1235"/>
      <c r="I74" s="1234"/>
      <c r="J74" s="1234"/>
      <c r="K74" s="1234"/>
      <c r="L74" s="1234"/>
      <c r="M74" s="1234"/>
      <c r="N74" s="1236"/>
      <c r="O74" s="21"/>
      <c r="P74" s="21"/>
    </row>
    <row r="75" spans="4:16">
      <c r="D75" s="1235"/>
      <c r="E75" s="1235"/>
      <c r="F75" s="1235"/>
      <c r="G75" s="1234"/>
      <c r="H75" s="1235"/>
      <c r="I75" s="1234"/>
      <c r="J75" s="1234"/>
      <c r="K75" s="1234"/>
      <c r="L75" s="1234"/>
      <c r="M75" s="1234"/>
      <c r="N75" s="1236"/>
      <c r="O75" s="21"/>
      <c r="P75" s="21"/>
    </row>
    <row r="76" spans="4:16">
      <c r="D76" s="1235"/>
      <c r="E76" s="1235"/>
      <c r="F76" s="1235"/>
      <c r="G76" s="1234"/>
      <c r="H76" s="1235"/>
      <c r="I76" s="1234"/>
      <c r="J76" s="1234"/>
      <c r="K76" s="1234"/>
      <c r="L76" s="1234"/>
      <c r="M76" s="1234"/>
      <c r="N76" s="1236"/>
      <c r="O76" s="21"/>
      <c r="P76" s="21"/>
    </row>
    <row r="77" spans="4:16">
      <c r="D77" s="1558"/>
      <c r="E77" s="1558"/>
      <c r="F77" s="1558"/>
      <c r="G77" s="1559"/>
      <c r="H77" s="1558"/>
      <c r="I77" s="1559"/>
      <c r="J77" s="1559"/>
      <c r="K77" s="1559"/>
      <c r="L77" s="1559"/>
      <c r="M77" s="1559"/>
      <c r="N77" s="1560"/>
    </row>
    <row r="78" spans="4:16">
      <c r="D78" s="1235"/>
      <c r="E78" s="1235"/>
      <c r="F78" s="1235"/>
      <c r="G78" s="1234"/>
      <c r="H78" s="1235"/>
      <c r="I78" s="1234"/>
      <c r="J78" s="1234"/>
      <c r="K78" s="1234"/>
      <c r="L78" s="1234"/>
      <c r="M78" s="1234"/>
      <c r="N78" s="1236"/>
    </row>
    <row r="79" spans="4:16">
      <c r="D79" s="1235"/>
      <c r="E79" s="1235"/>
      <c r="F79" s="1235"/>
      <c r="G79" s="1234"/>
      <c r="H79" s="1235"/>
      <c r="I79" s="1234"/>
      <c r="J79" s="1234"/>
      <c r="K79" s="1234"/>
      <c r="L79" s="1234"/>
      <c r="M79" s="1234"/>
      <c r="N79" s="1236"/>
    </row>
    <row r="80" spans="4:16">
      <c r="D80" s="1235"/>
      <c r="E80" s="1235"/>
      <c r="F80" s="1235"/>
      <c r="G80" s="1234"/>
      <c r="H80" s="1235"/>
      <c r="I80" s="1234"/>
      <c r="J80" s="1234"/>
      <c r="K80" s="1234"/>
      <c r="L80" s="1234"/>
      <c r="M80" s="1234"/>
      <c r="N80" s="1236"/>
    </row>
    <row r="81" spans="4:14">
      <c r="D81" s="1235"/>
      <c r="E81" s="1235"/>
      <c r="F81" s="1235"/>
      <c r="G81" s="1234"/>
      <c r="H81" s="1235"/>
      <c r="I81" s="1234"/>
      <c r="J81" s="1234"/>
      <c r="K81" s="1234"/>
      <c r="L81" s="1234"/>
      <c r="M81" s="1234"/>
      <c r="N81" s="1236"/>
    </row>
    <row r="82" spans="4:14">
      <c r="D82" s="1235"/>
      <c r="E82" s="1235"/>
      <c r="F82" s="1235"/>
      <c r="G82" s="1234"/>
      <c r="H82" s="1235"/>
      <c r="I82" s="1234"/>
      <c r="J82" s="1234"/>
      <c r="K82" s="1234"/>
      <c r="L82" s="1234"/>
      <c r="M82" s="1234"/>
      <c r="N82" s="1236"/>
    </row>
    <row r="83" spans="4:14">
      <c r="D83" s="1235"/>
      <c r="E83" s="1235"/>
      <c r="F83" s="1235"/>
      <c r="G83" s="1234"/>
      <c r="H83" s="1235"/>
      <c r="I83" s="1234"/>
      <c r="J83" s="1234"/>
      <c r="K83" s="1234"/>
      <c r="L83" s="1234"/>
      <c r="M83" s="1234"/>
      <c r="N83" s="1236"/>
    </row>
    <row r="84" spans="4:14">
      <c r="D84" s="1235"/>
      <c r="E84" s="1235"/>
      <c r="F84" s="1235"/>
      <c r="G84" s="1234"/>
      <c r="H84" s="1235"/>
      <c r="I84" s="1234"/>
      <c r="J84" s="1234"/>
      <c r="K84" s="1234"/>
      <c r="L84" s="1234"/>
      <c r="M84" s="1234"/>
      <c r="N84" s="1236"/>
    </row>
    <row r="85" spans="4:14">
      <c r="D85" s="1235"/>
      <c r="E85" s="1235"/>
      <c r="F85" s="1235"/>
      <c r="G85" s="1234"/>
      <c r="H85" s="1235"/>
      <c r="I85" s="1234"/>
      <c r="J85" s="1234"/>
      <c r="K85" s="1234"/>
      <c r="L85" s="1234"/>
      <c r="M85" s="1234"/>
      <c r="N85" s="1236"/>
    </row>
    <row r="86" spans="4:14">
      <c r="D86" s="1235"/>
      <c r="E86" s="1235"/>
      <c r="F86" s="1235"/>
      <c r="G86" s="1234"/>
      <c r="H86" s="1235"/>
      <c r="I86" s="1234"/>
      <c r="J86" s="1234"/>
      <c r="K86" s="1234"/>
      <c r="L86" s="1234"/>
      <c r="M86" s="1234"/>
      <c r="N86" s="1236"/>
    </row>
    <row r="87" spans="4:14">
      <c r="D87" s="1235"/>
      <c r="E87" s="1235"/>
      <c r="F87" s="1235"/>
      <c r="G87" s="1234"/>
      <c r="H87" s="1235"/>
      <c r="I87" s="1234"/>
      <c r="J87" s="1234"/>
      <c r="K87" s="1234"/>
      <c r="L87" s="1234"/>
      <c r="M87" s="1234"/>
      <c r="N87" s="1236"/>
    </row>
    <row r="88" spans="4:14">
      <c r="D88" s="1235"/>
      <c r="E88" s="1235"/>
      <c r="F88" s="1235"/>
      <c r="G88" s="1234"/>
      <c r="H88" s="1235"/>
      <c r="I88" s="1234"/>
      <c r="J88" s="1234"/>
      <c r="K88" s="1234"/>
      <c r="L88" s="1234"/>
      <c r="M88" s="1234"/>
      <c r="N88" s="1236"/>
    </row>
    <row r="89" spans="4:14">
      <c r="D89" s="1235"/>
      <c r="E89" s="1235"/>
      <c r="F89" s="1235"/>
      <c r="G89" s="1234"/>
      <c r="H89" s="1235"/>
      <c r="I89" s="1234"/>
      <c r="J89" s="1234"/>
      <c r="K89" s="1234"/>
      <c r="L89" s="1234"/>
      <c r="M89" s="1234"/>
      <c r="N89" s="1236"/>
    </row>
    <row r="90" spans="4:14">
      <c r="D90" s="1235"/>
      <c r="E90" s="1235"/>
      <c r="F90" s="1235"/>
      <c r="G90" s="1234"/>
      <c r="H90" s="1235"/>
      <c r="I90" s="1234"/>
      <c r="J90" s="1234"/>
      <c r="K90" s="1234"/>
      <c r="L90" s="1234"/>
      <c r="M90" s="1234"/>
      <c r="N90" s="1236"/>
    </row>
    <row r="91" spans="4:14">
      <c r="D91" s="1235"/>
      <c r="E91" s="1235"/>
      <c r="F91" s="1235"/>
      <c r="G91" s="1234"/>
      <c r="H91" s="1235"/>
      <c r="I91" s="1234"/>
      <c r="J91" s="1234"/>
      <c r="K91" s="1234"/>
      <c r="L91" s="1234"/>
      <c r="M91" s="1234"/>
      <c r="N91" s="1236"/>
    </row>
    <row r="92" spans="4:14">
      <c r="D92" s="1235"/>
      <c r="E92" s="1235"/>
      <c r="F92" s="1235"/>
      <c r="G92" s="1234"/>
      <c r="H92" s="1235"/>
      <c r="I92" s="1234"/>
      <c r="J92" s="1234"/>
      <c r="K92" s="1234"/>
      <c r="L92" s="1234"/>
      <c r="M92" s="1234"/>
      <c r="N92" s="1236"/>
    </row>
    <row r="93" spans="4:14">
      <c r="D93" s="1236"/>
      <c r="E93" s="1236"/>
      <c r="F93" s="1236"/>
      <c r="G93" s="1237"/>
      <c r="H93" s="1236"/>
      <c r="I93" s="1237"/>
      <c r="J93" s="1237"/>
      <c r="K93" s="1237"/>
      <c r="L93" s="1237"/>
      <c r="M93" s="1237"/>
      <c r="N93" s="1236"/>
    </row>
    <row r="94" spans="4:14">
      <c r="D94" s="1236"/>
      <c r="E94" s="1236"/>
      <c r="F94" s="1236"/>
      <c r="G94" s="1237"/>
      <c r="H94" s="1236"/>
      <c r="I94" s="1237"/>
      <c r="J94" s="1237"/>
      <c r="K94" s="1237"/>
      <c r="L94" s="1237"/>
      <c r="M94" s="1237"/>
      <c r="N94" s="1236"/>
    </row>
    <row r="95" spans="4:14">
      <c r="D95" s="1236"/>
      <c r="E95" s="1236"/>
      <c r="F95" s="1236"/>
      <c r="G95" s="1237"/>
      <c r="H95" s="1236"/>
      <c r="I95" s="1237"/>
      <c r="J95" s="1237"/>
      <c r="K95" s="1237"/>
      <c r="L95" s="1237"/>
      <c r="M95" s="1237"/>
      <c r="N95" s="1236"/>
    </row>
    <row r="96" spans="4:14">
      <c r="D96" s="1236"/>
      <c r="E96" s="1236"/>
      <c r="F96" s="1236"/>
      <c r="G96" s="1237"/>
      <c r="H96" s="1236"/>
      <c r="I96" s="1237"/>
      <c r="J96" s="1237"/>
      <c r="K96" s="1237"/>
      <c r="L96" s="1237"/>
      <c r="M96" s="1237"/>
      <c r="N96" s="1236"/>
    </row>
    <row r="97" spans="4:14">
      <c r="D97" s="1236"/>
      <c r="E97" s="1236"/>
      <c r="F97" s="1236"/>
      <c r="G97" s="1237"/>
      <c r="H97" s="1236"/>
      <c r="I97" s="1237"/>
      <c r="J97" s="1237"/>
      <c r="K97" s="1237"/>
      <c r="L97" s="1237"/>
      <c r="M97" s="1237"/>
      <c r="N97" s="1236"/>
    </row>
    <row r="98" spans="4:14">
      <c r="D98" s="1236"/>
      <c r="E98" s="1236"/>
      <c r="F98" s="1236"/>
      <c r="G98" s="1237"/>
      <c r="H98" s="1236"/>
      <c r="I98" s="1237"/>
      <c r="J98" s="1237"/>
      <c r="K98" s="1237"/>
      <c r="L98" s="1237"/>
      <c r="M98" s="1237"/>
      <c r="N98" s="1236"/>
    </row>
  </sheetData>
  <mergeCells count="9">
    <mergeCell ref="M33:M35"/>
    <mergeCell ref="M25:M31"/>
    <mergeCell ref="M40:M42"/>
    <mergeCell ref="D2:N3"/>
    <mergeCell ref="P14:P18"/>
    <mergeCell ref="O14:O18"/>
    <mergeCell ref="F25:F26"/>
    <mergeCell ref="O25:O26"/>
    <mergeCell ref="P25:P26"/>
  </mergeCells>
  <pageMargins left="0.25" right="0.25" top="0.75" bottom="0.75" header="0.3" footer="0.3"/>
  <pageSetup paperSize="9" orientation="landscape" r:id="rId1"/>
  <legacyDrawing r:id="rId2"/>
  <tableParts count="1">
    <tablePart r:id="rId3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Y107"/>
  <sheetViews>
    <sheetView topLeftCell="A21" workbookViewId="0">
      <selection activeCell="A33" sqref="A33:XFD38"/>
    </sheetView>
  </sheetViews>
  <sheetFormatPr baseColWidth="10" defaultRowHeight="15"/>
  <cols>
    <col min="1" max="1" width="11.42578125" style="827"/>
    <col min="2" max="2" width="12" style="101" customWidth="1"/>
    <col min="3" max="3" width="17.28515625" style="853" customWidth="1"/>
    <col min="4" max="4" width="15.42578125" style="853" customWidth="1"/>
    <col min="5" max="5" width="18.5703125" style="853" customWidth="1"/>
    <col min="6" max="6" width="13.7109375" style="853" customWidth="1"/>
    <col min="7" max="7" width="11" style="1017" customWidth="1"/>
    <col min="8" max="8" width="22" style="853" hidden="1" customWidth="1"/>
    <col min="9" max="9" width="9.140625" style="853" hidden="1" customWidth="1"/>
    <col min="10" max="10" width="17.85546875" style="853" hidden="1" customWidth="1"/>
    <col min="11" max="11" width="16.28515625" style="853" hidden="1" customWidth="1"/>
    <col min="12" max="12" width="21.28515625" style="853" hidden="1" customWidth="1"/>
    <col min="13" max="13" width="11.140625" style="853" customWidth="1"/>
    <col min="14" max="14" width="11.42578125" style="853" customWidth="1"/>
    <col min="15" max="15" width="14.28515625" style="853" hidden="1" customWidth="1"/>
    <col min="16" max="16" width="10.85546875" style="853" customWidth="1"/>
    <col min="17" max="17" width="9.42578125" style="853" customWidth="1"/>
    <col min="18" max="25" width="11.42578125" style="853"/>
  </cols>
  <sheetData>
    <row r="1" spans="3:11" hidden="1"/>
    <row r="2" spans="3:11" hidden="1"/>
    <row r="3" spans="3:11" hidden="1"/>
    <row r="4" spans="3:11" hidden="1"/>
    <row r="5" spans="3:11" hidden="1"/>
    <row r="6" spans="3:11" hidden="1">
      <c r="F6" s="857" t="s">
        <v>566</v>
      </c>
      <c r="G6" s="1021"/>
      <c r="H6" s="857" t="s">
        <v>2367</v>
      </c>
      <c r="I6" s="857" t="s">
        <v>3499</v>
      </c>
    </row>
    <row r="7" spans="3:11" hidden="1">
      <c r="C7" s="853" t="s">
        <v>3497</v>
      </c>
      <c r="F7" s="870">
        <v>44553</v>
      </c>
      <c r="G7" s="870"/>
      <c r="H7" s="857" t="s">
        <v>3498</v>
      </c>
      <c r="I7" s="857">
        <v>118.5</v>
      </c>
    </row>
    <row r="8" spans="3:11" hidden="1">
      <c r="C8" s="853" t="s">
        <v>3497</v>
      </c>
      <c r="F8" s="870">
        <v>44523</v>
      </c>
      <c r="G8" s="870"/>
      <c r="H8" s="857" t="s">
        <v>3500</v>
      </c>
      <c r="I8" s="857">
        <v>176.4</v>
      </c>
    </row>
    <row r="9" spans="3:11" hidden="1">
      <c r="C9" s="853" t="s">
        <v>3497</v>
      </c>
      <c r="F9" s="870">
        <v>44541</v>
      </c>
      <c r="G9" s="870"/>
      <c r="H9" s="857" t="s">
        <v>3501</v>
      </c>
      <c r="I9" s="857">
        <v>1872</v>
      </c>
    </row>
    <row r="10" spans="3:11" hidden="1">
      <c r="C10" s="135" t="s">
        <v>3510</v>
      </c>
      <c r="D10" s="135"/>
      <c r="E10" s="135"/>
      <c r="F10" s="870">
        <v>44553</v>
      </c>
      <c r="G10" s="870"/>
      <c r="H10" s="857" t="s">
        <v>3502</v>
      </c>
      <c r="I10" s="857">
        <v>100.72</v>
      </c>
    </row>
    <row r="11" spans="3:11" hidden="1">
      <c r="C11" s="135" t="s">
        <v>3510</v>
      </c>
      <c r="D11" s="135"/>
      <c r="E11" s="135"/>
      <c r="F11" s="870">
        <v>44553</v>
      </c>
      <c r="G11" s="870"/>
      <c r="H11" s="857" t="s">
        <v>3503</v>
      </c>
      <c r="I11" s="857">
        <v>149.16999999999999</v>
      </c>
    </row>
    <row r="12" spans="3:11" hidden="1">
      <c r="C12" s="135" t="s">
        <v>3497</v>
      </c>
      <c r="D12" s="135"/>
      <c r="E12" s="135"/>
      <c r="F12" s="870">
        <v>44553</v>
      </c>
      <c r="G12" s="870"/>
      <c r="H12" s="857" t="s">
        <v>3504</v>
      </c>
      <c r="I12" s="857">
        <v>175.5</v>
      </c>
    </row>
    <row r="13" spans="3:11" hidden="1">
      <c r="F13" s="849" t="s">
        <v>65</v>
      </c>
      <c r="G13" s="1033"/>
      <c r="H13" s="860" t="s">
        <v>3505</v>
      </c>
      <c r="I13" s="846">
        <v>5.64</v>
      </c>
    </row>
    <row r="14" spans="3:11" hidden="1">
      <c r="F14" s="845"/>
      <c r="G14" s="1022"/>
      <c r="H14" s="860" t="s">
        <v>3506</v>
      </c>
      <c r="I14" s="846"/>
    </row>
    <row r="15" spans="3:11" hidden="1">
      <c r="F15" s="845"/>
      <c r="G15" s="1022"/>
      <c r="H15" s="860" t="s">
        <v>3507</v>
      </c>
      <c r="I15" s="846"/>
    </row>
    <row r="16" spans="3:11" ht="15.75" hidden="1" thickBot="1">
      <c r="F16" s="847"/>
      <c r="G16" s="848"/>
      <c r="H16" s="848" t="s">
        <v>3508</v>
      </c>
      <c r="I16" s="565"/>
      <c r="K16" s="853" t="s">
        <v>3509</v>
      </c>
    </row>
    <row r="17" spans="2:25" hidden="1">
      <c r="I17" s="853">
        <f>SUM(I7:I16)</f>
        <v>2597.9299999999998</v>
      </c>
      <c r="K17" s="853">
        <v>2620</v>
      </c>
    </row>
    <row r="18" spans="2:25" hidden="1"/>
    <row r="19" spans="2:25" hidden="1">
      <c r="I19" s="853">
        <f>K17-I17</f>
        <v>22.070000000000164</v>
      </c>
    </row>
    <row r="20" spans="2:25" hidden="1"/>
    <row r="22" spans="2:25" s="827" customFormat="1" ht="30.75" thickBot="1">
      <c r="B22" s="101"/>
      <c r="C22" s="853"/>
      <c r="D22" s="861" t="s">
        <v>3682</v>
      </c>
      <c r="E22" s="861" t="s">
        <v>3683</v>
      </c>
      <c r="F22" s="853"/>
      <c r="G22" s="1017"/>
      <c r="H22" s="853"/>
      <c r="I22" s="853"/>
      <c r="J22" s="853"/>
      <c r="K22" s="869" t="s">
        <v>3520</v>
      </c>
      <c r="L22" s="853"/>
      <c r="M22" s="853"/>
      <c r="N22" s="853"/>
      <c r="O22" s="853"/>
      <c r="P22" s="853"/>
      <c r="Q22" s="853"/>
      <c r="R22" s="853"/>
      <c r="S22" s="853"/>
      <c r="T22" s="853"/>
      <c r="U22" s="853"/>
      <c r="V22" s="853"/>
      <c r="W22" s="853"/>
      <c r="X22" s="853"/>
      <c r="Y22" s="853"/>
    </row>
    <row r="23" spans="2:25" s="827" customFormat="1" ht="20.25" customHeight="1" thickBot="1">
      <c r="B23" s="101" t="s">
        <v>2311</v>
      </c>
      <c r="C23" s="853" t="s">
        <v>2312</v>
      </c>
      <c r="D23" s="853" t="s">
        <v>3680</v>
      </c>
      <c r="E23" s="853" t="s">
        <v>3666</v>
      </c>
      <c r="F23" s="853" t="s">
        <v>3667</v>
      </c>
      <c r="G23" s="1017" t="s">
        <v>3932</v>
      </c>
      <c r="H23" s="853" t="s">
        <v>3668</v>
      </c>
      <c r="I23" s="853" t="s">
        <v>3669</v>
      </c>
      <c r="J23" s="853" t="s">
        <v>3670</v>
      </c>
      <c r="K23" s="853" t="s">
        <v>3671</v>
      </c>
      <c r="L23" s="853" t="s">
        <v>3672</v>
      </c>
      <c r="M23" s="853" t="s">
        <v>3673</v>
      </c>
      <c r="N23" s="853" t="s">
        <v>3674</v>
      </c>
      <c r="O23" s="853" t="s">
        <v>3675</v>
      </c>
      <c r="P23" s="853" t="s">
        <v>3676</v>
      </c>
      <c r="Q23" s="853" t="s">
        <v>3677</v>
      </c>
      <c r="R23" s="1017" t="s">
        <v>3685</v>
      </c>
      <c r="S23" s="1075" t="s">
        <v>4046</v>
      </c>
      <c r="T23" s="853"/>
      <c r="U23" s="853"/>
      <c r="V23" s="853"/>
      <c r="W23" s="853"/>
      <c r="X23" s="853"/>
      <c r="Y23" s="853"/>
    </row>
    <row r="24" spans="2:25" ht="82.5" customHeight="1">
      <c r="B24" s="871" t="s">
        <v>3511</v>
      </c>
      <c r="C24" s="1588" t="s">
        <v>3512</v>
      </c>
      <c r="D24" s="1589" t="s">
        <v>3681</v>
      </c>
      <c r="E24" s="1590" t="s">
        <v>3497</v>
      </c>
      <c r="F24" s="877" t="s">
        <v>3517</v>
      </c>
      <c r="G24" s="877"/>
      <c r="H24" s="877" t="s">
        <v>3518</v>
      </c>
      <c r="I24" s="872" t="s">
        <v>3519</v>
      </c>
      <c r="J24" s="877" t="s">
        <v>3522</v>
      </c>
      <c r="K24" s="877" t="s">
        <v>3520</v>
      </c>
      <c r="L24" s="876" t="s">
        <v>3521</v>
      </c>
      <c r="M24" s="873" t="s">
        <v>3515</v>
      </c>
      <c r="N24" s="872" t="s">
        <v>3513</v>
      </c>
      <c r="O24" s="872" t="s">
        <v>3514</v>
      </c>
      <c r="P24" s="872" t="s">
        <v>3523</v>
      </c>
      <c r="Q24" s="872" t="s">
        <v>3515</v>
      </c>
      <c r="R24" s="883" t="s">
        <v>3966</v>
      </c>
      <c r="S24" s="1075"/>
    </row>
    <row r="25" spans="2:25" s="827" customFormat="1" ht="16.5" customHeight="1" thickBot="1">
      <c r="B25" s="875"/>
      <c r="C25" s="874"/>
      <c r="D25" s="1591" t="s">
        <v>21</v>
      </c>
      <c r="E25" s="1592" t="s">
        <v>3510</v>
      </c>
      <c r="F25" s="878"/>
      <c r="G25" s="1034" t="s">
        <v>3933</v>
      </c>
      <c r="H25" s="878"/>
      <c r="I25" s="879"/>
      <c r="J25" s="878"/>
      <c r="K25" s="878"/>
      <c r="L25" s="881" t="s">
        <v>65</v>
      </c>
      <c r="M25" s="882" t="s">
        <v>65</v>
      </c>
      <c r="N25" s="879"/>
      <c r="O25" s="879"/>
      <c r="P25" s="1034" t="s">
        <v>4044</v>
      </c>
      <c r="Q25" s="880"/>
      <c r="R25" s="1083"/>
      <c r="S25" s="1075"/>
      <c r="T25" s="853"/>
      <c r="U25" s="853"/>
      <c r="V25" s="853"/>
      <c r="W25" s="853"/>
      <c r="X25" s="853"/>
      <c r="Y25" s="853"/>
    </row>
    <row r="26" spans="2:25" ht="15.75" hidden="1" thickBot="1">
      <c r="B26" s="1584">
        <v>44565</v>
      </c>
      <c r="C26" s="1512" t="s">
        <v>3678</v>
      </c>
      <c r="D26" s="1512" t="s">
        <v>3681</v>
      </c>
      <c r="E26" s="1512" t="s">
        <v>3497</v>
      </c>
      <c r="F26" s="1585">
        <v>120</v>
      </c>
      <c r="G26" s="1585">
        <v>120</v>
      </c>
      <c r="H26" s="1512"/>
      <c r="I26" s="1512"/>
      <c r="J26" s="1512"/>
      <c r="K26" s="1512"/>
      <c r="L26" s="1585">
        <f>J26*K26</f>
        <v>0</v>
      </c>
      <c r="M26" s="1585">
        <f>+Tabla4[[#This Row],[Columna4]]-Tabla4[[#This Row],[Columna42]]</f>
        <v>0</v>
      </c>
      <c r="N26" s="1512" t="s">
        <v>3513</v>
      </c>
      <c r="O26" s="1512" t="s">
        <v>65</v>
      </c>
      <c r="P26" s="1586"/>
      <c r="Q26" s="1586"/>
      <c r="R26" s="1587">
        <v>44582</v>
      </c>
      <c r="S26" s="1075"/>
    </row>
    <row r="27" spans="2:25" ht="15" hidden="1" customHeight="1">
      <c r="B27" s="1610">
        <v>44565</v>
      </c>
      <c r="C27" s="297" t="s">
        <v>3679</v>
      </c>
      <c r="D27" s="297" t="s">
        <v>3681</v>
      </c>
      <c r="E27" s="1613" t="s">
        <v>3510</v>
      </c>
      <c r="F27" s="301">
        <v>175.18</v>
      </c>
      <c r="G27" s="301">
        <v>175.18</v>
      </c>
      <c r="H27" s="297"/>
      <c r="I27" s="297"/>
      <c r="J27" s="297">
        <v>0</v>
      </c>
      <c r="K27" s="297">
        <v>0</v>
      </c>
      <c r="L27" s="1585">
        <f t="shared" ref="L27:L47" si="0">J27*K27</f>
        <v>0</v>
      </c>
      <c r="M27" s="1585">
        <f>F35</f>
        <v>141.75</v>
      </c>
      <c r="N27" s="297" t="s">
        <v>3513</v>
      </c>
      <c r="O27" s="297" t="s">
        <v>65</v>
      </c>
      <c r="P27" s="1611"/>
      <c r="Q27" s="1611">
        <v>0.28000000000000003</v>
      </c>
      <c r="R27" s="1614" t="s">
        <v>4045</v>
      </c>
      <c r="S27" s="1587">
        <v>44594</v>
      </c>
    </row>
    <row r="28" spans="2:25" ht="15.75" hidden="1" customHeight="1" thickBot="1">
      <c r="B28" s="1610">
        <v>44565</v>
      </c>
      <c r="C28" s="297" t="s">
        <v>3679</v>
      </c>
      <c r="D28" s="297" t="s">
        <v>21</v>
      </c>
      <c r="E28" s="297" t="s">
        <v>3510</v>
      </c>
      <c r="F28" s="301">
        <v>158.1</v>
      </c>
      <c r="G28" s="301">
        <v>157.82</v>
      </c>
      <c r="H28" s="297"/>
      <c r="I28" s="297"/>
      <c r="J28" s="297"/>
      <c r="K28" s="297"/>
      <c r="L28" s="1585">
        <f t="shared" si="0"/>
        <v>0</v>
      </c>
      <c r="M28" s="1585">
        <f t="shared" ref="M28:M57" si="1">L28-F28</f>
        <v>-158.1</v>
      </c>
      <c r="N28" s="297" t="s">
        <v>3513</v>
      </c>
      <c r="O28" s="297" t="s">
        <v>65</v>
      </c>
      <c r="P28" s="1611"/>
      <c r="Q28" s="1611"/>
      <c r="R28" s="1615">
        <f>+P29-0.28</f>
        <v>0.92000000000004545</v>
      </c>
      <c r="S28" s="1587">
        <v>44594</v>
      </c>
    </row>
    <row r="29" spans="2:25" ht="15" hidden="1" customHeight="1">
      <c r="B29" s="1610">
        <v>44582</v>
      </c>
      <c r="C29" s="297" t="s">
        <v>3965</v>
      </c>
      <c r="D29" s="297" t="s">
        <v>3681</v>
      </c>
      <c r="E29" s="297" t="s">
        <v>3497</v>
      </c>
      <c r="F29" s="301">
        <v>838.8</v>
      </c>
      <c r="G29" s="301">
        <v>840</v>
      </c>
      <c r="H29" s="528"/>
      <c r="I29" s="528"/>
      <c r="J29" s="528"/>
      <c r="K29" s="528"/>
      <c r="L29" s="899">
        <f t="shared" si="0"/>
        <v>0</v>
      </c>
      <c r="M29" s="1585">
        <f t="shared" si="1"/>
        <v>-838.8</v>
      </c>
      <c r="N29" s="297" t="s">
        <v>3513</v>
      </c>
      <c r="O29" s="528" t="s">
        <v>65</v>
      </c>
      <c r="P29" s="1611">
        <f>+Tabla4[[#This Row],[Columna42]]-Tabla4[[#This Row],[Columna4]]</f>
        <v>1.2000000000000455</v>
      </c>
      <c r="Q29" s="1612"/>
      <c r="R29" s="12"/>
      <c r="S29" s="1587">
        <v>44594</v>
      </c>
    </row>
    <row r="30" spans="2:25" ht="15" hidden="1" customHeight="1">
      <c r="B30" s="1610">
        <v>44595</v>
      </c>
      <c r="C30" s="297" t="s">
        <v>4123</v>
      </c>
      <c r="D30" s="297" t="s">
        <v>3681</v>
      </c>
      <c r="E30" s="297" t="s">
        <v>3497</v>
      </c>
      <c r="F30" s="301">
        <v>1258.2</v>
      </c>
      <c r="G30" s="301" t="s">
        <v>65</v>
      </c>
      <c r="H30" s="528"/>
      <c r="I30" s="528"/>
      <c r="J30" s="528"/>
      <c r="K30" s="528"/>
      <c r="L30" s="899">
        <f t="shared" si="0"/>
        <v>0</v>
      </c>
      <c r="M30" s="1585">
        <v>0</v>
      </c>
      <c r="N30" s="297" t="s">
        <v>3513</v>
      </c>
      <c r="O30" s="528"/>
      <c r="P30" s="1611"/>
      <c r="Q30" s="1612"/>
      <c r="R30" s="12"/>
      <c r="S30" s="12"/>
    </row>
    <row r="31" spans="2:25" ht="15" hidden="1" customHeight="1">
      <c r="B31" s="1610">
        <v>44606</v>
      </c>
      <c r="C31" s="297" t="s">
        <v>4494</v>
      </c>
      <c r="D31" s="297" t="s">
        <v>3681</v>
      </c>
      <c r="E31" s="297" t="s">
        <v>3510</v>
      </c>
      <c r="F31" s="301">
        <v>712.98</v>
      </c>
      <c r="G31" s="301">
        <v>713</v>
      </c>
      <c r="H31" s="528"/>
      <c r="I31" s="528"/>
      <c r="J31" s="528"/>
      <c r="K31" s="528"/>
      <c r="L31" s="899">
        <f t="shared" si="0"/>
        <v>0</v>
      </c>
      <c r="M31" s="1585">
        <f t="shared" si="1"/>
        <v>-712.98</v>
      </c>
      <c r="N31" s="297" t="s">
        <v>3513</v>
      </c>
      <c r="O31" s="528"/>
      <c r="P31" s="1611"/>
      <c r="Q31" s="1611"/>
      <c r="R31" s="12"/>
      <c r="S31" s="1587">
        <v>44637</v>
      </c>
    </row>
    <row r="32" spans="2:25" ht="15" customHeight="1">
      <c r="B32" s="895">
        <v>44609</v>
      </c>
      <c r="C32" s="528" t="s">
        <v>4551</v>
      </c>
      <c r="D32" s="528" t="s">
        <v>21</v>
      </c>
      <c r="E32" s="528" t="s">
        <v>3497</v>
      </c>
      <c r="F32" s="900">
        <v>136.80000000000001</v>
      </c>
      <c r="G32" s="900"/>
      <c r="H32" s="528"/>
      <c r="I32" s="528"/>
      <c r="J32" s="528"/>
      <c r="K32" s="528"/>
      <c r="L32" s="899">
        <f t="shared" si="0"/>
        <v>0</v>
      </c>
      <c r="M32" s="899">
        <f t="shared" si="1"/>
        <v>-136.80000000000001</v>
      </c>
      <c r="N32" s="528" t="s">
        <v>3514</v>
      </c>
      <c r="O32" s="528"/>
      <c r="P32" s="643"/>
      <c r="Q32" s="69"/>
      <c r="R32" s="1017"/>
      <c r="S32" s="1075"/>
    </row>
    <row r="33" spans="2:19" ht="15" hidden="1" customHeight="1">
      <c r="B33" s="1610">
        <v>44609</v>
      </c>
      <c r="C33" s="297" t="s">
        <v>4552</v>
      </c>
      <c r="D33" s="297" t="s">
        <v>21</v>
      </c>
      <c r="E33" s="297" t="s">
        <v>3510</v>
      </c>
      <c r="F33" s="301">
        <v>91.2</v>
      </c>
      <c r="G33" s="301">
        <v>91.2</v>
      </c>
      <c r="H33" s="528"/>
      <c r="I33" s="528"/>
      <c r="J33" s="528"/>
      <c r="K33" s="528"/>
      <c r="L33" s="899">
        <f t="shared" si="0"/>
        <v>0</v>
      </c>
      <c r="M33" s="1585">
        <f t="shared" si="1"/>
        <v>-91.2</v>
      </c>
      <c r="N33" s="297" t="s">
        <v>3513</v>
      </c>
      <c r="O33" s="528"/>
      <c r="P33" s="1611"/>
      <c r="Q33" s="1611"/>
      <c r="R33" s="12"/>
      <c r="S33" s="12"/>
    </row>
    <row r="34" spans="2:19" ht="15" hidden="1" customHeight="1">
      <c r="B34" s="1610">
        <v>44621</v>
      </c>
      <c r="C34" s="297" t="s">
        <v>4703</v>
      </c>
      <c r="D34" s="297" t="s">
        <v>3681</v>
      </c>
      <c r="E34" s="297" t="s">
        <v>3497</v>
      </c>
      <c r="F34" s="301">
        <v>838.8</v>
      </c>
      <c r="G34" s="301"/>
      <c r="H34" s="528"/>
      <c r="I34" s="528"/>
      <c r="J34" s="528"/>
      <c r="K34" s="528"/>
      <c r="L34" s="899">
        <f t="shared" si="0"/>
        <v>0</v>
      </c>
      <c r="M34" s="1585">
        <f t="shared" si="1"/>
        <v>-838.8</v>
      </c>
      <c r="N34" s="297" t="s">
        <v>3513</v>
      </c>
      <c r="O34" s="528"/>
      <c r="P34" s="1611"/>
      <c r="Q34" s="1611"/>
      <c r="R34" s="12"/>
      <c r="S34" s="12"/>
    </row>
    <row r="35" spans="2:19" ht="15" hidden="1" customHeight="1">
      <c r="B35" s="1610">
        <v>44618</v>
      </c>
      <c r="C35" s="297" t="s">
        <v>4704</v>
      </c>
      <c r="D35" s="297" t="s">
        <v>3681</v>
      </c>
      <c r="E35" s="297" t="s">
        <v>3510</v>
      </c>
      <c r="F35" s="301">
        <v>141.75</v>
      </c>
      <c r="G35" s="301">
        <v>141.75</v>
      </c>
      <c r="H35" s="528"/>
      <c r="I35" s="528"/>
      <c r="J35" s="528"/>
      <c r="K35" s="528"/>
      <c r="L35" s="899">
        <f t="shared" si="0"/>
        <v>0</v>
      </c>
      <c r="M35" s="1585">
        <f t="shared" si="1"/>
        <v>-141.75</v>
      </c>
      <c r="N35" s="297" t="s">
        <v>3513</v>
      </c>
      <c r="O35" s="528"/>
      <c r="P35" s="1611"/>
      <c r="Q35" s="1611"/>
      <c r="R35" s="12"/>
      <c r="S35" s="12"/>
    </row>
    <row r="36" spans="2:19" hidden="1">
      <c r="B36" s="1610">
        <v>44618</v>
      </c>
      <c r="C36" s="297" t="s">
        <v>4705</v>
      </c>
      <c r="D36" s="297" t="s">
        <v>3681</v>
      </c>
      <c r="E36" s="297" t="s">
        <v>3497</v>
      </c>
      <c r="F36" s="301">
        <v>133.91</v>
      </c>
      <c r="G36" s="301"/>
      <c r="H36" s="528"/>
      <c r="I36" s="528"/>
      <c r="J36" s="528"/>
      <c r="K36" s="528"/>
      <c r="L36" s="899">
        <f t="shared" si="0"/>
        <v>0</v>
      </c>
      <c r="M36" s="1585">
        <f t="shared" si="1"/>
        <v>-133.91</v>
      </c>
      <c r="N36" s="297" t="s">
        <v>3513</v>
      </c>
      <c r="O36" s="528"/>
      <c r="P36" s="1611"/>
      <c r="Q36" s="1611"/>
      <c r="R36" s="12"/>
      <c r="S36" s="12"/>
    </row>
    <row r="37" spans="2:19" hidden="1">
      <c r="B37" s="1610">
        <v>44630</v>
      </c>
      <c r="C37" s="297" t="s">
        <v>5169</v>
      </c>
      <c r="D37" s="297" t="s">
        <v>3681</v>
      </c>
      <c r="E37" s="297" t="s">
        <v>3497</v>
      </c>
      <c r="F37" s="301">
        <v>838.8</v>
      </c>
      <c r="G37" s="301"/>
      <c r="H37" s="528"/>
      <c r="I37" s="528"/>
      <c r="J37" s="528"/>
      <c r="K37" s="528"/>
      <c r="L37" s="899">
        <f t="shared" si="0"/>
        <v>0</v>
      </c>
      <c r="M37" s="1585">
        <f t="shared" si="1"/>
        <v>-838.8</v>
      </c>
      <c r="N37" s="297" t="s">
        <v>3513</v>
      </c>
      <c r="O37" s="528"/>
      <c r="P37" s="1611"/>
      <c r="Q37" s="1611"/>
      <c r="R37" s="12"/>
      <c r="S37" s="12"/>
    </row>
    <row r="38" spans="2:19" hidden="1">
      <c r="B38" s="1610">
        <v>44632</v>
      </c>
      <c r="C38" s="297" t="s">
        <v>5192</v>
      </c>
      <c r="D38" s="297" t="s">
        <v>3681</v>
      </c>
      <c r="E38" s="297" t="s">
        <v>3497</v>
      </c>
      <c r="F38" s="301">
        <v>516</v>
      </c>
      <c r="G38" s="301"/>
      <c r="H38" s="528"/>
      <c r="I38" s="528"/>
      <c r="J38" s="528"/>
      <c r="K38" s="528"/>
      <c r="L38" s="899">
        <f t="shared" si="0"/>
        <v>0</v>
      </c>
      <c r="M38" s="1585">
        <f t="shared" si="1"/>
        <v>-516</v>
      </c>
      <c r="N38" s="297" t="s">
        <v>3513</v>
      </c>
      <c r="O38" s="528"/>
      <c r="P38" s="1611"/>
      <c r="Q38" s="1611"/>
      <c r="R38" s="12"/>
      <c r="S38" s="12"/>
    </row>
    <row r="39" spans="2:19">
      <c r="B39" s="895">
        <v>44632</v>
      </c>
      <c r="C39" s="528" t="s">
        <v>5193</v>
      </c>
      <c r="D39" s="528" t="s">
        <v>3681</v>
      </c>
      <c r="E39" s="528" t="s">
        <v>3510</v>
      </c>
      <c r="F39" s="900">
        <v>219.3</v>
      </c>
      <c r="G39" s="900"/>
      <c r="H39" s="528"/>
      <c r="I39" s="528"/>
      <c r="J39" s="528"/>
      <c r="K39" s="528"/>
      <c r="L39" s="899">
        <f t="shared" si="0"/>
        <v>0</v>
      </c>
      <c r="M39" s="899">
        <f t="shared" si="1"/>
        <v>-219.3</v>
      </c>
      <c r="N39" s="528" t="s">
        <v>3514</v>
      </c>
      <c r="O39" s="528"/>
      <c r="P39" s="643"/>
      <c r="Q39" s="69"/>
      <c r="R39" s="1017"/>
      <c r="S39" s="1075"/>
    </row>
    <row r="40" spans="2:19">
      <c r="B40" s="895">
        <v>44638</v>
      </c>
      <c r="C40" s="528" t="s">
        <v>5256</v>
      </c>
      <c r="D40" s="528" t="s">
        <v>3681</v>
      </c>
      <c r="E40" s="528" t="s">
        <v>3497</v>
      </c>
      <c r="F40" s="900">
        <v>516</v>
      </c>
      <c r="G40" s="900"/>
      <c r="H40" s="528"/>
      <c r="I40" s="528"/>
      <c r="J40" s="528"/>
      <c r="K40" s="528"/>
      <c r="L40" s="899">
        <f t="shared" si="0"/>
        <v>0</v>
      </c>
      <c r="M40" s="899">
        <f t="shared" si="1"/>
        <v>-516</v>
      </c>
      <c r="N40" s="1606" t="s">
        <v>3514</v>
      </c>
      <c r="O40" s="528"/>
      <c r="P40" s="643"/>
      <c r="Q40" s="69"/>
      <c r="R40" s="1017"/>
      <c r="S40" s="1075"/>
    </row>
    <row r="41" spans="2:19">
      <c r="B41" s="895">
        <v>44638</v>
      </c>
      <c r="C41" s="528" t="s">
        <v>5257</v>
      </c>
      <c r="D41" s="528" t="s">
        <v>3681</v>
      </c>
      <c r="E41" s="528" t="s">
        <v>3510</v>
      </c>
      <c r="F41" s="900">
        <v>219.3</v>
      </c>
      <c r="G41" s="900"/>
      <c r="H41" s="528"/>
      <c r="I41" s="528"/>
      <c r="J41" s="528"/>
      <c r="K41" s="528"/>
      <c r="L41" s="899">
        <f t="shared" si="0"/>
        <v>0</v>
      </c>
      <c r="M41" s="899">
        <f t="shared" si="1"/>
        <v>-219.3</v>
      </c>
      <c r="N41" s="1606" t="s">
        <v>3514</v>
      </c>
      <c r="O41" s="528"/>
      <c r="P41" s="643"/>
      <c r="Q41" s="69"/>
      <c r="R41" s="1017"/>
      <c r="S41" s="1075"/>
    </row>
    <row r="42" spans="2:19">
      <c r="B42" s="895">
        <v>44642</v>
      </c>
      <c r="C42" s="528" t="s">
        <v>5261</v>
      </c>
      <c r="D42" s="528" t="s">
        <v>3681</v>
      </c>
      <c r="E42" s="528" t="s">
        <v>3497</v>
      </c>
      <c r="F42" s="900">
        <v>838.8</v>
      </c>
      <c r="G42" s="900"/>
      <c r="H42" s="528"/>
      <c r="I42" s="528"/>
      <c r="J42" s="528"/>
      <c r="K42" s="528"/>
      <c r="L42" s="899">
        <f t="shared" si="0"/>
        <v>0</v>
      </c>
      <c r="M42" s="899">
        <f t="shared" si="1"/>
        <v>-838.8</v>
      </c>
      <c r="N42" s="528" t="s">
        <v>3514</v>
      </c>
      <c r="O42" s="528"/>
      <c r="P42" s="643"/>
      <c r="Q42" s="69"/>
      <c r="R42" s="1017"/>
      <c r="S42" s="1075"/>
    </row>
    <row r="43" spans="2:19">
      <c r="B43" s="895">
        <v>44643</v>
      </c>
      <c r="C43" s="528" t="s">
        <v>5263</v>
      </c>
      <c r="D43" s="528" t="s">
        <v>3681</v>
      </c>
      <c r="E43" s="528" t="s">
        <v>3497</v>
      </c>
      <c r="F43" s="900">
        <v>205.18</v>
      </c>
      <c r="G43" s="900"/>
      <c r="H43" s="528"/>
      <c r="I43" s="528"/>
      <c r="J43" s="528"/>
      <c r="K43" s="528"/>
      <c r="L43" s="899">
        <f t="shared" si="0"/>
        <v>0</v>
      </c>
      <c r="M43" s="899">
        <f t="shared" si="1"/>
        <v>-205.18</v>
      </c>
      <c r="N43" s="528" t="s">
        <v>3514</v>
      </c>
      <c r="O43" s="528"/>
      <c r="P43" s="643"/>
      <c r="Q43" s="69"/>
      <c r="R43" s="1017"/>
      <c r="S43" s="1075"/>
    </row>
    <row r="44" spans="2:19">
      <c r="B44" s="895">
        <v>44645</v>
      </c>
      <c r="C44" s="528" t="s">
        <v>5493</v>
      </c>
      <c r="D44" s="528" t="s">
        <v>3681</v>
      </c>
      <c r="E44" s="528" t="s">
        <v>3497</v>
      </c>
      <c r="F44" s="900">
        <v>367.2</v>
      </c>
      <c r="G44" s="900"/>
      <c r="H44" s="528"/>
      <c r="I44" s="528"/>
      <c r="J44" s="528"/>
      <c r="K44" s="528"/>
      <c r="L44" s="899">
        <f t="shared" si="0"/>
        <v>0</v>
      </c>
      <c r="M44" s="899">
        <f t="shared" si="1"/>
        <v>-367.2</v>
      </c>
      <c r="N44" s="1694" t="s">
        <v>3514</v>
      </c>
      <c r="O44" s="528"/>
      <c r="P44" s="643"/>
      <c r="Q44" s="69"/>
      <c r="R44" s="1017"/>
      <c r="S44" s="1075"/>
    </row>
    <row r="45" spans="2:19">
      <c r="B45" s="895">
        <v>44645</v>
      </c>
      <c r="C45" s="528" t="s">
        <v>5494</v>
      </c>
      <c r="D45" s="528" t="s">
        <v>3681</v>
      </c>
      <c r="E45" s="528" t="s">
        <v>3510</v>
      </c>
      <c r="F45" s="900">
        <v>312.12</v>
      </c>
      <c r="G45" s="900"/>
      <c r="H45" s="528"/>
      <c r="I45" s="528"/>
      <c r="J45" s="528"/>
      <c r="K45" s="528"/>
      <c r="L45" s="899">
        <f t="shared" si="0"/>
        <v>0</v>
      </c>
      <c r="M45" s="899">
        <f t="shared" si="1"/>
        <v>-312.12</v>
      </c>
      <c r="N45" s="1694" t="s">
        <v>3514</v>
      </c>
      <c r="O45" s="528"/>
      <c r="P45" s="643"/>
      <c r="Q45" s="69"/>
      <c r="R45" s="1017"/>
      <c r="S45" s="1075"/>
    </row>
    <row r="46" spans="2:19">
      <c r="B46" s="895">
        <v>44648</v>
      </c>
      <c r="C46" s="528" t="s">
        <v>5495</v>
      </c>
      <c r="D46" s="528" t="s">
        <v>21</v>
      </c>
      <c r="E46" s="528" t="s">
        <v>3510</v>
      </c>
      <c r="F46" s="900">
        <v>228</v>
      </c>
      <c r="G46" s="900"/>
      <c r="H46" s="528"/>
      <c r="I46" s="528"/>
      <c r="J46" s="528"/>
      <c r="K46" s="528"/>
      <c r="L46" s="899">
        <f t="shared" si="0"/>
        <v>0</v>
      </c>
      <c r="M46" s="899">
        <f t="shared" si="1"/>
        <v>-228</v>
      </c>
      <c r="N46" s="1694" t="s">
        <v>3514</v>
      </c>
      <c r="O46" s="528"/>
      <c r="P46" s="643"/>
      <c r="Q46" s="69"/>
      <c r="R46" s="1017"/>
      <c r="S46" s="1075"/>
    </row>
    <row r="47" spans="2:19">
      <c r="B47" s="895">
        <v>44648</v>
      </c>
      <c r="C47" s="528" t="s">
        <v>5496</v>
      </c>
      <c r="D47" s="528" t="s">
        <v>21</v>
      </c>
      <c r="E47" s="528" t="s">
        <v>3497</v>
      </c>
      <c r="F47" s="900">
        <v>228</v>
      </c>
      <c r="G47" s="900"/>
      <c r="H47" s="528"/>
      <c r="I47" s="528"/>
      <c r="J47" s="528"/>
      <c r="K47" s="528"/>
      <c r="L47" s="899">
        <f t="shared" si="0"/>
        <v>0</v>
      </c>
      <c r="M47" s="899">
        <f t="shared" si="1"/>
        <v>-228</v>
      </c>
      <c r="N47" s="1694" t="s">
        <v>3514</v>
      </c>
      <c r="O47" s="528"/>
      <c r="P47" s="643"/>
      <c r="Q47" s="69"/>
      <c r="R47" s="1017"/>
      <c r="S47" s="1075"/>
    </row>
    <row r="48" spans="2:19">
      <c r="B48" s="895">
        <v>44653</v>
      </c>
      <c r="C48" s="528" t="s">
        <v>5561</v>
      </c>
      <c r="D48" s="528" t="s">
        <v>3681</v>
      </c>
      <c r="E48" s="528" t="s">
        <v>3497</v>
      </c>
      <c r="F48" s="900">
        <v>838.8</v>
      </c>
      <c r="G48" s="900"/>
      <c r="H48" s="528"/>
      <c r="I48" s="528"/>
      <c r="J48" s="528"/>
      <c r="K48" s="528"/>
      <c r="L48" s="899">
        <f t="shared" ref="L48:L90" si="2">J48*K48</f>
        <v>0</v>
      </c>
      <c r="M48" s="899">
        <f t="shared" si="1"/>
        <v>-838.8</v>
      </c>
      <c r="N48" s="1711" t="s">
        <v>3514</v>
      </c>
      <c r="O48" s="528"/>
      <c r="P48" s="643"/>
      <c r="Q48" s="69"/>
      <c r="R48" s="1017"/>
      <c r="S48" s="1075"/>
    </row>
    <row r="49" spans="2:19">
      <c r="B49" s="896" t="s">
        <v>5647</v>
      </c>
      <c r="C49" s="528" t="s">
        <v>5649</v>
      </c>
      <c r="D49" s="528" t="s">
        <v>3681</v>
      </c>
      <c r="E49" s="528" t="s">
        <v>3497</v>
      </c>
      <c r="F49" s="900">
        <v>274.8</v>
      </c>
      <c r="G49" s="900"/>
      <c r="H49" s="528"/>
      <c r="I49" s="528"/>
      <c r="J49" s="528"/>
      <c r="K49" s="528"/>
      <c r="L49" s="899">
        <f t="shared" si="2"/>
        <v>0</v>
      </c>
      <c r="M49" s="899">
        <f t="shared" si="1"/>
        <v>-274.8</v>
      </c>
      <c r="N49" s="528" t="s">
        <v>3514</v>
      </c>
      <c r="O49" s="528"/>
      <c r="P49" s="643"/>
      <c r="Q49" s="69"/>
      <c r="R49" s="1017"/>
      <c r="S49" s="1075"/>
    </row>
    <row r="50" spans="2:19">
      <c r="B50" s="895">
        <v>44659</v>
      </c>
      <c r="C50" s="528" t="s">
        <v>5648</v>
      </c>
      <c r="D50" s="528" t="s">
        <v>3681</v>
      </c>
      <c r="E50" s="528" t="s">
        <v>3510</v>
      </c>
      <c r="F50" s="900">
        <v>274.8</v>
      </c>
      <c r="G50" s="900"/>
      <c r="H50" s="528"/>
      <c r="I50" s="528"/>
      <c r="J50" s="528"/>
      <c r="K50" s="528"/>
      <c r="L50" s="899">
        <f t="shared" si="2"/>
        <v>0</v>
      </c>
      <c r="M50" s="899">
        <f t="shared" si="1"/>
        <v>-274.8</v>
      </c>
      <c r="N50" s="2049" t="s">
        <v>3514</v>
      </c>
      <c r="O50" s="528"/>
      <c r="P50" s="643"/>
      <c r="Q50" s="69"/>
      <c r="R50" s="1017"/>
      <c r="S50" s="1075"/>
    </row>
    <row r="51" spans="2:19">
      <c r="B51" s="896"/>
      <c r="C51" s="528"/>
      <c r="D51" s="528"/>
      <c r="E51" s="528"/>
      <c r="F51" s="900"/>
      <c r="G51" s="900"/>
      <c r="H51" s="528"/>
      <c r="I51" s="528"/>
      <c r="J51" s="528"/>
      <c r="K51" s="528"/>
      <c r="L51" s="899">
        <f t="shared" si="2"/>
        <v>0</v>
      </c>
      <c r="M51" s="899">
        <f t="shared" si="1"/>
        <v>0</v>
      </c>
      <c r="N51" s="528"/>
      <c r="O51" s="528"/>
      <c r="P51" s="643"/>
      <c r="Q51" s="69"/>
      <c r="R51" s="1017"/>
      <c r="S51" s="1075"/>
    </row>
    <row r="52" spans="2:19">
      <c r="B52" s="896"/>
      <c r="C52" s="528"/>
      <c r="D52" s="528"/>
      <c r="E52" s="528"/>
      <c r="F52" s="900"/>
      <c r="G52" s="900"/>
      <c r="H52" s="528"/>
      <c r="I52" s="528"/>
      <c r="J52" s="528"/>
      <c r="K52" s="528"/>
      <c r="L52" s="899">
        <f t="shared" si="2"/>
        <v>0</v>
      </c>
      <c r="M52" s="899">
        <f t="shared" si="1"/>
        <v>0</v>
      </c>
      <c r="N52" s="528"/>
      <c r="O52" s="528"/>
      <c r="P52" s="643"/>
      <c r="Q52" s="69"/>
      <c r="R52" s="1017"/>
      <c r="S52" s="1075"/>
    </row>
    <row r="53" spans="2:19">
      <c r="B53" s="896"/>
      <c r="C53" s="528"/>
      <c r="D53" s="528"/>
      <c r="E53" s="528"/>
      <c r="F53" s="900"/>
      <c r="G53" s="900"/>
      <c r="H53" s="528"/>
      <c r="I53" s="528"/>
      <c r="J53" s="528"/>
      <c r="K53" s="528"/>
      <c r="L53" s="899">
        <f t="shared" si="2"/>
        <v>0</v>
      </c>
      <c r="M53" s="899">
        <f t="shared" si="1"/>
        <v>0</v>
      </c>
      <c r="N53" s="528"/>
      <c r="O53" s="528"/>
      <c r="P53" s="643"/>
      <c r="Q53" s="69"/>
      <c r="R53" s="1017"/>
      <c r="S53" s="1075"/>
    </row>
    <row r="54" spans="2:19">
      <c r="B54" s="896"/>
      <c r="C54" s="528"/>
      <c r="D54" s="528"/>
      <c r="E54" s="528"/>
      <c r="F54" s="900"/>
      <c r="G54" s="900"/>
      <c r="H54" s="528"/>
      <c r="I54" s="528"/>
      <c r="J54" s="528"/>
      <c r="K54" s="528"/>
      <c r="L54" s="899">
        <f t="shared" si="2"/>
        <v>0</v>
      </c>
      <c r="M54" s="899">
        <f t="shared" si="1"/>
        <v>0</v>
      </c>
      <c r="N54" s="528"/>
      <c r="O54" s="528"/>
      <c r="P54" s="643"/>
      <c r="Q54" s="69"/>
      <c r="R54" s="1017"/>
      <c r="S54" s="1075"/>
    </row>
    <row r="55" spans="2:19">
      <c r="B55" s="896"/>
      <c r="C55" s="528"/>
      <c r="D55" s="528"/>
      <c r="E55" s="528"/>
      <c r="F55" s="900"/>
      <c r="G55" s="900"/>
      <c r="H55" s="528"/>
      <c r="I55" s="528"/>
      <c r="J55" s="528"/>
      <c r="K55" s="528"/>
      <c r="L55" s="899">
        <f t="shared" si="2"/>
        <v>0</v>
      </c>
      <c r="M55" s="899">
        <f t="shared" si="1"/>
        <v>0</v>
      </c>
      <c r="N55" s="528"/>
      <c r="O55" s="528"/>
      <c r="P55" s="643"/>
      <c r="Q55" s="69"/>
      <c r="R55" s="1017"/>
      <c r="S55" s="1075"/>
    </row>
    <row r="56" spans="2:19">
      <c r="B56" s="896"/>
      <c r="C56" s="528"/>
      <c r="D56" s="528"/>
      <c r="E56" s="528"/>
      <c r="F56" s="900"/>
      <c r="G56" s="900"/>
      <c r="H56" s="528"/>
      <c r="I56" s="528"/>
      <c r="J56" s="528"/>
      <c r="K56" s="528"/>
      <c r="L56" s="899">
        <f t="shared" si="2"/>
        <v>0</v>
      </c>
      <c r="M56" s="899">
        <f t="shared" si="1"/>
        <v>0</v>
      </c>
      <c r="N56" s="528"/>
      <c r="O56" s="528"/>
      <c r="P56" s="643"/>
      <c r="Q56" s="69"/>
      <c r="R56" s="1017"/>
      <c r="S56" s="1075"/>
    </row>
    <row r="57" spans="2:19">
      <c r="B57" s="896"/>
      <c r="C57" s="528"/>
      <c r="D57" s="528"/>
      <c r="E57" s="528"/>
      <c r="F57" s="900"/>
      <c r="G57" s="900"/>
      <c r="H57" s="528"/>
      <c r="I57" s="528"/>
      <c r="J57" s="528"/>
      <c r="K57" s="528"/>
      <c r="L57" s="899">
        <f t="shared" si="2"/>
        <v>0</v>
      </c>
      <c r="M57" s="899">
        <f t="shared" si="1"/>
        <v>0</v>
      </c>
      <c r="N57" s="528"/>
      <c r="O57" s="528"/>
      <c r="P57" s="643"/>
      <c r="Q57" s="69"/>
      <c r="R57" s="1017"/>
      <c r="S57" s="1075"/>
    </row>
    <row r="58" spans="2:19">
      <c r="B58" s="896"/>
      <c r="C58" s="528"/>
      <c r="D58" s="528"/>
      <c r="E58" s="528"/>
      <c r="F58" s="900"/>
      <c r="G58" s="900"/>
      <c r="H58" s="528"/>
      <c r="I58" s="528"/>
      <c r="J58" s="528"/>
      <c r="K58" s="528"/>
      <c r="L58" s="899">
        <f t="shared" si="2"/>
        <v>0</v>
      </c>
      <c r="M58" s="899">
        <f t="shared" ref="M58:M89" si="3">L58-F58</f>
        <v>0</v>
      </c>
      <c r="N58" s="528"/>
      <c r="O58" s="528"/>
      <c r="P58" s="643"/>
      <c r="Q58" s="69"/>
      <c r="R58" s="1017"/>
      <c r="S58" s="1075"/>
    </row>
    <row r="59" spans="2:19">
      <c r="B59" s="896"/>
      <c r="C59" s="528"/>
      <c r="D59" s="528"/>
      <c r="E59" s="528"/>
      <c r="F59" s="900"/>
      <c r="G59" s="900"/>
      <c r="H59" s="528"/>
      <c r="I59" s="528"/>
      <c r="J59" s="528"/>
      <c r="K59" s="528"/>
      <c r="L59" s="899">
        <f t="shared" si="2"/>
        <v>0</v>
      </c>
      <c r="M59" s="899">
        <f t="shared" si="3"/>
        <v>0</v>
      </c>
      <c r="N59" s="528"/>
      <c r="O59" s="528"/>
      <c r="P59" s="643"/>
      <c r="Q59" s="69"/>
      <c r="R59" s="1017"/>
      <c r="S59" s="1075"/>
    </row>
    <row r="60" spans="2:19">
      <c r="B60" s="896"/>
      <c r="C60" s="528"/>
      <c r="D60" s="528"/>
      <c r="E60" s="528"/>
      <c r="F60" s="900"/>
      <c r="G60" s="900"/>
      <c r="H60" s="528"/>
      <c r="I60" s="528"/>
      <c r="J60" s="528"/>
      <c r="K60" s="528"/>
      <c r="L60" s="899">
        <f t="shared" si="2"/>
        <v>0</v>
      </c>
      <c r="M60" s="899">
        <f t="shared" si="3"/>
        <v>0</v>
      </c>
      <c r="N60" s="528"/>
      <c r="O60" s="528"/>
      <c r="P60" s="643"/>
      <c r="Q60" s="69"/>
      <c r="R60" s="1017"/>
      <c r="S60" s="1075"/>
    </row>
    <row r="61" spans="2:19">
      <c r="B61" s="896"/>
      <c r="C61" s="528"/>
      <c r="D61" s="528"/>
      <c r="E61" s="528"/>
      <c r="F61" s="900"/>
      <c r="G61" s="900"/>
      <c r="H61" s="528"/>
      <c r="I61" s="528"/>
      <c r="J61" s="528"/>
      <c r="K61" s="528"/>
      <c r="L61" s="899">
        <f t="shared" si="2"/>
        <v>0</v>
      </c>
      <c r="M61" s="899">
        <f t="shared" si="3"/>
        <v>0</v>
      </c>
      <c r="N61" s="528"/>
      <c r="O61" s="528"/>
      <c r="P61" s="643"/>
      <c r="Q61" s="69"/>
      <c r="R61" s="1017"/>
      <c r="S61" s="1075"/>
    </row>
    <row r="62" spans="2:19">
      <c r="B62" s="896"/>
      <c r="C62" s="528"/>
      <c r="D62" s="528"/>
      <c r="E62" s="528"/>
      <c r="F62" s="900"/>
      <c r="G62" s="900"/>
      <c r="H62" s="528"/>
      <c r="I62" s="528"/>
      <c r="J62" s="528"/>
      <c r="K62" s="528"/>
      <c r="L62" s="899">
        <f t="shared" si="2"/>
        <v>0</v>
      </c>
      <c r="M62" s="899">
        <f t="shared" si="3"/>
        <v>0</v>
      </c>
      <c r="N62" s="528"/>
      <c r="O62" s="528"/>
      <c r="P62" s="643"/>
      <c r="Q62" s="69"/>
      <c r="R62" s="1017"/>
      <c r="S62" s="1075"/>
    </row>
    <row r="63" spans="2:19">
      <c r="B63" s="896"/>
      <c r="C63" s="528"/>
      <c r="D63" s="528"/>
      <c r="E63" s="528"/>
      <c r="F63" s="900"/>
      <c r="G63" s="900"/>
      <c r="H63" s="528"/>
      <c r="I63" s="528"/>
      <c r="J63" s="528"/>
      <c r="K63" s="528"/>
      <c r="L63" s="899">
        <f t="shared" si="2"/>
        <v>0</v>
      </c>
      <c r="M63" s="899">
        <f t="shared" si="3"/>
        <v>0</v>
      </c>
      <c r="N63" s="528"/>
      <c r="O63" s="528"/>
      <c r="P63" s="643"/>
      <c r="Q63" s="69"/>
      <c r="R63" s="1017"/>
      <c r="S63" s="1075"/>
    </row>
    <row r="64" spans="2:19">
      <c r="B64" s="896"/>
      <c r="C64" s="528"/>
      <c r="D64" s="528"/>
      <c r="E64" s="528"/>
      <c r="F64" s="900"/>
      <c r="G64" s="900"/>
      <c r="H64" s="528"/>
      <c r="I64" s="528"/>
      <c r="J64" s="528"/>
      <c r="K64" s="528"/>
      <c r="L64" s="899">
        <f t="shared" si="2"/>
        <v>0</v>
      </c>
      <c r="M64" s="899">
        <f t="shared" si="3"/>
        <v>0</v>
      </c>
      <c r="N64" s="528"/>
      <c r="O64" s="528"/>
      <c r="P64" s="643"/>
      <c r="Q64" s="69"/>
      <c r="R64" s="1017"/>
      <c r="S64" s="1075"/>
    </row>
    <row r="65" spans="2:19">
      <c r="B65" s="896"/>
      <c r="C65" s="528"/>
      <c r="D65" s="528"/>
      <c r="E65" s="528"/>
      <c r="F65" s="900"/>
      <c r="G65" s="900"/>
      <c r="H65" s="528"/>
      <c r="I65" s="528"/>
      <c r="J65" s="528"/>
      <c r="K65" s="528"/>
      <c r="L65" s="899">
        <f t="shared" si="2"/>
        <v>0</v>
      </c>
      <c r="M65" s="899">
        <f t="shared" si="3"/>
        <v>0</v>
      </c>
      <c r="N65" s="528"/>
      <c r="O65" s="528"/>
      <c r="P65" s="643"/>
      <c r="Q65" s="69"/>
      <c r="R65" s="1017"/>
      <c r="S65" s="1075"/>
    </row>
    <row r="66" spans="2:19">
      <c r="B66" s="896"/>
      <c r="C66" s="528"/>
      <c r="D66" s="528"/>
      <c r="E66" s="528"/>
      <c r="F66" s="900"/>
      <c r="G66" s="900"/>
      <c r="H66" s="528"/>
      <c r="I66" s="528"/>
      <c r="J66" s="528"/>
      <c r="K66" s="528"/>
      <c r="L66" s="899">
        <f t="shared" si="2"/>
        <v>0</v>
      </c>
      <c r="M66" s="899">
        <f t="shared" si="3"/>
        <v>0</v>
      </c>
      <c r="N66" s="528"/>
      <c r="O66" s="528"/>
      <c r="P66" s="643"/>
      <c r="Q66" s="69"/>
      <c r="R66" s="1017"/>
      <c r="S66" s="1075"/>
    </row>
    <row r="67" spans="2:19">
      <c r="B67" s="896"/>
      <c r="C67" s="528"/>
      <c r="D67" s="528"/>
      <c r="E67" s="528"/>
      <c r="F67" s="900"/>
      <c r="G67" s="900"/>
      <c r="H67" s="528"/>
      <c r="I67" s="528"/>
      <c r="J67" s="528"/>
      <c r="K67" s="528"/>
      <c r="L67" s="899">
        <f t="shared" si="2"/>
        <v>0</v>
      </c>
      <c r="M67" s="899">
        <f t="shared" si="3"/>
        <v>0</v>
      </c>
      <c r="N67" s="528"/>
      <c r="O67" s="528"/>
      <c r="P67" s="643"/>
      <c r="Q67" s="69"/>
      <c r="R67" s="1017"/>
      <c r="S67" s="1075"/>
    </row>
    <row r="68" spans="2:19">
      <c r="B68" s="896"/>
      <c r="C68" s="528"/>
      <c r="D68" s="528"/>
      <c r="E68" s="528"/>
      <c r="F68" s="900"/>
      <c r="G68" s="900"/>
      <c r="H68" s="528"/>
      <c r="I68" s="528"/>
      <c r="J68" s="528"/>
      <c r="K68" s="528"/>
      <c r="L68" s="899">
        <f t="shared" si="2"/>
        <v>0</v>
      </c>
      <c r="M68" s="899">
        <f t="shared" si="3"/>
        <v>0</v>
      </c>
      <c r="N68" s="528"/>
      <c r="O68" s="528"/>
      <c r="P68" s="643"/>
      <c r="Q68" s="69"/>
      <c r="R68" s="1017"/>
      <c r="S68" s="1075"/>
    </row>
    <row r="69" spans="2:19">
      <c r="B69" s="896"/>
      <c r="C69" s="528"/>
      <c r="D69" s="528"/>
      <c r="E69" s="528"/>
      <c r="F69" s="900"/>
      <c r="G69" s="900"/>
      <c r="H69" s="528"/>
      <c r="I69" s="528"/>
      <c r="J69" s="528"/>
      <c r="K69" s="528"/>
      <c r="L69" s="899">
        <f t="shared" si="2"/>
        <v>0</v>
      </c>
      <c r="M69" s="899">
        <f t="shared" si="3"/>
        <v>0</v>
      </c>
      <c r="N69" s="528"/>
      <c r="O69" s="528"/>
      <c r="P69" s="643"/>
      <c r="Q69" s="69"/>
      <c r="R69" s="1017"/>
      <c r="S69" s="1075"/>
    </row>
    <row r="70" spans="2:19">
      <c r="B70" s="896"/>
      <c r="C70" s="528"/>
      <c r="D70" s="528"/>
      <c r="E70" s="528"/>
      <c r="F70" s="900"/>
      <c r="G70" s="900"/>
      <c r="H70" s="528"/>
      <c r="I70" s="528"/>
      <c r="J70" s="528"/>
      <c r="K70" s="528"/>
      <c r="L70" s="899">
        <f t="shared" si="2"/>
        <v>0</v>
      </c>
      <c r="M70" s="899">
        <f t="shared" si="3"/>
        <v>0</v>
      </c>
      <c r="N70" s="528"/>
      <c r="O70" s="528"/>
      <c r="P70" s="643"/>
      <c r="Q70" s="69"/>
      <c r="R70" s="1017"/>
      <c r="S70" s="1075"/>
    </row>
    <row r="71" spans="2:19">
      <c r="B71" s="896"/>
      <c r="C71" s="528"/>
      <c r="D71" s="528"/>
      <c r="E71" s="528"/>
      <c r="F71" s="900"/>
      <c r="G71" s="900"/>
      <c r="H71" s="528"/>
      <c r="I71" s="528"/>
      <c r="J71" s="528"/>
      <c r="K71" s="528"/>
      <c r="L71" s="899">
        <f t="shared" si="2"/>
        <v>0</v>
      </c>
      <c r="M71" s="899">
        <f t="shared" si="3"/>
        <v>0</v>
      </c>
      <c r="N71" s="528"/>
      <c r="O71" s="528"/>
      <c r="P71" s="643"/>
      <c r="Q71" s="69"/>
      <c r="R71" s="1017"/>
      <c r="S71" s="1075"/>
    </row>
    <row r="72" spans="2:19">
      <c r="B72" s="896"/>
      <c r="C72" s="528"/>
      <c r="D72" s="528"/>
      <c r="E72" s="528"/>
      <c r="F72" s="900"/>
      <c r="G72" s="900"/>
      <c r="H72" s="528"/>
      <c r="I72" s="528"/>
      <c r="J72" s="528"/>
      <c r="K72" s="528"/>
      <c r="L72" s="899">
        <f t="shared" si="2"/>
        <v>0</v>
      </c>
      <c r="M72" s="899">
        <f t="shared" si="3"/>
        <v>0</v>
      </c>
      <c r="N72" s="528"/>
      <c r="O72" s="528"/>
      <c r="P72" s="643"/>
      <c r="Q72" s="69"/>
      <c r="R72" s="1017"/>
      <c r="S72" s="1075"/>
    </row>
    <row r="73" spans="2:19">
      <c r="B73" s="896"/>
      <c r="C73" s="528"/>
      <c r="D73" s="528"/>
      <c r="E73" s="528"/>
      <c r="F73" s="900"/>
      <c r="G73" s="900"/>
      <c r="H73" s="528"/>
      <c r="I73" s="528"/>
      <c r="J73" s="528"/>
      <c r="K73" s="528"/>
      <c r="L73" s="899">
        <f t="shared" si="2"/>
        <v>0</v>
      </c>
      <c r="M73" s="899">
        <f t="shared" si="3"/>
        <v>0</v>
      </c>
      <c r="N73" s="528"/>
      <c r="O73" s="528"/>
      <c r="P73" s="643"/>
      <c r="Q73" s="69"/>
      <c r="R73" s="1017"/>
      <c r="S73" s="1075"/>
    </row>
    <row r="74" spans="2:19">
      <c r="B74" s="896"/>
      <c r="C74" s="528"/>
      <c r="D74" s="528"/>
      <c r="E74" s="528"/>
      <c r="F74" s="900"/>
      <c r="G74" s="900"/>
      <c r="H74" s="528"/>
      <c r="I74" s="528"/>
      <c r="J74" s="528"/>
      <c r="K74" s="528"/>
      <c r="L74" s="899">
        <f t="shared" si="2"/>
        <v>0</v>
      </c>
      <c r="M74" s="899">
        <f t="shared" si="3"/>
        <v>0</v>
      </c>
      <c r="N74" s="528"/>
      <c r="O74" s="528"/>
      <c r="P74" s="643"/>
      <c r="Q74" s="69"/>
      <c r="R74" s="1017"/>
      <c r="S74" s="1075"/>
    </row>
    <row r="75" spans="2:19">
      <c r="B75" s="896"/>
      <c r="C75" s="528"/>
      <c r="D75" s="528"/>
      <c r="E75" s="528"/>
      <c r="F75" s="900"/>
      <c r="G75" s="900"/>
      <c r="H75" s="528"/>
      <c r="I75" s="528"/>
      <c r="J75" s="528"/>
      <c r="K75" s="528"/>
      <c r="L75" s="899">
        <f t="shared" si="2"/>
        <v>0</v>
      </c>
      <c r="M75" s="899">
        <f t="shared" si="3"/>
        <v>0</v>
      </c>
      <c r="N75" s="528"/>
      <c r="O75" s="528"/>
      <c r="P75" s="643"/>
      <c r="Q75" s="69"/>
      <c r="R75" s="1017"/>
      <c r="S75" s="1075"/>
    </row>
    <row r="76" spans="2:19">
      <c r="B76" s="896"/>
      <c r="C76" s="528"/>
      <c r="D76" s="528"/>
      <c r="E76" s="528"/>
      <c r="F76" s="900"/>
      <c r="G76" s="900"/>
      <c r="H76" s="528"/>
      <c r="I76" s="528"/>
      <c r="J76" s="528"/>
      <c r="K76" s="528"/>
      <c r="L76" s="899">
        <f t="shared" si="2"/>
        <v>0</v>
      </c>
      <c r="M76" s="899">
        <f t="shared" si="3"/>
        <v>0</v>
      </c>
      <c r="N76" s="528"/>
      <c r="O76" s="528"/>
      <c r="P76" s="643"/>
      <c r="Q76" s="69"/>
      <c r="R76" s="1017"/>
      <c r="S76" s="1075"/>
    </row>
    <row r="77" spans="2:19">
      <c r="B77" s="896"/>
      <c r="C77" s="528"/>
      <c r="D77" s="528"/>
      <c r="E77" s="528"/>
      <c r="F77" s="900"/>
      <c r="G77" s="900"/>
      <c r="H77" s="528"/>
      <c r="I77" s="528"/>
      <c r="J77" s="528"/>
      <c r="K77" s="528"/>
      <c r="L77" s="899">
        <f t="shared" si="2"/>
        <v>0</v>
      </c>
      <c r="M77" s="899">
        <f t="shared" si="3"/>
        <v>0</v>
      </c>
      <c r="N77" s="528"/>
      <c r="O77" s="528"/>
      <c r="P77" s="643"/>
      <c r="Q77" s="69"/>
      <c r="R77" s="1017"/>
      <c r="S77" s="1075"/>
    </row>
    <row r="78" spans="2:19">
      <c r="B78" s="896"/>
      <c r="C78" s="528"/>
      <c r="D78" s="528"/>
      <c r="E78" s="528"/>
      <c r="F78" s="900"/>
      <c r="G78" s="900"/>
      <c r="H78" s="528"/>
      <c r="I78" s="528"/>
      <c r="J78" s="528"/>
      <c r="K78" s="528"/>
      <c r="L78" s="899">
        <f t="shared" si="2"/>
        <v>0</v>
      </c>
      <c r="M78" s="899">
        <f t="shared" si="3"/>
        <v>0</v>
      </c>
      <c r="N78" s="528"/>
      <c r="O78" s="528"/>
      <c r="P78" s="643"/>
      <c r="Q78" s="69"/>
      <c r="R78" s="1017"/>
      <c r="S78" s="1075"/>
    </row>
    <row r="79" spans="2:19">
      <c r="B79" s="896"/>
      <c r="C79" s="528"/>
      <c r="D79" s="528"/>
      <c r="E79" s="528"/>
      <c r="F79" s="900"/>
      <c r="G79" s="900"/>
      <c r="H79" s="528"/>
      <c r="I79" s="528"/>
      <c r="J79" s="528"/>
      <c r="K79" s="528"/>
      <c r="L79" s="899">
        <f t="shared" si="2"/>
        <v>0</v>
      </c>
      <c r="M79" s="899">
        <f t="shared" si="3"/>
        <v>0</v>
      </c>
      <c r="N79" s="528"/>
      <c r="O79" s="528"/>
      <c r="P79" s="643"/>
      <c r="Q79" s="69"/>
      <c r="R79" s="1017"/>
      <c r="S79" s="1075"/>
    </row>
    <row r="80" spans="2:19">
      <c r="B80" s="896"/>
      <c r="C80" s="528"/>
      <c r="D80" s="528"/>
      <c r="E80" s="528"/>
      <c r="F80" s="900"/>
      <c r="G80" s="900"/>
      <c r="H80" s="528"/>
      <c r="I80" s="528"/>
      <c r="J80" s="528"/>
      <c r="K80" s="528"/>
      <c r="L80" s="899">
        <f t="shared" si="2"/>
        <v>0</v>
      </c>
      <c r="M80" s="899">
        <f t="shared" si="3"/>
        <v>0</v>
      </c>
      <c r="N80" s="528"/>
      <c r="O80" s="528"/>
      <c r="P80" s="643"/>
      <c r="Q80" s="69"/>
      <c r="R80" s="1017"/>
      <c r="S80" s="1075"/>
    </row>
    <row r="81" spans="2:19">
      <c r="B81" s="896"/>
      <c r="C81" s="528"/>
      <c r="D81" s="528"/>
      <c r="E81" s="528"/>
      <c r="F81" s="900"/>
      <c r="G81" s="900"/>
      <c r="H81" s="528"/>
      <c r="I81" s="528"/>
      <c r="J81" s="528"/>
      <c r="K81" s="528"/>
      <c r="L81" s="899">
        <f t="shared" si="2"/>
        <v>0</v>
      </c>
      <c r="M81" s="899">
        <f t="shared" si="3"/>
        <v>0</v>
      </c>
      <c r="N81" s="528"/>
      <c r="O81" s="528"/>
      <c r="P81" s="643"/>
      <c r="Q81" s="69"/>
      <c r="R81" s="1017"/>
      <c r="S81" s="1075"/>
    </row>
    <row r="82" spans="2:19">
      <c r="B82" s="896"/>
      <c r="C82" s="528"/>
      <c r="D82" s="528"/>
      <c r="E82" s="528"/>
      <c r="F82" s="900"/>
      <c r="G82" s="900"/>
      <c r="H82" s="528"/>
      <c r="I82" s="528"/>
      <c r="J82" s="528"/>
      <c r="K82" s="528"/>
      <c r="L82" s="899">
        <f t="shared" si="2"/>
        <v>0</v>
      </c>
      <c r="M82" s="899">
        <f t="shared" si="3"/>
        <v>0</v>
      </c>
      <c r="N82" s="528"/>
      <c r="O82" s="528"/>
      <c r="P82" s="643"/>
      <c r="Q82" s="69"/>
      <c r="R82" s="1017"/>
      <c r="S82" s="1075"/>
    </row>
    <row r="83" spans="2:19">
      <c r="B83" s="896"/>
      <c r="C83" s="528"/>
      <c r="D83" s="528"/>
      <c r="E83" s="528"/>
      <c r="F83" s="900"/>
      <c r="G83" s="900"/>
      <c r="H83" s="528"/>
      <c r="I83" s="528"/>
      <c r="J83" s="528"/>
      <c r="K83" s="528"/>
      <c r="L83" s="899">
        <f t="shared" si="2"/>
        <v>0</v>
      </c>
      <c r="M83" s="899">
        <f t="shared" si="3"/>
        <v>0</v>
      </c>
      <c r="N83" s="528"/>
      <c r="O83" s="528"/>
      <c r="P83" s="643"/>
      <c r="Q83" s="69"/>
      <c r="R83" s="1017"/>
      <c r="S83" s="1075"/>
    </row>
    <row r="84" spans="2:19">
      <c r="B84" s="896"/>
      <c r="C84" s="528"/>
      <c r="D84" s="528"/>
      <c r="E84" s="528"/>
      <c r="F84" s="900"/>
      <c r="G84" s="900"/>
      <c r="H84" s="528"/>
      <c r="I84" s="528"/>
      <c r="J84" s="528"/>
      <c r="K84" s="528"/>
      <c r="L84" s="899">
        <f t="shared" si="2"/>
        <v>0</v>
      </c>
      <c r="M84" s="899">
        <f t="shared" si="3"/>
        <v>0</v>
      </c>
      <c r="N84" s="528"/>
      <c r="O84" s="528"/>
      <c r="P84" s="643"/>
      <c r="Q84" s="69"/>
      <c r="R84" s="1017"/>
      <c r="S84" s="1075"/>
    </row>
    <row r="85" spans="2:19">
      <c r="B85" s="896"/>
      <c r="C85" s="528"/>
      <c r="D85" s="528"/>
      <c r="E85" s="528"/>
      <c r="F85" s="900"/>
      <c r="G85" s="900"/>
      <c r="H85" s="528"/>
      <c r="I85" s="528"/>
      <c r="J85" s="528"/>
      <c r="K85" s="528"/>
      <c r="L85" s="899">
        <f t="shared" si="2"/>
        <v>0</v>
      </c>
      <c r="M85" s="899">
        <f t="shared" si="3"/>
        <v>0</v>
      </c>
      <c r="N85" s="528"/>
      <c r="O85" s="528"/>
      <c r="P85" s="643"/>
      <c r="Q85" s="69"/>
      <c r="R85" s="1017"/>
      <c r="S85" s="1075"/>
    </row>
    <row r="86" spans="2:19">
      <c r="B86" s="896"/>
      <c r="C86" s="528"/>
      <c r="D86" s="528"/>
      <c r="E86" s="528"/>
      <c r="F86" s="900"/>
      <c r="G86" s="900"/>
      <c r="H86" s="528"/>
      <c r="I86" s="528"/>
      <c r="J86" s="528"/>
      <c r="K86" s="528"/>
      <c r="L86" s="899">
        <f t="shared" si="2"/>
        <v>0</v>
      </c>
      <c r="M86" s="899">
        <f t="shared" si="3"/>
        <v>0</v>
      </c>
      <c r="N86" s="528"/>
      <c r="O86" s="528"/>
      <c r="P86" s="643"/>
      <c r="Q86" s="69"/>
      <c r="R86" s="1017"/>
      <c r="S86" s="1075"/>
    </row>
    <row r="87" spans="2:19">
      <c r="B87" s="896"/>
      <c r="C87" s="528"/>
      <c r="D87" s="528"/>
      <c r="E87" s="528"/>
      <c r="F87" s="900"/>
      <c r="G87" s="900"/>
      <c r="H87" s="528"/>
      <c r="I87" s="528"/>
      <c r="J87" s="528"/>
      <c r="K87" s="528"/>
      <c r="L87" s="899">
        <f t="shared" si="2"/>
        <v>0</v>
      </c>
      <c r="M87" s="899">
        <f t="shared" si="3"/>
        <v>0</v>
      </c>
      <c r="N87" s="528"/>
      <c r="O87" s="528"/>
      <c r="P87" s="643"/>
      <c r="Q87" s="69"/>
      <c r="R87" s="1017"/>
      <c r="S87" s="1075"/>
    </row>
    <row r="88" spans="2:19">
      <c r="B88" s="896"/>
      <c r="C88" s="528"/>
      <c r="D88" s="528"/>
      <c r="E88" s="528"/>
      <c r="F88" s="900"/>
      <c r="G88" s="900"/>
      <c r="H88" s="528"/>
      <c r="I88" s="528"/>
      <c r="J88" s="528"/>
      <c r="K88" s="528"/>
      <c r="L88" s="899">
        <f t="shared" si="2"/>
        <v>0</v>
      </c>
      <c r="M88" s="899">
        <f t="shared" si="3"/>
        <v>0</v>
      </c>
      <c r="N88" s="528"/>
      <c r="O88" s="528"/>
      <c r="P88" s="643"/>
      <c r="Q88" s="69"/>
      <c r="R88" s="1017"/>
      <c r="S88" s="1075"/>
    </row>
    <row r="89" spans="2:19">
      <c r="B89" s="896"/>
      <c r="C89" s="528"/>
      <c r="D89" s="528"/>
      <c r="E89" s="528"/>
      <c r="F89" s="900"/>
      <c r="G89" s="900"/>
      <c r="H89" s="528"/>
      <c r="I89" s="528"/>
      <c r="J89" s="528"/>
      <c r="K89" s="528"/>
      <c r="L89" s="899">
        <f t="shared" si="2"/>
        <v>0</v>
      </c>
      <c r="M89" s="899">
        <f t="shared" si="3"/>
        <v>0</v>
      </c>
      <c r="N89" s="528"/>
      <c r="O89" s="528"/>
      <c r="P89" s="643"/>
      <c r="Q89" s="69"/>
      <c r="R89" s="1017"/>
      <c r="S89" s="1075"/>
    </row>
    <row r="90" spans="2:19">
      <c r="B90" s="896"/>
      <c r="C90" s="528"/>
      <c r="D90" s="528"/>
      <c r="E90" s="528"/>
      <c r="F90" s="900"/>
      <c r="G90" s="900"/>
      <c r="H90" s="528"/>
      <c r="I90" s="528"/>
      <c r="J90" s="528"/>
      <c r="K90" s="528"/>
      <c r="L90" s="899">
        <f t="shared" si="2"/>
        <v>0</v>
      </c>
      <c r="M90" s="899">
        <f t="shared" ref="M90:M102" si="4">L90-F90</f>
        <v>0</v>
      </c>
      <c r="N90" s="528"/>
      <c r="O90" s="528"/>
      <c r="P90" s="643"/>
      <c r="Q90" s="69"/>
      <c r="R90" s="1017"/>
      <c r="S90" s="1075"/>
    </row>
    <row r="91" spans="2:19">
      <c r="B91" s="896"/>
      <c r="C91" s="528"/>
      <c r="D91" s="528"/>
      <c r="E91" s="528"/>
      <c r="F91" s="900"/>
      <c r="G91" s="900"/>
      <c r="H91" s="528"/>
      <c r="I91" s="528"/>
      <c r="J91" s="528"/>
      <c r="K91" s="528"/>
      <c r="L91" s="899">
        <f t="shared" ref="L91:L102" si="5">J91*K91</f>
        <v>0</v>
      </c>
      <c r="M91" s="899">
        <f t="shared" si="4"/>
        <v>0</v>
      </c>
      <c r="N91" s="528"/>
      <c r="O91" s="528"/>
      <c r="P91" s="643"/>
      <c r="Q91" s="69"/>
      <c r="R91" s="1017"/>
      <c r="S91" s="1075"/>
    </row>
    <row r="92" spans="2:19">
      <c r="B92" s="896"/>
      <c r="C92" s="528"/>
      <c r="D92" s="528"/>
      <c r="E92" s="528"/>
      <c r="F92" s="900"/>
      <c r="G92" s="900"/>
      <c r="H92" s="528"/>
      <c r="I92" s="528"/>
      <c r="J92" s="528"/>
      <c r="K92" s="528"/>
      <c r="L92" s="899">
        <f t="shared" si="5"/>
        <v>0</v>
      </c>
      <c r="M92" s="899">
        <f t="shared" si="4"/>
        <v>0</v>
      </c>
      <c r="N92" s="528"/>
      <c r="O92" s="528"/>
      <c r="P92" s="643"/>
      <c r="Q92" s="69"/>
      <c r="R92" s="1017"/>
      <c r="S92" s="1075"/>
    </row>
    <row r="93" spans="2:19">
      <c r="B93" s="896"/>
      <c r="C93" s="528"/>
      <c r="D93" s="528"/>
      <c r="E93" s="528"/>
      <c r="F93" s="900"/>
      <c r="G93" s="900"/>
      <c r="H93" s="528"/>
      <c r="I93" s="528"/>
      <c r="J93" s="528"/>
      <c r="K93" s="528"/>
      <c r="L93" s="899">
        <f t="shared" si="5"/>
        <v>0</v>
      </c>
      <c r="M93" s="899">
        <f t="shared" si="4"/>
        <v>0</v>
      </c>
      <c r="N93" s="528"/>
      <c r="O93" s="528"/>
      <c r="P93" s="643"/>
      <c r="Q93" s="69"/>
      <c r="R93" s="1017"/>
      <c r="S93" s="1075"/>
    </row>
    <row r="94" spans="2:19">
      <c r="B94" s="896"/>
      <c r="C94" s="528"/>
      <c r="D94" s="528"/>
      <c r="E94" s="528"/>
      <c r="F94" s="900"/>
      <c r="G94" s="900"/>
      <c r="H94" s="528"/>
      <c r="I94" s="528"/>
      <c r="J94" s="528"/>
      <c r="K94" s="528"/>
      <c r="L94" s="899">
        <f t="shared" si="5"/>
        <v>0</v>
      </c>
      <c r="M94" s="899">
        <f t="shared" si="4"/>
        <v>0</v>
      </c>
      <c r="N94" s="528"/>
      <c r="O94" s="528"/>
      <c r="P94" s="643"/>
      <c r="Q94" s="69"/>
      <c r="R94" s="1017"/>
      <c r="S94" s="1075"/>
    </row>
    <row r="95" spans="2:19">
      <c r="B95" s="896"/>
      <c r="C95" s="528"/>
      <c r="D95" s="528"/>
      <c r="E95" s="528"/>
      <c r="F95" s="900"/>
      <c r="G95" s="900"/>
      <c r="H95" s="528"/>
      <c r="I95" s="528"/>
      <c r="J95" s="528"/>
      <c r="K95" s="528"/>
      <c r="L95" s="899">
        <f t="shared" si="5"/>
        <v>0</v>
      </c>
      <c r="M95" s="899">
        <f t="shared" si="4"/>
        <v>0</v>
      </c>
      <c r="N95" s="528"/>
      <c r="O95" s="528"/>
      <c r="P95" s="643"/>
      <c r="Q95" s="69"/>
      <c r="R95" s="1017"/>
      <c r="S95" s="1075"/>
    </row>
    <row r="96" spans="2:19">
      <c r="B96" s="896"/>
      <c r="C96" s="528"/>
      <c r="D96" s="528"/>
      <c r="E96" s="528"/>
      <c r="F96" s="900"/>
      <c r="G96" s="900"/>
      <c r="H96" s="528"/>
      <c r="I96" s="528"/>
      <c r="J96" s="528"/>
      <c r="K96" s="528"/>
      <c r="L96" s="899">
        <f t="shared" si="5"/>
        <v>0</v>
      </c>
      <c r="M96" s="899">
        <f t="shared" si="4"/>
        <v>0</v>
      </c>
      <c r="N96" s="528"/>
      <c r="O96" s="528"/>
      <c r="P96" s="643"/>
      <c r="Q96" s="69"/>
      <c r="R96" s="1017"/>
      <c r="S96" s="1075"/>
    </row>
    <row r="97" spans="2:19">
      <c r="B97" s="896"/>
      <c r="C97" s="528"/>
      <c r="D97" s="528"/>
      <c r="E97" s="528"/>
      <c r="F97" s="900"/>
      <c r="G97" s="900"/>
      <c r="H97" s="528"/>
      <c r="I97" s="528"/>
      <c r="J97" s="528"/>
      <c r="K97" s="528"/>
      <c r="L97" s="899">
        <f t="shared" si="5"/>
        <v>0</v>
      </c>
      <c r="M97" s="899">
        <f t="shared" si="4"/>
        <v>0</v>
      </c>
      <c r="N97" s="528"/>
      <c r="O97" s="528"/>
      <c r="P97" s="643"/>
      <c r="Q97" s="69"/>
      <c r="R97" s="1017"/>
      <c r="S97" s="1075"/>
    </row>
    <row r="98" spans="2:19">
      <c r="B98" s="896"/>
      <c r="C98" s="528"/>
      <c r="D98" s="528"/>
      <c r="E98" s="528"/>
      <c r="F98" s="900"/>
      <c r="G98" s="900"/>
      <c r="H98" s="528"/>
      <c r="I98" s="528"/>
      <c r="J98" s="528"/>
      <c r="K98" s="528"/>
      <c r="L98" s="899">
        <f t="shared" si="5"/>
        <v>0</v>
      </c>
      <c r="M98" s="899">
        <f t="shared" si="4"/>
        <v>0</v>
      </c>
      <c r="N98" s="528"/>
      <c r="O98" s="528"/>
      <c r="P98" s="643"/>
      <c r="Q98" s="69"/>
      <c r="R98" s="1017"/>
      <c r="S98" s="1075"/>
    </row>
    <row r="99" spans="2:19">
      <c r="B99" s="896"/>
      <c r="C99" s="528"/>
      <c r="D99" s="528"/>
      <c r="E99" s="528"/>
      <c r="F99" s="900"/>
      <c r="G99" s="900"/>
      <c r="H99" s="528"/>
      <c r="I99" s="528"/>
      <c r="J99" s="528"/>
      <c r="K99" s="528"/>
      <c r="L99" s="899">
        <f t="shared" si="5"/>
        <v>0</v>
      </c>
      <c r="M99" s="899">
        <f t="shared" si="4"/>
        <v>0</v>
      </c>
      <c r="N99" s="528"/>
      <c r="O99" s="528"/>
      <c r="P99" s="643"/>
      <c r="Q99" s="69"/>
      <c r="R99" s="1017"/>
      <c r="S99" s="1075"/>
    </row>
    <row r="100" spans="2:19">
      <c r="B100" s="896"/>
      <c r="C100" s="528"/>
      <c r="D100" s="528"/>
      <c r="E100" s="528"/>
      <c r="F100" s="900"/>
      <c r="G100" s="900"/>
      <c r="H100" s="528"/>
      <c r="I100" s="528"/>
      <c r="J100" s="528"/>
      <c r="K100" s="528"/>
      <c r="L100" s="899">
        <f t="shared" si="5"/>
        <v>0</v>
      </c>
      <c r="M100" s="899">
        <f t="shared" si="4"/>
        <v>0</v>
      </c>
      <c r="N100" s="528"/>
      <c r="O100" s="528"/>
      <c r="P100" s="643"/>
      <c r="Q100" s="69"/>
      <c r="R100" s="1017"/>
      <c r="S100" s="1075"/>
    </row>
    <row r="101" spans="2:19">
      <c r="B101" s="896"/>
      <c r="C101" s="528"/>
      <c r="D101" s="528"/>
      <c r="E101" s="528"/>
      <c r="F101" s="900"/>
      <c r="G101" s="900"/>
      <c r="H101" s="528"/>
      <c r="I101" s="528"/>
      <c r="J101" s="528"/>
      <c r="K101" s="528"/>
      <c r="L101" s="899">
        <f t="shared" si="5"/>
        <v>0</v>
      </c>
      <c r="M101" s="899">
        <f t="shared" si="4"/>
        <v>0</v>
      </c>
      <c r="N101" s="528"/>
      <c r="O101" s="528"/>
      <c r="P101" s="643"/>
      <c r="Q101" s="69"/>
      <c r="R101" s="1017"/>
      <c r="S101" s="1075"/>
    </row>
    <row r="102" spans="2:19">
      <c r="B102" s="897"/>
      <c r="C102" s="667"/>
      <c r="D102" s="667"/>
      <c r="E102" s="667"/>
      <c r="F102" s="901"/>
      <c r="G102" s="901"/>
      <c r="H102" s="667"/>
      <c r="I102" s="667"/>
      <c r="J102" s="667"/>
      <c r="K102" s="667"/>
      <c r="L102" s="899">
        <f t="shared" si="5"/>
        <v>0</v>
      </c>
      <c r="M102" s="902">
        <f t="shared" si="4"/>
        <v>0</v>
      </c>
      <c r="N102" s="667"/>
      <c r="O102" s="667"/>
      <c r="P102" s="898"/>
      <c r="Q102" s="747"/>
      <c r="R102" s="1017"/>
      <c r="S102" s="1075"/>
    </row>
    <row r="103" spans="2:19">
      <c r="B103" s="303"/>
      <c r="C103" s="303"/>
      <c r="D103" s="303"/>
      <c r="E103" s="303"/>
      <c r="F103" s="325"/>
      <c r="G103" s="325"/>
      <c r="H103" s="325"/>
      <c r="I103" s="325"/>
      <c r="J103" s="325"/>
      <c r="K103" s="325"/>
      <c r="L103" s="325"/>
      <c r="M103" s="903"/>
      <c r="N103" s="325"/>
      <c r="O103" s="325"/>
      <c r="P103" s="325"/>
    </row>
    <row r="104" spans="2:19">
      <c r="B104" s="303"/>
      <c r="C104" s="303"/>
      <c r="D104" s="303"/>
      <c r="E104" s="303"/>
      <c r="F104" s="325"/>
      <c r="G104" s="325"/>
      <c r="H104" s="325"/>
      <c r="I104" s="325"/>
      <c r="J104" s="325"/>
      <c r="K104" s="325"/>
      <c r="L104" s="325"/>
      <c r="M104" s="903"/>
      <c r="N104" s="325"/>
      <c r="O104" s="325"/>
      <c r="P104" s="325"/>
    </row>
    <row r="105" spans="2:19">
      <c r="C105" s="101"/>
      <c r="D105" s="101"/>
      <c r="E105" s="101"/>
    </row>
    <row r="106" spans="2:19">
      <c r="C106" s="101"/>
      <c r="D106" s="101"/>
      <c r="E106" s="101"/>
      <c r="F106" s="962"/>
      <c r="G106" s="962"/>
    </row>
    <row r="107" spans="2:19">
      <c r="C107" s="101"/>
      <c r="D107" s="101"/>
      <c r="E107" s="101"/>
    </row>
  </sheetData>
  <pageMargins left="0.25" right="0.25" top="0.75" bottom="0.75" header="0.3" footer="0.3"/>
  <pageSetup paperSize="9" orientation="landscape" r:id="rId1"/>
  <ignoredErrors>
    <ignoredError sqref="L26" calculatedColumn="1"/>
  </ignoredErrors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AE87"/>
  <sheetViews>
    <sheetView workbookViewId="0">
      <selection activeCell="C18" sqref="C18"/>
    </sheetView>
  </sheetViews>
  <sheetFormatPr baseColWidth="10" defaultRowHeight="15"/>
  <cols>
    <col min="2" max="2" width="27.7109375" style="404" hidden="1" customWidth="1"/>
    <col min="3" max="3" width="27.7109375" customWidth="1"/>
    <col min="4" max="4" width="24" customWidth="1"/>
    <col min="5" max="5" width="17.42578125" style="483" hidden="1" customWidth="1"/>
    <col min="6" max="6" width="13.7109375" style="483" hidden="1" customWidth="1"/>
    <col min="7" max="7" width="14" style="483" hidden="1" customWidth="1"/>
    <col min="8" max="8" width="12.5703125" style="483" hidden="1" customWidth="1"/>
    <col min="9" max="9" width="8" style="483" hidden="1" customWidth="1"/>
    <col min="10" max="10" width="11.42578125" style="483" hidden="1" customWidth="1"/>
    <col min="11" max="11" width="10.85546875" hidden="1" customWidth="1"/>
    <col min="12" max="12" width="10.85546875" style="404" hidden="1" customWidth="1"/>
    <col min="13" max="13" width="12.5703125" style="404" hidden="1" customWidth="1"/>
    <col min="14" max="14" width="13.28515625" hidden="1" customWidth="1"/>
    <col min="15" max="15" width="7.5703125" style="404" hidden="1" customWidth="1"/>
    <col min="16" max="16" width="8" style="404" hidden="1" customWidth="1"/>
    <col min="17" max="17" width="13.28515625" hidden="1" customWidth="1"/>
    <col min="18" max="18" width="11.28515625" customWidth="1"/>
    <col min="19" max="19" width="30.42578125" hidden="1" customWidth="1"/>
    <col min="20" max="20" width="8.140625" style="404" hidden="1" customWidth="1"/>
    <col min="21" max="21" width="13.140625" hidden="1" customWidth="1"/>
    <col min="22" max="22" width="11.42578125" hidden="1" customWidth="1"/>
    <col min="23" max="23" width="0" hidden="1" customWidth="1"/>
    <col min="24" max="24" width="8.85546875" customWidth="1"/>
    <col min="25" max="25" width="8.42578125" customWidth="1"/>
    <col min="26" max="26" width="8.5703125" customWidth="1"/>
    <col min="28" max="28" width="14.7109375" customWidth="1"/>
  </cols>
  <sheetData>
    <row r="1" spans="2:29" ht="15.75" thickBot="1"/>
    <row r="2" spans="2:29" ht="67.5" customHeight="1" thickBot="1">
      <c r="B2" s="404" t="s">
        <v>1150</v>
      </c>
      <c r="C2" s="26"/>
      <c r="D2" s="1680"/>
      <c r="E2" s="1669"/>
      <c r="F2" s="1669"/>
      <c r="G2" s="1669"/>
      <c r="H2" s="757" t="s">
        <v>2264</v>
      </c>
      <c r="I2" s="757" t="s">
        <v>68</v>
      </c>
      <c r="J2" s="757" t="s">
        <v>560</v>
      </c>
      <c r="K2" s="1670" t="s">
        <v>2267</v>
      </c>
      <c r="L2" s="1670" t="s">
        <v>68</v>
      </c>
      <c r="M2" s="1670" t="s">
        <v>560</v>
      </c>
      <c r="N2" s="1671" t="s">
        <v>2265</v>
      </c>
      <c r="O2" s="1671" t="s">
        <v>68</v>
      </c>
      <c r="P2" s="1672" t="s">
        <v>560</v>
      </c>
      <c r="Q2" s="2367" t="s">
        <v>2266</v>
      </c>
      <c r="R2" s="2368"/>
      <c r="S2" s="2369"/>
      <c r="T2" s="1661"/>
      <c r="U2" s="1526"/>
      <c r="V2" s="1526"/>
    </row>
    <row r="3" spans="2:29" ht="45" customHeight="1" thickBot="1">
      <c r="C3" s="2364" t="s">
        <v>2268</v>
      </c>
      <c r="D3" s="1680"/>
      <c r="E3" s="1609" t="s">
        <v>2261</v>
      </c>
      <c r="F3" s="1608" t="s">
        <v>2262</v>
      </c>
      <c r="G3" s="1608" t="s">
        <v>1662</v>
      </c>
      <c r="H3" s="823" t="s">
        <v>2263</v>
      </c>
      <c r="I3" s="92"/>
      <c r="J3" s="92"/>
      <c r="K3" s="30" t="s">
        <v>2263</v>
      </c>
      <c r="L3" s="28"/>
      <c r="M3" s="28"/>
      <c r="N3" s="486" t="s">
        <v>2263</v>
      </c>
      <c r="O3" s="485"/>
      <c r="P3" s="1515"/>
      <c r="Q3" s="1517" t="s">
        <v>2263</v>
      </c>
      <c r="R3" s="1518" t="s">
        <v>68</v>
      </c>
      <c r="S3" s="1518" t="s">
        <v>560</v>
      </c>
      <c r="T3" s="1663" t="s">
        <v>3161</v>
      </c>
      <c r="U3" s="1239" t="s">
        <v>3162</v>
      </c>
      <c r="V3" s="655" t="s">
        <v>3163</v>
      </c>
      <c r="Y3" s="1452"/>
      <c r="Z3" s="1452"/>
    </row>
    <row r="4" spans="2:29" ht="15.75" thickBot="1">
      <c r="C4" s="2364"/>
      <c r="D4" s="1682" t="s">
        <v>2257</v>
      </c>
      <c r="E4" s="1609">
        <v>90</v>
      </c>
      <c r="F4" s="1608">
        <v>100</v>
      </c>
      <c r="G4" s="1608">
        <v>18</v>
      </c>
      <c r="H4" s="826">
        <v>53</v>
      </c>
      <c r="I4" s="92">
        <v>20</v>
      </c>
      <c r="J4" s="92">
        <f>H4*I4</f>
        <v>1060</v>
      </c>
      <c r="K4" s="28">
        <v>55</v>
      </c>
      <c r="L4" s="28">
        <v>20</v>
      </c>
      <c r="M4" s="28">
        <f>K4*L4</f>
        <v>1100</v>
      </c>
      <c r="N4" s="485">
        <v>58</v>
      </c>
      <c r="O4" s="485">
        <v>20</v>
      </c>
      <c r="P4" s="1515">
        <f>N4*O4</f>
        <v>1160</v>
      </c>
      <c r="Q4" s="2033">
        <v>47</v>
      </c>
      <c r="R4" s="1518">
        <v>10</v>
      </c>
      <c r="S4" s="1518">
        <f>Q4*R4</f>
        <v>470</v>
      </c>
      <c r="T4" s="1664">
        <v>18</v>
      </c>
      <c r="U4" s="1037">
        <f>R4*T4</f>
        <v>180</v>
      </c>
      <c r="V4" s="1520">
        <f>S4/U4</f>
        <v>2.6111111111111112</v>
      </c>
      <c r="W4" t="s">
        <v>554</v>
      </c>
      <c r="Y4" s="1452"/>
      <c r="Z4" s="1452"/>
      <c r="AC4" t="s">
        <v>5636</v>
      </c>
    </row>
    <row r="5" spans="2:29" ht="15.75" hidden="1" thickBot="1">
      <c r="C5" s="2364"/>
      <c r="D5" s="1683" t="s">
        <v>2258</v>
      </c>
      <c r="E5" s="1608">
        <v>90</v>
      </c>
      <c r="F5" s="1608">
        <v>100</v>
      </c>
      <c r="G5" s="1608">
        <v>18</v>
      </c>
      <c r="H5" s="826">
        <v>53</v>
      </c>
      <c r="I5" s="92">
        <v>5</v>
      </c>
      <c r="J5" s="92">
        <f>H5*I5</f>
        <v>265</v>
      </c>
      <c r="K5" s="28">
        <v>55</v>
      </c>
      <c r="L5" s="28">
        <v>2</v>
      </c>
      <c r="M5" s="28">
        <f>K5*L5</f>
        <v>110</v>
      </c>
      <c r="N5" s="485">
        <v>53</v>
      </c>
      <c r="O5" s="485">
        <v>2</v>
      </c>
      <c r="P5" s="1515">
        <f>N5*O5</f>
        <v>106</v>
      </c>
      <c r="Q5" s="2033">
        <v>52</v>
      </c>
      <c r="R5" s="488">
        <v>0</v>
      </c>
      <c r="S5" s="1518">
        <f>+Q5*R5</f>
        <v>0</v>
      </c>
      <c r="T5" s="1664">
        <v>18</v>
      </c>
      <c r="U5" s="1037">
        <f t="shared" ref="U5:U10" si="0">R5*T5</f>
        <v>0</v>
      </c>
      <c r="V5" s="1520" t="e">
        <f>+S5/U5</f>
        <v>#DIV/0!</v>
      </c>
      <c r="W5" s="692" t="s">
        <v>554</v>
      </c>
      <c r="Y5" s="1452"/>
      <c r="Z5" s="1452"/>
    </row>
    <row r="6" spans="2:29" ht="15.75" thickBot="1">
      <c r="C6" s="2364"/>
      <c r="D6" s="1682" t="s">
        <v>2259</v>
      </c>
      <c r="E6" s="1609">
        <v>100</v>
      </c>
      <c r="F6" s="1608">
        <v>100</v>
      </c>
      <c r="G6" s="1608">
        <v>19</v>
      </c>
      <c r="H6" s="826">
        <v>0</v>
      </c>
      <c r="I6" s="92">
        <v>0</v>
      </c>
      <c r="J6" s="92">
        <f>H6*I6</f>
        <v>0</v>
      </c>
      <c r="K6" s="28">
        <v>55</v>
      </c>
      <c r="L6" s="28"/>
      <c r="M6" s="28">
        <f>K6*L6</f>
        <v>0</v>
      </c>
      <c r="N6" s="485">
        <v>0</v>
      </c>
      <c r="O6" s="485"/>
      <c r="P6" s="1515">
        <f>N6*O6</f>
        <v>0</v>
      </c>
      <c r="Q6" s="2033">
        <v>55</v>
      </c>
      <c r="R6" s="1518">
        <v>2</v>
      </c>
      <c r="S6" s="1518">
        <f>Q6*R6</f>
        <v>110</v>
      </c>
      <c r="T6" s="1664">
        <v>18</v>
      </c>
      <c r="U6" s="1037">
        <f t="shared" si="0"/>
        <v>36</v>
      </c>
      <c r="V6" s="1520">
        <f>S6/U6</f>
        <v>3.0555555555555554</v>
      </c>
      <c r="W6" s="692" t="s">
        <v>554</v>
      </c>
      <c r="Y6" s="1452"/>
      <c r="Z6" s="1452"/>
    </row>
    <row r="7" spans="2:29" ht="15.75" thickBot="1">
      <c r="C7" s="2364"/>
      <c r="D7" s="1682" t="s">
        <v>2260</v>
      </c>
      <c r="E7" s="1609">
        <v>90</v>
      </c>
      <c r="F7" s="1608">
        <v>100</v>
      </c>
      <c r="G7" s="1608">
        <v>18</v>
      </c>
      <c r="H7" s="826">
        <v>50</v>
      </c>
      <c r="I7" s="92">
        <v>5</v>
      </c>
      <c r="J7" s="92">
        <f>H7*I7</f>
        <v>250</v>
      </c>
      <c r="K7" s="28">
        <v>55</v>
      </c>
      <c r="L7" s="28">
        <v>2</v>
      </c>
      <c r="M7" s="28">
        <f>K7*L7</f>
        <v>110</v>
      </c>
      <c r="N7" s="485">
        <v>49</v>
      </c>
      <c r="O7" s="485">
        <v>2</v>
      </c>
      <c r="P7" s="1515">
        <f>N7*O7</f>
        <v>98</v>
      </c>
      <c r="Q7" s="2034">
        <v>47</v>
      </c>
      <c r="R7" s="1518">
        <v>3</v>
      </c>
      <c r="S7" s="1665">
        <f>Q7*R7</f>
        <v>141</v>
      </c>
      <c r="T7" s="1665">
        <v>18</v>
      </c>
      <c r="U7" s="1037">
        <f t="shared" si="0"/>
        <v>54</v>
      </c>
      <c r="V7" s="1520">
        <f>S7/U7</f>
        <v>2.6111111111111112</v>
      </c>
      <c r="W7" s="692" t="s">
        <v>554</v>
      </c>
      <c r="Y7" s="1452"/>
      <c r="Z7" s="1452"/>
    </row>
    <row r="8" spans="2:29" s="404" customFormat="1" hidden="1">
      <c r="C8" s="1662" t="s">
        <v>3464</v>
      </c>
      <c r="D8" s="1681" t="s">
        <v>3156</v>
      </c>
      <c r="E8" s="1608"/>
      <c r="F8" s="1608"/>
      <c r="G8" s="1608"/>
      <c r="H8" s="677"/>
      <c r="I8" s="677"/>
      <c r="J8" s="677"/>
      <c r="K8" s="678"/>
      <c r="L8" s="678"/>
      <c r="M8" s="679"/>
      <c r="N8" s="680"/>
      <c r="O8" s="680"/>
      <c r="P8" s="681"/>
      <c r="Q8" s="1516">
        <v>40</v>
      </c>
      <c r="R8" s="1516">
        <v>0</v>
      </c>
      <c r="S8" s="1673">
        <f>Q8*R8</f>
        <v>0</v>
      </c>
      <c r="T8" s="1666">
        <v>2.5</v>
      </c>
      <c r="U8" s="524">
        <f t="shared" si="0"/>
        <v>0</v>
      </c>
      <c r="V8" s="1519" t="s">
        <v>65</v>
      </c>
      <c r="W8" s="692" t="s">
        <v>554</v>
      </c>
      <c r="Y8" s="394"/>
      <c r="Z8" s="394"/>
    </row>
    <row r="9" spans="2:29" s="404" customFormat="1" hidden="1">
      <c r="C9" s="1662" t="s">
        <v>3465</v>
      </c>
      <c r="D9" s="841" t="s">
        <v>3154</v>
      </c>
      <c r="E9" s="1608"/>
      <c r="F9" s="1608"/>
      <c r="G9" s="1608">
        <v>8</v>
      </c>
      <c r="H9" s="677"/>
      <c r="I9" s="677"/>
      <c r="J9" s="677"/>
      <c r="K9" s="678"/>
      <c r="L9" s="678"/>
      <c r="M9" s="679"/>
      <c r="N9" s="680"/>
      <c r="O9" s="680"/>
      <c r="P9" s="681"/>
      <c r="Q9" s="430">
        <v>43</v>
      </c>
      <c r="R9" s="430">
        <v>0</v>
      </c>
      <c r="S9" s="1674">
        <f>Q9*R9</f>
        <v>0</v>
      </c>
      <c r="T9" s="1667">
        <v>8</v>
      </c>
      <c r="U9" s="1445">
        <f t="shared" si="0"/>
        <v>0</v>
      </c>
      <c r="V9" s="682" t="s">
        <v>65</v>
      </c>
      <c r="W9" s="692" t="s">
        <v>554</v>
      </c>
      <c r="Y9" s="827">
        <v>31.58</v>
      </c>
      <c r="Z9" s="827">
        <v>0.505</v>
      </c>
    </row>
    <row r="10" spans="2:29" s="404" customFormat="1" ht="15.75" hidden="1" thickBot="1">
      <c r="C10" s="1662" t="s">
        <v>3466</v>
      </c>
      <c r="D10" s="841" t="s">
        <v>3155</v>
      </c>
      <c r="E10" s="1608"/>
      <c r="F10" s="1608"/>
      <c r="G10" s="1608">
        <v>8</v>
      </c>
      <c r="H10" s="677"/>
      <c r="I10" s="677"/>
      <c r="J10" s="677"/>
      <c r="K10" s="678"/>
      <c r="L10" s="678"/>
      <c r="M10" s="679"/>
      <c r="N10" s="680"/>
      <c r="O10" s="680"/>
      <c r="P10" s="681"/>
      <c r="Q10" s="430">
        <v>50</v>
      </c>
      <c r="R10" s="1521">
        <v>0</v>
      </c>
      <c r="S10" s="1675">
        <f>Q10*R10</f>
        <v>0</v>
      </c>
      <c r="T10" s="1668">
        <v>8</v>
      </c>
      <c r="U10" s="438">
        <f t="shared" si="0"/>
        <v>0</v>
      </c>
      <c r="V10" s="682" t="s">
        <v>65</v>
      </c>
      <c r="W10" s="692" t="s">
        <v>554</v>
      </c>
      <c r="Y10" s="395"/>
      <c r="Z10" s="395"/>
    </row>
    <row r="11" spans="2:29" s="1594" customFormat="1" ht="27" hidden="1" thickBot="1">
      <c r="C11" s="1660"/>
      <c r="D11" s="1676"/>
      <c r="E11" s="848"/>
      <c r="F11" s="848"/>
      <c r="G11" s="848"/>
      <c r="H11" s="1605"/>
      <c r="I11" s="1605"/>
      <c r="J11" s="1677">
        <f>SUM(J4:J7)</f>
        <v>1575</v>
      </c>
      <c r="K11" s="1678"/>
      <c r="L11" s="1678"/>
      <c r="M11" s="1679">
        <f>SUM(M4:M7)</f>
        <v>1320</v>
      </c>
      <c r="N11" s="1678"/>
      <c r="O11" s="1678"/>
      <c r="P11" s="1679">
        <f>SUM(P4:P7)</f>
        <v>1364</v>
      </c>
      <c r="Q11" s="1678"/>
      <c r="R11" s="1524" t="s">
        <v>560</v>
      </c>
      <c r="S11" s="1523">
        <f>SUM(S4:S10)</f>
        <v>721</v>
      </c>
      <c r="T11" s="488"/>
      <c r="U11" s="104"/>
      <c r="V11" s="2037"/>
      <c r="Y11" s="2028"/>
      <c r="Z11" s="2028"/>
    </row>
    <row r="12" spans="2:29" s="1594" customFormat="1" ht="27" hidden="1" thickBot="1">
      <c r="C12" s="1660"/>
      <c r="D12" s="105"/>
      <c r="E12" s="2028"/>
      <c r="F12" s="2028"/>
      <c r="G12" s="2028"/>
      <c r="H12" s="2025"/>
      <c r="I12" s="2025"/>
      <c r="J12" s="1677"/>
      <c r="K12" s="103"/>
      <c r="L12" s="103"/>
      <c r="M12" s="488"/>
      <c r="N12" s="103"/>
      <c r="O12" s="103"/>
      <c r="P12" s="488"/>
      <c r="Q12" s="103"/>
      <c r="R12" s="2038">
        <v>0.03</v>
      </c>
      <c r="S12" s="2036">
        <f>+S11*R12</f>
        <v>21.63</v>
      </c>
      <c r="T12" s="488"/>
      <c r="U12" s="104"/>
      <c r="V12" s="2037"/>
      <c r="Y12" s="2028" t="s">
        <v>65</v>
      </c>
      <c r="Z12" s="2028"/>
    </row>
    <row r="13" spans="2:29" s="1594" customFormat="1" ht="27" hidden="1" thickBot="1">
      <c r="C13" s="1660"/>
      <c r="D13" s="105"/>
      <c r="E13" s="2028"/>
      <c r="F13" s="2028"/>
      <c r="G13" s="2028"/>
      <c r="H13" s="2025"/>
      <c r="I13" s="2025"/>
      <c r="J13" s="1677"/>
      <c r="K13" s="103"/>
      <c r="L13" s="103"/>
      <c r="M13" s="488"/>
      <c r="N13" s="103"/>
      <c r="O13" s="103"/>
      <c r="P13" s="488"/>
      <c r="Q13" s="103"/>
      <c r="R13" s="2035" t="s">
        <v>5637</v>
      </c>
      <c r="S13" s="2036">
        <f>+S11+S12</f>
        <v>742.63</v>
      </c>
      <c r="T13" s="488"/>
      <c r="U13" s="104"/>
      <c r="V13" s="2037"/>
      <c r="Y13" s="2028"/>
      <c r="Z13" s="2028"/>
    </row>
    <row r="14" spans="2:29" s="1594" customFormat="1" ht="27" thickBot="1">
      <c r="C14" s="1660"/>
      <c r="D14" s="105"/>
      <c r="E14" s="2028"/>
      <c r="F14" s="2028"/>
      <c r="G14" s="2028"/>
      <c r="H14" s="2025"/>
      <c r="I14" s="2025"/>
      <c r="J14" s="1677"/>
      <c r="K14" s="103"/>
      <c r="L14" s="103"/>
      <c r="M14" s="488"/>
      <c r="N14" s="103"/>
      <c r="O14" s="103"/>
      <c r="P14" s="488"/>
      <c r="Q14" s="2039" t="s">
        <v>5638</v>
      </c>
      <c r="R14" s="2106">
        <v>4.7</v>
      </c>
      <c r="S14" s="2096">
        <f>+S11*R14</f>
        <v>3388.7000000000003</v>
      </c>
      <c r="T14" s="488"/>
      <c r="U14" s="104"/>
      <c r="V14" s="2037"/>
      <c r="Y14" s="2028"/>
      <c r="Z14" s="2028"/>
    </row>
    <row r="15" spans="2:29" s="1594" customFormat="1" ht="27" hidden="1" thickBot="1">
      <c r="C15" s="1660"/>
      <c r="D15" s="105"/>
      <c r="E15" s="2028"/>
      <c r="F15" s="2028"/>
      <c r="G15" s="2028"/>
      <c r="H15" s="2025"/>
      <c r="I15" s="2025"/>
      <c r="J15" s="1677"/>
      <c r="K15" s="103"/>
      <c r="L15" s="103"/>
      <c r="M15" s="488"/>
      <c r="N15" s="103"/>
      <c r="O15" s="103"/>
      <c r="P15" s="488"/>
      <c r="Q15" s="103"/>
      <c r="R15" s="2035"/>
      <c r="S15" s="2094">
        <f>+AB18</f>
        <v>768.41269841269843</v>
      </c>
      <c r="T15" s="488"/>
      <c r="U15" s="104"/>
      <c r="V15" s="2037"/>
      <c r="Y15" s="2028"/>
      <c r="Z15" s="2028"/>
    </row>
    <row r="16" spans="2:29" ht="37.5" customHeight="1" thickBot="1">
      <c r="H16" s="2318" t="s">
        <v>2790</v>
      </c>
      <c r="I16" s="2319"/>
      <c r="J16" s="2366"/>
      <c r="K16" s="25"/>
      <c r="L16" s="25"/>
      <c r="M16" s="25"/>
      <c r="N16" s="25"/>
      <c r="O16" s="25"/>
      <c r="P16" s="25"/>
      <c r="Q16" s="25"/>
      <c r="R16" s="25"/>
      <c r="S16" s="25">
        <v>768</v>
      </c>
      <c r="T16" s="668"/>
      <c r="U16" s="668" t="s">
        <v>65</v>
      </c>
      <c r="V16" s="373" t="s">
        <v>65</v>
      </c>
      <c r="X16" s="2361" t="s">
        <v>3157</v>
      </c>
      <c r="Y16" s="2362"/>
      <c r="Z16" s="2363"/>
      <c r="AB16" s="2039" t="s">
        <v>3520</v>
      </c>
    </row>
    <row r="17" spans="2:31" ht="30.75" thickBot="1">
      <c r="E17" s="484"/>
      <c r="F17" s="484"/>
      <c r="G17" s="484"/>
      <c r="H17" s="484"/>
      <c r="N17" s="2365" t="s">
        <v>2272</v>
      </c>
      <c r="O17" s="2365"/>
      <c r="P17" s="2365"/>
      <c r="Q17" s="2026" t="s">
        <v>2273</v>
      </c>
      <c r="R17" s="2027"/>
      <c r="S17" s="2027"/>
      <c r="T17" s="25"/>
      <c r="U17" s="1522">
        <f>SUM(U4:U10)</f>
        <v>270</v>
      </c>
      <c r="V17" s="1520" t="s">
        <v>4497</v>
      </c>
      <c r="X17" s="1659" t="s">
        <v>3158</v>
      </c>
      <c r="Y17" s="1660" t="s">
        <v>5259</v>
      </c>
      <c r="Z17" s="1513" t="s">
        <v>3160</v>
      </c>
      <c r="AB17" s="2039">
        <v>4.41</v>
      </c>
    </row>
    <row r="18" spans="2:31" ht="60.75" thickBot="1">
      <c r="C18" s="578" t="s">
        <v>65</v>
      </c>
      <c r="T18" s="2030"/>
      <c r="X18" s="2095">
        <f>+AB18</f>
        <v>768.41269841269843</v>
      </c>
      <c r="Y18" s="1513">
        <f>+U4+U5+U6+U7</f>
        <v>270</v>
      </c>
      <c r="Z18" s="1514">
        <f>+X18/Y18</f>
        <v>2.8459729570840682</v>
      </c>
      <c r="AB18" s="23">
        <f>+S14/AB17</f>
        <v>768.41269841269843</v>
      </c>
      <c r="AC18" s="2093" t="s">
        <v>5642</v>
      </c>
    </row>
    <row r="19" spans="2:31">
      <c r="Q19" s="16" t="s">
        <v>559</v>
      </c>
      <c r="S19">
        <f>+S11*R14</f>
        <v>3388.7000000000003</v>
      </c>
    </row>
    <row r="20" spans="2:31" hidden="1">
      <c r="Q20" s="6">
        <f>+S11/U17</f>
        <v>2.6703703703703705</v>
      </c>
    </row>
    <row r="21" spans="2:31" hidden="1">
      <c r="Z21" s="824" t="s">
        <v>3435</v>
      </c>
      <c r="AA21" s="824" t="s">
        <v>254</v>
      </c>
      <c r="AB21" s="824" t="s">
        <v>0</v>
      </c>
      <c r="AC21" s="824" t="s">
        <v>122</v>
      </c>
      <c r="AD21" s="824" t="s">
        <v>547</v>
      </c>
      <c r="AE21" s="824" t="s">
        <v>1</v>
      </c>
    </row>
    <row r="22" spans="2:31" hidden="1">
      <c r="D22" s="21"/>
      <c r="E22" s="814"/>
      <c r="F22" s="814"/>
      <c r="G22" s="814"/>
      <c r="H22" s="814"/>
      <c r="I22" s="814"/>
      <c r="J22" s="814"/>
      <c r="K22" s="21"/>
      <c r="L22" s="21"/>
      <c r="M22" s="21"/>
      <c r="N22" s="21"/>
      <c r="O22" s="21"/>
      <c r="P22" s="21"/>
      <c r="Q22" s="2294" t="s">
        <v>2375</v>
      </c>
      <c r="R22" s="2294"/>
      <c r="S22" s="2022" t="s">
        <v>2445</v>
      </c>
      <c r="Z22" s="824">
        <v>19382</v>
      </c>
      <c r="AA22" s="825" t="s">
        <v>3443</v>
      </c>
      <c r="AB22" s="824">
        <v>2079</v>
      </c>
      <c r="AC22" s="824">
        <v>1450</v>
      </c>
      <c r="AD22" s="824">
        <v>2.6</v>
      </c>
      <c r="AE22" s="825" t="s">
        <v>3461</v>
      </c>
    </row>
    <row r="23" spans="2:31" ht="15" hidden="1" customHeight="1">
      <c r="D23" s="828" t="s">
        <v>3463</v>
      </c>
      <c r="E23" s="814"/>
      <c r="F23" s="814"/>
      <c r="G23" s="814"/>
      <c r="H23" s="814"/>
      <c r="I23" s="814"/>
      <c r="J23" s="814"/>
      <c r="K23" s="21"/>
      <c r="L23" s="21"/>
      <c r="M23" s="21"/>
      <c r="N23" s="21"/>
      <c r="O23" s="21"/>
      <c r="P23" s="21"/>
      <c r="Q23" s="829" t="s">
        <v>3469</v>
      </c>
      <c r="R23" s="21" t="s">
        <v>3467</v>
      </c>
      <c r="S23" s="815" t="s">
        <v>3470</v>
      </c>
      <c r="T23" s="2022"/>
      <c r="U23" s="2294" t="s">
        <v>21</v>
      </c>
      <c r="V23" s="2294"/>
      <c r="Z23" s="824">
        <v>19382</v>
      </c>
      <c r="AA23" s="825" t="s">
        <v>3443</v>
      </c>
      <c r="AB23" s="824">
        <v>7763</v>
      </c>
      <c r="AC23" s="824">
        <v>10</v>
      </c>
      <c r="AD23" s="824">
        <v>25</v>
      </c>
      <c r="AE23" s="825" t="s">
        <v>3462</v>
      </c>
    </row>
    <row r="24" spans="2:31" ht="90" hidden="1">
      <c r="C24" s="588" t="s">
        <v>3463</v>
      </c>
      <c r="T24" s="21" t="s">
        <v>3471</v>
      </c>
      <c r="U24" s="829" t="s">
        <v>3468</v>
      </c>
      <c r="V24" s="21" t="s">
        <v>3472</v>
      </c>
      <c r="Z24" s="824">
        <v>19382</v>
      </c>
      <c r="AA24" s="825" t="s">
        <v>3443</v>
      </c>
      <c r="AB24" s="824">
        <v>2658</v>
      </c>
      <c r="AC24" s="824">
        <v>32</v>
      </c>
      <c r="AD24" s="824">
        <v>5.55</v>
      </c>
      <c r="AE24" s="825" t="s">
        <v>3463</v>
      </c>
    </row>
    <row r="25" spans="2:31" hidden="1"/>
    <row r="26" spans="2:31" ht="60" hidden="1">
      <c r="D26" s="108" t="s">
        <v>4009</v>
      </c>
      <c r="E26" s="108" t="s">
        <v>4008</v>
      </c>
      <c r="F26" s="108" t="s">
        <v>68</v>
      </c>
      <c r="G26" s="108" t="s">
        <v>560</v>
      </c>
      <c r="H26" s="108" t="s">
        <v>3161</v>
      </c>
      <c r="I26" s="108" t="s">
        <v>3162</v>
      </c>
      <c r="J26" s="108"/>
      <c r="L26"/>
      <c r="M26"/>
      <c r="O26"/>
      <c r="P26"/>
    </row>
    <row r="27" spans="2:31" ht="47.25" hidden="1" customHeight="1">
      <c r="B27" s="404" t="s">
        <v>1150</v>
      </c>
      <c r="C27" s="108"/>
      <c r="D27" s="108"/>
      <c r="E27" s="108" t="s">
        <v>2263</v>
      </c>
      <c r="F27" s="108"/>
      <c r="G27" s="108"/>
      <c r="H27" s="108"/>
      <c r="I27" s="108"/>
      <c r="J27" s="108" t="s">
        <v>3163</v>
      </c>
      <c r="L27"/>
      <c r="M27" t="s">
        <v>1663</v>
      </c>
      <c r="N27" t="s">
        <v>1664</v>
      </c>
      <c r="O27"/>
      <c r="P27"/>
      <c r="T27"/>
    </row>
    <row r="28" spans="2:31" hidden="1">
      <c r="C28" s="108"/>
      <c r="D28" s="1057" t="s">
        <v>2257</v>
      </c>
      <c r="E28" s="1057">
        <v>56</v>
      </c>
      <c r="F28" s="1057">
        <v>10</v>
      </c>
      <c r="G28" s="1057">
        <f>+E28*F28</f>
        <v>560</v>
      </c>
      <c r="H28" s="1057">
        <v>18</v>
      </c>
      <c r="I28" s="1057">
        <f>+H28*F28</f>
        <v>180</v>
      </c>
      <c r="J28" s="1057">
        <v>2.6111111111111112</v>
      </c>
      <c r="K28" t="s">
        <v>554</v>
      </c>
      <c r="L28"/>
      <c r="M28">
        <v>1174</v>
      </c>
      <c r="N28">
        <v>304</v>
      </c>
      <c r="O28"/>
      <c r="P28"/>
      <c r="T28"/>
    </row>
    <row r="29" spans="2:31" hidden="1">
      <c r="C29" s="1057" t="s">
        <v>4010</v>
      </c>
      <c r="D29" s="1057" t="s">
        <v>2258</v>
      </c>
      <c r="E29" s="1057">
        <v>62</v>
      </c>
      <c r="F29" s="1057">
        <v>4</v>
      </c>
      <c r="G29" s="1057">
        <f t="shared" ref="G29:G35" si="1">+E29*F29</f>
        <v>248</v>
      </c>
      <c r="H29" s="1057">
        <v>18</v>
      </c>
      <c r="I29" s="1074">
        <f>+H29*F29</f>
        <v>72</v>
      </c>
      <c r="J29" s="1057" t="s">
        <v>65</v>
      </c>
      <c r="K29" t="s">
        <v>554</v>
      </c>
      <c r="L29"/>
      <c r="M29"/>
      <c r="O29"/>
      <c r="P29"/>
      <c r="T29"/>
    </row>
    <row r="30" spans="2:31" hidden="1">
      <c r="C30" s="1057" t="s">
        <v>4011</v>
      </c>
      <c r="D30" s="1057" t="s">
        <v>2259</v>
      </c>
      <c r="E30" s="1057">
        <v>62</v>
      </c>
      <c r="F30" s="1057">
        <v>4</v>
      </c>
      <c r="G30" s="1057">
        <f t="shared" si="1"/>
        <v>248</v>
      </c>
      <c r="H30" s="1057">
        <v>18</v>
      </c>
      <c r="I30" s="1074">
        <f>+H30*F30</f>
        <v>72</v>
      </c>
      <c r="J30" s="1057" t="s">
        <v>65</v>
      </c>
      <c r="K30" t="s">
        <v>554</v>
      </c>
      <c r="L30"/>
      <c r="M30"/>
      <c r="O30"/>
      <c r="P30"/>
      <c r="T30"/>
    </row>
    <row r="31" spans="2:31" hidden="1">
      <c r="C31" s="1057" t="s">
        <v>4011</v>
      </c>
      <c r="D31" s="1057" t="s">
        <v>2260</v>
      </c>
      <c r="E31" s="1057">
        <v>28</v>
      </c>
      <c r="F31" s="1057">
        <v>4</v>
      </c>
      <c r="G31" s="1057">
        <f t="shared" si="1"/>
        <v>112</v>
      </c>
      <c r="H31" s="1057">
        <v>10</v>
      </c>
      <c r="I31" s="1074">
        <f>+H31*F31</f>
        <v>40</v>
      </c>
      <c r="J31" s="1057">
        <v>2.7777777777777777</v>
      </c>
      <c r="K31" t="s">
        <v>554</v>
      </c>
      <c r="L31"/>
      <c r="M31"/>
      <c r="O31"/>
      <c r="P31"/>
      <c r="T31"/>
    </row>
    <row r="32" spans="2:31" hidden="1">
      <c r="C32" s="1057" t="s">
        <v>4012</v>
      </c>
      <c r="D32" s="1057" t="s">
        <v>4013</v>
      </c>
      <c r="E32" s="1057">
        <v>52</v>
      </c>
      <c r="F32" s="1057">
        <v>1</v>
      </c>
      <c r="G32" s="1057">
        <f t="shared" si="1"/>
        <v>52</v>
      </c>
      <c r="H32" s="1057">
        <v>13.6</v>
      </c>
      <c r="I32" s="1074">
        <f>+H32*F32</f>
        <v>13.6</v>
      </c>
      <c r="J32" s="52">
        <f>+G32/H32</f>
        <v>3.8235294117647061</v>
      </c>
      <c r="K32" s="827"/>
      <c r="L32" s="827"/>
      <c r="M32" s="827"/>
      <c r="N32" s="827"/>
      <c r="O32" s="827"/>
      <c r="P32" s="827"/>
      <c r="Q32" s="827"/>
      <c r="R32" s="827"/>
      <c r="S32" s="827"/>
      <c r="T32"/>
    </row>
    <row r="33" spans="3:20" s="827" customFormat="1" hidden="1">
      <c r="C33" s="1057"/>
      <c r="D33" s="1070" t="s">
        <v>3156</v>
      </c>
      <c r="E33" s="1070">
        <v>0</v>
      </c>
      <c r="F33" s="1070">
        <v>0</v>
      </c>
      <c r="G33" s="1057">
        <f t="shared" si="1"/>
        <v>0</v>
      </c>
      <c r="H33" s="1057">
        <v>2.5</v>
      </c>
      <c r="I33" s="1057">
        <v>2.5</v>
      </c>
      <c r="J33" s="1057" t="s">
        <v>65</v>
      </c>
      <c r="K33" t="s">
        <v>554</v>
      </c>
      <c r="L33"/>
      <c r="M33"/>
      <c r="N33"/>
      <c r="O33"/>
      <c r="P33"/>
      <c r="Q33"/>
      <c r="R33"/>
      <c r="S33"/>
    </row>
    <row r="34" spans="3:20" hidden="1">
      <c r="C34" s="1070" t="s">
        <v>3464</v>
      </c>
      <c r="D34" s="1057" t="s">
        <v>3154</v>
      </c>
      <c r="E34" s="1057">
        <v>0</v>
      </c>
      <c r="F34" s="1057">
        <v>0</v>
      </c>
      <c r="G34" s="1057">
        <f t="shared" si="1"/>
        <v>0</v>
      </c>
      <c r="H34" s="1057">
        <v>8</v>
      </c>
      <c r="I34" s="1057">
        <v>0</v>
      </c>
      <c r="J34" s="1057" t="s">
        <v>65</v>
      </c>
      <c r="K34" t="s">
        <v>554</v>
      </c>
      <c r="L34"/>
      <c r="M34">
        <v>31.58</v>
      </c>
      <c r="N34">
        <v>0.505</v>
      </c>
      <c r="O34"/>
      <c r="P34"/>
      <c r="T34"/>
    </row>
    <row r="35" spans="3:20" hidden="1">
      <c r="C35" s="1057" t="s">
        <v>3465</v>
      </c>
      <c r="D35" s="1057" t="s">
        <v>3155</v>
      </c>
      <c r="E35" s="1057">
        <v>0</v>
      </c>
      <c r="F35" s="438">
        <v>0</v>
      </c>
      <c r="G35" s="438">
        <f t="shared" si="1"/>
        <v>0</v>
      </c>
      <c r="H35" s="1057">
        <v>8</v>
      </c>
      <c r="I35" s="1057">
        <v>0</v>
      </c>
      <c r="J35" s="1057" t="s">
        <v>65</v>
      </c>
      <c r="K35" t="s">
        <v>554</v>
      </c>
      <c r="L35"/>
      <c r="M35"/>
      <c r="O35"/>
      <c r="P35"/>
      <c r="T35"/>
    </row>
    <row r="36" spans="3:20" ht="30.75" hidden="1" thickBot="1">
      <c r="C36" s="1057" t="s">
        <v>3466</v>
      </c>
      <c r="E36"/>
      <c r="F36" s="1111" t="s">
        <v>560</v>
      </c>
      <c r="G36" s="1112">
        <f>SUM(G28:G35)</f>
        <v>1220</v>
      </c>
      <c r="H36" s="404"/>
      <c r="I36" s="21">
        <f>+I28+I29+I30+I31</f>
        <v>364</v>
      </c>
      <c r="J36" s="1077" t="s">
        <v>4035</v>
      </c>
      <c r="L36" s="2358" t="s">
        <v>3157</v>
      </c>
      <c r="M36" s="2359"/>
      <c r="N36" s="2360"/>
      <c r="O36"/>
      <c r="P36"/>
      <c r="T36"/>
    </row>
    <row r="37" spans="3:20" ht="30" hidden="1">
      <c r="E37" t="s">
        <v>2273</v>
      </c>
      <c r="F37"/>
      <c r="G37"/>
      <c r="H37" s="404"/>
      <c r="I37"/>
      <c r="J37"/>
      <c r="L37" s="1076" t="s">
        <v>3158</v>
      </c>
      <c r="M37" s="1074" t="s">
        <v>3159</v>
      </c>
      <c r="N37" s="1074" t="s">
        <v>3160</v>
      </c>
      <c r="O37"/>
      <c r="P37"/>
      <c r="T37"/>
    </row>
    <row r="38" spans="3:20" hidden="1">
      <c r="C38" t="s">
        <v>65</v>
      </c>
      <c r="E38"/>
      <c r="F38"/>
      <c r="G38"/>
      <c r="H38" s="404"/>
      <c r="I38"/>
      <c r="J38"/>
      <c r="L38" s="1074">
        <f>+G28+G29+G30+G31</f>
        <v>1168</v>
      </c>
      <c r="M38" s="1074">
        <f>+I28+I29+I30+I31</f>
        <v>364</v>
      </c>
      <c r="N38" s="52">
        <f>+L38/M38</f>
        <v>3.2087912087912089</v>
      </c>
      <c r="O38"/>
      <c r="P38"/>
      <c r="T38"/>
    </row>
    <row r="39" spans="3:20" hidden="1">
      <c r="R39">
        <v>30</v>
      </c>
      <c r="T39"/>
    </row>
    <row r="40" spans="3:20" hidden="1">
      <c r="R40">
        <v>20</v>
      </c>
    </row>
    <row r="41" spans="3:20" hidden="1">
      <c r="R41">
        <v>30</v>
      </c>
    </row>
    <row r="42" spans="3:20" hidden="1">
      <c r="R42">
        <v>50</v>
      </c>
    </row>
    <row r="43" spans="3:20" hidden="1">
      <c r="R43">
        <v>25</v>
      </c>
    </row>
    <row r="44" spans="3:20" hidden="1">
      <c r="R44">
        <v>30</v>
      </c>
    </row>
    <row r="45" spans="3:20" hidden="1">
      <c r="R45">
        <v>35</v>
      </c>
    </row>
    <row r="46" spans="3:20" hidden="1"/>
    <row r="47" spans="3:20" hidden="1"/>
    <row r="48" spans="3:20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6" spans="3:27">
      <c r="S66">
        <v>721</v>
      </c>
    </row>
    <row r="67" spans="3:27">
      <c r="S67">
        <f>+S66*3%</f>
        <v>21.63</v>
      </c>
    </row>
    <row r="68" spans="3:27">
      <c r="S68">
        <f>SUM(S66:S67)</f>
        <v>742.63</v>
      </c>
    </row>
    <row r="69" spans="3:27">
      <c r="AA69" s="827"/>
    </row>
    <row r="74" spans="3:27">
      <c r="D74" s="2028"/>
    </row>
    <row r="75" spans="3:27">
      <c r="C75" s="2028"/>
      <c r="D75" s="1525"/>
    </row>
    <row r="76" spans="3:27">
      <c r="C76" s="105"/>
      <c r="D76" s="105"/>
    </row>
    <row r="77" spans="3:27">
      <c r="C77" s="105"/>
    </row>
    <row r="85" spans="18:18">
      <c r="R85">
        <f>SUM(R33:R84)</f>
        <v>220</v>
      </c>
    </row>
    <row r="86" spans="18:18">
      <c r="R86">
        <v>90</v>
      </c>
    </row>
    <row r="87" spans="18:18">
      <c r="R87">
        <f>+R85-R86</f>
        <v>130</v>
      </c>
    </row>
  </sheetData>
  <sheetProtection sheet="1" objects="1" scenarios="1"/>
  <mergeCells count="8">
    <mergeCell ref="Q2:S2"/>
    <mergeCell ref="Q22:R22"/>
    <mergeCell ref="U23:V23"/>
    <mergeCell ref="L36:N36"/>
    <mergeCell ref="X16:Z16"/>
    <mergeCell ref="C3:C7"/>
    <mergeCell ref="N17:P17"/>
    <mergeCell ref="H16:J16"/>
  </mergeCells>
  <pageMargins left="1" right="1" top="1" bottom="1" header="0.5" footer="0.5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Q68"/>
  <sheetViews>
    <sheetView workbookViewId="0">
      <selection activeCell="F2" sqref="F2:Q39"/>
    </sheetView>
  </sheetViews>
  <sheetFormatPr baseColWidth="10" defaultRowHeight="15"/>
  <cols>
    <col min="3" max="3" width="8.7109375" style="687" hidden="1" customWidth="1"/>
    <col min="4" max="5" width="11.42578125" style="687" hidden="1" customWidth="1"/>
    <col min="6" max="6" width="49.140625" customWidth="1"/>
    <col min="7" max="7" width="9.28515625" style="404" hidden="1" customWidth="1"/>
    <col min="8" max="8" width="11.42578125" hidden="1" customWidth="1"/>
    <col min="9" max="9" width="17.42578125" style="456" customWidth="1"/>
    <col min="10" max="10" width="17.42578125" style="456" hidden="1" customWidth="1"/>
    <col min="11" max="11" width="17.42578125" style="458" hidden="1" customWidth="1"/>
    <col min="12" max="13" width="17.42578125" style="687" hidden="1" customWidth="1"/>
    <col min="14" max="16" width="17.42578125" hidden="1" customWidth="1"/>
    <col min="17" max="17" width="17.42578125" customWidth="1"/>
  </cols>
  <sheetData>
    <row r="2" spans="3:17" ht="56.25" customHeight="1">
      <c r="C2" s="1599" t="s">
        <v>119</v>
      </c>
      <c r="D2" s="1595" t="s">
        <v>122</v>
      </c>
      <c r="E2" s="1595" t="s">
        <v>547</v>
      </c>
      <c r="F2" s="1598" t="s">
        <v>5544</v>
      </c>
      <c r="G2" s="310"/>
      <c r="H2" s="310"/>
      <c r="I2" s="310" t="s">
        <v>19</v>
      </c>
      <c r="J2" s="1595"/>
      <c r="K2" s="1595" t="s">
        <v>68</v>
      </c>
      <c r="L2" s="1599" t="s">
        <v>24</v>
      </c>
      <c r="M2" s="1437" t="s">
        <v>690</v>
      </c>
      <c r="N2" s="21"/>
      <c r="O2" s="25"/>
      <c r="P2" s="25"/>
      <c r="Q2" s="25"/>
    </row>
    <row r="3" spans="3:17" hidden="1">
      <c r="C3" s="1595">
        <v>11857</v>
      </c>
      <c r="D3" s="1595">
        <v>30</v>
      </c>
      <c r="E3" s="1595">
        <v>4.5</v>
      </c>
      <c r="F3" s="311" t="s">
        <v>2227</v>
      </c>
      <c r="G3" s="310"/>
      <c r="H3" s="310"/>
      <c r="I3" s="1598">
        <v>1</v>
      </c>
      <c r="J3" s="1595"/>
      <c r="K3" s="1599"/>
      <c r="L3" s="1595"/>
      <c r="M3" s="1595"/>
      <c r="N3" s="21"/>
      <c r="O3" s="25"/>
      <c r="P3" s="25"/>
      <c r="Q3" s="25"/>
    </row>
    <row r="4" spans="3:17" hidden="1">
      <c r="C4" s="1595">
        <v>13364</v>
      </c>
      <c r="D4" s="1595"/>
      <c r="E4" s="1595"/>
      <c r="F4" s="311" t="s">
        <v>2228</v>
      </c>
      <c r="G4" s="311"/>
      <c r="H4" s="311"/>
      <c r="I4" s="1598"/>
      <c r="J4" s="1595">
        <f>SUM(J1:J3)</f>
        <v>0</v>
      </c>
      <c r="K4" s="1599"/>
      <c r="L4" s="1595" t="s">
        <v>591</v>
      </c>
      <c r="M4" s="1595"/>
      <c r="N4" s="21"/>
      <c r="O4" s="25"/>
      <c r="P4" s="25"/>
      <c r="Q4" s="25"/>
    </row>
    <row r="5" spans="3:17">
      <c r="C5" s="1595">
        <v>6721</v>
      </c>
      <c r="D5" s="1595"/>
      <c r="E5" s="1595"/>
      <c r="F5" s="311" t="s">
        <v>2229</v>
      </c>
      <c r="G5" s="310"/>
      <c r="H5" s="310"/>
      <c r="I5" s="1598">
        <v>20</v>
      </c>
      <c r="J5" s="1595"/>
      <c r="K5" s="1599"/>
      <c r="L5" s="1595" t="s">
        <v>591</v>
      </c>
      <c r="M5" s="1595">
        <v>4</v>
      </c>
      <c r="N5" s="21"/>
      <c r="O5" s="25"/>
      <c r="P5" s="25"/>
      <c r="Q5" s="25" t="s">
        <v>242</v>
      </c>
    </row>
    <row r="6" spans="3:17">
      <c r="C6" s="1595">
        <v>12799</v>
      </c>
      <c r="D6" s="1595"/>
      <c r="E6" s="1595"/>
      <c r="F6" s="311" t="s">
        <v>2230</v>
      </c>
      <c r="G6" s="311"/>
      <c r="H6" s="311"/>
      <c r="I6" s="1598">
        <v>20</v>
      </c>
      <c r="J6" s="1595"/>
      <c r="K6" s="1599"/>
      <c r="L6" s="1595" t="s">
        <v>591</v>
      </c>
      <c r="M6" s="1595">
        <v>6</v>
      </c>
      <c r="N6" s="21"/>
      <c r="O6" s="25"/>
      <c r="P6" s="25"/>
      <c r="Q6" s="25" t="s">
        <v>242</v>
      </c>
    </row>
    <row r="7" spans="3:17" hidden="1">
      <c r="C7" s="1595">
        <v>4623</v>
      </c>
      <c r="D7" s="1595"/>
      <c r="E7" s="1595"/>
      <c r="F7" s="311" t="s">
        <v>2231</v>
      </c>
      <c r="G7" s="310"/>
      <c r="H7" s="310"/>
      <c r="I7" s="1598">
        <v>20</v>
      </c>
      <c r="J7" s="1595"/>
      <c r="K7" s="1599"/>
      <c r="L7" s="1595"/>
      <c r="M7" s="1595"/>
      <c r="N7" s="21"/>
      <c r="O7" s="25"/>
      <c r="P7" s="25"/>
      <c r="Q7" s="25" t="s">
        <v>242</v>
      </c>
    </row>
    <row r="8" spans="3:17">
      <c r="C8" s="1616">
        <v>5275</v>
      </c>
      <c r="D8" s="1595"/>
      <c r="E8" s="1595"/>
      <c r="F8" s="311" t="s">
        <v>3267</v>
      </c>
      <c r="G8" s="311"/>
      <c r="H8" s="311"/>
      <c r="I8" s="1598">
        <v>25</v>
      </c>
      <c r="J8" s="1595"/>
      <c r="K8" s="1599"/>
      <c r="L8" s="1595" t="s">
        <v>591</v>
      </c>
      <c r="M8" s="1595"/>
      <c r="N8" s="21"/>
      <c r="O8" s="25"/>
      <c r="P8" s="25"/>
      <c r="Q8" s="25" t="s">
        <v>242</v>
      </c>
    </row>
    <row r="9" spans="3:17">
      <c r="C9" s="1595">
        <v>12686</v>
      </c>
      <c r="D9" s="1595"/>
      <c r="E9" s="1595"/>
      <c r="F9" s="311" t="s">
        <v>3269</v>
      </c>
      <c r="G9" s="310"/>
      <c r="H9" s="310"/>
      <c r="I9" s="1598">
        <v>20</v>
      </c>
      <c r="J9" s="1595"/>
      <c r="K9" s="1599"/>
      <c r="L9" s="1595" t="s">
        <v>591</v>
      </c>
      <c r="M9" s="1595">
        <v>3</v>
      </c>
      <c r="N9" s="21"/>
      <c r="O9" s="25"/>
      <c r="P9" s="25"/>
      <c r="Q9" s="25" t="s">
        <v>242</v>
      </c>
    </row>
    <row r="10" spans="3:17" hidden="1">
      <c r="C10" s="1595">
        <v>14043</v>
      </c>
      <c r="D10" s="1595"/>
      <c r="E10" s="1595"/>
      <c r="F10" s="311" t="s">
        <v>2232</v>
      </c>
      <c r="G10" s="311"/>
      <c r="H10" s="311"/>
      <c r="I10" s="1598">
        <v>20</v>
      </c>
      <c r="J10" s="1595"/>
      <c r="K10" s="1599"/>
      <c r="L10" s="1595"/>
      <c r="M10" s="1595">
        <v>2</v>
      </c>
      <c r="N10" s="21"/>
      <c r="O10" s="25"/>
      <c r="P10" s="25"/>
      <c r="Q10" s="25" t="s">
        <v>242</v>
      </c>
    </row>
    <row r="11" spans="3:17">
      <c r="C11" s="1616">
        <v>6902</v>
      </c>
      <c r="D11" s="1595"/>
      <c r="E11" s="1595"/>
      <c r="F11" s="311" t="s">
        <v>2233</v>
      </c>
      <c r="G11" s="310"/>
      <c r="H11" s="310"/>
      <c r="I11" s="1598">
        <v>20</v>
      </c>
      <c r="J11" s="1595"/>
      <c r="K11" s="1599"/>
      <c r="L11" s="1595">
        <v>4</v>
      </c>
      <c r="M11" s="1595">
        <v>6</v>
      </c>
      <c r="N11" s="21"/>
      <c r="O11" s="25"/>
      <c r="P11" s="25"/>
      <c r="Q11" s="25" t="s">
        <v>242</v>
      </c>
    </row>
    <row r="12" spans="3:17">
      <c r="C12" s="1595">
        <v>10253</v>
      </c>
      <c r="D12" s="1595"/>
      <c r="E12" s="1595"/>
      <c r="F12" s="311" t="s">
        <v>2234</v>
      </c>
      <c r="G12" s="311"/>
      <c r="H12" s="311"/>
      <c r="I12" s="1598">
        <v>25</v>
      </c>
      <c r="J12" s="1595"/>
      <c r="K12" s="1599"/>
      <c r="L12" s="1595"/>
      <c r="M12" s="1595"/>
      <c r="N12" s="21"/>
      <c r="O12" s="25"/>
      <c r="P12" s="25"/>
      <c r="Q12" s="25" t="s">
        <v>242</v>
      </c>
    </row>
    <row r="13" spans="3:17">
      <c r="C13" s="1595">
        <v>10252</v>
      </c>
      <c r="D13" s="1595"/>
      <c r="E13" s="1595"/>
      <c r="F13" s="311" t="s">
        <v>2235</v>
      </c>
      <c r="G13" s="311"/>
      <c r="H13" s="311"/>
      <c r="I13" s="1598">
        <v>25</v>
      </c>
      <c r="J13" s="1595"/>
      <c r="K13" s="1599"/>
      <c r="L13" s="1595">
        <v>4</v>
      </c>
      <c r="M13" s="1595"/>
      <c r="N13" s="21"/>
      <c r="O13" s="25"/>
      <c r="P13" s="25"/>
      <c r="Q13" s="25" t="s">
        <v>242</v>
      </c>
    </row>
    <row r="14" spans="3:17">
      <c r="C14" s="1616">
        <v>12748</v>
      </c>
      <c r="D14" s="1595"/>
      <c r="E14" s="1595"/>
      <c r="F14" s="311" t="s">
        <v>2236</v>
      </c>
      <c r="G14" s="310"/>
      <c r="H14" s="310"/>
      <c r="I14" s="1598">
        <v>25</v>
      </c>
      <c r="J14" s="1595"/>
      <c r="K14" s="1599"/>
      <c r="L14" s="1595"/>
      <c r="M14" s="1595">
        <v>6</v>
      </c>
      <c r="N14" s="21"/>
      <c r="O14" s="25"/>
      <c r="P14" s="25"/>
      <c r="Q14" s="25" t="s">
        <v>242</v>
      </c>
    </row>
    <row r="15" spans="3:17" hidden="1">
      <c r="C15" s="1595">
        <v>11621</v>
      </c>
      <c r="D15" s="1595"/>
      <c r="E15" s="1595"/>
      <c r="F15" s="311" t="s">
        <v>2255</v>
      </c>
      <c r="G15" s="310"/>
      <c r="H15" s="310"/>
      <c r="I15" s="1598">
        <v>20</v>
      </c>
      <c r="J15" s="1595"/>
      <c r="K15" s="1599"/>
      <c r="L15" s="1595"/>
      <c r="M15" s="1595"/>
      <c r="N15" s="21"/>
      <c r="O15" s="25"/>
      <c r="P15" s="25"/>
      <c r="Q15" s="25" t="s">
        <v>242</v>
      </c>
    </row>
    <row r="16" spans="3:17">
      <c r="C16" s="1595">
        <v>12798</v>
      </c>
      <c r="D16" s="1595"/>
      <c r="E16" s="1595"/>
      <c r="F16" s="311" t="s">
        <v>2254</v>
      </c>
      <c r="G16" s="310"/>
      <c r="H16" s="310"/>
      <c r="I16" s="1598">
        <v>20</v>
      </c>
      <c r="J16" s="1595"/>
      <c r="K16" s="1599"/>
      <c r="L16" s="1595"/>
      <c r="M16" s="1595"/>
      <c r="N16" s="21"/>
      <c r="O16" s="25"/>
      <c r="P16" s="25"/>
      <c r="Q16" s="25" t="s">
        <v>242</v>
      </c>
    </row>
    <row r="17" spans="3:17" hidden="1">
      <c r="C17" s="1595">
        <v>11620</v>
      </c>
      <c r="D17" s="1595"/>
      <c r="E17" s="1595"/>
      <c r="F17" s="311" t="s">
        <v>2237</v>
      </c>
      <c r="G17" s="310"/>
      <c r="H17" s="310"/>
      <c r="I17" s="1598">
        <v>20</v>
      </c>
      <c r="J17" s="1595"/>
      <c r="K17" s="1599"/>
      <c r="L17" s="1595"/>
      <c r="M17" s="1595">
        <v>3</v>
      </c>
      <c r="N17" s="21"/>
      <c r="O17" s="25"/>
      <c r="P17" s="25"/>
      <c r="Q17" s="25" t="s">
        <v>242</v>
      </c>
    </row>
    <row r="18" spans="3:17" hidden="1">
      <c r="C18" s="1595">
        <v>2030</v>
      </c>
      <c r="D18" s="1595"/>
      <c r="E18" s="1595"/>
      <c r="F18" s="311" t="s">
        <v>2238</v>
      </c>
      <c r="G18" s="311"/>
      <c r="H18" s="311"/>
      <c r="I18" s="1598">
        <v>10</v>
      </c>
      <c r="J18" s="1595"/>
      <c r="K18" s="1599"/>
      <c r="L18" s="1595"/>
      <c r="M18" s="1595"/>
      <c r="N18" s="21"/>
      <c r="O18" s="25"/>
      <c r="P18" s="25"/>
      <c r="Q18" s="25" t="s">
        <v>242</v>
      </c>
    </row>
    <row r="19" spans="3:17" hidden="1">
      <c r="C19" s="1595">
        <v>13923</v>
      </c>
      <c r="D19" s="1595"/>
      <c r="E19" s="1595"/>
      <c r="F19" s="311" t="s">
        <v>2239</v>
      </c>
      <c r="G19" s="310"/>
      <c r="H19" s="310"/>
      <c r="I19" s="1598" t="s">
        <v>65</v>
      </c>
      <c r="J19" s="1595"/>
      <c r="K19" s="1599"/>
      <c r="L19" s="1595"/>
      <c r="M19" s="1595"/>
      <c r="N19" s="21"/>
      <c r="O19" s="25"/>
      <c r="P19" s="25"/>
      <c r="Q19" s="25" t="s">
        <v>242</v>
      </c>
    </row>
    <row r="20" spans="3:17" hidden="1">
      <c r="C20" s="1595">
        <v>5919</v>
      </c>
      <c r="D20" s="1595"/>
      <c r="E20" s="1595"/>
      <c r="F20" s="311" t="s">
        <v>3268</v>
      </c>
      <c r="G20" s="311"/>
      <c r="H20" s="311"/>
      <c r="I20" s="1598">
        <v>20</v>
      </c>
      <c r="J20" s="1595"/>
      <c r="K20" s="1599"/>
      <c r="L20" s="1595"/>
      <c r="M20" s="1595">
        <v>2</v>
      </c>
      <c r="N20" s="21"/>
      <c r="O20" s="25"/>
      <c r="P20" s="25"/>
      <c r="Q20" s="25" t="s">
        <v>242</v>
      </c>
    </row>
    <row r="21" spans="3:17">
      <c r="C21" s="1616">
        <v>20887</v>
      </c>
      <c r="D21" s="1595"/>
      <c r="E21" s="1595"/>
      <c r="F21" s="311" t="s">
        <v>3266</v>
      </c>
      <c r="G21" s="310"/>
      <c r="H21" s="310"/>
      <c r="I21" s="1598">
        <v>20</v>
      </c>
      <c r="J21" s="1595"/>
      <c r="K21" s="1599"/>
      <c r="L21" s="1595"/>
      <c r="M21" s="1595"/>
      <c r="N21" s="21"/>
      <c r="O21" s="25"/>
      <c r="P21" s="25"/>
      <c r="Q21" s="25" t="s">
        <v>242</v>
      </c>
    </row>
    <row r="22" spans="3:17" hidden="1">
      <c r="C22" s="1598">
        <v>12898</v>
      </c>
      <c r="D22" s="1598"/>
      <c r="E22" s="1598"/>
      <c r="F22" s="311" t="s">
        <v>2240</v>
      </c>
      <c r="G22" s="310"/>
      <c r="H22" s="310"/>
      <c r="I22" s="1598">
        <v>20</v>
      </c>
      <c r="J22" s="1595"/>
      <c r="K22" s="1599"/>
      <c r="L22" s="1595"/>
      <c r="M22" s="1595"/>
      <c r="N22" s="21"/>
      <c r="O22" s="25"/>
      <c r="P22" s="25"/>
      <c r="Q22" s="25" t="s">
        <v>242</v>
      </c>
    </row>
    <row r="23" spans="3:17" hidden="1">
      <c r="C23" s="1598">
        <v>7896</v>
      </c>
      <c r="D23" s="1598"/>
      <c r="E23" s="1598"/>
      <c r="F23" s="311" t="s">
        <v>2241</v>
      </c>
      <c r="G23" s="310"/>
      <c r="H23" s="310"/>
      <c r="I23" s="1598">
        <v>20</v>
      </c>
      <c r="J23" s="1595"/>
      <c r="K23" s="1599"/>
      <c r="L23" s="1595"/>
      <c r="M23" s="1595"/>
      <c r="N23" s="21"/>
      <c r="O23" s="25"/>
      <c r="P23" s="25"/>
      <c r="Q23" s="25" t="s">
        <v>242</v>
      </c>
    </row>
    <row r="24" spans="3:17" hidden="1">
      <c r="C24" s="1598">
        <v>8317</v>
      </c>
      <c r="D24" s="1598"/>
      <c r="E24" s="1598"/>
      <c r="F24" s="311" t="s">
        <v>2251</v>
      </c>
      <c r="G24" s="310"/>
      <c r="H24" s="310"/>
      <c r="I24" s="1598">
        <v>20</v>
      </c>
      <c r="J24" s="1595"/>
      <c r="K24" s="1599"/>
      <c r="L24" s="1595"/>
      <c r="M24" s="1595">
        <v>3</v>
      </c>
      <c r="N24" s="21"/>
      <c r="O24" s="25"/>
      <c r="P24" s="25"/>
      <c r="Q24" s="25" t="s">
        <v>242</v>
      </c>
    </row>
    <row r="25" spans="3:17">
      <c r="C25" s="1598">
        <v>9227</v>
      </c>
      <c r="D25" s="1598"/>
      <c r="E25" s="1598"/>
      <c r="F25" s="311" t="s">
        <v>2242</v>
      </c>
      <c r="G25" s="310"/>
      <c r="H25" s="310"/>
      <c r="I25" s="1598">
        <v>25</v>
      </c>
      <c r="J25" s="1595"/>
      <c r="K25" s="1599"/>
      <c r="L25" s="1595"/>
      <c r="M25" s="1595">
        <v>6</v>
      </c>
      <c r="N25" s="21"/>
      <c r="O25" s="25"/>
      <c r="P25" s="25"/>
      <c r="Q25" s="25" t="s">
        <v>242</v>
      </c>
    </row>
    <row r="26" spans="3:17" hidden="1">
      <c r="C26" s="1598">
        <v>8316</v>
      </c>
      <c r="D26" s="1598"/>
      <c r="E26" s="1598"/>
      <c r="F26" s="311" t="s">
        <v>2252</v>
      </c>
      <c r="G26" s="311"/>
      <c r="H26" s="311"/>
      <c r="I26" s="1598">
        <v>50</v>
      </c>
      <c r="J26" s="1595"/>
      <c r="K26" s="1599"/>
      <c r="L26" s="1595"/>
      <c r="M26" s="1595">
        <v>3</v>
      </c>
      <c r="N26" s="21"/>
      <c r="O26" s="25"/>
      <c r="P26" s="25"/>
      <c r="Q26" s="25" t="s">
        <v>242</v>
      </c>
    </row>
    <row r="27" spans="3:17">
      <c r="C27" s="1598">
        <v>6722</v>
      </c>
      <c r="D27" s="1598"/>
      <c r="E27" s="1598"/>
      <c r="F27" s="311" t="s">
        <v>2253</v>
      </c>
      <c r="G27" s="311"/>
      <c r="H27" s="311"/>
      <c r="I27" s="1598">
        <v>25</v>
      </c>
      <c r="J27" s="1595"/>
      <c r="K27" s="1599"/>
      <c r="L27" s="1595">
        <v>4</v>
      </c>
      <c r="M27" s="1595">
        <v>6</v>
      </c>
      <c r="N27" s="21"/>
      <c r="O27" s="25"/>
      <c r="P27" s="25"/>
      <c r="Q27" s="25" t="s">
        <v>242</v>
      </c>
    </row>
    <row r="28" spans="3:17">
      <c r="C28" s="1616">
        <v>8722</v>
      </c>
      <c r="D28" s="1598"/>
      <c r="E28" s="1598"/>
      <c r="F28" s="311" t="s">
        <v>2243</v>
      </c>
      <c r="G28" s="310">
        <f>H28*12</f>
        <v>7.32</v>
      </c>
      <c r="H28" s="310">
        <v>0.61</v>
      </c>
      <c r="I28" s="1598">
        <v>25</v>
      </c>
      <c r="J28" s="375">
        <f>G28*I28</f>
        <v>183</v>
      </c>
      <c r="K28" s="1599" t="s">
        <v>546</v>
      </c>
      <c r="L28" s="1595"/>
      <c r="M28" s="1595">
        <v>6</v>
      </c>
      <c r="N28" s="21"/>
      <c r="O28" s="25"/>
      <c r="P28" s="25"/>
      <c r="Q28" s="25" t="s">
        <v>242</v>
      </c>
    </row>
    <row r="29" spans="3:17">
      <c r="C29" s="1595">
        <v>12679</v>
      </c>
      <c r="D29" s="1595"/>
      <c r="E29" s="1595"/>
      <c r="F29" s="311" t="s">
        <v>3270</v>
      </c>
      <c r="G29" s="311"/>
      <c r="H29" s="311"/>
      <c r="I29" s="1598">
        <v>25</v>
      </c>
      <c r="J29" s="1595"/>
      <c r="K29" s="1599"/>
      <c r="L29" s="1595">
        <v>4</v>
      </c>
      <c r="M29" s="1595">
        <v>6</v>
      </c>
      <c r="N29" s="21"/>
      <c r="O29" s="25"/>
      <c r="P29" s="25"/>
      <c r="Q29" s="25" t="s">
        <v>242</v>
      </c>
    </row>
    <row r="30" spans="3:17" hidden="1">
      <c r="C30" s="1616">
        <v>10254</v>
      </c>
      <c r="D30" s="1598"/>
      <c r="E30" s="1598"/>
      <c r="F30" s="311" t="s">
        <v>2244</v>
      </c>
      <c r="G30" s="310">
        <f>H30*12</f>
        <v>7.32</v>
      </c>
      <c r="H30" s="310">
        <v>0.61</v>
      </c>
      <c r="I30" s="1598">
        <v>5</v>
      </c>
      <c r="J30" s="375">
        <f>G30*I30</f>
        <v>36.6</v>
      </c>
      <c r="K30" s="1599"/>
      <c r="L30" s="1595"/>
      <c r="M30" s="1595"/>
      <c r="N30" s="21"/>
      <c r="O30" s="25"/>
      <c r="P30" s="25"/>
      <c r="Q30" s="25" t="s">
        <v>242</v>
      </c>
    </row>
    <row r="31" spans="3:17" hidden="1">
      <c r="C31" s="1616">
        <v>4944</v>
      </c>
      <c r="D31" s="1598"/>
      <c r="E31" s="1598"/>
      <c r="F31" s="311" t="s">
        <v>2245</v>
      </c>
      <c r="G31" s="310">
        <f>H31*12</f>
        <v>7.32</v>
      </c>
      <c r="H31" s="310">
        <v>0.61</v>
      </c>
      <c r="I31" s="1598">
        <v>5</v>
      </c>
      <c r="J31" s="375">
        <f>G31*I31</f>
        <v>36.6</v>
      </c>
      <c r="K31" s="1599" t="s">
        <v>546</v>
      </c>
      <c r="L31" s="1595"/>
      <c r="M31" s="1595"/>
      <c r="N31" s="21"/>
      <c r="O31" s="25"/>
      <c r="P31" s="25"/>
      <c r="Q31" s="25" t="s">
        <v>242</v>
      </c>
    </row>
    <row r="32" spans="3:17" hidden="1">
      <c r="C32" s="1598">
        <v>3672</v>
      </c>
      <c r="D32" s="1598"/>
      <c r="E32" s="1598"/>
      <c r="F32" s="311" t="s">
        <v>2246</v>
      </c>
      <c r="G32" s="311"/>
      <c r="H32" s="311"/>
      <c r="I32" s="1598"/>
      <c r="J32" s="1595"/>
      <c r="K32" s="1599"/>
      <c r="L32" s="1595"/>
      <c r="M32" s="1595"/>
      <c r="N32" s="21"/>
      <c r="O32" s="25"/>
      <c r="P32" s="25"/>
      <c r="Q32" s="25" t="s">
        <v>242</v>
      </c>
    </row>
    <row r="33" spans="3:17" hidden="1">
      <c r="C33" s="1598">
        <v>9511</v>
      </c>
      <c r="D33" s="1598"/>
      <c r="E33" s="1598"/>
      <c r="F33" s="311" t="s">
        <v>2247</v>
      </c>
      <c r="G33" s="310"/>
      <c r="H33" s="310"/>
      <c r="I33" s="1598"/>
      <c r="J33" s="375">
        <f>G33*I33</f>
        <v>0</v>
      </c>
      <c r="K33" s="1599"/>
      <c r="L33" s="1595"/>
      <c r="M33" s="1595"/>
      <c r="N33" s="21"/>
      <c r="O33" s="25"/>
      <c r="P33" s="25"/>
      <c r="Q33" s="25" t="s">
        <v>242</v>
      </c>
    </row>
    <row r="34" spans="3:17" hidden="1">
      <c r="C34" s="1598">
        <v>6167</v>
      </c>
      <c r="D34" s="1598"/>
      <c r="E34" s="1598"/>
      <c r="F34" s="311" t="s">
        <v>2248</v>
      </c>
      <c r="G34" s="311"/>
      <c r="H34" s="311"/>
      <c r="I34" s="1598" t="s">
        <v>590</v>
      </c>
      <c r="J34" s="1595"/>
      <c r="K34" s="1599"/>
      <c r="L34" s="1595"/>
      <c r="M34" s="1595"/>
      <c r="N34" s="21"/>
      <c r="O34" s="25"/>
      <c r="P34" s="25"/>
      <c r="Q34" s="25" t="s">
        <v>242</v>
      </c>
    </row>
    <row r="35" spans="3:17" hidden="1">
      <c r="C35" s="1598">
        <v>7117</v>
      </c>
      <c r="D35" s="1598"/>
      <c r="E35" s="1598"/>
      <c r="F35" s="311" t="s">
        <v>2249</v>
      </c>
      <c r="G35" s="310"/>
      <c r="H35" s="310"/>
      <c r="I35" s="1598" t="s">
        <v>590</v>
      </c>
      <c r="J35" s="375" t="e">
        <f>G35*I35</f>
        <v>#VALUE!</v>
      </c>
      <c r="K35" s="1599"/>
      <c r="L35" s="1595"/>
      <c r="M35" s="1595"/>
      <c r="N35" s="21"/>
      <c r="O35" s="25"/>
      <c r="P35" s="25"/>
      <c r="Q35" s="25" t="s">
        <v>242</v>
      </c>
    </row>
    <row r="36" spans="3:17" hidden="1">
      <c r="C36" s="1598">
        <v>4625</v>
      </c>
      <c r="D36" s="1598"/>
      <c r="E36" s="1598"/>
      <c r="F36" s="311" t="s">
        <v>2250</v>
      </c>
      <c r="G36" s="311"/>
      <c r="H36" s="311"/>
      <c r="I36" s="1598">
        <v>20</v>
      </c>
      <c r="J36" s="1595"/>
      <c r="K36" s="1599"/>
      <c r="L36" s="1595"/>
      <c r="M36" s="1595"/>
      <c r="N36" s="21"/>
      <c r="O36" s="25"/>
      <c r="P36" s="25"/>
      <c r="Q36" s="25" t="s">
        <v>242</v>
      </c>
    </row>
    <row r="37" spans="3:17" hidden="1">
      <c r="C37" s="1598">
        <v>18884</v>
      </c>
      <c r="D37" s="1595"/>
      <c r="E37" s="1595"/>
      <c r="F37" s="311" t="s">
        <v>3271</v>
      </c>
      <c r="G37" s="310">
        <f>H37*12</f>
        <v>7.32</v>
      </c>
      <c r="H37" s="310">
        <v>0.61</v>
      </c>
      <c r="I37" s="1598">
        <v>150</v>
      </c>
      <c r="J37" s="375">
        <f>G37*I37</f>
        <v>1098</v>
      </c>
      <c r="K37" s="1599" t="s">
        <v>546</v>
      </c>
      <c r="L37" s="1595"/>
      <c r="M37" s="1595">
        <v>3</v>
      </c>
      <c r="N37" s="21"/>
      <c r="O37" s="25"/>
      <c r="P37" s="25"/>
      <c r="Q37" s="25" t="s">
        <v>242</v>
      </c>
    </row>
    <row r="38" spans="3:17" hidden="1">
      <c r="C38" s="1598">
        <v>18888</v>
      </c>
      <c r="D38" s="1595"/>
      <c r="E38" s="1595"/>
      <c r="F38" s="311" t="s">
        <v>3272</v>
      </c>
      <c r="G38" s="311"/>
      <c r="H38" s="311"/>
      <c r="I38" s="1598">
        <v>100</v>
      </c>
      <c r="J38" s="1595"/>
      <c r="K38" s="1599"/>
      <c r="L38" s="1595"/>
      <c r="M38" s="1595">
        <v>3</v>
      </c>
      <c r="N38" s="21"/>
      <c r="O38" s="25"/>
      <c r="P38" s="25"/>
      <c r="Q38" s="25" t="s">
        <v>242</v>
      </c>
    </row>
    <row r="39" spans="3:17">
      <c r="C39"/>
      <c r="G39" s="786">
        <f>H39*12</f>
        <v>7.32</v>
      </c>
      <c r="H39" s="787">
        <v>0.61</v>
      </c>
      <c r="I39" s="135" t="s">
        <v>65</v>
      </c>
      <c r="J39" s="135" t="e">
        <f>G39*I39</f>
        <v>#VALUE!</v>
      </c>
      <c r="K39" s="689" t="s">
        <v>546</v>
      </c>
      <c r="L39" s="688"/>
    </row>
    <row r="40" spans="3:17">
      <c r="C40"/>
      <c r="G40" s="338"/>
      <c r="H40" s="762"/>
      <c r="I40" s="688"/>
      <c r="J40" s="688"/>
      <c r="K40" s="689"/>
      <c r="L40" s="688"/>
    </row>
    <row r="41" spans="3:17" s="827" customFormat="1">
      <c r="C41" s="104"/>
      <c r="D41" s="104"/>
      <c r="E41" s="104"/>
      <c r="F41" s="952"/>
      <c r="G41" s="656"/>
      <c r="H41" s="953"/>
      <c r="I41" s="954"/>
      <c r="J41" s="936"/>
      <c r="K41" s="937"/>
      <c r="L41" s="936"/>
      <c r="M41" s="932"/>
    </row>
    <row r="42" spans="3:17" s="827" customFormat="1">
      <c r="C42" s="104"/>
      <c r="D42" s="104"/>
      <c r="E42" s="104"/>
      <c r="F42" s="952"/>
      <c r="G42" s="955"/>
      <c r="H42" s="956"/>
      <c r="I42" s="954"/>
      <c r="J42" s="936"/>
      <c r="K42" s="937"/>
      <c r="L42" s="936"/>
      <c r="M42" s="932"/>
    </row>
    <row r="43" spans="3:17" ht="61.5" customHeight="1">
      <c r="C43" s="931" t="s">
        <v>559</v>
      </c>
      <c r="D43" s="931"/>
      <c r="E43" s="931"/>
      <c r="F43" s="957"/>
      <c r="G43" s="378"/>
      <c r="H43" s="933"/>
      <c r="I43" s="931" t="s">
        <v>68</v>
      </c>
      <c r="J43" s="375" t="e">
        <f>G43*I43</f>
        <v>#VALUE!</v>
      </c>
      <c r="K43" s="933"/>
      <c r="L43" s="931"/>
      <c r="M43" s="931"/>
      <c r="N43" s="933" t="s">
        <v>3795</v>
      </c>
      <c r="O43" s="934" t="s">
        <v>903</v>
      </c>
      <c r="P43" s="934" t="s">
        <v>74</v>
      </c>
      <c r="Q43" s="693"/>
    </row>
    <row r="44" spans="3:17" hidden="1">
      <c r="C44" s="931">
        <v>0.98</v>
      </c>
      <c r="D44" s="935"/>
      <c r="E44" s="935"/>
      <c r="F44" s="589" t="s">
        <v>4501</v>
      </c>
      <c r="G44" s="693"/>
      <c r="H44" s="693"/>
      <c r="I44" s="1120">
        <v>25</v>
      </c>
      <c r="J44" s="935"/>
      <c r="K44" s="934"/>
      <c r="L44" s="935"/>
      <c r="M44" s="935"/>
      <c r="N44" s="935">
        <v>12</v>
      </c>
      <c r="O44" s="935">
        <f>+N44*C44</f>
        <v>11.76</v>
      </c>
      <c r="P44" s="935">
        <f>+O44*I44</f>
        <v>294</v>
      </c>
      <c r="Q44" s="693" t="s">
        <v>242</v>
      </c>
    </row>
    <row r="45" spans="3:17" hidden="1">
      <c r="C45" s="931">
        <v>0.57999999999999996</v>
      </c>
      <c r="D45" s="935"/>
      <c r="E45" s="935"/>
      <c r="F45" s="311" t="s">
        <v>3784</v>
      </c>
      <c r="G45" s="216"/>
      <c r="H45" s="934"/>
      <c r="I45" s="935">
        <v>10</v>
      </c>
      <c r="J45" s="305">
        <f>G45*I45</f>
        <v>0</v>
      </c>
      <c r="K45" s="934"/>
      <c r="L45" s="935"/>
      <c r="M45" s="935"/>
      <c r="N45" s="935">
        <v>12</v>
      </c>
      <c r="O45" s="935">
        <f t="shared" ref="O45:O56" si="0">+N45*C45</f>
        <v>6.9599999999999991</v>
      </c>
      <c r="P45" s="935">
        <f t="shared" ref="P45:P58" si="1">+O45*I45</f>
        <v>69.599999999999994</v>
      </c>
      <c r="Q45" s="693" t="s">
        <v>242</v>
      </c>
    </row>
    <row r="46" spans="3:17" hidden="1">
      <c r="C46" s="931">
        <f>+C44</f>
        <v>0.98</v>
      </c>
      <c r="D46" s="935"/>
      <c r="E46" s="935"/>
      <c r="F46" s="589" t="s">
        <v>4502</v>
      </c>
      <c r="G46" s="693"/>
      <c r="H46" s="693"/>
      <c r="I46" s="935">
        <v>25</v>
      </c>
      <c r="J46" s="935"/>
      <c r="K46" s="934"/>
      <c r="L46" s="935"/>
      <c r="M46" s="935"/>
      <c r="N46" s="935">
        <v>12</v>
      </c>
      <c r="O46" s="935">
        <f t="shared" si="0"/>
        <v>11.76</v>
      </c>
      <c r="P46" s="935">
        <f t="shared" si="1"/>
        <v>294</v>
      </c>
      <c r="Q46" s="693" t="s">
        <v>242</v>
      </c>
    </row>
    <row r="47" spans="3:17" hidden="1">
      <c r="C47" s="931">
        <v>0.98</v>
      </c>
      <c r="D47" s="935"/>
      <c r="E47" s="935"/>
      <c r="F47" s="589" t="s">
        <v>4503</v>
      </c>
      <c r="G47" s="216"/>
      <c r="H47" s="934"/>
      <c r="I47" s="935">
        <v>25</v>
      </c>
      <c r="J47" s="305">
        <f>G47*I47</f>
        <v>0</v>
      </c>
      <c r="K47" s="934"/>
      <c r="L47" s="935"/>
      <c r="M47" s="935"/>
      <c r="N47" s="935">
        <v>12</v>
      </c>
      <c r="O47" s="935">
        <f t="shared" si="0"/>
        <v>11.76</v>
      </c>
      <c r="P47" s="935">
        <f t="shared" si="1"/>
        <v>294</v>
      </c>
      <c r="Q47" s="693" t="s">
        <v>242</v>
      </c>
    </row>
    <row r="48" spans="3:17" hidden="1">
      <c r="C48" s="935">
        <f>+C44</f>
        <v>0.98</v>
      </c>
      <c r="D48" s="935"/>
      <c r="E48" s="935"/>
      <c r="F48" s="311" t="s">
        <v>3785</v>
      </c>
      <c r="G48" s="693"/>
      <c r="H48" s="693"/>
      <c r="I48" s="935">
        <v>10</v>
      </c>
      <c r="J48" s="935"/>
      <c r="K48" s="934"/>
      <c r="L48" s="935"/>
      <c r="M48" s="935"/>
      <c r="N48" s="935">
        <v>12</v>
      </c>
      <c r="O48" s="935">
        <f t="shared" si="0"/>
        <v>11.76</v>
      </c>
      <c r="P48" s="935">
        <f t="shared" si="1"/>
        <v>117.6</v>
      </c>
      <c r="Q48" s="693" t="s">
        <v>242</v>
      </c>
    </row>
    <row r="49" spans="1:17" hidden="1">
      <c r="C49" s="935">
        <f>+C44</f>
        <v>0.98</v>
      </c>
      <c r="D49" s="935"/>
      <c r="E49" s="935"/>
      <c r="F49" s="311" t="s">
        <v>3786</v>
      </c>
      <c r="G49" s="17"/>
      <c r="H49" s="934"/>
      <c r="I49" s="935">
        <v>10</v>
      </c>
      <c r="J49" s="305">
        <f>G49*I49</f>
        <v>0</v>
      </c>
      <c r="K49" s="934"/>
      <c r="L49" s="935"/>
      <c r="M49" s="935"/>
      <c r="N49" s="935">
        <v>12</v>
      </c>
      <c r="O49" s="935">
        <f t="shared" si="0"/>
        <v>11.76</v>
      </c>
      <c r="P49" s="935">
        <f t="shared" si="1"/>
        <v>117.6</v>
      </c>
      <c r="Q49" s="693" t="s">
        <v>242</v>
      </c>
    </row>
    <row r="50" spans="1:17" hidden="1">
      <c r="C50" s="935">
        <f>+C45</f>
        <v>0.57999999999999996</v>
      </c>
      <c r="D50" s="935"/>
      <c r="E50" s="935"/>
      <c r="F50" s="311" t="s">
        <v>3787</v>
      </c>
      <c r="G50" s="693"/>
      <c r="H50" s="693"/>
      <c r="I50" s="935">
        <v>10</v>
      </c>
      <c r="J50" s="935"/>
      <c r="K50" s="934"/>
      <c r="L50" s="935"/>
      <c r="M50" s="935"/>
      <c r="N50" s="935">
        <v>12</v>
      </c>
      <c r="O50" s="935">
        <f t="shared" si="0"/>
        <v>6.9599999999999991</v>
      </c>
      <c r="P50" s="935">
        <f t="shared" si="1"/>
        <v>69.599999999999994</v>
      </c>
      <c r="Q50" s="693" t="s">
        <v>242</v>
      </c>
    </row>
    <row r="51" spans="1:17" hidden="1">
      <c r="C51" s="935">
        <v>0.63</v>
      </c>
      <c r="D51" s="935"/>
      <c r="E51" s="935"/>
      <c r="F51" s="311" t="s">
        <v>3788</v>
      </c>
      <c r="G51" s="216"/>
      <c r="H51" s="934"/>
      <c r="I51" s="935">
        <v>10</v>
      </c>
      <c r="J51" s="305">
        <f>G51*I51</f>
        <v>0</v>
      </c>
      <c r="K51" s="934"/>
      <c r="L51" s="935"/>
      <c r="M51" s="935"/>
      <c r="N51" s="935">
        <v>12</v>
      </c>
      <c r="O51" s="935">
        <f t="shared" si="0"/>
        <v>7.5600000000000005</v>
      </c>
      <c r="P51" s="935">
        <f t="shared" si="1"/>
        <v>75.600000000000009</v>
      </c>
      <c r="Q51" s="693" t="s">
        <v>242</v>
      </c>
    </row>
    <row r="52" spans="1:17" hidden="1">
      <c r="C52" s="935">
        <f>+C51</f>
        <v>0.63</v>
      </c>
      <c r="D52" s="935"/>
      <c r="E52" s="935"/>
      <c r="F52" s="589" t="s">
        <v>3789</v>
      </c>
      <c r="G52" s="693"/>
      <c r="H52" s="693"/>
      <c r="I52" s="935">
        <v>10</v>
      </c>
      <c r="J52" s="935"/>
      <c r="K52" s="934"/>
      <c r="L52" s="935"/>
      <c r="M52" s="935"/>
      <c r="N52" s="935">
        <v>12</v>
      </c>
      <c r="O52" s="935">
        <f t="shared" si="0"/>
        <v>7.5600000000000005</v>
      </c>
      <c r="P52" s="935">
        <f t="shared" si="1"/>
        <v>75.600000000000009</v>
      </c>
      <c r="Q52" s="693" t="s">
        <v>242</v>
      </c>
    </row>
    <row r="53" spans="1:17" s="827" customFormat="1" hidden="1">
      <c r="C53" s="1190"/>
      <c r="D53" s="1190"/>
      <c r="E53" s="1190"/>
      <c r="F53" s="906" t="s">
        <v>4500</v>
      </c>
      <c r="G53" s="693"/>
      <c r="H53" s="693"/>
      <c r="I53" s="1190">
        <v>25</v>
      </c>
      <c r="J53" s="1190"/>
      <c r="K53" s="1186"/>
      <c r="L53" s="1190"/>
      <c r="M53" s="1190"/>
      <c r="N53" s="1190"/>
      <c r="O53" s="1190"/>
      <c r="P53" s="1190"/>
      <c r="Q53" s="693" t="s">
        <v>242</v>
      </c>
    </row>
    <row r="54" spans="1:17" hidden="1">
      <c r="C54" s="935">
        <f>+C51</f>
        <v>0.63</v>
      </c>
      <c r="D54" s="935"/>
      <c r="E54" s="935"/>
      <c r="F54" s="589" t="s">
        <v>3790</v>
      </c>
      <c r="G54" s="216">
        <f>H54*12</f>
        <v>8.76</v>
      </c>
      <c r="H54" s="17">
        <v>0.73</v>
      </c>
      <c r="I54" s="305">
        <v>10</v>
      </c>
      <c r="J54" s="305">
        <f>G54*I54</f>
        <v>87.6</v>
      </c>
      <c r="K54" s="934" t="s">
        <v>546</v>
      </c>
      <c r="L54" s="935"/>
      <c r="M54" s="935"/>
      <c r="N54" s="935">
        <v>12</v>
      </c>
      <c r="O54" s="935">
        <f t="shared" si="0"/>
        <v>7.5600000000000005</v>
      </c>
      <c r="P54" s="935">
        <f t="shared" si="1"/>
        <v>75.600000000000009</v>
      </c>
      <c r="Q54" s="693" t="s">
        <v>242</v>
      </c>
    </row>
    <row r="55" spans="1:17" hidden="1">
      <c r="C55" s="935">
        <f>+C51</f>
        <v>0.63</v>
      </c>
      <c r="D55" s="935"/>
      <c r="E55" s="935"/>
      <c r="F55" s="311" t="s">
        <v>3791</v>
      </c>
      <c r="G55" s="693"/>
      <c r="H55" s="693"/>
      <c r="I55" s="935">
        <v>10</v>
      </c>
      <c r="J55" s="935"/>
      <c r="K55" s="934"/>
      <c r="L55" s="935"/>
      <c r="M55" s="935"/>
      <c r="N55" s="935">
        <v>12</v>
      </c>
      <c r="O55" s="935">
        <f t="shared" si="0"/>
        <v>7.5600000000000005</v>
      </c>
      <c r="P55" s="935">
        <f t="shared" si="1"/>
        <v>75.600000000000009</v>
      </c>
      <c r="Q55" s="693" t="s">
        <v>242</v>
      </c>
    </row>
    <row r="56" spans="1:17" hidden="1">
      <c r="C56" s="935">
        <f>+C44</f>
        <v>0.98</v>
      </c>
      <c r="D56" s="935"/>
      <c r="E56" s="935"/>
      <c r="F56" s="311" t="s">
        <v>3792</v>
      </c>
      <c r="G56" s="693"/>
      <c r="H56" s="693"/>
      <c r="I56" s="305">
        <v>10</v>
      </c>
      <c r="J56" s="693"/>
      <c r="K56" s="693"/>
      <c r="L56" s="935"/>
      <c r="M56" s="935"/>
      <c r="N56" s="935">
        <v>12</v>
      </c>
      <c r="O56" s="935">
        <f t="shared" si="0"/>
        <v>11.76</v>
      </c>
      <c r="P56" s="935">
        <f t="shared" si="1"/>
        <v>117.6</v>
      </c>
      <c r="Q56" s="693" t="s">
        <v>242</v>
      </c>
    </row>
    <row r="57" spans="1:17" hidden="1">
      <c r="C57" s="935"/>
      <c r="D57" s="935"/>
      <c r="E57" s="935"/>
      <c r="F57" s="958" t="s">
        <v>3793</v>
      </c>
      <c r="G57" s="260"/>
      <c r="H57" s="260"/>
      <c r="I57" s="260"/>
      <c r="J57" s="260"/>
      <c r="K57" s="260"/>
      <c r="L57" s="394"/>
      <c r="M57" s="394"/>
      <c r="N57" s="260"/>
      <c r="O57" s="394"/>
      <c r="P57" s="394">
        <f>+O57*I57</f>
        <v>0</v>
      </c>
      <c r="Q57" s="693" t="s">
        <v>242</v>
      </c>
    </row>
    <row r="58" spans="1:17" hidden="1">
      <c r="C58" s="935"/>
      <c r="D58" s="935"/>
      <c r="E58" s="935"/>
      <c r="F58" s="906" t="s">
        <v>3794</v>
      </c>
      <c r="G58" s="693"/>
      <c r="H58" s="693"/>
      <c r="I58" s="1190">
        <v>10</v>
      </c>
      <c r="J58" s="693"/>
      <c r="K58" s="693"/>
      <c r="L58" s="935"/>
      <c r="M58" s="935"/>
      <c r="N58" s="693"/>
      <c r="O58" s="935"/>
      <c r="P58" s="935">
        <f t="shared" si="1"/>
        <v>0</v>
      </c>
      <c r="Q58" s="693" t="s">
        <v>242</v>
      </c>
    </row>
    <row r="59" spans="1:17" hidden="1">
      <c r="C59"/>
      <c r="F59" s="1116" t="s">
        <v>4014</v>
      </c>
      <c r="G59" s="710"/>
      <c r="H59" s="710"/>
      <c r="I59" s="1117">
        <v>20</v>
      </c>
      <c r="J59" s="1118"/>
      <c r="K59" s="1118"/>
      <c r="L59" s="1119"/>
      <c r="M59" s="709"/>
      <c r="N59" s="710"/>
      <c r="O59" s="710"/>
      <c r="P59" s="1117">
        <f>SUM(P44:P58)</f>
        <v>1676.3999999999994</v>
      </c>
      <c r="Q59" t="s">
        <v>242</v>
      </c>
    </row>
    <row r="60" spans="1:17">
      <c r="A60" s="311" t="s">
        <v>0</v>
      </c>
      <c r="B60" s="311" t="s">
        <v>122</v>
      </c>
      <c r="C60" s="311" t="s">
        <v>547</v>
      </c>
      <c r="D60" s="311" t="s">
        <v>1</v>
      </c>
      <c r="E60" s="303"/>
      <c r="F60" s="303" t="s">
        <v>4780</v>
      </c>
      <c r="G60" s="578"/>
      <c r="H60" s="578"/>
      <c r="I60" s="311"/>
      <c r="J60" s="105"/>
      <c r="K60" s="105"/>
      <c r="L60" s="688"/>
    </row>
    <row r="61" spans="1:17">
      <c r="A61" s="311">
        <v>10984</v>
      </c>
      <c r="B61" s="311">
        <v>300</v>
      </c>
      <c r="C61" s="311">
        <v>0.98</v>
      </c>
      <c r="D61" s="303"/>
      <c r="E61" s="303"/>
      <c r="F61" s="311" t="s">
        <v>4587</v>
      </c>
      <c r="G61" s="578"/>
      <c r="H61" s="578"/>
      <c r="I61" s="311" t="s">
        <v>675</v>
      </c>
      <c r="J61" s="105"/>
      <c r="K61" s="105"/>
      <c r="L61" s="688"/>
    </row>
    <row r="62" spans="1:17">
      <c r="A62" s="311">
        <v>13377</v>
      </c>
      <c r="B62" s="311">
        <v>300</v>
      </c>
      <c r="C62" s="311">
        <v>0.98</v>
      </c>
      <c r="D62" s="303"/>
      <c r="E62" s="303"/>
      <c r="F62" s="311" t="s">
        <v>4784</v>
      </c>
      <c r="G62" s="578"/>
      <c r="H62" s="578"/>
      <c r="I62" s="311" t="s">
        <v>675</v>
      </c>
      <c r="J62" s="105"/>
      <c r="K62" s="105"/>
      <c r="L62" s="688"/>
    </row>
    <row r="63" spans="1:17">
      <c r="A63" s="311">
        <v>13377</v>
      </c>
      <c r="B63" s="311">
        <v>300</v>
      </c>
      <c r="C63" s="311">
        <v>0.98</v>
      </c>
      <c r="D63" s="303"/>
      <c r="E63" s="303"/>
      <c r="F63" s="311" t="s">
        <v>4784</v>
      </c>
      <c r="G63" s="578"/>
      <c r="H63" s="578"/>
      <c r="I63" s="311" t="s">
        <v>675</v>
      </c>
      <c r="J63" s="105"/>
      <c r="K63" s="105"/>
      <c r="L63" s="688"/>
    </row>
    <row r="64" spans="1:17" hidden="1">
      <c r="A64" s="311">
        <v>22030</v>
      </c>
      <c r="B64" s="311">
        <v>240</v>
      </c>
      <c r="C64" s="311">
        <v>0.98</v>
      </c>
      <c r="D64" s="303"/>
      <c r="E64" s="303"/>
      <c r="F64" s="311" t="s">
        <v>4783</v>
      </c>
      <c r="G64" s="578"/>
      <c r="H64" s="578"/>
      <c r="I64" s="311"/>
      <c r="J64"/>
      <c r="K64"/>
    </row>
    <row r="65" spans="1:11" hidden="1">
      <c r="A65" s="311">
        <v>22101</v>
      </c>
      <c r="B65" s="311">
        <v>120</v>
      </c>
      <c r="C65" s="311">
        <v>1.66</v>
      </c>
      <c r="D65" s="303"/>
      <c r="E65" s="303"/>
      <c r="F65" s="311" t="s">
        <v>4782</v>
      </c>
      <c r="G65" s="578"/>
      <c r="H65" s="578"/>
      <c r="I65" s="311"/>
      <c r="J65"/>
      <c r="K65"/>
    </row>
    <row r="66" spans="1:11">
      <c r="A66" s="311">
        <v>22102</v>
      </c>
      <c r="B66" s="311">
        <v>300</v>
      </c>
      <c r="C66" s="311">
        <v>0.62</v>
      </c>
      <c r="D66" s="303"/>
      <c r="E66" s="303"/>
      <c r="F66" s="311" t="s">
        <v>4781</v>
      </c>
      <c r="G66" s="578"/>
      <c r="H66" s="578"/>
      <c r="I66" s="311" t="s">
        <v>590</v>
      </c>
      <c r="J66"/>
      <c r="K66"/>
    </row>
    <row r="67" spans="1:11">
      <c r="A67" s="578"/>
      <c r="B67" s="578"/>
      <c r="C67" s="578"/>
      <c r="D67" s="303"/>
      <c r="E67" s="303"/>
      <c r="F67" s="311" t="s">
        <v>3790</v>
      </c>
      <c r="G67" s="578"/>
      <c r="H67" s="578"/>
      <c r="I67" s="311" t="s">
        <v>675</v>
      </c>
      <c r="J67"/>
      <c r="K67"/>
    </row>
    <row r="68" spans="1:11">
      <c r="A68" s="578"/>
      <c r="B68" s="578"/>
      <c r="C68" s="303"/>
      <c r="D68" s="303"/>
      <c r="E68" s="303"/>
      <c r="F68" s="311" t="s">
        <v>3789</v>
      </c>
      <c r="G68" s="578"/>
      <c r="H68" s="578"/>
      <c r="I68" s="347" t="s">
        <v>675</v>
      </c>
    </row>
  </sheetData>
  <sortState ref="C6:L69">
    <sortCondition ref="F6:F69"/>
  </sortState>
  <pageMargins left="0.7" right="0.7" top="0.75" bottom="0.75" header="0.3" footer="0.3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workbookViewId="0">
      <selection activeCell="D4" sqref="D4:G18"/>
    </sheetView>
  </sheetViews>
  <sheetFormatPr baseColWidth="10" defaultRowHeight="15"/>
  <cols>
    <col min="4" max="4" width="56.5703125" customWidth="1"/>
    <col min="5" max="5" width="0" hidden="1" customWidth="1"/>
  </cols>
  <sheetData>
    <row r="2" spans="2:11">
      <c r="D2" s="2023" t="s">
        <v>5629</v>
      </c>
    </row>
    <row r="3" spans="2:11" ht="15.75" thickBot="1"/>
    <row r="4" spans="2:11" ht="85.5" customHeight="1">
      <c r="B4" s="1096" t="s">
        <v>0</v>
      </c>
      <c r="C4" s="1097" t="s">
        <v>547</v>
      </c>
      <c r="D4" s="1098" t="s">
        <v>5628</v>
      </c>
      <c r="E4" s="1098" t="s">
        <v>559</v>
      </c>
      <c r="F4" s="1098" t="s">
        <v>68</v>
      </c>
      <c r="G4" s="1098" t="s">
        <v>3995</v>
      </c>
      <c r="H4" s="1098" t="s">
        <v>3993</v>
      </c>
      <c r="I4" s="802" t="s">
        <v>3994</v>
      </c>
      <c r="J4" s="1099" t="s">
        <v>560</v>
      </c>
      <c r="K4" s="25"/>
    </row>
    <row r="5" spans="2:11">
      <c r="B5" s="841">
        <v>10783</v>
      </c>
      <c r="C5" s="21">
        <v>1.2</v>
      </c>
      <c r="D5" s="21" t="s">
        <v>3982</v>
      </c>
      <c r="E5" s="1057">
        <v>1</v>
      </c>
      <c r="F5" s="1057">
        <v>30</v>
      </c>
      <c r="G5" s="1057" t="s">
        <v>242</v>
      </c>
      <c r="H5" s="375">
        <v>20</v>
      </c>
      <c r="I5" s="1057">
        <f>+C5*H5</f>
        <v>24</v>
      </c>
      <c r="J5" s="759">
        <f>+I5*F5</f>
        <v>720</v>
      </c>
      <c r="K5" s="25"/>
    </row>
    <row r="6" spans="2:11" s="827" customFormat="1">
      <c r="B6" s="841"/>
      <c r="C6" s="21">
        <v>1.1499999999999999</v>
      </c>
      <c r="D6" s="21" t="s">
        <v>3992</v>
      </c>
      <c r="E6" s="1057">
        <v>0.96</v>
      </c>
      <c r="F6" s="1057">
        <v>30</v>
      </c>
      <c r="G6" s="1057" t="s">
        <v>242</v>
      </c>
      <c r="H6" s="1057">
        <v>20</v>
      </c>
      <c r="I6" s="2022">
        <f t="shared" ref="I6:I18" si="0">+C6*H6</f>
        <v>23</v>
      </c>
      <c r="J6" s="759">
        <f t="shared" ref="J6:J18" si="1">+I6*F6</f>
        <v>690</v>
      </c>
      <c r="K6" s="25"/>
    </row>
    <row r="7" spans="2:11">
      <c r="B7" s="841">
        <v>6590</v>
      </c>
      <c r="C7" s="21">
        <v>1.1599999999999999</v>
      </c>
      <c r="D7" s="21" t="s">
        <v>3979</v>
      </c>
      <c r="E7" s="1057">
        <v>1.1200000000000001</v>
      </c>
      <c r="F7" s="1057">
        <v>30</v>
      </c>
      <c r="G7" s="1057" t="s">
        <v>242</v>
      </c>
      <c r="H7" s="375">
        <v>12</v>
      </c>
      <c r="I7" s="2022">
        <f t="shared" si="0"/>
        <v>13.919999999999998</v>
      </c>
      <c r="J7" s="759">
        <f t="shared" si="1"/>
        <v>417.59999999999997</v>
      </c>
      <c r="K7" s="25"/>
    </row>
    <row r="8" spans="2:11">
      <c r="B8" s="841">
        <v>10249</v>
      </c>
      <c r="C8" s="21">
        <v>1.05</v>
      </c>
      <c r="D8" s="21" t="s">
        <v>3991</v>
      </c>
      <c r="E8" s="1057">
        <v>1.02</v>
      </c>
      <c r="F8" s="1057">
        <v>30</v>
      </c>
      <c r="G8" s="1057" t="s">
        <v>242</v>
      </c>
      <c r="H8" s="375">
        <v>12</v>
      </c>
      <c r="I8" s="2022">
        <f t="shared" si="0"/>
        <v>12.600000000000001</v>
      </c>
      <c r="J8" s="759">
        <f t="shared" si="1"/>
        <v>378.00000000000006</v>
      </c>
      <c r="K8" s="25"/>
    </row>
    <row r="9" spans="2:11">
      <c r="B9" s="841">
        <v>12194</v>
      </c>
      <c r="C9" s="21">
        <f>+C8</f>
        <v>1.05</v>
      </c>
      <c r="D9" s="21" t="s">
        <v>3985</v>
      </c>
      <c r="E9" s="1057">
        <v>1.0229999999999999</v>
      </c>
      <c r="F9" s="1057">
        <v>30</v>
      </c>
      <c r="G9" s="1057" t="s">
        <v>242</v>
      </c>
      <c r="H9" s="375">
        <v>12</v>
      </c>
      <c r="I9" s="2022">
        <f t="shared" si="0"/>
        <v>12.600000000000001</v>
      </c>
      <c r="J9" s="759">
        <f t="shared" si="1"/>
        <v>378.00000000000006</v>
      </c>
      <c r="K9" s="25"/>
    </row>
    <row r="10" spans="2:11">
      <c r="B10" s="841">
        <v>14202</v>
      </c>
      <c r="C10" s="21">
        <f>+C7</f>
        <v>1.1599999999999999</v>
      </c>
      <c r="D10" s="21" t="s">
        <v>3990</v>
      </c>
      <c r="E10" s="1057">
        <v>1.02</v>
      </c>
      <c r="F10" s="1057">
        <v>30</v>
      </c>
      <c r="G10" s="1057" t="s">
        <v>242</v>
      </c>
      <c r="H10" s="375">
        <v>12</v>
      </c>
      <c r="I10" s="2022">
        <f t="shared" si="0"/>
        <v>13.919999999999998</v>
      </c>
      <c r="J10" s="759">
        <f t="shared" si="1"/>
        <v>417.59999999999997</v>
      </c>
      <c r="K10" s="25"/>
    </row>
    <row r="11" spans="2:11">
      <c r="B11" s="841">
        <v>12196</v>
      </c>
      <c r="C11" s="21">
        <f>+C8</f>
        <v>1.05</v>
      </c>
      <c r="D11" s="21" t="s">
        <v>3987</v>
      </c>
      <c r="E11" s="1057">
        <v>1.1200000000000001</v>
      </c>
      <c r="F11" s="1057">
        <v>30</v>
      </c>
      <c r="G11" s="1057" t="s">
        <v>242</v>
      </c>
      <c r="H11" s="375">
        <v>12</v>
      </c>
      <c r="I11" s="2022">
        <f t="shared" si="0"/>
        <v>12.600000000000001</v>
      </c>
      <c r="J11" s="759">
        <f t="shared" si="1"/>
        <v>378.00000000000006</v>
      </c>
      <c r="K11" s="25"/>
    </row>
    <row r="12" spans="2:11">
      <c r="B12" s="841">
        <v>10781</v>
      </c>
      <c r="C12" s="21">
        <f>+C7</f>
        <v>1.1599999999999999</v>
      </c>
      <c r="D12" s="21" t="s">
        <v>3981</v>
      </c>
      <c r="E12" s="1057">
        <v>1.1200000000000001</v>
      </c>
      <c r="F12" s="1057">
        <v>30</v>
      </c>
      <c r="G12" s="1057" t="s">
        <v>242</v>
      </c>
      <c r="H12" s="375">
        <v>12</v>
      </c>
      <c r="I12" s="2022">
        <f t="shared" si="0"/>
        <v>13.919999999999998</v>
      </c>
      <c r="J12" s="759">
        <f t="shared" si="1"/>
        <v>417.59999999999997</v>
      </c>
      <c r="K12" s="25"/>
    </row>
    <row r="13" spans="2:11">
      <c r="B13" s="841">
        <v>11731</v>
      </c>
      <c r="C13" s="21">
        <f>+C7</f>
        <v>1.1599999999999999</v>
      </c>
      <c r="D13" s="21" t="s">
        <v>3983</v>
      </c>
      <c r="E13" s="1057">
        <v>1.1200000000000001</v>
      </c>
      <c r="F13" s="1057">
        <v>30</v>
      </c>
      <c r="G13" s="1057" t="s">
        <v>242</v>
      </c>
      <c r="H13" s="375">
        <v>12</v>
      </c>
      <c r="I13" s="2022">
        <f t="shared" si="0"/>
        <v>13.919999999999998</v>
      </c>
      <c r="J13" s="759">
        <f t="shared" si="1"/>
        <v>417.59999999999997</v>
      </c>
      <c r="K13" s="25"/>
    </row>
    <row r="14" spans="2:11">
      <c r="B14" s="841">
        <v>10780</v>
      </c>
      <c r="C14" s="21">
        <f>+C7</f>
        <v>1.1599999999999999</v>
      </c>
      <c r="D14" s="21" t="s">
        <v>3980</v>
      </c>
      <c r="E14" s="1057">
        <v>1.1200000000000001</v>
      </c>
      <c r="F14" s="1057">
        <v>30</v>
      </c>
      <c r="G14" s="1057" t="s">
        <v>242</v>
      </c>
      <c r="H14" s="375">
        <v>12</v>
      </c>
      <c r="I14" s="2022">
        <f t="shared" si="0"/>
        <v>13.919999999999998</v>
      </c>
      <c r="J14" s="759">
        <f t="shared" si="1"/>
        <v>417.59999999999997</v>
      </c>
      <c r="K14" s="25"/>
    </row>
    <row r="15" spans="2:11">
      <c r="B15" s="841">
        <v>12654</v>
      </c>
      <c r="C15" s="21">
        <f>+C7</f>
        <v>1.1599999999999999</v>
      </c>
      <c r="D15" s="21" t="s">
        <v>3988</v>
      </c>
      <c r="E15" s="1057">
        <v>1.1200000000000001</v>
      </c>
      <c r="F15" s="1057">
        <v>30</v>
      </c>
      <c r="G15" s="1057" t="s">
        <v>242</v>
      </c>
      <c r="H15" s="375">
        <v>12</v>
      </c>
      <c r="I15" s="2022">
        <f t="shared" si="0"/>
        <v>13.919999999999998</v>
      </c>
      <c r="J15" s="759">
        <f t="shared" si="1"/>
        <v>417.59999999999997</v>
      </c>
      <c r="K15" s="25"/>
    </row>
    <row r="16" spans="2:11">
      <c r="B16" s="841">
        <v>12655</v>
      </c>
      <c r="C16" s="21">
        <f>+C7</f>
        <v>1.1599999999999999</v>
      </c>
      <c r="D16" s="21" t="s">
        <v>3989</v>
      </c>
      <c r="E16" s="1057">
        <v>1.1200000000000001</v>
      </c>
      <c r="F16" s="1057">
        <v>30</v>
      </c>
      <c r="G16" s="1057" t="s">
        <v>242</v>
      </c>
      <c r="H16" s="375">
        <v>12</v>
      </c>
      <c r="I16" s="2022">
        <f t="shared" si="0"/>
        <v>13.919999999999998</v>
      </c>
      <c r="J16" s="759">
        <f t="shared" si="1"/>
        <v>417.59999999999997</v>
      </c>
      <c r="K16" s="25"/>
    </row>
    <row r="17" spans="2:11">
      <c r="B17" s="841">
        <v>12195</v>
      </c>
      <c r="C17" s="21">
        <f>+C8</f>
        <v>1.05</v>
      </c>
      <c r="D17" s="21" t="s">
        <v>3986</v>
      </c>
      <c r="E17" s="1057">
        <v>1.02</v>
      </c>
      <c r="F17" s="1057">
        <v>30</v>
      </c>
      <c r="G17" s="1057" t="s">
        <v>242</v>
      </c>
      <c r="H17" s="375">
        <v>12</v>
      </c>
      <c r="I17" s="2022">
        <f t="shared" si="0"/>
        <v>12.600000000000001</v>
      </c>
      <c r="J17" s="759">
        <f t="shared" si="1"/>
        <v>378.00000000000006</v>
      </c>
      <c r="K17" s="25"/>
    </row>
    <row r="18" spans="2:11" ht="15.75" thickBot="1">
      <c r="B18" s="842">
        <v>10250</v>
      </c>
      <c r="C18" s="621">
        <f>+C8</f>
        <v>1.05</v>
      </c>
      <c r="D18" s="621" t="s">
        <v>3984</v>
      </c>
      <c r="E18" s="620">
        <v>1.02</v>
      </c>
      <c r="F18" s="620">
        <v>30</v>
      </c>
      <c r="G18" s="620" t="s">
        <v>242</v>
      </c>
      <c r="H18" s="1095">
        <v>12</v>
      </c>
      <c r="I18" s="2022">
        <f t="shared" si="0"/>
        <v>12.600000000000001</v>
      </c>
      <c r="J18" s="527">
        <f t="shared" si="1"/>
        <v>378.00000000000006</v>
      </c>
      <c r="K18" s="25"/>
    </row>
    <row r="19" spans="2:11" ht="15.75" thickBot="1">
      <c r="G19" s="25"/>
      <c r="H19" s="25"/>
      <c r="I19" s="1093" t="s">
        <v>1882</v>
      </c>
      <c r="J19" s="1094">
        <f>SUM(J5:J18)</f>
        <v>6223.2000000000007</v>
      </c>
      <c r="K19" s="25"/>
    </row>
    <row r="20" spans="2:11" ht="15.75" thickBot="1">
      <c r="G20" s="25"/>
      <c r="H20" s="25"/>
      <c r="I20" s="1061" t="s">
        <v>3952</v>
      </c>
      <c r="J20" s="1092">
        <v>4.58</v>
      </c>
      <c r="K20" s="25"/>
    </row>
    <row r="21" spans="2:11" ht="15.75" thickBot="1">
      <c r="G21" s="25"/>
      <c r="H21" s="25"/>
      <c r="I21" s="402" t="s">
        <v>3333</v>
      </c>
      <c r="J21" s="1091">
        <f>+J19*J20</f>
        <v>28502.256000000005</v>
      </c>
      <c r="K21" s="25"/>
    </row>
    <row r="22" spans="2:11">
      <c r="G22" s="25"/>
      <c r="H22" s="25"/>
      <c r="I22" s="25"/>
      <c r="J22" s="25"/>
      <c r="K22" s="25"/>
    </row>
  </sheetData>
  <sortState ref="B5:D17">
    <sortCondition ref="D5:D17"/>
  </sortState>
  <pageMargins left="0.7" right="0.7" top="0.75" bottom="0.75" header="0.3" footer="0.3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R21"/>
  <sheetViews>
    <sheetView workbookViewId="0">
      <selection activeCell="O7" sqref="O7"/>
    </sheetView>
  </sheetViews>
  <sheetFormatPr baseColWidth="10" defaultRowHeight="15"/>
  <cols>
    <col min="3" max="3" width="52.140625" customWidth="1"/>
    <col min="4" max="4" width="6.7109375" customWidth="1"/>
    <col min="5" max="5" width="7.85546875" hidden="1" customWidth="1"/>
    <col min="6" max="6" width="9.42578125" hidden="1" customWidth="1"/>
    <col min="7" max="10" width="11.42578125" hidden="1" customWidth="1"/>
    <col min="11" max="11" width="12.5703125" hidden="1" customWidth="1"/>
    <col min="12" max="13" width="11.42578125" hidden="1" customWidth="1"/>
    <col min="14" max="14" width="11.42578125" customWidth="1"/>
  </cols>
  <sheetData>
    <row r="7" spans="1:18" ht="97.5" customHeight="1">
      <c r="B7" s="26"/>
      <c r="C7" s="1706" t="s">
        <v>5565</v>
      </c>
      <c r="D7" s="1712" t="s">
        <v>2647</v>
      </c>
      <c r="E7" s="1712" t="s">
        <v>4460</v>
      </c>
      <c r="F7" s="1712" t="s">
        <v>4466</v>
      </c>
      <c r="G7" s="1437" t="s">
        <v>68</v>
      </c>
      <c r="H7" s="1437" t="s">
        <v>4467</v>
      </c>
      <c r="I7" s="1437" t="s">
        <v>242</v>
      </c>
      <c r="J7" s="1437" t="s">
        <v>3332</v>
      </c>
      <c r="K7" s="1437" t="s">
        <v>2567</v>
      </c>
      <c r="L7" s="1437" t="s">
        <v>5158</v>
      </c>
      <c r="M7" s="1437" t="s">
        <v>2568</v>
      </c>
      <c r="N7" s="693"/>
    </row>
    <row r="8" spans="1:18">
      <c r="B8" s="827">
        <v>22266</v>
      </c>
      <c r="C8" s="293" t="s">
        <v>4461</v>
      </c>
      <c r="D8" s="1706">
        <v>24</v>
      </c>
      <c r="E8" s="1713">
        <v>0.8</v>
      </c>
      <c r="F8" s="1713">
        <f>+D8*E8</f>
        <v>19.200000000000003</v>
      </c>
      <c r="G8" s="1706">
        <v>0</v>
      </c>
      <c r="H8" s="1706">
        <f>+F8*G8</f>
        <v>0</v>
      </c>
      <c r="I8" s="1437" t="s">
        <v>242</v>
      </c>
      <c r="J8" s="1706">
        <v>179</v>
      </c>
      <c r="K8" s="23">
        <f>+J8/D8</f>
        <v>7.458333333333333</v>
      </c>
      <c r="L8" s="1706">
        <v>406</v>
      </c>
      <c r="M8" s="23">
        <f>+L8/D8</f>
        <v>16.916666666666668</v>
      </c>
      <c r="N8" s="21" t="s">
        <v>1130</v>
      </c>
      <c r="O8">
        <f>+D8*40</f>
        <v>960</v>
      </c>
      <c r="P8">
        <v>955</v>
      </c>
      <c r="Q8">
        <f>+O8-P8</f>
        <v>5</v>
      </c>
      <c r="R8" s="407">
        <f>+Q8/D8</f>
        <v>0.20833333333333334</v>
      </c>
    </row>
    <row r="9" spans="1:18">
      <c r="B9" s="827">
        <v>22267</v>
      </c>
      <c r="C9" s="293" t="s">
        <v>4463</v>
      </c>
      <c r="D9" s="1706">
        <v>24</v>
      </c>
      <c r="E9" s="1706">
        <v>0.75</v>
      </c>
      <c r="F9" s="1706">
        <f>+D9*E9</f>
        <v>18</v>
      </c>
      <c r="G9" s="1706">
        <v>0</v>
      </c>
      <c r="H9" s="1706">
        <f>+F9*G9</f>
        <v>0</v>
      </c>
      <c r="I9" s="1437" t="s">
        <v>242</v>
      </c>
      <c r="J9" s="1706">
        <v>183</v>
      </c>
      <c r="K9" s="23">
        <f>+J9/D9</f>
        <v>7.625</v>
      </c>
      <c r="L9" s="1706">
        <v>1027</v>
      </c>
      <c r="M9" s="23">
        <f>+L9/D9</f>
        <v>42.791666666666664</v>
      </c>
      <c r="N9" s="21" t="s">
        <v>1130</v>
      </c>
      <c r="O9">
        <f>+D9*40</f>
        <v>960</v>
      </c>
      <c r="P9">
        <v>907</v>
      </c>
      <c r="Q9" s="1594">
        <f t="shared" ref="Q9:Q12" si="0">+O9-P9</f>
        <v>53</v>
      </c>
      <c r="R9" s="407">
        <f t="shared" ref="R9:R12" si="1">+Q9/D9</f>
        <v>2.2083333333333335</v>
      </c>
    </row>
    <row r="10" spans="1:18">
      <c r="B10" s="827">
        <v>22268</v>
      </c>
      <c r="C10" s="293" t="s">
        <v>4462</v>
      </c>
      <c r="D10" s="1706">
        <v>24</v>
      </c>
      <c r="E10" s="1713">
        <v>0.7</v>
      </c>
      <c r="F10" s="1713">
        <f>+D10*E10</f>
        <v>16.799999999999997</v>
      </c>
      <c r="G10" s="1706" t="s">
        <v>5543</v>
      </c>
      <c r="H10" s="1706" t="e">
        <f>+F10*G10</f>
        <v>#VALUE!</v>
      </c>
      <c r="I10" s="1437" t="s">
        <v>242</v>
      </c>
      <c r="J10" s="1706">
        <v>457</v>
      </c>
      <c r="K10" s="23">
        <f>+J10/D10</f>
        <v>19.041666666666668</v>
      </c>
      <c r="L10" s="1706">
        <v>576</v>
      </c>
      <c r="M10" s="23">
        <f>+L10/D10</f>
        <v>24</v>
      </c>
      <c r="N10" s="21" t="s">
        <v>5564</v>
      </c>
      <c r="O10">
        <f>+D10*30</f>
        <v>720</v>
      </c>
      <c r="P10">
        <v>598</v>
      </c>
      <c r="Q10" s="1594">
        <f t="shared" si="0"/>
        <v>122</v>
      </c>
      <c r="R10" s="407">
        <f t="shared" si="1"/>
        <v>5.083333333333333</v>
      </c>
    </row>
    <row r="11" spans="1:18">
      <c r="B11" s="827">
        <v>22269</v>
      </c>
      <c r="C11" s="293" t="s">
        <v>4464</v>
      </c>
      <c r="D11" s="1706">
        <v>24</v>
      </c>
      <c r="E11" s="1706">
        <v>0.56000000000000005</v>
      </c>
      <c r="F11" s="1706">
        <f>+D11*E11</f>
        <v>13.440000000000001</v>
      </c>
      <c r="G11" s="1706" t="s">
        <v>675</v>
      </c>
      <c r="H11" s="1706" t="e">
        <f>+F11*G11</f>
        <v>#VALUE!</v>
      </c>
      <c r="I11" s="1437" t="s">
        <v>242</v>
      </c>
      <c r="J11" s="1706">
        <v>324</v>
      </c>
      <c r="K11" s="23">
        <f>+J11/D11</f>
        <v>13.5</v>
      </c>
      <c r="L11" s="1706">
        <v>70</v>
      </c>
      <c r="M11" s="23">
        <f>+L11/D11</f>
        <v>2.9166666666666665</v>
      </c>
      <c r="N11" s="21" t="s">
        <v>5542</v>
      </c>
      <c r="O11">
        <f>+D11*20</f>
        <v>480</v>
      </c>
      <c r="P11">
        <v>321</v>
      </c>
      <c r="Q11" s="1594">
        <f t="shared" si="0"/>
        <v>159</v>
      </c>
      <c r="R11" s="407">
        <f t="shared" si="1"/>
        <v>6.625</v>
      </c>
    </row>
    <row r="12" spans="1:18" ht="12" customHeight="1">
      <c r="B12" s="26">
        <v>22270</v>
      </c>
      <c r="C12" s="293" t="s">
        <v>4465</v>
      </c>
      <c r="D12" s="1706">
        <v>12</v>
      </c>
      <c r="E12" s="1360">
        <v>0.65</v>
      </c>
      <c r="F12" s="1713">
        <f>+D12*E12</f>
        <v>7.8000000000000007</v>
      </c>
      <c r="G12" s="1706" t="s">
        <v>546</v>
      </c>
      <c r="H12" s="1706" t="e">
        <f>+F12*G12</f>
        <v>#VALUE!</v>
      </c>
      <c r="I12" s="1437" t="s">
        <v>242</v>
      </c>
      <c r="J12" s="1706">
        <v>7</v>
      </c>
      <c r="K12" s="23">
        <f>+J12/D12</f>
        <v>0.58333333333333337</v>
      </c>
      <c r="L12" s="1706">
        <v>13</v>
      </c>
      <c r="M12" s="23">
        <f>+L12/D12</f>
        <v>1.0833333333333333</v>
      </c>
      <c r="N12" s="21" t="s">
        <v>268</v>
      </c>
      <c r="O12">
        <f>+D12*3</f>
        <v>36</v>
      </c>
      <c r="P12">
        <v>33</v>
      </c>
      <c r="Q12" s="1594">
        <f t="shared" si="0"/>
        <v>3</v>
      </c>
      <c r="R12" s="407">
        <f t="shared" si="1"/>
        <v>0.25</v>
      </c>
    </row>
    <row r="13" spans="1:18">
      <c r="C13" s="1715"/>
      <c r="D13" s="1715"/>
      <c r="E13" s="1715"/>
      <c r="F13" s="1715"/>
      <c r="G13" s="693"/>
      <c r="H13" s="1706" t="e">
        <f>SUM(H8:H12)</f>
        <v>#VALUE!</v>
      </c>
      <c r="I13" s="693"/>
      <c r="J13" s="693"/>
      <c r="K13" s="693"/>
      <c r="L13" s="693"/>
      <c r="M13" s="693"/>
      <c r="N13" s="693"/>
    </row>
    <row r="14" spans="1:18">
      <c r="C14" s="1218"/>
      <c r="D14" s="394"/>
      <c r="E14" s="394"/>
      <c r="F14" s="1718"/>
      <c r="G14" s="1923"/>
    </row>
    <row r="15" spans="1:18">
      <c r="C15" s="444"/>
      <c r="D15" s="1190"/>
      <c r="E15" s="1190"/>
      <c r="F15" s="1191"/>
      <c r="G15" s="1217"/>
    </row>
    <row r="16" spans="1:18">
      <c r="A16" t="s">
        <v>0</v>
      </c>
      <c r="B16" s="444" t="s">
        <v>122</v>
      </c>
      <c r="C16" s="1190" t="s">
        <v>1</v>
      </c>
      <c r="D16" s="1191"/>
      <c r="E16" s="1190" t="s">
        <v>547</v>
      </c>
    </row>
    <row r="17" spans="1:5">
      <c r="A17">
        <v>22266</v>
      </c>
      <c r="B17" s="444">
        <v>720</v>
      </c>
      <c r="C17" s="15" t="s">
        <v>4614</v>
      </c>
      <c r="D17" s="1191"/>
      <c r="E17" s="1190">
        <v>0.79</v>
      </c>
    </row>
    <row r="18" spans="1:5">
      <c r="A18">
        <v>22267</v>
      </c>
      <c r="B18" s="444">
        <v>960</v>
      </c>
      <c r="C18" s="15" t="s">
        <v>4615</v>
      </c>
      <c r="D18" s="1191"/>
      <c r="E18" s="1190">
        <v>0.75</v>
      </c>
    </row>
    <row r="19" spans="1:5">
      <c r="A19">
        <v>22268</v>
      </c>
      <c r="B19" s="444">
        <v>912</v>
      </c>
      <c r="C19" s="15" t="s">
        <v>4616</v>
      </c>
      <c r="D19" s="1191"/>
      <c r="E19" s="1190">
        <v>0.69</v>
      </c>
    </row>
    <row r="20" spans="1:5" ht="15.75" thickBot="1">
      <c r="A20">
        <v>22269</v>
      </c>
      <c r="B20" s="445">
        <v>720</v>
      </c>
      <c r="C20" s="1361" t="s">
        <v>4617</v>
      </c>
      <c r="D20" s="1216"/>
      <c r="E20" s="446">
        <v>0.55000000000000004</v>
      </c>
    </row>
    <row r="21" spans="1:5">
      <c r="A21">
        <v>22270</v>
      </c>
      <c r="B21" s="1299">
        <v>60</v>
      </c>
      <c r="C21" s="65" t="s">
        <v>4618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77"/>
  <sheetViews>
    <sheetView topLeftCell="A45" workbookViewId="0">
      <selection activeCell="A80" sqref="A80:AW184"/>
    </sheetView>
  </sheetViews>
  <sheetFormatPr baseColWidth="10" defaultRowHeight="15"/>
  <cols>
    <col min="1" max="1" width="11.42578125" style="25"/>
    <col min="2" max="2" width="54.5703125" style="25" customWidth="1"/>
    <col min="3" max="3" width="14.42578125" style="2113" customWidth="1"/>
    <col min="4" max="10" width="11.42578125" style="2113"/>
  </cols>
  <sheetData>
    <row r="4" spans="1:9" ht="30">
      <c r="A4" s="21" t="s">
        <v>0</v>
      </c>
      <c r="B4" s="21" t="s">
        <v>1</v>
      </c>
      <c r="C4" s="2114" t="s">
        <v>5767</v>
      </c>
      <c r="D4" s="2114" t="s">
        <v>2445</v>
      </c>
      <c r="E4" s="2114" t="s">
        <v>5768</v>
      </c>
      <c r="F4" s="2114" t="s">
        <v>110</v>
      </c>
      <c r="G4" s="2114"/>
      <c r="H4" s="2114" t="s">
        <v>111</v>
      </c>
      <c r="I4" s="2114"/>
    </row>
    <row r="5" spans="1:9">
      <c r="A5" s="21">
        <v>1319</v>
      </c>
      <c r="B5" s="21" t="s">
        <v>5695</v>
      </c>
      <c r="C5" s="2114" t="s">
        <v>4685</v>
      </c>
      <c r="D5" s="2114"/>
      <c r="E5" s="2114"/>
      <c r="F5" s="2114"/>
      <c r="G5" s="2114"/>
      <c r="H5" s="2114"/>
      <c r="I5" s="2114"/>
    </row>
    <row r="6" spans="1:9">
      <c r="A6" s="21">
        <v>2452</v>
      </c>
      <c r="B6" s="21" t="s">
        <v>5696</v>
      </c>
      <c r="C6" s="2114" t="s">
        <v>5794</v>
      </c>
      <c r="D6" s="2114"/>
      <c r="E6" s="2114"/>
      <c r="F6" s="2114"/>
      <c r="G6" s="2114"/>
      <c r="H6" s="2114"/>
      <c r="I6" s="2114"/>
    </row>
    <row r="7" spans="1:9">
      <c r="A7" s="21">
        <v>1356</v>
      </c>
      <c r="B7" s="21" t="s">
        <v>5697</v>
      </c>
      <c r="C7" s="2114" t="s">
        <v>5794</v>
      </c>
      <c r="D7" s="2114"/>
      <c r="E7" s="2114"/>
      <c r="F7" s="2114"/>
      <c r="G7" s="2114"/>
      <c r="H7" s="2114"/>
      <c r="I7" s="2114"/>
    </row>
    <row r="8" spans="1:9">
      <c r="A8" s="21">
        <v>7650</v>
      </c>
      <c r="B8" s="21" t="s">
        <v>5698</v>
      </c>
      <c r="C8" s="2114" t="s">
        <v>5794</v>
      </c>
      <c r="D8" s="2114"/>
      <c r="E8" s="2114"/>
      <c r="F8" s="2114"/>
      <c r="G8" s="2114"/>
      <c r="H8" s="2114"/>
      <c r="I8" s="2114"/>
    </row>
    <row r="9" spans="1:9">
      <c r="A9" s="21">
        <v>799</v>
      </c>
      <c r="B9" s="21" t="s">
        <v>5699</v>
      </c>
      <c r="C9" s="2114" t="s">
        <v>4685</v>
      </c>
      <c r="D9" s="2114"/>
      <c r="E9" s="2114"/>
      <c r="F9" s="2114"/>
      <c r="G9" s="2114"/>
      <c r="H9" s="2114"/>
      <c r="I9" s="2114"/>
    </row>
    <row r="10" spans="1:9">
      <c r="A10" s="21">
        <v>8232</v>
      </c>
      <c r="B10" s="21" t="s">
        <v>5700</v>
      </c>
      <c r="C10" s="2114" t="s">
        <v>3257</v>
      </c>
      <c r="D10" s="2114"/>
      <c r="E10" s="2114"/>
      <c r="F10" s="2114"/>
      <c r="G10" s="2114"/>
      <c r="H10" s="2114"/>
      <c r="I10" s="2114"/>
    </row>
    <row r="11" spans="1:9">
      <c r="A11" s="21">
        <v>8233</v>
      </c>
      <c r="B11" s="21" t="s">
        <v>5701</v>
      </c>
      <c r="C11" s="2114" t="s">
        <v>4685</v>
      </c>
      <c r="D11" s="2114"/>
      <c r="E11" s="2114"/>
      <c r="F11" s="2114"/>
      <c r="G11" s="2114"/>
      <c r="H11" s="2114"/>
      <c r="I11" s="2114"/>
    </row>
    <row r="12" spans="1:9">
      <c r="A12" s="21">
        <v>4876</v>
      </c>
      <c r="B12" s="21" t="s">
        <v>5702</v>
      </c>
      <c r="C12" s="2114" t="s">
        <v>3257</v>
      </c>
      <c r="D12" s="2114"/>
      <c r="E12" s="2114"/>
      <c r="F12" s="2114"/>
      <c r="G12" s="2114"/>
      <c r="H12" s="2114"/>
      <c r="I12" s="2114"/>
    </row>
    <row r="13" spans="1:9">
      <c r="A13" s="21">
        <v>7687</v>
      </c>
      <c r="B13" s="21" t="s">
        <v>5703</v>
      </c>
      <c r="C13" s="2114" t="s">
        <v>3257</v>
      </c>
      <c r="D13" s="2114"/>
      <c r="E13" s="2114"/>
      <c r="F13" s="2114"/>
      <c r="G13" s="2114"/>
      <c r="H13" s="2114"/>
      <c r="I13" s="2114"/>
    </row>
    <row r="14" spans="1:9">
      <c r="A14" s="21">
        <v>816</v>
      </c>
      <c r="B14" s="21" t="s">
        <v>5704</v>
      </c>
      <c r="C14" s="2114" t="s">
        <v>4685</v>
      </c>
      <c r="D14" s="2114"/>
      <c r="E14" s="2114"/>
      <c r="F14" s="2114"/>
      <c r="G14" s="2114"/>
      <c r="H14" s="2114"/>
      <c r="I14" s="2114"/>
    </row>
    <row r="15" spans="1:9">
      <c r="A15" s="21">
        <v>4878</v>
      </c>
      <c r="B15" s="21" t="s">
        <v>5705</v>
      </c>
      <c r="C15" s="2114" t="s">
        <v>5794</v>
      </c>
      <c r="D15" s="2114"/>
      <c r="E15" s="2114"/>
      <c r="F15" s="2114"/>
      <c r="G15" s="2114"/>
      <c r="H15" s="2114"/>
      <c r="I15" s="2114"/>
    </row>
    <row r="16" spans="1:9">
      <c r="A16" s="21">
        <v>6291</v>
      </c>
      <c r="B16" s="21" t="s">
        <v>5706</v>
      </c>
      <c r="C16" s="2114" t="s">
        <v>3257</v>
      </c>
      <c r="D16" s="2114"/>
      <c r="E16" s="2114"/>
      <c r="F16" s="2114"/>
      <c r="G16" s="2114"/>
      <c r="H16" s="2114"/>
      <c r="I16" s="2114"/>
    </row>
    <row r="17" spans="1:9">
      <c r="A17" s="21">
        <v>21155</v>
      </c>
      <c r="B17" s="21" t="s">
        <v>5707</v>
      </c>
      <c r="C17" s="2114" t="s">
        <v>5795</v>
      </c>
      <c r="D17" s="2114"/>
      <c r="E17" s="2114"/>
      <c r="F17" s="2114"/>
      <c r="G17" s="2114"/>
      <c r="H17" s="2114"/>
      <c r="I17" s="2114"/>
    </row>
    <row r="18" spans="1:9">
      <c r="A18" s="21">
        <v>11943</v>
      </c>
      <c r="B18" s="21" t="s">
        <v>5708</v>
      </c>
      <c r="C18" s="2114" t="s">
        <v>5795</v>
      </c>
      <c r="D18" s="2114"/>
      <c r="E18" s="2114"/>
      <c r="F18" s="2114"/>
      <c r="G18" s="2114"/>
      <c r="H18" s="2114"/>
      <c r="I18" s="2114"/>
    </row>
    <row r="19" spans="1:9">
      <c r="A19" s="21">
        <v>810</v>
      </c>
      <c r="B19" s="21" t="s">
        <v>5709</v>
      </c>
      <c r="C19" s="2114"/>
      <c r="D19" s="2114"/>
      <c r="E19" s="2114"/>
      <c r="F19" s="2114"/>
      <c r="G19" s="2114"/>
      <c r="H19" s="2114"/>
      <c r="I19" s="2114"/>
    </row>
    <row r="20" spans="1:9">
      <c r="A20" s="21">
        <v>3622</v>
      </c>
      <c r="B20" s="21" t="s">
        <v>5710</v>
      </c>
      <c r="C20" s="2114"/>
      <c r="D20" s="2114"/>
      <c r="E20" s="2114"/>
      <c r="F20" s="2114"/>
      <c r="G20" s="2114"/>
      <c r="H20" s="2114"/>
      <c r="I20" s="2114"/>
    </row>
    <row r="21" spans="1:9">
      <c r="A21" s="21">
        <v>818</v>
      </c>
      <c r="B21" s="21" t="s">
        <v>5711</v>
      </c>
      <c r="C21" s="2114" t="s">
        <v>268</v>
      </c>
      <c r="D21" s="2114"/>
      <c r="E21" s="2114"/>
      <c r="F21" s="2114"/>
      <c r="G21" s="2114"/>
      <c r="H21" s="2114"/>
      <c r="I21" s="2114"/>
    </row>
    <row r="22" spans="1:9">
      <c r="A22" s="21">
        <v>713</v>
      </c>
      <c r="B22" s="21" t="s">
        <v>5712</v>
      </c>
      <c r="C22" s="2114" t="s">
        <v>65</v>
      </c>
      <c r="D22" s="2114"/>
      <c r="E22" s="2114"/>
      <c r="F22" s="2114"/>
      <c r="G22" s="2114"/>
      <c r="H22" s="2114"/>
      <c r="I22" s="2114"/>
    </row>
    <row r="23" spans="1:9">
      <c r="A23" s="21">
        <v>3627</v>
      </c>
      <c r="B23" s="21" t="s">
        <v>5713</v>
      </c>
      <c r="C23" s="2114"/>
      <c r="D23" s="2114"/>
      <c r="E23" s="2114"/>
      <c r="F23" s="2114"/>
      <c r="G23" s="2114"/>
      <c r="H23" s="2114"/>
      <c r="I23" s="2114"/>
    </row>
    <row r="24" spans="1:9">
      <c r="A24" s="21">
        <v>10349</v>
      </c>
      <c r="B24" s="21" t="s">
        <v>5714</v>
      </c>
      <c r="C24" s="2114"/>
      <c r="D24" s="2114"/>
      <c r="E24" s="2114"/>
      <c r="F24" s="2114"/>
      <c r="G24" s="2114"/>
      <c r="H24" s="2114"/>
      <c r="I24" s="2114"/>
    </row>
    <row r="25" spans="1:9">
      <c r="A25" s="21">
        <v>10408</v>
      </c>
      <c r="B25" s="21" t="s">
        <v>5715</v>
      </c>
      <c r="C25" s="2114"/>
      <c r="D25" s="2114"/>
      <c r="E25" s="2114"/>
      <c r="F25" s="2114"/>
      <c r="G25" s="2114"/>
      <c r="H25" s="2114"/>
      <c r="I25" s="2114"/>
    </row>
    <row r="26" spans="1:9">
      <c r="A26" s="21">
        <v>7652</v>
      </c>
      <c r="B26" s="21" t="s">
        <v>5716</v>
      </c>
      <c r="C26" s="2114"/>
      <c r="D26" s="2114"/>
      <c r="E26" s="2114"/>
      <c r="F26" s="2114"/>
      <c r="G26" s="2114"/>
      <c r="H26" s="2114"/>
      <c r="I26" s="2114"/>
    </row>
    <row r="27" spans="1:9">
      <c r="A27" s="21">
        <v>710</v>
      </c>
      <c r="B27" s="21" t="s">
        <v>5717</v>
      </c>
      <c r="C27" s="2114"/>
      <c r="D27" s="2114"/>
      <c r="E27" s="2114"/>
      <c r="F27" s="2114"/>
      <c r="G27" s="2114"/>
      <c r="H27" s="2114"/>
      <c r="I27" s="2114"/>
    </row>
    <row r="28" spans="1:9">
      <c r="A28" s="21">
        <v>2245</v>
      </c>
      <c r="B28" s="21" t="s">
        <v>5718</v>
      </c>
      <c r="C28" s="2114" t="s">
        <v>556</v>
      </c>
      <c r="D28" s="2114"/>
      <c r="E28" s="2114"/>
      <c r="F28" s="2114"/>
      <c r="G28" s="2114"/>
      <c r="H28" s="2114"/>
      <c r="I28" s="2114"/>
    </row>
    <row r="29" spans="1:9">
      <c r="A29" s="21">
        <v>711</v>
      </c>
      <c r="B29" s="21" t="s">
        <v>5719</v>
      </c>
      <c r="C29" s="2114" t="s">
        <v>1318</v>
      </c>
      <c r="D29" s="2114"/>
      <c r="E29" s="2114"/>
      <c r="F29" s="2114"/>
      <c r="G29" s="2114"/>
      <c r="H29" s="2114"/>
      <c r="I29" s="2114"/>
    </row>
    <row r="30" spans="1:9">
      <c r="A30" s="21">
        <v>8238</v>
      </c>
      <c r="B30" s="21" t="s">
        <v>5720</v>
      </c>
      <c r="C30" s="2114"/>
      <c r="D30" s="2114"/>
      <c r="E30" s="2114"/>
      <c r="F30" s="2114"/>
      <c r="G30" s="2114"/>
      <c r="H30" s="2114"/>
      <c r="I30" s="2114"/>
    </row>
    <row r="31" spans="1:9">
      <c r="A31" s="21">
        <v>5244</v>
      </c>
      <c r="B31" s="21" t="s">
        <v>5721</v>
      </c>
      <c r="C31" s="2114"/>
      <c r="D31" s="2114"/>
      <c r="E31" s="2114"/>
      <c r="F31" s="2114"/>
      <c r="G31" s="2114"/>
      <c r="H31" s="2114"/>
      <c r="I31" s="2114"/>
    </row>
    <row r="32" spans="1:9">
      <c r="A32" s="21">
        <v>7655</v>
      </c>
      <c r="B32" s="21" t="s">
        <v>5722</v>
      </c>
      <c r="C32" s="2114"/>
      <c r="D32" s="2114"/>
      <c r="E32" s="2114"/>
      <c r="F32" s="2114"/>
      <c r="G32" s="2114"/>
      <c r="H32" s="2114"/>
      <c r="I32" s="2114"/>
    </row>
    <row r="33" spans="1:9">
      <c r="A33" s="21">
        <v>7653</v>
      </c>
      <c r="B33" s="21" t="s">
        <v>5723</v>
      </c>
      <c r="C33" s="2114"/>
      <c r="D33" s="2114"/>
      <c r="E33" s="2114"/>
      <c r="F33" s="2114"/>
      <c r="G33" s="2114"/>
      <c r="H33" s="2114"/>
      <c r="I33" s="2114"/>
    </row>
    <row r="34" spans="1:9">
      <c r="A34" s="21">
        <v>8236</v>
      </c>
      <c r="B34" s="21" t="s">
        <v>5724</v>
      </c>
      <c r="C34" s="2114"/>
      <c r="D34" s="2114"/>
      <c r="E34" s="2114"/>
      <c r="F34" s="2114"/>
      <c r="G34" s="2114"/>
      <c r="H34" s="2114"/>
      <c r="I34" s="2114"/>
    </row>
    <row r="35" spans="1:9">
      <c r="A35" s="21">
        <v>8237</v>
      </c>
      <c r="B35" s="21" t="s">
        <v>5725</v>
      </c>
      <c r="C35" s="2114"/>
      <c r="D35" s="2114"/>
      <c r="E35" s="2114"/>
      <c r="F35" s="2114"/>
      <c r="G35" s="2114"/>
      <c r="H35" s="2114"/>
      <c r="I35" s="2114"/>
    </row>
    <row r="36" spans="1:9">
      <c r="A36" s="21">
        <v>11940</v>
      </c>
      <c r="B36" s="21" t="s">
        <v>5726</v>
      </c>
      <c r="C36" s="2114"/>
      <c r="D36" s="2114"/>
      <c r="E36" s="2114"/>
      <c r="F36" s="2114"/>
      <c r="G36" s="2114"/>
      <c r="H36" s="2114"/>
      <c r="I36" s="2114"/>
    </row>
    <row r="37" spans="1:9">
      <c r="A37" s="21">
        <v>11941</v>
      </c>
      <c r="B37" s="21" t="s">
        <v>5727</v>
      </c>
      <c r="C37" s="2114"/>
      <c r="D37" s="2114"/>
      <c r="E37" s="2114"/>
      <c r="F37" s="2114"/>
      <c r="G37" s="2114"/>
      <c r="H37" s="2114"/>
      <c r="I37" s="2114"/>
    </row>
    <row r="38" spans="1:9">
      <c r="A38" s="21">
        <v>11942</v>
      </c>
      <c r="B38" s="21" t="s">
        <v>5728</v>
      </c>
      <c r="C38" s="2114"/>
      <c r="D38" s="2114"/>
      <c r="E38" s="2114"/>
      <c r="F38" s="2114"/>
      <c r="G38" s="2114"/>
      <c r="H38" s="2114"/>
      <c r="I38" s="2114"/>
    </row>
    <row r="39" spans="1:9">
      <c r="A39" s="21">
        <v>6740</v>
      </c>
      <c r="B39" s="21" t="s">
        <v>5729</v>
      </c>
      <c r="C39" s="2114" t="s">
        <v>244</v>
      </c>
      <c r="D39" s="2114"/>
      <c r="E39" s="2114"/>
      <c r="F39" s="2114"/>
      <c r="G39" s="2114"/>
      <c r="H39" s="2114"/>
      <c r="I39" s="2114"/>
    </row>
    <row r="40" spans="1:9">
      <c r="A40" s="21">
        <v>7085</v>
      </c>
      <c r="B40" s="21" t="s">
        <v>5730</v>
      </c>
      <c r="C40" s="2114" t="s">
        <v>244</v>
      </c>
      <c r="D40" s="2114"/>
      <c r="E40" s="2114"/>
      <c r="F40" s="2114"/>
      <c r="G40" s="2114"/>
      <c r="H40" s="2114"/>
      <c r="I40" s="2114"/>
    </row>
    <row r="41" spans="1:9">
      <c r="A41" s="21">
        <v>9351</v>
      </c>
      <c r="B41" s="21" t="s">
        <v>5731</v>
      </c>
      <c r="C41" s="2114"/>
      <c r="D41" s="2114"/>
      <c r="E41" s="2114"/>
      <c r="F41" s="2114"/>
      <c r="G41" s="2114"/>
      <c r="H41" s="2114"/>
      <c r="I41" s="2114"/>
    </row>
    <row r="42" spans="1:9">
      <c r="A42" s="21">
        <v>815</v>
      </c>
      <c r="B42" s="21" t="s">
        <v>5732</v>
      </c>
      <c r="C42" s="2114"/>
      <c r="D42" s="2114"/>
      <c r="E42" s="2114"/>
      <c r="F42" s="2114"/>
      <c r="G42" s="2114"/>
      <c r="H42" s="2114"/>
      <c r="I42" s="2114"/>
    </row>
    <row r="43" spans="1:9">
      <c r="A43" s="21">
        <v>15004</v>
      </c>
      <c r="B43" s="21" t="s">
        <v>5733</v>
      </c>
      <c r="C43" s="2114" t="s">
        <v>244</v>
      </c>
      <c r="D43" s="2114"/>
      <c r="E43" s="2114"/>
      <c r="F43" s="2114"/>
      <c r="G43" s="2114"/>
      <c r="H43" s="2114"/>
      <c r="I43" s="2114"/>
    </row>
    <row r="44" spans="1:9">
      <c r="A44" s="21">
        <v>3625</v>
      </c>
      <c r="B44" s="21" t="s">
        <v>5734</v>
      </c>
      <c r="C44" s="2114"/>
      <c r="D44" s="2114"/>
      <c r="E44" s="2114"/>
      <c r="F44" s="2114"/>
      <c r="G44" s="2114"/>
      <c r="H44" s="2114"/>
      <c r="I44" s="2114"/>
    </row>
    <row r="45" spans="1:9">
      <c r="A45" s="21">
        <v>4881</v>
      </c>
      <c r="B45" s="21" t="s">
        <v>5735</v>
      </c>
      <c r="C45" s="2114"/>
      <c r="D45" s="2114"/>
      <c r="E45" s="2114"/>
      <c r="F45" s="2114"/>
      <c r="G45" s="2114"/>
      <c r="H45" s="2114"/>
      <c r="I45" s="2114"/>
    </row>
    <row r="46" spans="1:9">
      <c r="A46" s="21">
        <v>3626</v>
      </c>
      <c r="B46" s="21" t="s">
        <v>5736</v>
      </c>
      <c r="C46" s="2114"/>
      <c r="D46" s="2114"/>
      <c r="E46" s="2114"/>
      <c r="F46" s="2114"/>
      <c r="G46" s="2114"/>
      <c r="H46" s="2114"/>
      <c r="I46" s="2114"/>
    </row>
    <row r="47" spans="1:9">
      <c r="A47" s="21">
        <v>856</v>
      </c>
      <c r="B47" s="21" t="s">
        <v>5737</v>
      </c>
      <c r="C47" s="2114"/>
      <c r="D47" s="2114"/>
      <c r="E47" s="2114"/>
      <c r="F47" s="2114"/>
      <c r="G47" s="2114"/>
      <c r="H47" s="2114"/>
      <c r="I47" s="2114"/>
    </row>
    <row r="48" spans="1:9">
      <c r="A48" s="21">
        <v>9350</v>
      </c>
      <c r="B48" s="21" t="s">
        <v>5738</v>
      </c>
      <c r="C48" s="2114"/>
      <c r="D48" s="2114"/>
      <c r="E48" s="2114"/>
      <c r="F48" s="2114"/>
      <c r="G48" s="2114"/>
      <c r="H48" s="2114"/>
      <c r="I48" s="2114"/>
    </row>
    <row r="49" spans="1:9">
      <c r="A49" s="21">
        <v>4887</v>
      </c>
      <c r="B49" s="21" t="s">
        <v>5739</v>
      </c>
      <c r="C49" s="2114"/>
      <c r="D49" s="2114"/>
      <c r="E49" s="2114"/>
      <c r="F49" s="2114"/>
      <c r="G49" s="2114"/>
      <c r="H49" s="2114"/>
      <c r="I49" s="2114"/>
    </row>
    <row r="50" spans="1:9">
      <c r="A50" s="21">
        <v>5205</v>
      </c>
      <c r="B50" s="21" t="s">
        <v>5740</v>
      </c>
      <c r="C50" s="2114" t="s">
        <v>244</v>
      </c>
      <c r="D50" s="2114"/>
      <c r="E50" s="2114"/>
      <c r="F50" s="2114"/>
      <c r="G50" s="2114"/>
      <c r="H50" s="2114"/>
      <c r="I50" s="2114"/>
    </row>
    <row r="51" spans="1:9">
      <c r="A51" s="21">
        <v>5242</v>
      </c>
      <c r="B51" s="21" t="s">
        <v>5741</v>
      </c>
      <c r="C51" s="2114" t="s">
        <v>268</v>
      </c>
      <c r="D51" s="2114"/>
      <c r="E51" s="2114"/>
      <c r="F51" s="2114"/>
      <c r="G51" s="2114"/>
      <c r="H51" s="2114"/>
      <c r="I51" s="2114"/>
    </row>
    <row r="52" spans="1:9">
      <c r="A52" s="21">
        <v>5204</v>
      </c>
      <c r="B52" s="21" t="s">
        <v>5742</v>
      </c>
      <c r="C52" s="2114"/>
      <c r="D52" s="2114"/>
      <c r="E52" s="2114"/>
      <c r="F52" s="2114"/>
      <c r="G52" s="2114"/>
      <c r="H52" s="2114"/>
      <c r="I52" s="2114"/>
    </row>
    <row r="53" spans="1:9">
      <c r="A53" s="21">
        <v>2476</v>
      </c>
      <c r="B53" s="21" t="s">
        <v>5743</v>
      </c>
      <c r="C53" s="2114"/>
      <c r="D53" s="2114"/>
      <c r="E53" s="2114"/>
      <c r="F53" s="2114"/>
      <c r="G53" s="2114"/>
      <c r="H53" s="2114"/>
      <c r="I53" s="2114"/>
    </row>
    <row r="54" spans="1:9">
      <c r="A54" s="21">
        <v>1374</v>
      </c>
      <c r="B54" s="21" t="s">
        <v>5744</v>
      </c>
      <c r="C54" s="2114" t="s">
        <v>244</v>
      </c>
      <c r="D54" s="2114"/>
      <c r="E54" s="2114"/>
      <c r="F54" s="2114"/>
      <c r="G54" s="2114"/>
      <c r="H54" s="2114"/>
      <c r="I54" s="2114"/>
    </row>
    <row r="55" spans="1:9">
      <c r="A55" s="21">
        <v>7651</v>
      </c>
      <c r="B55" s="21" t="s">
        <v>5745</v>
      </c>
      <c r="C55" s="2114"/>
      <c r="D55" s="2114"/>
      <c r="E55" s="2114"/>
      <c r="F55" s="2114"/>
      <c r="G55" s="2114"/>
      <c r="H55" s="2114"/>
      <c r="I55" s="2114"/>
    </row>
    <row r="56" spans="1:9">
      <c r="A56" s="21">
        <v>4883</v>
      </c>
      <c r="B56" s="21" t="s">
        <v>5746</v>
      </c>
      <c r="C56" s="2114"/>
      <c r="D56" s="2114"/>
      <c r="E56" s="2114"/>
      <c r="F56" s="2114"/>
      <c r="G56" s="2114"/>
      <c r="H56" s="2114"/>
      <c r="I56" s="2114"/>
    </row>
    <row r="57" spans="1:9">
      <c r="A57" s="21">
        <v>1390</v>
      </c>
      <c r="B57" s="21" t="s">
        <v>5747</v>
      </c>
      <c r="C57" s="2114" t="s">
        <v>244</v>
      </c>
      <c r="D57" s="2114"/>
      <c r="E57" s="2114"/>
      <c r="F57" s="2114"/>
      <c r="G57" s="2114"/>
      <c r="H57" s="2114"/>
      <c r="I57" s="2114"/>
    </row>
    <row r="58" spans="1:9">
      <c r="A58" s="21">
        <v>9117</v>
      </c>
      <c r="B58" s="21" t="s">
        <v>5748</v>
      </c>
      <c r="C58" s="2114" t="s">
        <v>1321</v>
      </c>
      <c r="D58" s="2114"/>
      <c r="E58" s="2114"/>
      <c r="F58" s="2114"/>
      <c r="G58" s="2114"/>
      <c r="H58" s="2114"/>
      <c r="I58" s="2114"/>
    </row>
    <row r="59" spans="1:9">
      <c r="A59" s="21">
        <v>4884</v>
      </c>
      <c r="B59" s="21" t="s">
        <v>5749</v>
      </c>
      <c r="C59" s="2114"/>
      <c r="D59" s="2114"/>
      <c r="E59" s="2114"/>
      <c r="F59" s="2114"/>
      <c r="G59" s="2114"/>
      <c r="H59" s="2114"/>
      <c r="I59" s="2114"/>
    </row>
    <row r="60" spans="1:9">
      <c r="A60" s="21">
        <v>1393</v>
      </c>
      <c r="B60" s="21" t="s">
        <v>5750</v>
      </c>
      <c r="C60" s="2114" t="s">
        <v>244</v>
      </c>
      <c r="D60" s="2114"/>
      <c r="E60" s="2114"/>
      <c r="F60" s="2114"/>
      <c r="G60" s="2114"/>
      <c r="H60" s="2114"/>
      <c r="I60" s="2114"/>
    </row>
    <row r="61" spans="1:9">
      <c r="A61" s="21">
        <v>861</v>
      </c>
      <c r="B61" s="21" t="s">
        <v>5751</v>
      </c>
      <c r="C61" s="2114"/>
      <c r="D61" s="2114"/>
      <c r="E61" s="2114"/>
      <c r="F61" s="2114"/>
      <c r="G61" s="2114"/>
      <c r="H61" s="2114"/>
      <c r="I61" s="2114"/>
    </row>
    <row r="62" spans="1:9">
      <c r="A62" s="21">
        <v>6293</v>
      </c>
      <c r="B62" s="21" t="s">
        <v>5752</v>
      </c>
      <c r="C62" s="2114" t="s">
        <v>244</v>
      </c>
      <c r="D62" s="2114"/>
      <c r="E62" s="2114"/>
      <c r="F62" s="2114"/>
      <c r="G62" s="2114"/>
      <c r="H62" s="2114"/>
      <c r="I62" s="2114"/>
    </row>
    <row r="63" spans="1:9">
      <c r="A63" s="21">
        <v>6292</v>
      </c>
      <c r="B63" s="21" t="s">
        <v>5753</v>
      </c>
      <c r="C63" s="2114" t="s">
        <v>244</v>
      </c>
      <c r="D63" s="2114"/>
      <c r="E63" s="2114"/>
      <c r="F63" s="2114"/>
      <c r="G63" s="2114"/>
      <c r="H63" s="2114"/>
      <c r="I63" s="2114"/>
    </row>
    <row r="64" spans="1:9">
      <c r="A64" s="21">
        <v>8898</v>
      </c>
      <c r="B64" s="21" t="s">
        <v>5754</v>
      </c>
      <c r="C64" s="2114"/>
      <c r="D64" s="2114"/>
      <c r="E64" s="2114"/>
      <c r="F64" s="2114"/>
      <c r="G64" s="2114"/>
      <c r="H64" s="2114"/>
      <c r="I64" s="2114"/>
    </row>
    <row r="65" spans="1:9">
      <c r="A65" s="21">
        <v>8899</v>
      </c>
      <c r="B65" s="21" t="s">
        <v>5755</v>
      </c>
      <c r="C65" s="2114"/>
      <c r="D65" s="2114"/>
      <c r="E65" s="2114"/>
      <c r="F65" s="2114"/>
      <c r="G65" s="2114"/>
      <c r="H65" s="2114"/>
      <c r="I65" s="2114"/>
    </row>
    <row r="66" spans="1:9">
      <c r="A66" s="21">
        <v>7688</v>
      </c>
      <c r="B66" s="21" t="s">
        <v>5756</v>
      </c>
      <c r="C66" s="2114" t="s">
        <v>268</v>
      </c>
      <c r="D66" s="2114"/>
      <c r="E66" s="2114"/>
      <c r="F66" s="2114"/>
      <c r="G66" s="2114"/>
      <c r="H66" s="2114"/>
      <c r="I66" s="2114"/>
    </row>
    <row r="67" spans="1:9">
      <c r="A67" s="21">
        <v>4886</v>
      </c>
      <c r="B67" s="21" t="s">
        <v>5757</v>
      </c>
      <c r="C67" s="2114"/>
      <c r="D67" s="2114"/>
      <c r="E67" s="2114"/>
      <c r="F67" s="2114"/>
      <c r="G67" s="2114"/>
      <c r="H67" s="2114"/>
      <c r="I67" s="2114"/>
    </row>
    <row r="68" spans="1:9">
      <c r="A68" s="21">
        <v>1385</v>
      </c>
      <c r="B68" s="21" t="s">
        <v>5758</v>
      </c>
      <c r="C68" s="2114"/>
      <c r="D68" s="2114"/>
      <c r="E68" s="2114"/>
      <c r="F68" s="2114"/>
      <c r="G68" s="2114"/>
      <c r="H68" s="2114"/>
      <c r="I68" s="2114"/>
    </row>
    <row r="69" spans="1:9">
      <c r="A69" s="21">
        <v>10822</v>
      </c>
      <c r="B69" s="21" t="s">
        <v>5759</v>
      </c>
      <c r="C69" s="2114"/>
      <c r="D69" s="2114"/>
      <c r="E69" s="2114"/>
      <c r="F69" s="2114"/>
      <c r="G69" s="2114"/>
      <c r="H69" s="2114"/>
      <c r="I69" s="2114"/>
    </row>
    <row r="70" spans="1:9">
      <c r="A70" s="21">
        <v>4882</v>
      </c>
      <c r="B70" s="21" t="s">
        <v>5760</v>
      </c>
      <c r="C70" s="2114"/>
      <c r="D70" s="2114"/>
      <c r="E70" s="2114"/>
      <c r="F70" s="2114"/>
      <c r="G70" s="2114"/>
      <c r="H70" s="2114"/>
      <c r="I70" s="2114"/>
    </row>
    <row r="71" spans="1:9">
      <c r="A71" s="21">
        <v>12726</v>
      </c>
      <c r="B71" s="21" t="s">
        <v>5761</v>
      </c>
      <c r="C71" s="2114"/>
      <c r="D71" s="2114"/>
      <c r="E71" s="2114"/>
      <c r="F71" s="2114"/>
      <c r="G71" s="2114"/>
      <c r="H71" s="2114"/>
      <c r="I71" s="2114"/>
    </row>
    <row r="72" spans="1:9">
      <c r="A72" s="21">
        <v>801</v>
      </c>
      <c r="B72" s="21" t="s">
        <v>5762</v>
      </c>
      <c r="C72" s="2114"/>
      <c r="D72" s="2114"/>
      <c r="E72" s="2114"/>
      <c r="F72" s="2114"/>
      <c r="G72" s="2114"/>
      <c r="H72" s="2114"/>
      <c r="I72" s="2114"/>
    </row>
    <row r="73" spans="1:9">
      <c r="A73" s="21">
        <v>10618</v>
      </c>
      <c r="B73" s="21" t="s">
        <v>5763</v>
      </c>
      <c r="C73" s="2114"/>
      <c r="D73" s="2114"/>
      <c r="E73" s="2114"/>
      <c r="F73" s="2114"/>
      <c r="G73" s="2114"/>
      <c r="H73" s="2114"/>
      <c r="I73" s="2114"/>
    </row>
    <row r="74" spans="1:9">
      <c r="A74" s="21">
        <v>10348</v>
      </c>
      <c r="B74" s="21" t="s">
        <v>5764</v>
      </c>
      <c r="C74" s="2114" t="s">
        <v>244</v>
      </c>
      <c r="D74" s="2114"/>
      <c r="E74" s="2114"/>
      <c r="F74" s="2114"/>
      <c r="G74" s="2114"/>
      <c r="H74" s="2114"/>
      <c r="I74" s="2114"/>
    </row>
    <row r="75" spans="1:9">
      <c r="A75" s="21">
        <v>6904</v>
      </c>
      <c r="B75" s="21" t="s">
        <v>5765</v>
      </c>
      <c r="C75" s="2114" t="s">
        <v>1321</v>
      </c>
      <c r="D75" s="2114"/>
      <c r="E75" s="2114"/>
      <c r="F75" s="2114"/>
      <c r="G75" s="2114"/>
      <c r="H75" s="2114"/>
      <c r="I75" s="2114"/>
    </row>
    <row r="76" spans="1:9">
      <c r="A76" s="21">
        <v>6742</v>
      </c>
      <c r="B76" s="21" t="s">
        <v>5766</v>
      </c>
      <c r="C76" s="2114" t="s">
        <v>3717</v>
      </c>
      <c r="D76" s="2114"/>
      <c r="E76" s="2114"/>
      <c r="F76" s="2114"/>
      <c r="G76" s="2114"/>
      <c r="H76" s="2114"/>
      <c r="I76" s="2114"/>
    </row>
    <row r="77" spans="1:9">
      <c r="A77" s="21"/>
      <c r="B77" s="21"/>
      <c r="C77" s="2114"/>
      <c r="D77" s="2114"/>
      <c r="E77" s="2114"/>
      <c r="F77" s="2114"/>
      <c r="G77" s="2114"/>
      <c r="H77" s="2114"/>
      <c r="I77" s="2114"/>
    </row>
  </sheetData>
  <pageMargins left="0.7" right="0.7" top="0.75" bottom="0.75" header="0.3" footer="0.3"/>
  <pageSetup paperSize="9" orientation="portrait" horizontalDpi="0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K15"/>
  <sheetViews>
    <sheetView workbookViewId="0">
      <selection activeCell="F24" sqref="F24"/>
    </sheetView>
  </sheetViews>
  <sheetFormatPr baseColWidth="10" defaultRowHeight="15"/>
  <cols>
    <col min="3" max="3" width="11.42578125" style="337" customWidth="1"/>
    <col min="4" max="4" width="11.42578125" style="358" customWidth="1"/>
    <col min="5" max="5" width="11.42578125" style="911" customWidth="1"/>
    <col min="6" max="6" width="54" customWidth="1"/>
    <col min="7" max="7" width="18.42578125" customWidth="1"/>
    <col min="8" max="8" width="15.140625" style="336" customWidth="1"/>
    <col min="9" max="9" width="11.7109375" style="336" customWidth="1"/>
    <col min="10" max="10" width="13.42578125" customWidth="1"/>
    <col min="11" max="11" width="14.140625" customWidth="1"/>
  </cols>
  <sheetData>
    <row r="2" spans="2:11">
      <c r="B2" s="25"/>
      <c r="C2" s="938">
        <v>44574</v>
      </c>
      <c r="D2" s="938">
        <v>44574</v>
      </c>
      <c r="E2" s="938">
        <v>44574</v>
      </c>
      <c r="F2" s="25"/>
      <c r="G2" s="25"/>
      <c r="H2" s="373"/>
      <c r="I2" s="373"/>
    </row>
    <row r="3" spans="2:11">
      <c r="B3" s="25"/>
      <c r="C3" s="101" t="s">
        <v>1513</v>
      </c>
      <c r="D3" s="101" t="s">
        <v>1514</v>
      </c>
      <c r="E3" s="101" t="s">
        <v>3751</v>
      </c>
      <c r="F3" s="25" t="s">
        <v>65</v>
      </c>
      <c r="G3" s="25"/>
      <c r="H3" s="373"/>
      <c r="I3" s="373"/>
    </row>
    <row r="4" spans="2:11" ht="60">
      <c r="B4" s="21" t="s">
        <v>0</v>
      </c>
      <c r="C4" s="910" t="s">
        <v>547</v>
      </c>
      <c r="D4" s="910" t="s">
        <v>547</v>
      </c>
      <c r="E4" s="910" t="s">
        <v>547</v>
      </c>
      <c r="F4" s="940" t="s">
        <v>107</v>
      </c>
      <c r="G4" s="941" t="s">
        <v>19</v>
      </c>
      <c r="H4" s="942" t="s">
        <v>20</v>
      </c>
      <c r="I4" s="943" t="s">
        <v>21</v>
      </c>
      <c r="J4" s="944" t="s">
        <v>23</v>
      </c>
      <c r="K4" s="941" t="s">
        <v>24</v>
      </c>
    </row>
    <row r="5" spans="2:11">
      <c r="B5" s="21">
        <v>17684</v>
      </c>
      <c r="C5" s="910">
        <v>2.25</v>
      </c>
      <c r="D5" s="910"/>
      <c r="E5" s="910"/>
      <c r="F5" s="945" t="s">
        <v>1327</v>
      </c>
      <c r="G5" s="946" t="s">
        <v>558</v>
      </c>
      <c r="H5" s="947" t="s">
        <v>3727</v>
      </c>
      <c r="I5" s="947" t="s">
        <v>555</v>
      </c>
      <c r="J5" s="940" t="s">
        <v>546</v>
      </c>
      <c r="K5" s="940" t="s">
        <v>591</v>
      </c>
    </row>
    <row r="6" spans="2:11">
      <c r="B6" s="21">
        <v>17686</v>
      </c>
      <c r="C6" s="910">
        <v>0.74</v>
      </c>
      <c r="D6" s="910">
        <v>0.91</v>
      </c>
      <c r="E6" s="910">
        <v>0.83</v>
      </c>
      <c r="F6" s="945" t="s">
        <v>1328</v>
      </c>
      <c r="G6" s="946" t="s">
        <v>589</v>
      </c>
      <c r="H6" s="948" t="s">
        <v>555</v>
      </c>
      <c r="I6" s="948" t="s">
        <v>1133</v>
      </c>
      <c r="J6" s="940" t="s">
        <v>677</v>
      </c>
      <c r="K6" s="940" t="s">
        <v>546</v>
      </c>
    </row>
    <row r="7" spans="2:11">
      <c r="B7" s="21">
        <v>17687</v>
      </c>
      <c r="C7" s="910">
        <v>0.95</v>
      </c>
      <c r="D7" s="910">
        <v>1.05</v>
      </c>
      <c r="E7" s="910">
        <v>1</v>
      </c>
      <c r="F7" s="945" t="s">
        <v>1329</v>
      </c>
      <c r="G7" s="946" t="s">
        <v>590</v>
      </c>
      <c r="H7" s="948" t="s">
        <v>3727</v>
      </c>
      <c r="I7" s="948" t="s">
        <v>591</v>
      </c>
      <c r="J7" s="940" t="s">
        <v>555</v>
      </c>
      <c r="K7" s="940" t="s">
        <v>591</v>
      </c>
    </row>
    <row r="8" spans="2:11">
      <c r="B8" s="21">
        <v>17689</v>
      </c>
      <c r="C8" s="910">
        <v>2.41</v>
      </c>
      <c r="D8" s="910"/>
      <c r="E8" s="910"/>
      <c r="F8" s="945" t="s">
        <v>1330</v>
      </c>
      <c r="G8" s="946" t="s">
        <v>591</v>
      </c>
      <c r="H8" s="948" t="s">
        <v>591</v>
      </c>
      <c r="I8" s="948" t="s">
        <v>591</v>
      </c>
      <c r="J8" s="940" t="s">
        <v>546</v>
      </c>
      <c r="K8" s="940" t="s">
        <v>591</v>
      </c>
    </row>
    <row r="9" spans="2:11">
      <c r="B9" s="21">
        <v>17690</v>
      </c>
      <c r="C9" s="910">
        <v>0.7</v>
      </c>
      <c r="D9" s="910">
        <v>0.95</v>
      </c>
      <c r="E9" s="910">
        <v>0.81</v>
      </c>
      <c r="F9" s="945" t="s">
        <v>1331</v>
      </c>
      <c r="G9" s="940" t="s">
        <v>589</v>
      </c>
      <c r="H9" s="948" t="s">
        <v>546</v>
      </c>
      <c r="I9" s="948" t="s">
        <v>1133</v>
      </c>
      <c r="J9" s="940" t="s">
        <v>546</v>
      </c>
      <c r="K9" s="940" t="s">
        <v>546</v>
      </c>
    </row>
    <row r="10" spans="2:11">
      <c r="B10" s="21">
        <v>17677</v>
      </c>
      <c r="C10" s="910">
        <v>0.95</v>
      </c>
      <c r="D10" s="910"/>
      <c r="E10" s="910">
        <v>0.89</v>
      </c>
      <c r="F10" s="945" t="s">
        <v>1332</v>
      </c>
      <c r="G10" s="940" t="s">
        <v>591</v>
      </c>
      <c r="H10" s="948" t="s">
        <v>591</v>
      </c>
      <c r="I10" s="948" t="s">
        <v>591</v>
      </c>
      <c r="J10" s="940" t="s">
        <v>546</v>
      </c>
      <c r="K10" s="940" t="s">
        <v>555</v>
      </c>
    </row>
    <row r="11" spans="2:11">
      <c r="B11" s="556">
        <v>20605</v>
      </c>
      <c r="C11" s="556">
        <v>0.92</v>
      </c>
      <c r="D11" s="556"/>
      <c r="E11" s="556"/>
      <c r="F11" s="949" t="s">
        <v>3753</v>
      </c>
      <c r="G11" s="950" t="s">
        <v>591</v>
      </c>
      <c r="H11" s="947" t="s">
        <v>591</v>
      </c>
      <c r="I11" s="947" t="s">
        <v>591</v>
      </c>
      <c r="J11" s="951" t="s">
        <v>555</v>
      </c>
      <c r="K11" s="940" t="s">
        <v>591</v>
      </c>
    </row>
    <row r="12" spans="2:11">
      <c r="B12" s="939">
        <v>20851</v>
      </c>
      <c r="C12" s="939">
        <v>0.76</v>
      </c>
      <c r="D12" s="939"/>
      <c r="E12" s="939"/>
      <c r="F12" s="949" t="s">
        <v>3752</v>
      </c>
      <c r="G12" s="950" t="s">
        <v>591</v>
      </c>
      <c r="H12" s="947" t="s">
        <v>591</v>
      </c>
      <c r="I12" s="947" t="s">
        <v>591</v>
      </c>
      <c r="J12" s="951" t="s">
        <v>677</v>
      </c>
      <c r="K12" s="940" t="s">
        <v>591</v>
      </c>
    </row>
    <row r="13" spans="2:11">
      <c r="B13" s="217"/>
      <c r="C13" s="217"/>
      <c r="D13" s="217"/>
      <c r="E13" s="217"/>
      <c r="F13" s="217"/>
      <c r="G13" s="217"/>
    </row>
    <row r="14" spans="2:11">
      <c r="B14" s="217"/>
      <c r="C14" s="217"/>
      <c r="D14" s="217"/>
      <c r="E14" s="217"/>
      <c r="F14" s="217"/>
      <c r="G14" s="473"/>
    </row>
    <row r="15" spans="2:11">
      <c r="B15" s="217"/>
      <c r="C15" s="217"/>
      <c r="D15" s="217"/>
      <c r="E15" s="217"/>
      <c r="F15" s="217"/>
      <c r="G15" s="473"/>
    </row>
  </sheetData>
  <pageMargins left="0.7" right="0.7" top="0.75" bottom="0.75" header="0.3" footer="0.3"/>
  <pageSetup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1"/>
  <sheetViews>
    <sheetView topLeftCell="I1" workbookViewId="0">
      <selection activeCell="AD8" sqref="AD8"/>
    </sheetView>
  </sheetViews>
  <sheetFormatPr baseColWidth="10" defaultRowHeight="19.5" customHeight="1"/>
  <cols>
    <col min="1" max="1" width="11.42578125" style="1967"/>
    <col min="2" max="2" width="11.42578125" style="1636" hidden="1" customWidth="1"/>
    <col min="3" max="3" width="30.5703125" style="1636" customWidth="1"/>
    <col min="4" max="4" width="11.42578125" style="1636" hidden="1" customWidth="1"/>
    <col min="5" max="8" width="11.42578125" style="1637" hidden="1" customWidth="1"/>
    <col min="9" max="9" width="11.42578125" style="1637"/>
    <col min="10" max="12" width="11.42578125" style="1637" hidden="1" customWidth="1"/>
    <col min="13" max="13" width="11.42578125" style="1658" hidden="1" customWidth="1"/>
    <col min="14" max="14" width="11.42578125" style="1637" hidden="1" customWidth="1"/>
    <col min="15" max="16" width="11.42578125" style="1638"/>
    <col min="18" max="18" width="12.5703125" bestFit="1" customWidth="1"/>
  </cols>
  <sheetData>
    <row r="1" spans="1:33" ht="19.5" customHeight="1">
      <c r="I1" s="2370" t="s">
        <v>5602</v>
      </c>
      <c r="J1" s="2370"/>
      <c r="K1" s="2370"/>
      <c r="L1" s="2370"/>
      <c r="M1" s="2370"/>
      <c r="N1" s="2370"/>
      <c r="O1" s="2370"/>
    </row>
    <row r="2" spans="1:33" ht="33.75" customHeight="1">
      <c r="A2" s="1968" t="s">
        <v>116</v>
      </c>
      <c r="B2" s="1934" t="s">
        <v>5242</v>
      </c>
      <c r="C2" s="1934" t="s">
        <v>65</v>
      </c>
      <c r="D2" s="1934" t="s">
        <v>5243</v>
      </c>
      <c r="E2" s="1934" t="s">
        <v>5244</v>
      </c>
      <c r="F2" s="1934" t="s">
        <v>5245</v>
      </c>
      <c r="G2" s="1934" t="s">
        <v>5246</v>
      </c>
      <c r="H2" s="1934" t="s">
        <v>5247</v>
      </c>
      <c r="I2" s="1935" t="s">
        <v>68</v>
      </c>
      <c r="J2" s="1936" t="s">
        <v>2573</v>
      </c>
      <c r="K2" s="1937" t="s">
        <v>2567</v>
      </c>
      <c r="L2" s="1938" t="s">
        <v>2572</v>
      </c>
      <c r="M2" s="1939" t="s">
        <v>2568</v>
      </c>
      <c r="N2" s="1938"/>
      <c r="O2" s="1940"/>
      <c r="P2" s="1941"/>
    </row>
    <row r="3" spans="1:33" ht="19.5" customHeight="1">
      <c r="A3" s="1968" t="s">
        <v>5248</v>
      </c>
      <c r="B3" s="2375"/>
      <c r="C3" s="2375"/>
      <c r="D3" s="2375"/>
      <c r="E3" s="2375"/>
      <c r="F3" s="2375"/>
      <c r="G3" s="2375"/>
      <c r="H3" s="2375"/>
      <c r="I3" s="1935"/>
      <c r="J3" s="1936"/>
      <c r="K3" s="1942"/>
      <c r="L3" s="1938"/>
      <c r="M3" s="1943"/>
      <c r="N3" s="1938"/>
      <c r="O3" s="1940"/>
      <c r="P3" s="1941"/>
    </row>
    <row r="4" spans="1:33" ht="19.5" customHeight="1">
      <c r="A4" s="1969" t="s">
        <v>2874</v>
      </c>
      <c r="B4" s="1944">
        <v>7591473001036</v>
      </c>
      <c r="C4" s="1945" t="s">
        <v>2875</v>
      </c>
      <c r="D4" s="1944">
        <v>24</v>
      </c>
      <c r="E4" s="1946">
        <v>27.12</v>
      </c>
      <c r="F4" s="1946">
        <v>1.1299999999999999</v>
      </c>
      <c r="G4" s="1946">
        <v>27.12</v>
      </c>
      <c r="H4" s="1946">
        <v>1.1299999999999999</v>
      </c>
      <c r="I4" s="1936"/>
      <c r="J4" s="1936">
        <v>0</v>
      </c>
      <c r="K4" s="1938">
        <v>0</v>
      </c>
      <c r="L4" s="1938"/>
      <c r="M4" s="1943"/>
      <c r="N4" s="1938"/>
      <c r="O4" s="1940"/>
      <c r="P4" s="1941"/>
    </row>
    <row r="5" spans="1:33" ht="19.5" customHeight="1">
      <c r="A5" s="1969" t="s">
        <v>2876</v>
      </c>
      <c r="B5" s="1944">
        <v>7591473005492</v>
      </c>
      <c r="C5" s="1945" t="s">
        <v>2877</v>
      </c>
      <c r="D5" s="1944">
        <v>30</v>
      </c>
      <c r="E5" s="1946">
        <v>27</v>
      </c>
      <c r="F5" s="1946">
        <v>0.9</v>
      </c>
      <c r="G5" s="1946">
        <v>27</v>
      </c>
      <c r="H5" s="1946">
        <v>0.9</v>
      </c>
      <c r="I5" s="1936">
        <v>20</v>
      </c>
      <c r="J5" s="1936">
        <v>100</v>
      </c>
      <c r="K5" s="1947">
        <f>+J5/D5</f>
        <v>3.3333333333333335</v>
      </c>
      <c r="L5" s="1938">
        <v>36</v>
      </c>
      <c r="M5" s="1943">
        <f>+L5/D5</f>
        <v>1.2</v>
      </c>
      <c r="N5" s="1938"/>
      <c r="O5" s="1940" t="s">
        <v>242</v>
      </c>
      <c r="P5" s="1941"/>
      <c r="AD5" t="s">
        <v>65</v>
      </c>
    </row>
    <row r="6" spans="1:33" ht="19.5" customHeight="1">
      <c r="A6" s="1970" t="s">
        <v>2878</v>
      </c>
      <c r="B6" s="1944">
        <v>7591473003061</v>
      </c>
      <c r="C6" s="1945" t="s">
        <v>2879</v>
      </c>
      <c r="D6" s="1944">
        <v>24</v>
      </c>
      <c r="E6" s="1946">
        <v>26.88</v>
      </c>
      <c r="F6" s="1946">
        <v>1.1200000000000001</v>
      </c>
      <c r="G6" s="1946">
        <v>26.88</v>
      </c>
      <c r="H6" s="1946">
        <v>1.1200000000000001</v>
      </c>
      <c r="I6" s="1936">
        <v>0</v>
      </c>
      <c r="J6" s="1936">
        <v>0</v>
      </c>
      <c r="K6" s="1947">
        <f t="shared" ref="K6:K71" si="0">+J6/D6</f>
        <v>0</v>
      </c>
      <c r="L6" s="1938">
        <v>0</v>
      </c>
      <c r="M6" s="1943">
        <f t="shared" ref="M6:M71" si="1">+L6/D6</f>
        <v>0</v>
      </c>
      <c r="N6" s="1938"/>
      <c r="O6" s="1940" t="s">
        <v>242</v>
      </c>
      <c r="P6" s="1941"/>
      <c r="AC6">
        <v>115.38</v>
      </c>
      <c r="AD6">
        <v>10</v>
      </c>
      <c r="AE6">
        <v>4.41</v>
      </c>
      <c r="AF6">
        <f>+AC6/AD6</f>
        <v>11.538</v>
      </c>
      <c r="AG6" s="336">
        <f>+AF6/AE6</f>
        <v>2.6163265306122447</v>
      </c>
    </row>
    <row r="7" spans="1:33" ht="19.5" customHeight="1">
      <c r="A7" s="1970" t="s">
        <v>2880</v>
      </c>
      <c r="B7" s="1944">
        <v>7591473005232</v>
      </c>
      <c r="C7" s="1945" t="s">
        <v>2881</v>
      </c>
      <c r="D7" s="1944">
        <v>24</v>
      </c>
      <c r="E7" s="1946">
        <v>24.24</v>
      </c>
      <c r="F7" s="1946">
        <v>1.01</v>
      </c>
      <c r="G7" s="1946">
        <v>24.24</v>
      </c>
      <c r="H7" s="1946">
        <v>1.01</v>
      </c>
      <c r="I7" s="1936">
        <v>25</v>
      </c>
      <c r="J7" s="1936">
        <v>295</v>
      </c>
      <c r="K7" s="1947">
        <f t="shared" si="0"/>
        <v>12.291666666666666</v>
      </c>
      <c r="L7" s="1938">
        <v>169</v>
      </c>
      <c r="M7" s="1943">
        <f t="shared" si="1"/>
        <v>7.041666666666667</v>
      </c>
      <c r="N7" s="1938"/>
      <c r="O7" s="1940" t="s">
        <v>242</v>
      </c>
      <c r="P7" s="1941"/>
      <c r="AC7">
        <v>192.47</v>
      </c>
      <c r="AD7">
        <v>20</v>
      </c>
      <c r="AE7" s="1594">
        <v>4.41</v>
      </c>
      <c r="AF7" s="1594">
        <f t="shared" ref="AF7:AF12" si="2">+AC7/AD7</f>
        <v>9.6234999999999999</v>
      </c>
      <c r="AG7" s="336">
        <f t="shared" ref="AG7:AG12" si="3">+AF7/AE7</f>
        <v>2.1821995464852608</v>
      </c>
    </row>
    <row r="8" spans="1:33" ht="19.5" customHeight="1">
      <c r="A8" s="1969" t="s">
        <v>2882</v>
      </c>
      <c r="B8" s="1944">
        <v>7591473000022</v>
      </c>
      <c r="C8" s="1945" t="s">
        <v>2883</v>
      </c>
      <c r="D8" s="1944">
        <v>24</v>
      </c>
      <c r="E8" s="1946">
        <v>24</v>
      </c>
      <c r="F8" s="1946">
        <v>1</v>
      </c>
      <c r="G8" s="1946">
        <v>24</v>
      </c>
      <c r="H8" s="1946">
        <v>1</v>
      </c>
      <c r="I8" s="1936">
        <v>0</v>
      </c>
      <c r="J8" s="1936" t="s">
        <v>5238</v>
      </c>
      <c r="K8" s="1947" t="e">
        <f t="shared" si="0"/>
        <v>#VALUE!</v>
      </c>
      <c r="L8" s="1938" t="s">
        <v>5238</v>
      </c>
      <c r="M8" s="1943" t="e">
        <f t="shared" si="1"/>
        <v>#VALUE!</v>
      </c>
      <c r="N8" s="1938"/>
      <c r="O8" s="1940" t="s">
        <v>242</v>
      </c>
      <c r="P8" s="1941"/>
      <c r="AC8">
        <v>79.25</v>
      </c>
      <c r="AD8">
        <v>24</v>
      </c>
      <c r="AE8" s="1594">
        <v>4.41</v>
      </c>
      <c r="AF8" s="1594">
        <f t="shared" si="2"/>
        <v>3.3020833333333335</v>
      </c>
      <c r="AG8" s="336">
        <f t="shared" si="3"/>
        <v>0.74877173091458804</v>
      </c>
    </row>
    <row r="9" spans="1:33" ht="19.5" customHeight="1">
      <c r="A9" s="1969" t="s">
        <v>2884</v>
      </c>
      <c r="B9" s="1944">
        <v>7591473005249</v>
      </c>
      <c r="C9" s="1945" t="s">
        <v>2885</v>
      </c>
      <c r="D9" s="1944">
        <v>24</v>
      </c>
      <c r="E9" s="1946">
        <v>21.6</v>
      </c>
      <c r="F9" s="1946">
        <v>0.9</v>
      </c>
      <c r="G9" s="1946">
        <v>21.6</v>
      </c>
      <c r="H9" s="1946">
        <v>0.9</v>
      </c>
      <c r="I9" s="1936">
        <v>25</v>
      </c>
      <c r="J9" s="1936">
        <v>190</v>
      </c>
      <c r="K9" s="1947">
        <f t="shared" si="0"/>
        <v>7.916666666666667</v>
      </c>
      <c r="L9" s="1938">
        <v>153</v>
      </c>
      <c r="M9" s="1943">
        <f t="shared" si="1"/>
        <v>6.375</v>
      </c>
      <c r="N9" s="1938"/>
      <c r="O9" s="1940" t="s">
        <v>242</v>
      </c>
      <c r="P9" s="1941"/>
      <c r="AC9">
        <v>86.74</v>
      </c>
      <c r="AD9">
        <v>24</v>
      </c>
      <c r="AE9" s="1594">
        <v>4.41</v>
      </c>
      <c r="AF9" s="1594">
        <f t="shared" si="2"/>
        <v>3.6141666666666663</v>
      </c>
      <c r="AG9" s="336">
        <f t="shared" si="3"/>
        <v>0.81953892668178374</v>
      </c>
    </row>
    <row r="10" spans="1:33" ht="19.5" customHeight="1">
      <c r="A10" s="1969" t="s">
        <v>2886</v>
      </c>
      <c r="B10" s="1944">
        <v>7591473000015</v>
      </c>
      <c r="C10" s="1945" t="s">
        <v>2887</v>
      </c>
      <c r="D10" s="1944">
        <v>24</v>
      </c>
      <c r="E10" s="1946">
        <v>20.88</v>
      </c>
      <c r="F10" s="1946">
        <v>0.87</v>
      </c>
      <c r="G10" s="1946">
        <v>20.88</v>
      </c>
      <c r="H10" s="1946">
        <v>0.87</v>
      </c>
      <c r="I10" s="1936">
        <v>15</v>
      </c>
      <c r="J10" s="1936">
        <v>247</v>
      </c>
      <c r="K10" s="1947">
        <f t="shared" si="0"/>
        <v>10.291666666666666</v>
      </c>
      <c r="L10" s="1938">
        <v>118</v>
      </c>
      <c r="M10" s="1943">
        <f t="shared" si="1"/>
        <v>4.916666666666667</v>
      </c>
      <c r="N10" s="1938"/>
      <c r="O10" s="1940" t="s">
        <v>242</v>
      </c>
      <c r="P10" s="1941"/>
      <c r="AC10">
        <v>138.34</v>
      </c>
      <c r="AD10">
        <v>20</v>
      </c>
      <c r="AE10">
        <v>4.41</v>
      </c>
      <c r="AF10" s="1594">
        <f t="shared" si="2"/>
        <v>6.9169999999999998</v>
      </c>
      <c r="AG10" s="336">
        <f t="shared" si="3"/>
        <v>1.5684807256235827</v>
      </c>
    </row>
    <row r="11" spans="1:33" ht="19.5" customHeight="1">
      <c r="A11" s="1969" t="s">
        <v>2888</v>
      </c>
      <c r="B11" s="1944">
        <v>7591473005539</v>
      </c>
      <c r="C11" s="1945" t="s">
        <v>2889</v>
      </c>
      <c r="D11" s="1944">
        <v>48</v>
      </c>
      <c r="E11" s="1946">
        <v>21.12</v>
      </c>
      <c r="F11" s="1946">
        <v>0.44</v>
      </c>
      <c r="G11" s="1946">
        <v>21.12</v>
      </c>
      <c r="H11" s="1946">
        <v>0.44</v>
      </c>
      <c r="I11" s="1936">
        <v>0</v>
      </c>
      <c r="J11" s="1936"/>
      <c r="K11" s="1947">
        <f t="shared" si="0"/>
        <v>0</v>
      </c>
      <c r="L11" s="1938"/>
      <c r="M11" s="1943">
        <f t="shared" si="1"/>
        <v>0</v>
      </c>
      <c r="N11" s="1938"/>
      <c r="O11" s="1940" t="s">
        <v>242</v>
      </c>
      <c r="P11" s="1941"/>
      <c r="AC11">
        <v>53.9</v>
      </c>
      <c r="AD11">
        <v>20</v>
      </c>
      <c r="AE11" s="1594">
        <v>4.41</v>
      </c>
      <c r="AF11" s="1594">
        <f t="shared" si="2"/>
        <v>2.6949999999999998</v>
      </c>
      <c r="AG11" s="336">
        <f t="shared" si="3"/>
        <v>0.61111111111111105</v>
      </c>
    </row>
    <row r="12" spans="1:33" ht="19.5" customHeight="1">
      <c r="A12" s="1969" t="s">
        <v>2890</v>
      </c>
      <c r="B12" s="1944">
        <v>7591473005539</v>
      </c>
      <c r="C12" s="1945" t="s">
        <v>2891</v>
      </c>
      <c r="D12" s="1944">
        <v>24</v>
      </c>
      <c r="E12" s="1946">
        <v>10.56</v>
      </c>
      <c r="F12" s="1946">
        <v>0.44</v>
      </c>
      <c r="G12" s="1946">
        <v>10.56</v>
      </c>
      <c r="H12" s="1946">
        <v>0.44</v>
      </c>
      <c r="I12" s="1936">
        <v>0</v>
      </c>
      <c r="J12" s="1936"/>
      <c r="K12" s="1947">
        <f t="shared" si="0"/>
        <v>0</v>
      </c>
      <c r="L12" s="1938"/>
      <c r="M12" s="1943">
        <f t="shared" si="1"/>
        <v>0</v>
      </c>
      <c r="N12" s="1938"/>
      <c r="O12" s="1940" t="s">
        <v>242</v>
      </c>
      <c r="P12" s="1941"/>
      <c r="AC12">
        <v>53.9</v>
      </c>
      <c r="AD12">
        <v>20</v>
      </c>
      <c r="AE12" s="1594">
        <v>4.41</v>
      </c>
      <c r="AF12" s="1594">
        <f t="shared" si="2"/>
        <v>2.6949999999999998</v>
      </c>
      <c r="AG12" s="336">
        <f t="shared" si="3"/>
        <v>0.61111111111111105</v>
      </c>
    </row>
    <row r="13" spans="1:33" ht="28.5" customHeight="1">
      <c r="A13" s="1969" t="s">
        <v>2892</v>
      </c>
      <c r="B13" s="1944">
        <v>7591473000442</v>
      </c>
      <c r="C13" s="1945" t="s">
        <v>2893</v>
      </c>
      <c r="D13" s="1944">
        <v>30</v>
      </c>
      <c r="E13" s="1946">
        <v>25.2</v>
      </c>
      <c r="F13" s="1946">
        <v>0.84</v>
      </c>
      <c r="G13" s="1946">
        <v>25.2</v>
      </c>
      <c r="H13" s="1946">
        <v>0.84</v>
      </c>
      <c r="I13" s="1936">
        <v>2</v>
      </c>
      <c r="J13" s="1936"/>
      <c r="K13" s="1947">
        <f t="shared" si="0"/>
        <v>0</v>
      </c>
      <c r="L13" s="1938"/>
      <c r="M13" s="1943">
        <f t="shared" si="1"/>
        <v>0</v>
      </c>
      <c r="N13" s="1938"/>
      <c r="O13" s="1940" t="s">
        <v>242</v>
      </c>
      <c r="P13" s="1941"/>
      <c r="AE13" s="1594"/>
      <c r="AF13" s="1594"/>
      <c r="AG13" s="336"/>
    </row>
    <row r="14" spans="1:33" ht="26.25" customHeight="1">
      <c r="A14" s="1970" t="s">
        <v>2894</v>
      </c>
      <c r="B14" s="1944">
        <v>7591473000619</v>
      </c>
      <c r="C14" s="1945" t="s">
        <v>2895</v>
      </c>
      <c r="D14" s="1944">
        <v>24</v>
      </c>
      <c r="E14" s="1946">
        <v>19.920000000000002</v>
      </c>
      <c r="F14" s="1946">
        <v>0.83</v>
      </c>
      <c r="G14" s="1946">
        <v>19.920000000000002</v>
      </c>
      <c r="H14" s="1946">
        <v>0.83</v>
      </c>
      <c r="I14" s="1936">
        <v>40</v>
      </c>
      <c r="J14" s="1936">
        <v>412</v>
      </c>
      <c r="K14" s="1947">
        <f t="shared" si="0"/>
        <v>17.166666666666668</v>
      </c>
      <c r="L14" s="1938">
        <v>130</v>
      </c>
      <c r="M14" s="1943">
        <f t="shared" si="1"/>
        <v>5.416666666666667</v>
      </c>
      <c r="N14" s="1938"/>
      <c r="O14" s="1940" t="s">
        <v>242</v>
      </c>
      <c r="P14" s="1941"/>
      <c r="AE14" s="1594"/>
      <c r="AF14" s="1594"/>
      <c r="AG14" s="336"/>
    </row>
    <row r="15" spans="1:33" ht="19.5" customHeight="1">
      <c r="A15" s="1971" t="s">
        <v>5583</v>
      </c>
      <c r="B15" s="2371"/>
      <c r="C15" s="2371"/>
      <c r="D15" s="2371"/>
      <c r="E15" s="2371"/>
      <c r="F15" s="2371"/>
      <c r="G15" s="2371"/>
      <c r="H15" s="2371"/>
      <c r="I15" s="1936"/>
      <c r="J15" s="1936"/>
      <c r="K15" s="1947" t="e">
        <f t="shared" si="0"/>
        <v>#DIV/0!</v>
      </c>
      <c r="L15" s="1938"/>
      <c r="M15" s="1943" t="e">
        <f t="shared" si="1"/>
        <v>#DIV/0!</v>
      </c>
      <c r="N15" s="1938"/>
      <c r="O15" s="1940" t="s">
        <v>242</v>
      </c>
      <c r="P15" s="1941"/>
      <c r="AE15" s="1594"/>
      <c r="AF15" s="1594"/>
      <c r="AG15" s="336"/>
    </row>
    <row r="16" spans="1:33" ht="19.5" customHeight="1">
      <c r="A16" s="1972" t="s">
        <v>2896</v>
      </c>
      <c r="B16" s="1944">
        <v>0</v>
      </c>
      <c r="C16" s="1945" t="s">
        <v>2897</v>
      </c>
      <c r="D16" s="1944">
        <v>24</v>
      </c>
      <c r="E16" s="1946">
        <v>20.399999999999999</v>
      </c>
      <c r="F16" s="1946">
        <v>0.85</v>
      </c>
      <c r="G16" s="1946">
        <v>20.399999999999999</v>
      </c>
      <c r="H16" s="1946">
        <v>0.85</v>
      </c>
      <c r="I16" s="1936"/>
      <c r="J16" s="1936"/>
      <c r="K16" s="1947">
        <f t="shared" si="0"/>
        <v>0</v>
      </c>
      <c r="L16" s="1938"/>
      <c r="M16" s="1943">
        <f t="shared" si="1"/>
        <v>0</v>
      </c>
      <c r="N16" s="1938"/>
      <c r="O16" s="1940" t="s">
        <v>242</v>
      </c>
      <c r="P16" s="1941"/>
      <c r="AG16" s="336"/>
    </row>
    <row r="17" spans="1:33" ht="19.5" customHeight="1">
      <c r="A17" s="1972" t="s">
        <v>2898</v>
      </c>
      <c r="B17" s="1944">
        <v>7591473000299</v>
      </c>
      <c r="C17" s="1945" t="s">
        <v>4476</v>
      </c>
      <c r="D17" s="1944">
        <v>24</v>
      </c>
      <c r="E17" s="1946">
        <v>19.440000000000001</v>
      </c>
      <c r="F17" s="1946">
        <v>0.81</v>
      </c>
      <c r="G17" s="1946">
        <v>19.440000000000001</v>
      </c>
      <c r="H17" s="1946">
        <v>0.81</v>
      </c>
      <c r="I17" s="1936">
        <v>20</v>
      </c>
      <c r="J17" s="1936">
        <v>170</v>
      </c>
      <c r="K17" s="1947">
        <f t="shared" si="0"/>
        <v>7.083333333333333</v>
      </c>
      <c r="L17" s="1938">
        <v>168</v>
      </c>
      <c r="M17" s="1943">
        <f t="shared" si="1"/>
        <v>7</v>
      </c>
      <c r="N17" s="1938"/>
      <c r="O17" s="1940" t="s">
        <v>242</v>
      </c>
      <c r="P17" s="1941"/>
      <c r="AG17" s="336"/>
    </row>
    <row r="18" spans="1:33" ht="19.5" customHeight="1">
      <c r="A18" s="1972" t="s">
        <v>2899</v>
      </c>
      <c r="B18" s="1944">
        <v>7591473006826</v>
      </c>
      <c r="C18" s="1945" t="s">
        <v>2900</v>
      </c>
      <c r="D18" s="1944">
        <v>30</v>
      </c>
      <c r="E18" s="1946">
        <v>19.5</v>
      </c>
      <c r="F18" s="1946">
        <v>0.65</v>
      </c>
      <c r="G18" s="1946">
        <v>19.5</v>
      </c>
      <c r="H18" s="1946">
        <v>0.65</v>
      </c>
      <c r="I18" s="1936">
        <v>0</v>
      </c>
      <c r="J18" s="1936" t="s">
        <v>5238</v>
      </c>
      <c r="K18" s="1947" t="e">
        <f t="shared" si="0"/>
        <v>#VALUE!</v>
      </c>
      <c r="L18" s="1938"/>
      <c r="M18" s="1943">
        <f t="shared" si="1"/>
        <v>0</v>
      </c>
      <c r="N18" s="1938"/>
      <c r="O18" s="1940" t="s">
        <v>242</v>
      </c>
      <c r="P18" s="1941"/>
    </row>
    <row r="19" spans="1:33" ht="19.5" customHeight="1">
      <c r="A19" s="1973" t="s">
        <v>5584</v>
      </c>
      <c r="B19" s="1951"/>
      <c r="C19" s="1951"/>
      <c r="D19" s="1951"/>
      <c r="E19" s="1951"/>
      <c r="F19" s="1951"/>
      <c r="G19" s="1951"/>
      <c r="H19" s="1951"/>
      <c r="I19" s="1936"/>
      <c r="J19" s="1936"/>
      <c r="K19" s="1947" t="e">
        <f t="shared" si="0"/>
        <v>#DIV/0!</v>
      </c>
      <c r="L19" s="1938"/>
      <c r="M19" s="1943" t="e">
        <f t="shared" si="1"/>
        <v>#DIV/0!</v>
      </c>
      <c r="N19" s="1938"/>
      <c r="O19" s="1940" t="s">
        <v>242</v>
      </c>
      <c r="P19" s="1941"/>
    </row>
    <row r="20" spans="1:33" ht="19.5" customHeight="1">
      <c r="A20" s="1972" t="s">
        <v>2901</v>
      </c>
      <c r="B20" s="1944">
        <v>7591473006819</v>
      </c>
      <c r="C20" s="1945" t="s">
        <v>2902</v>
      </c>
      <c r="D20" s="1944">
        <v>54</v>
      </c>
      <c r="E20" s="1946">
        <v>12.42</v>
      </c>
      <c r="F20" s="1946">
        <v>0.23</v>
      </c>
      <c r="G20" s="1946">
        <v>12.42</v>
      </c>
      <c r="H20" s="1946">
        <v>0.23</v>
      </c>
      <c r="I20" s="1936">
        <v>0</v>
      </c>
      <c r="J20" s="1936"/>
      <c r="K20" s="1947">
        <f t="shared" si="0"/>
        <v>0</v>
      </c>
      <c r="L20" s="1938"/>
      <c r="M20" s="1943">
        <f t="shared" si="1"/>
        <v>0</v>
      </c>
      <c r="N20" s="1938"/>
      <c r="O20" s="1940" t="s">
        <v>242</v>
      </c>
      <c r="P20" s="1941"/>
    </row>
    <row r="21" spans="1:33" ht="19.5" customHeight="1">
      <c r="A21" s="1972" t="s">
        <v>2903</v>
      </c>
      <c r="B21" s="1944">
        <v>7591473006819</v>
      </c>
      <c r="C21" s="1945" t="s">
        <v>2904</v>
      </c>
      <c r="D21" s="1944">
        <v>27</v>
      </c>
      <c r="E21" s="1946">
        <v>6.21</v>
      </c>
      <c r="F21" s="1946">
        <v>0.23</v>
      </c>
      <c r="G21" s="1946">
        <v>6.21</v>
      </c>
      <c r="H21" s="1946">
        <v>0.23</v>
      </c>
      <c r="I21" s="1936">
        <v>0</v>
      </c>
      <c r="J21" s="1936"/>
      <c r="K21" s="1947">
        <f t="shared" si="0"/>
        <v>0</v>
      </c>
      <c r="L21" s="1938"/>
      <c r="M21" s="1943">
        <f t="shared" si="1"/>
        <v>0</v>
      </c>
      <c r="N21" s="1938"/>
      <c r="O21" s="1940" t="s">
        <v>242</v>
      </c>
      <c r="P21" s="1941"/>
    </row>
    <row r="22" spans="1:33" ht="24" customHeight="1">
      <c r="A22" s="1972" t="s">
        <v>2905</v>
      </c>
      <c r="B22" s="1944">
        <v>7591473006734</v>
      </c>
      <c r="C22" s="1945" t="s">
        <v>2906</v>
      </c>
      <c r="D22" s="1944">
        <v>24</v>
      </c>
      <c r="E22" s="1946">
        <v>13.44</v>
      </c>
      <c r="F22" s="1946">
        <v>0.56000000000000005</v>
      </c>
      <c r="G22" s="1946">
        <v>13.44</v>
      </c>
      <c r="H22" s="1946">
        <v>0.56000000000000005</v>
      </c>
      <c r="I22" s="1936">
        <v>5</v>
      </c>
      <c r="J22" s="1936">
        <v>95</v>
      </c>
      <c r="K22" s="1947">
        <f t="shared" si="0"/>
        <v>3.9583333333333335</v>
      </c>
      <c r="L22" s="1938">
        <v>62</v>
      </c>
      <c r="M22" s="1943">
        <f t="shared" si="1"/>
        <v>2.5833333333333335</v>
      </c>
      <c r="N22" s="1938"/>
      <c r="O22" s="1940" t="s">
        <v>242</v>
      </c>
      <c r="P22" s="1941"/>
    </row>
    <row r="23" spans="1:33" ht="19.5" customHeight="1">
      <c r="A23" s="1972" t="s">
        <v>2907</v>
      </c>
      <c r="B23" s="1944">
        <v>7591473000992</v>
      </c>
      <c r="C23" s="1945" t="s">
        <v>2908</v>
      </c>
      <c r="D23" s="1944">
        <v>12</v>
      </c>
      <c r="E23" s="1946">
        <v>8.16</v>
      </c>
      <c r="F23" s="1946">
        <v>0.68</v>
      </c>
      <c r="G23" s="1946">
        <v>8.16</v>
      </c>
      <c r="H23" s="1946">
        <v>0.68</v>
      </c>
      <c r="I23" s="1936"/>
      <c r="J23" s="1936" t="s">
        <v>5238</v>
      </c>
      <c r="K23" s="1947" t="e">
        <f t="shared" si="0"/>
        <v>#VALUE!</v>
      </c>
      <c r="L23" s="1938"/>
      <c r="M23" s="1943">
        <f t="shared" si="1"/>
        <v>0</v>
      </c>
      <c r="N23" s="1938"/>
      <c r="O23" s="1940" t="s">
        <v>242</v>
      </c>
      <c r="P23" s="1941"/>
    </row>
    <row r="24" spans="1:33" ht="20.25" customHeight="1">
      <c r="A24" s="1972" t="s">
        <v>2909</v>
      </c>
      <c r="B24" s="1944">
        <v>7591473001005</v>
      </c>
      <c r="C24" s="1945" t="s">
        <v>2910</v>
      </c>
      <c r="D24" s="1944">
        <v>6</v>
      </c>
      <c r="E24" s="1946">
        <v>6.78</v>
      </c>
      <c r="F24" s="1946">
        <v>1.1299999999999999</v>
      </c>
      <c r="G24" s="1946">
        <v>6.78</v>
      </c>
      <c r="H24" s="1946">
        <v>1.1299999999999999</v>
      </c>
      <c r="I24" s="1936">
        <v>10</v>
      </c>
      <c r="J24" s="1936" t="s">
        <v>5239</v>
      </c>
      <c r="K24" s="1947" t="e">
        <f t="shared" si="0"/>
        <v>#VALUE!</v>
      </c>
      <c r="L24" s="1938"/>
      <c r="M24" s="1943">
        <f t="shared" si="1"/>
        <v>0</v>
      </c>
      <c r="N24" s="1938"/>
      <c r="O24" s="1940" t="s">
        <v>242</v>
      </c>
      <c r="P24" s="1941"/>
    </row>
    <row r="25" spans="1:33" ht="19.5" customHeight="1">
      <c r="A25" s="1972" t="s">
        <v>2911</v>
      </c>
      <c r="B25" s="1944">
        <v>0</v>
      </c>
      <c r="C25" s="1945" t="s">
        <v>2912</v>
      </c>
      <c r="D25" s="1944">
        <v>1</v>
      </c>
      <c r="E25" s="1946">
        <v>21.89</v>
      </c>
      <c r="F25" s="1946">
        <v>21.89</v>
      </c>
      <c r="G25" s="1946">
        <v>21.89</v>
      </c>
      <c r="H25" s="1946">
        <v>21.89</v>
      </c>
      <c r="I25" s="1936">
        <v>0</v>
      </c>
      <c r="J25" s="1936"/>
      <c r="K25" s="1947">
        <f t="shared" si="0"/>
        <v>0</v>
      </c>
      <c r="L25" s="1938"/>
      <c r="M25" s="1943">
        <f t="shared" si="1"/>
        <v>0</v>
      </c>
      <c r="N25" s="1938"/>
      <c r="O25" s="1940" t="s">
        <v>242</v>
      </c>
      <c r="P25" s="1941"/>
    </row>
    <row r="26" spans="1:33" ht="19.5" customHeight="1">
      <c r="A26" s="1974" t="s">
        <v>5585</v>
      </c>
      <c r="B26" s="2371"/>
      <c r="C26" s="2371"/>
      <c r="D26" s="2371"/>
      <c r="E26" s="2371"/>
      <c r="F26" s="2371"/>
      <c r="G26" s="2371"/>
      <c r="H26" s="2371"/>
      <c r="I26" s="1936"/>
      <c r="J26" s="1936"/>
      <c r="K26" s="1947" t="e">
        <f t="shared" si="0"/>
        <v>#DIV/0!</v>
      </c>
      <c r="L26" s="1938"/>
      <c r="M26" s="1943" t="e">
        <f t="shared" si="1"/>
        <v>#DIV/0!</v>
      </c>
      <c r="N26" s="1938"/>
      <c r="O26" s="1940" t="s">
        <v>242</v>
      </c>
      <c r="P26" s="1941"/>
    </row>
    <row r="27" spans="1:33" s="12" customFormat="1" ht="32.25" customHeight="1">
      <c r="A27" s="1975" t="s">
        <v>2913</v>
      </c>
      <c r="B27" s="1952">
        <v>22832</v>
      </c>
      <c r="C27" s="1953" t="s">
        <v>5574</v>
      </c>
      <c r="D27" s="1954">
        <v>12</v>
      </c>
      <c r="E27" s="1955">
        <v>7.2</v>
      </c>
      <c r="F27" s="1955">
        <v>0.6</v>
      </c>
      <c r="G27" s="1955">
        <v>8.35</v>
      </c>
      <c r="H27" s="1955">
        <v>0.7</v>
      </c>
      <c r="I27" s="1956" t="s">
        <v>591</v>
      </c>
      <c r="J27" s="1956">
        <v>292</v>
      </c>
      <c r="K27" s="1957">
        <f t="shared" si="0"/>
        <v>24.333333333333332</v>
      </c>
      <c r="L27" s="1958">
        <v>308</v>
      </c>
      <c r="M27" s="1959">
        <f t="shared" si="1"/>
        <v>25.666666666666668</v>
      </c>
      <c r="N27" s="1958"/>
      <c r="O27" s="1940" t="s">
        <v>242</v>
      </c>
      <c r="P27" s="1960"/>
    </row>
    <row r="28" spans="1:33" s="1594" customFormat="1" ht="33" customHeight="1">
      <c r="A28" s="1969"/>
      <c r="B28" s="1961">
        <v>22542</v>
      </c>
      <c r="C28" s="1962" t="s">
        <v>5240</v>
      </c>
      <c r="D28" s="1944">
        <v>12</v>
      </c>
      <c r="E28" s="1946"/>
      <c r="F28" s="1946"/>
      <c r="G28" s="1946"/>
      <c r="H28" s="1946"/>
      <c r="I28" s="1936">
        <v>0</v>
      </c>
      <c r="J28" s="1936">
        <v>217</v>
      </c>
      <c r="K28" s="1957">
        <f t="shared" si="0"/>
        <v>18.083333333333332</v>
      </c>
      <c r="L28" s="1938">
        <v>383</v>
      </c>
      <c r="M28" s="1943">
        <f t="shared" si="1"/>
        <v>31.916666666666668</v>
      </c>
      <c r="N28" s="1938"/>
      <c r="O28" s="1940" t="s">
        <v>242</v>
      </c>
      <c r="P28" s="1941"/>
    </row>
    <row r="29" spans="1:33" ht="19.5" customHeight="1">
      <c r="A29" s="1969" t="s">
        <v>2914</v>
      </c>
      <c r="B29" s="1963">
        <v>7591164001260</v>
      </c>
      <c r="C29" s="1945" t="s">
        <v>2915</v>
      </c>
      <c r="D29" s="1944">
        <v>12</v>
      </c>
      <c r="E29" s="1946">
        <v>4.32</v>
      </c>
      <c r="F29" s="1946">
        <v>0.36</v>
      </c>
      <c r="G29" s="1946">
        <v>5.01</v>
      </c>
      <c r="H29" s="1946">
        <v>0.42</v>
      </c>
      <c r="I29" s="1936"/>
      <c r="J29" s="1936"/>
      <c r="K29" s="1947">
        <f t="shared" si="0"/>
        <v>0</v>
      </c>
      <c r="L29" s="1938"/>
      <c r="M29" s="1943">
        <f t="shared" si="1"/>
        <v>0</v>
      </c>
      <c r="N29" s="1938"/>
      <c r="O29" s="1940" t="s">
        <v>242</v>
      </c>
      <c r="P29" s="1941"/>
    </row>
    <row r="30" spans="1:33" ht="21" customHeight="1">
      <c r="A30" s="1969" t="s">
        <v>2916</v>
      </c>
      <c r="B30" s="1963">
        <v>11074</v>
      </c>
      <c r="C30" s="1945" t="s">
        <v>2917</v>
      </c>
      <c r="D30" s="1944">
        <v>24</v>
      </c>
      <c r="E30" s="1946">
        <v>10.32</v>
      </c>
      <c r="F30" s="1946">
        <v>0.43</v>
      </c>
      <c r="G30" s="1946">
        <v>11.97</v>
      </c>
      <c r="H30" s="1946">
        <v>0.5</v>
      </c>
      <c r="I30" s="1936">
        <v>10</v>
      </c>
      <c r="J30" s="1936">
        <v>173</v>
      </c>
      <c r="K30" s="1947">
        <f t="shared" si="0"/>
        <v>7.208333333333333</v>
      </c>
      <c r="L30" s="1938">
        <v>265</v>
      </c>
      <c r="M30" s="1943">
        <f t="shared" si="1"/>
        <v>11.041666666666666</v>
      </c>
      <c r="N30" s="1938"/>
      <c r="O30" s="1940" t="s">
        <v>242</v>
      </c>
      <c r="P30" s="1941"/>
    </row>
    <row r="31" spans="1:33" ht="19.5" customHeight="1">
      <c r="A31" s="1969" t="s">
        <v>2918</v>
      </c>
      <c r="B31" s="1963" t="s">
        <v>65</v>
      </c>
      <c r="C31" s="1945" t="s">
        <v>2919</v>
      </c>
      <c r="D31" s="1944">
        <v>48</v>
      </c>
      <c r="E31" s="1946">
        <v>18.239999999999998</v>
      </c>
      <c r="F31" s="1946">
        <v>0.38</v>
      </c>
      <c r="G31" s="1946">
        <v>21.16</v>
      </c>
      <c r="H31" s="1946">
        <v>0.44</v>
      </c>
      <c r="I31" s="1936"/>
      <c r="J31" s="1936"/>
      <c r="K31" s="1947">
        <f t="shared" si="0"/>
        <v>0</v>
      </c>
      <c r="L31" s="1938"/>
      <c r="M31" s="1943">
        <f t="shared" si="1"/>
        <v>0</v>
      </c>
      <c r="N31" s="1938"/>
      <c r="O31" s="1940" t="s">
        <v>242</v>
      </c>
      <c r="P31" s="1941"/>
    </row>
    <row r="32" spans="1:33" ht="19.5" customHeight="1">
      <c r="A32" s="1970" t="s">
        <v>2920</v>
      </c>
      <c r="B32" s="1963">
        <v>7591164001291</v>
      </c>
      <c r="C32" s="1945" t="s">
        <v>2921</v>
      </c>
      <c r="D32" s="1944">
        <v>24</v>
      </c>
      <c r="E32" s="1946">
        <v>12.72</v>
      </c>
      <c r="F32" s="1946">
        <v>0.53</v>
      </c>
      <c r="G32" s="1946">
        <v>14.76</v>
      </c>
      <c r="H32" s="1946">
        <v>0.61</v>
      </c>
      <c r="I32" s="1936"/>
      <c r="J32" s="1936"/>
      <c r="K32" s="1947">
        <f t="shared" si="0"/>
        <v>0</v>
      </c>
      <c r="L32" s="1938"/>
      <c r="M32" s="1943">
        <f t="shared" si="1"/>
        <v>0</v>
      </c>
      <c r="N32" s="1938"/>
      <c r="O32" s="1940" t="s">
        <v>242</v>
      </c>
      <c r="P32" s="1941"/>
    </row>
    <row r="33" spans="1:16" ht="19.5" customHeight="1">
      <c r="A33" s="1970" t="s">
        <v>2922</v>
      </c>
      <c r="B33" s="1963">
        <v>7591164001284</v>
      </c>
      <c r="C33" s="1945" t="s">
        <v>2923</v>
      </c>
      <c r="D33" s="1944">
        <v>24</v>
      </c>
      <c r="E33" s="1946">
        <v>12.72</v>
      </c>
      <c r="F33" s="1946">
        <v>0.53</v>
      </c>
      <c r="G33" s="1946">
        <v>14.76</v>
      </c>
      <c r="H33" s="1946">
        <v>0.61</v>
      </c>
      <c r="I33" s="1936"/>
      <c r="J33" s="1936"/>
      <c r="K33" s="1947">
        <f t="shared" si="0"/>
        <v>0</v>
      </c>
      <c r="L33" s="1938"/>
      <c r="M33" s="1943">
        <f t="shared" si="1"/>
        <v>0</v>
      </c>
      <c r="N33" s="1938"/>
      <c r="O33" s="1940" t="s">
        <v>242</v>
      </c>
      <c r="P33" s="1941"/>
    </row>
    <row r="34" spans="1:16" ht="1.5" customHeight="1">
      <c r="A34" s="1970" t="s">
        <v>2924</v>
      </c>
      <c r="B34" s="1963">
        <v>7591164001307</v>
      </c>
      <c r="C34" s="1945" t="s">
        <v>2925</v>
      </c>
      <c r="D34" s="1944">
        <v>24</v>
      </c>
      <c r="E34" s="1946">
        <v>12.72</v>
      </c>
      <c r="F34" s="1946">
        <v>0.53</v>
      </c>
      <c r="G34" s="1946">
        <v>14.76</v>
      </c>
      <c r="H34" s="1946">
        <v>0.61</v>
      </c>
      <c r="I34" s="1936"/>
      <c r="J34" s="1936"/>
      <c r="K34" s="1947">
        <f t="shared" si="0"/>
        <v>0</v>
      </c>
      <c r="L34" s="1938"/>
      <c r="M34" s="1943">
        <f t="shared" si="1"/>
        <v>0</v>
      </c>
      <c r="N34" s="1938"/>
      <c r="O34" s="1940" t="s">
        <v>242</v>
      </c>
      <c r="P34" s="1941"/>
    </row>
    <row r="35" spans="1:16" ht="24.75" customHeight="1">
      <c r="A35" s="1970" t="s">
        <v>2926</v>
      </c>
      <c r="B35" s="1963">
        <v>7591164005855</v>
      </c>
      <c r="C35" s="1945" t="s">
        <v>2927</v>
      </c>
      <c r="D35" s="1944">
        <v>24</v>
      </c>
      <c r="E35" s="1946">
        <v>13.92</v>
      </c>
      <c r="F35" s="1946">
        <v>0.57999999999999996</v>
      </c>
      <c r="G35" s="1946">
        <v>16.149999999999999</v>
      </c>
      <c r="H35" s="1946">
        <v>0.67</v>
      </c>
      <c r="I35" s="1936">
        <v>25</v>
      </c>
      <c r="J35" s="1936">
        <v>239</v>
      </c>
      <c r="K35" s="1947">
        <f t="shared" si="0"/>
        <v>9.9583333333333339</v>
      </c>
      <c r="L35" s="1938">
        <v>65</v>
      </c>
      <c r="M35" s="1943">
        <f t="shared" si="1"/>
        <v>2.7083333333333335</v>
      </c>
      <c r="N35" s="1938"/>
      <c r="O35" s="1940" t="s">
        <v>242</v>
      </c>
      <c r="P35" s="1941"/>
    </row>
    <row r="36" spans="1:16" ht="28.5" customHeight="1">
      <c r="A36" s="1970" t="s">
        <v>2928</v>
      </c>
      <c r="B36" s="1963">
        <v>7591164005862</v>
      </c>
      <c r="C36" s="1945" t="s">
        <v>2929</v>
      </c>
      <c r="D36" s="1944">
        <v>24</v>
      </c>
      <c r="E36" s="1946">
        <v>13.92</v>
      </c>
      <c r="F36" s="1946">
        <v>0.57999999999999996</v>
      </c>
      <c r="G36" s="1946">
        <v>16.149999999999999</v>
      </c>
      <c r="H36" s="1946">
        <v>0.67</v>
      </c>
      <c r="I36" s="1936">
        <v>25</v>
      </c>
      <c r="J36" s="1936">
        <v>227</v>
      </c>
      <c r="K36" s="1947">
        <f t="shared" si="0"/>
        <v>9.4583333333333339</v>
      </c>
      <c r="L36" s="1938">
        <v>34</v>
      </c>
      <c r="M36" s="1943">
        <f t="shared" si="1"/>
        <v>1.4166666666666667</v>
      </c>
      <c r="N36" s="1938"/>
      <c r="O36" s="1940" t="s">
        <v>242</v>
      </c>
      <c r="P36" s="1941"/>
    </row>
    <row r="37" spans="1:16" ht="20.25" customHeight="1">
      <c r="A37" s="1970" t="s">
        <v>2930</v>
      </c>
      <c r="B37" s="1963">
        <v>7591164000065</v>
      </c>
      <c r="C37" s="1945" t="s">
        <v>2931</v>
      </c>
      <c r="D37" s="1944">
        <v>24</v>
      </c>
      <c r="E37" s="1946">
        <v>13.44</v>
      </c>
      <c r="F37" s="1946">
        <v>0.56000000000000005</v>
      </c>
      <c r="G37" s="1946">
        <v>15.59</v>
      </c>
      <c r="H37" s="1946">
        <v>0.65</v>
      </c>
      <c r="I37" s="1936">
        <v>25</v>
      </c>
      <c r="J37" s="1936">
        <v>32</v>
      </c>
      <c r="K37" s="1947">
        <f t="shared" si="0"/>
        <v>1.3333333333333333</v>
      </c>
      <c r="L37" s="1938">
        <v>0</v>
      </c>
      <c r="M37" s="1943">
        <f t="shared" si="1"/>
        <v>0</v>
      </c>
      <c r="N37" s="1938"/>
      <c r="O37" s="1940" t="s">
        <v>242</v>
      </c>
      <c r="P37" s="1941"/>
    </row>
    <row r="38" spans="1:16" ht="21.75" customHeight="1">
      <c r="A38" s="1970" t="s">
        <v>2932</v>
      </c>
      <c r="B38" s="1963">
        <v>7591164000058</v>
      </c>
      <c r="C38" s="1945" t="s">
        <v>2933</v>
      </c>
      <c r="D38" s="1944">
        <v>24</v>
      </c>
      <c r="E38" s="1946">
        <v>13.44</v>
      </c>
      <c r="F38" s="1946">
        <v>0.56000000000000005</v>
      </c>
      <c r="G38" s="1946">
        <v>15.59</v>
      </c>
      <c r="H38" s="1946">
        <v>0.65</v>
      </c>
      <c r="I38" s="1936">
        <v>25</v>
      </c>
      <c r="J38" s="1936">
        <v>288</v>
      </c>
      <c r="K38" s="1947">
        <f t="shared" si="0"/>
        <v>12</v>
      </c>
      <c r="L38" s="1938">
        <v>69</v>
      </c>
      <c r="M38" s="1943">
        <f t="shared" si="1"/>
        <v>2.875</v>
      </c>
      <c r="N38" s="1938"/>
      <c r="O38" s="1940" t="s">
        <v>242</v>
      </c>
      <c r="P38" s="1941"/>
    </row>
    <row r="39" spans="1:16" ht="24.75" customHeight="1">
      <c r="A39" s="1970" t="s">
        <v>2934</v>
      </c>
      <c r="B39" s="1963">
        <v>7591164000041</v>
      </c>
      <c r="C39" s="1945" t="s">
        <v>2935</v>
      </c>
      <c r="D39" s="1944">
        <v>24</v>
      </c>
      <c r="E39" s="1946">
        <v>13.44</v>
      </c>
      <c r="F39" s="1946">
        <v>0.56000000000000005</v>
      </c>
      <c r="G39" s="1946">
        <v>15.59</v>
      </c>
      <c r="H39" s="1946">
        <v>0.65</v>
      </c>
      <c r="I39" s="1936">
        <v>25</v>
      </c>
      <c r="J39" s="1936">
        <v>270</v>
      </c>
      <c r="K39" s="1947">
        <f t="shared" si="0"/>
        <v>11.25</v>
      </c>
      <c r="L39" s="1938">
        <v>146</v>
      </c>
      <c r="M39" s="1943">
        <f t="shared" si="1"/>
        <v>6.083333333333333</v>
      </c>
      <c r="N39" s="1938"/>
      <c r="O39" s="1940" t="s">
        <v>242</v>
      </c>
      <c r="P39" s="1941"/>
    </row>
    <row r="40" spans="1:16" ht="19.5" customHeight="1">
      <c r="A40" s="1970" t="s">
        <v>2936</v>
      </c>
      <c r="B40" s="1964">
        <v>75971120</v>
      </c>
      <c r="C40" s="1945" t="s">
        <v>2937</v>
      </c>
      <c r="D40" s="1944">
        <v>16</v>
      </c>
      <c r="E40" s="1946">
        <v>11.04</v>
      </c>
      <c r="F40" s="1946">
        <v>0.69</v>
      </c>
      <c r="G40" s="1946">
        <v>12.81</v>
      </c>
      <c r="H40" s="1946">
        <v>0.8</v>
      </c>
      <c r="I40" s="1936"/>
      <c r="J40" s="1936"/>
      <c r="K40" s="1947">
        <f t="shared" si="0"/>
        <v>0</v>
      </c>
      <c r="L40" s="1938"/>
      <c r="M40" s="1943">
        <f t="shared" si="1"/>
        <v>0</v>
      </c>
      <c r="N40" s="1938"/>
      <c r="O40" s="1940" t="s">
        <v>242</v>
      </c>
      <c r="P40" s="1941"/>
    </row>
    <row r="41" spans="1:16" ht="19.5" customHeight="1">
      <c r="A41" s="1970" t="s">
        <v>2938</v>
      </c>
      <c r="B41" s="1964">
        <v>75971113</v>
      </c>
      <c r="C41" s="1945" t="s">
        <v>2939</v>
      </c>
      <c r="D41" s="1944">
        <v>16</v>
      </c>
      <c r="E41" s="1946">
        <v>11.04</v>
      </c>
      <c r="F41" s="1946">
        <v>0.69</v>
      </c>
      <c r="G41" s="1946">
        <v>12.81</v>
      </c>
      <c r="H41" s="1946">
        <v>0.8</v>
      </c>
      <c r="I41" s="1936"/>
      <c r="J41" s="1936"/>
      <c r="K41" s="1947">
        <f t="shared" si="0"/>
        <v>0</v>
      </c>
      <c r="L41" s="1938"/>
      <c r="M41" s="1943">
        <f t="shared" si="1"/>
        <v>0</v>
      </c>
      <c r="N41" s="1938"/>
      <c r="O41" s="1940" t="s">
        <v>242</v>
      </c>
      <c r="P41" s="1941"/>
    </row>
    <row r="42" spans="1:16" ht="19.5" customHeight="1">
      <c r="A42" s="1970" t="s">
        <v>2940</v>
      </c>
      <c r="B42" s="1964">
        <v>75971106</v>
      </c>
      <c r="C42" s="1945" t="s">
        <v>2941</v>
      </c>
      <c r="D42" s="1944">
        <v>16</v>
      </c>
      <c r="E42" s="1946">
        <v>11.04</v>
      </c>
      <c r="F42" s="1946">
        <v>0.69</v>
      </c>
      <c r="G42" s="1946">
        <v>12.81</v>
      </c>
      <c r="H42" s="1946">
        <v>0.8</v>
      </c>
      <c r="I42" s="1936"/>
      <c r="J42" s="1936"/>
      <c r="K42" s="1947">
        <f t="shared" si="0"/>
        <v>0</v>
      </c>
      <c r="L42" s="1938"/>
      <c r="M42" s="1943">
        <f t="shared" si="1"/>
        <v>0</v>
      </c>
      <c r="N42" s="1938"/>
      <c r="O42" s="1940" t="s">
        <v>242</v>
      </c>
      <c r="P42" s="1941"/>
    </row>
    <row r="43" spans="1:16" ht="20.25" customHeight="1">
      <c r="A43" s="1970" t="s">
        <v>2942</v>
      </c>
      <c r="B43" s="1963">
        <v>7591164001215</v>
      </c>
      <c r="C43" s="1945" t="s">
        <v>2943</v>
      </c>
      <c r="D43" s="1944">
        <v>48</v>
      </c>
      <c r="E43" s="1946">
        <v>16.8</v>
      </c>
      <c r="F43" s="1946">
        <v>0.35</v>
      </c>
      <c r="G43" s="1946">
        <v>19.489999999999998</v>
      </c>
      <c r="H43" s="1946">
        <v>0.41</v>
      </c>
      <c r="I43" s="1936">
        <v>5</v>
      </c>
      <c r="J43" s="1936">
        <v>82</v>
      </c>
      <c r="K43" s="1947">
        <f t="shared" si="0"/>
        <v>1.7083333333333333</v>
      </c>
      <c r="L43" s="1938">
        <v>0</v>
      </c>
      <c r="M43" s="1943">
        <f t="shared" si="1"/>
        <v>0</v>
      </c>
      <c r="N43" s="1938"/>
      <c r="O43" s="1940" t="s">
        <v>242</v>
      </c>
      <c r="P43" s="1941"/>
    </row>
    <row r="44" spans="1:16" ht="19.5" customHeight="1">
      <c r="A44" s="1970" t="s">
        <v>2944</v>
      </c>
      <c r="B44" s="1963">
        <v>7591164001239</v>
      </c>
      <c r="C44" s="1945" t="s">
        <v>2945</v>
      </c>
      <c r="D44" s="1944">
        <v>48</v>
      </c>
      <c r="E44" s="1946">
        <v>16.8</v>
      </c>
      <c r="F44" s="1946">
        <v>0.35</v>
      </c>
      <c r="G44" s="1946">
        <v>19.489999999999998</v>
      </c>
      <c r="H44" s="1946">
        <v>0.41</v>
      </c>
      <c r="I44" s="1936">
        <v>5</v>
      </c>
      <c r="J44" s="1936">
        <v>81</v>
      </c>
      <c r="K44" s="1947">
        <f t="shared" si="0"/>
        <v>1.6875</v>
      </c>
      <c r="L44" s="1938">
        <v>11</v>
      </c>
      <c r="M44" s="1943">
        <f t="shared" si="1"/>
        <v>0.22916666666666666</v>
      </c>
      <c r="N44" s="1938"/>
      <c r="O44" s="1940" t="s">
        <v>242</v>
      </c>
      <c r="P44" s="1941"/>
    </row>
    <row r="45" spans="1:16" ht="22.5" customHeight="1">
      <c r="A45" s="1970" t="s">
        <v>2946</v>
      </c>
      <c r="B45" s="1963">
        <v>7591164001222</v>
      </c>
      <c r="C45" s="1945" t="s">
        <v>2947</v>
      </c>
      <c r="D45" s="1944">
        <v>48</v>
      </c>
      <c r="E45" s="1946">
        <v>16.8</v>
      </c>
      <c r="F45" s="1946">
        <v>0.35</v>
      </c>
      <c r="G45" s="1946">
        <v>19.489999999999998</v>
      </c>
      <c r="H45" s="1946">
        <v>0.41</v>
      </c>
      <c r="I45" s="1936">
        <v>5</v>
      </c>
      <c r="J45" s="1936">
        <v>79</v>
      </c>
      <c r="K45" s="1947">
        <f t="shared" si="0"/>
        <v>1.6458333333333333</v>
      </c>
      <c r="L45" s="1938">
        <v>10</v>
      </c>
      <c r="M45" s="1943">
        <f t="shared" si="1"/>
        <v>0.20833333333333334</v>
      </c>
      <c r="N45" s="1938"/>
      <c r="O45" s="1940" t="s">
        <v>242</v>
      </c>
      <c r="P45" s="1941"/>
    </row>
    <row r="46" spans="1:16" ht="24" customHeight="1">
      <c r="A46" s="1970" t="s">
        <v>2948</v>
      </c>
      <c r="B46" s="1963">
        <v>7591164006319</v>
      </c>
      <c r="C46" s="1945" t="s">
        <v>2949</v>
      </c>
      <c r="D46" s="1944">
        <v>48</v>
      </c>
      <c r="E46" s="1946">
        <v>16.8</v>
      </c>
      <c r="F46" s="1946">
        <v>0.35</v>
      </c>
      <c r="G46" s="1946">
        <v>19.489999999999998</v>
      </c>
      <c r="H46" s="1946">
        <v>0.41</v>
      </c>
      <c r="I46" s="1936">
        <v>5</v>
      </c>
      <c r="J46" s="1936">
        <v>63</v>
      </c>
      <c r="K46" s="1947">
        <f t="shared" si="0"/>
        <v>1.3125</v>
      </c>
      <c r="L46" s="1938">
        <v>22</v>
      </c>
      <c r="M46" s="1943">
        <f t="shared" si="1"/>
        <v>0.45833333333333331</v>
      </c>
      <c r="N46" s="1938"/>
      <c r="O46" s="1940" t="s">
        <v>242</v>
      </c>
      <c r="P46" s="1941"/>
    </row>
    <row r="47" spans="1:16" ht="22.5" customHeight="1">
      <c r="A47" s="1970" t="s">
        <v>2950</v>
      </c>
      <c r="B47" s="1963">
        <v>7591164001208</v>
      </c>
      <c r="C47" s="1945" t="s">
        <v>2951</v>
      </c>
      <c r="D47" s="1944">
        <v>48</v>
      </c>
      <c r="E47" s="1946">
        <v>16.8</v>
      </c>
      <c r="F47" s="1946">
        <v>0.35</v>
      </c>
      <c r="G47" s="1946">
        <v>19.489999999999998</v>
      </c>
      <c r="H47" s="1946">
        <v>0.41</v>
      </c>
      <c r="I47" s="1936">
        <v>5</v>
      </c>
      <c r="J47" s="1936">
        <v>0</v>
      </c>
      <c r="K47" s="1947">
        <f t="shared" si="0"/>
        <v>0</v>
      </c>
      <c r="L47" s="1938">
        <v>0</v>
      </c>
      <c r="M47" s="1943">
        <f t="shared" si="1"/>
        <v>0</v>
      </c>
      <c r="N47" s="1938"/>
      <c r="O47" s="1940" t="s">
        <v>242</v>
      </c>
      <c r="P47" s="1941"/>
    </row>
    <row r="48" spans="1:16" s="1594" customFormat="1" ht="19.5" customHeight="1">
      <c r="A48" s="1970"/>
      <c r="B48" s="1963"/>
      <c r="C48" s="1945" t="s">
        <v>5241</v>
      </c>
      <c r="D48" s="1944">
        <v>48</v>
      </c>
      <c r="E48" s="1946">
        <v>16.8</v>
      </c>
      <c r="F48" s="1946">
        <v>0.35</v>
      </c>
      <c r="G48" s="1946"/>
      <c r="H48" s="1946"/>
      <c r="I48" s="1936">
        <v>5</v>
      </c>
      <c r="J48" s="1936">
        <v>0</v>
      </c>
      <c r="K48" s="1947">
        <f t="shared" si="0"/>
        <v>0</v>
      </c>
      <c r="L48" s="1938"/>
      <c r="M48" s="1943"/>
      <c r="N48" s="1938"/>
      <c r="O48" s="1940" t="s">
        <v>242</v>
      </c>
      <c r="P48" s="1941"/>
    </row>
    <row r="49" spans="1:16" ht="19.5" customHeight="1">
      <c r="A49" s="1970" t="s">
        <v>2952</v>
      </c>
      <c r="B49" s="1963">
        <v>7591164006173</v>
      </c>
      <c r="C49" s="1945" t="s">
        <v>2953</v>
      </c>
      <c r="D49" s="1944">
        <v>8</v>
      </c>
      <c r="E49" s="1946">
        <v>7.92</v>
      </c>
      <c r="F49" s="1946">
        <v>0.99</v>
      </c>
      <c r="G49" s="1946">
        <v>9.19</v>
      </c>
      <c r="H49" s="1946">
        <v>1.1499999999999999</v>
      </c>
      <c r="I49" s="1936"/>
      <c r="J49" s="1936"/>
      <c r="K49" s="1947">
        <f t="shared" si="0"/>
        <v>0</v>
      </c>
      <c r="L49" s="1938" t="s">
        <v>940</v>
      </c>
      <c r="M49" s="1943" t="e">
        <f t="shared" si="1"/>
        <v>#VALUE!</v>
      </c>
      <c r="N49" s="1938"/>
      <c r="O49" s="1940" t="s">
        <v>242</v>
      </c>
      <c r="P49" s="1941"/>
    </row>
    <row r="50" spans="1:16" ht="19.5" customHeight="1">
      <c r="A50" s="1970" t="s">
        <v>2954</v>
      </c>
      <c r="B50" s="1963">
        <v>7591164006180</v>
      </c>
      <c r="C50" s="1945" t="s">
        <v>2955</v>
      </c>
      <c r="D50" s="1944">
        <v>8</v>
      </c>
      <c r="E50" s="1946">
        <v>7.92</v>
      </c>
      <c r="F50" s="1946">
        <v>0.99</v>
      </c>
      <c r="G50" s="1946">
        <v>9.19</v>
      </c>
      <c r="H50" s="1946">
        <v>1.1499999999999999</v>
      </c>
      <c r="I50" s="1936"/>
      <c r="J50" s="1936"/>
      <c r="K50" s="1947">
        <f t="shared" si="0"/>
        <v>0</v>
      </c>
      <c r="L50" s="1938"/>
      <c r="M50" s="1943">
        <f t="shared" si="1"/>
        <v>0</v>
      </c>
      <c r="N50" s="1938"/>
      <c r="O50" s="1940" t="s">
        <v>242</v>
      </c>
      <c r="P50" s="1941"/>
    </row>
    <row r="51" spans="1:16" ht="19.5" customHeight="1">
      <c r="A51" s="1970" t="s">
        <v>2956</v>
      </c>
      <c r="B51" s="1963">
        <v>7591164006197</v>
      </c>
      <c r="C51" s="1945" t="s">
        <v>2957</v>
      </c>
      <c r="D51" s="1944">
        <v>8</v>
      </c>
      <c r="E51" s="1946">
        <v>7.92</v>
      </c>
      <c r="F51" s="1946">
        <v>0.99</v>
      </c>
      <c r="G51" s="1946">
        <v>9.19</v>
      </c>
      <c r="H51" s="1946">
        <v>1.1499999999999999</v>
      </c>
      <c r="I51" s="1936"/>
      <c r="J51" s="1936"/>
      <c r="K51" s="1947">
        <f t="shared" si="0"/>
        <v>0</v>
      </c>
      <c r="L51" s="1938"/>
      <c r="M51" s="1943">
        <f t="shared" si="1"/>
        <v>0</v>
      </c>
      <c r="N51" s="1938"/>
      <c r="O51" s="1940" t="s">
        <v>242</v>
      </c>
      <c r="P51" s="1941"/>
    </row>
    <row r="52" spans="1:16" ht="19.5" customHeight="1">
      <c r="A52" s="1970" t="s">
        <v>2958</v>
      </c>
      <c r="B52" s="1963">
        <v>7591164006166</v>
      </c>
      <c r="C52" s="1945" t="s">
        <v>2959</v>
      </c>
      <c r="D52" s="1944">
        <v>8</v>
      </c>
      <c r="E52" s="1946">
        <v>7.92</v>
      </c>
      <c r="F52" s="1946">
        <v>0.99</v>
      </c>
      <c r="G52" s="1946">
        <v>9.19</v>
      </c>
      <c r="H52" s="1946">
        <v>1.1499999999999999</v>
      </c>
      <c r="I52" s="1936"/>
      <c r="J52" s="1936"/>
      <c r="K52" s="1947">
        <f t="shared" si="0"/>
        <v>0</v>
      </c>
      <c r="L52" s="1938"/>
      <c r="M52" s="1943">
        <f t="shared" si="1"/>
        <v>0</v>
      </c>
      <c r="N52" s="1938"/>
      <c r="O52" s="1940" t="s">
        <v>242</v>
      </c>
      <c r="P52" s="1941"/>
    </row>
    <row r="53" spans="1:16" ht="23.25" customHeight="1">
      <c r="A53" s="1970" t="s">
        <v>2960</v>
      </c>
      <c r="B53" s="1964">
        <v>75971168</v>
      </c>
      <c r="C53" s="1945" t="s">
        <v>2961</v>
      </c>
      <c r="D53" s="1944">
        <v>24</v>
      </c>
      <c r="E53" s="1946">
        <v>12</v>
      </c>
      <c r="F53" s="1946">
        <v>0.5</v>
      </c>
      <c r="G53" s="1946">
        <v>13.92</v>
      </c>
      <c r="H53" s="1946">
        <v>0.57999999999999996</v>
      </c>
      <c r="I53" s="1936"/>
      <c r="J53" s="1936"/>
      <c r="K53" s="1947">
        <f t="shared" si="0"/>
        <v>0</v>
      </c>
      <c r="L53" s="1938"/>
      <c r="M53" s="1943">
        <f t="shared" si="1"/>
        <v>0</v>
      </c>
      <c r="N53" s="1938"/>
      <c r="O53" s="1940" t="s">
        <v>242</v>
      </c>
      <c r="P53" s="1941"/>
    </row>
    <row r="54" spans="1:16" ht="23.25" customHeight="1">
      <c r="A54" s="1970" t="s">
        <v>2962</v>
      </c>
      <c r="B54" s="1964">
        <v>75971151</v>
      </c>
      <c r="C54" s="1945" t="s">
        <v>2963</v>
      </c>
      <c r="D54" s="1944">
        <v>24</v>
      </c>
      <c r="E54" s="1946">
        <v>12</v>
      </c>
      <c r="F54" s="1946">
        <v>0.5</v>
      </c>
      <c r="G54" s="1946">
        <v>13.92</v>
      </c>
      <c r="H54" s="1946">
        <v>0.57999999999999996</v>
      </c>
      <c r="I54" s="1936"/>
      <c r="J54" s="1936"/>
      <c r="K54" s="1947">
        <f t="shared" si="0"/>
        <v>0</v>
      </c>
      <c r="L54" s="1938"/>
      <c r="M54" s="1943">
        <f t="shared" si="1"/>
        <v>0</v>
      </c>
      <c r="N54" s="1938"/>
      <c r="O54" s="1940" t="s">
        <v>242</v>
      </c>
      <c r="P54" s="1941"/>
    </row>
    <row r="55" spans="1:16" ht="19.5" customHeight="1">
      <c r="A55" s="1970" t="s">
        <v>2964</v>
      </c>
      <c r="B55" s="1964">
        <v>75971144</v>
      </c>
      <c r="C55" s="1945" t="s">
        <v>2965</v>
      </c>
      <c r="D55" s="1944">
        <v>24</v>
      </c>
      <c r="E55" s="1946">
        <v>12</v>
      </c>
      <c r="F55" s="1946">
        <v>0.5</v>
      </c>
      <c r="G55" s="1946">
        <v>13.92</v>
      </c>
      <c r="H55" s="1946">
        <v>0.57999999999999996</v>
      </c>
      <c r="I55" s="1936"/>
      <c r="J55" s="1936"/>
      <c r="K55" s="1947">
        <f t="shared" si="0"/>
        <v>0</v>
      </c>
      <c r="L55" s="1938"/>
      <c r="M55" s="1943">
        <f t="shared" si="1"/>
        <v>0</v>
      </c>
      <c r="N55" s="1938"/>
      <c r="O55" s="1940" t="s">
        <v>242</v>
      </c>
      <c r="P55" s="1941"/>
    </row>
    <row r="56" spans="1:16" ht="19.5" customHeight="1">
      <c r="A56" s="1970" t="s">
        <v>4799</v>
      </c>
      <c r="B56" s="1964">
        <v>75971823</v>
      </c>
      <c r="C56" s="1945" t="s">
        <v>4477</v>
      </c>
      <c r="D56" s="1944">
        <v>24</v>
      </c>
      <c r="E56" s="1946">
        <v>13.44</v>
      </c>
      <c r="F56" s="1946">
        <v>0.56000000000000005</v>
      </c>
      <c r="G56" s="1946">
        <v>15.59</v>
      </c>
      <c r="H56" s="1946">
        <v>0.65</v>
      </c>
      <c r="I56" s="1936"/>
      <c r="J56" s="1936"/>
      <c r="K56" s="1947">
        <f t="shared" si="0"/>
        <v>0</v>
      </c>
      <c r="L56" s="1938"/>
      <c r="M56" s="1943">
        <f t="shared" si="1"/>
        <v>0</v>
      </c>
      <c r="N56" s="1938"/>
      <c r="O56" s="1940" t="s">
        <v>242</v>
      </c>
      <c r="P56" s="1941"/>
    </row>
    <row r="57" spans="1:16" ht="19.5" customHeight="1">
      <c r="A57" s="1970" t="s">
        <v>4800</v>
      </c>
      <c r="B57" s="1964">
        <v>75971830</v>
      </c>
      <c r="C57" s="1945" t="s">
        <v>4478</v>
      </c>
      <c r="D57" s="1944">
        <v>24</v>
      </c>
      <c r="E57" s="1946">
        <v>13.44</v>
      </c>
      <c r="F57" s="1946">
        <v>0.56000000000000005</v>
      </c>
      <c r="G57" s="1946">
        <v>15.59</v>
      </c>
      <c r="H57" s="1946">
        <v>0.65</v>
      </c>
      <c r="I57" s="1936"/>
      <c r="J57" s="1936"/>
      <c r="K57" s="1947">
        <f t="shared" si="0"/>
        <v>0</v>
      </c>
      <c r="L57" s="1938"/>
      <c r="M57" s="1943">
        <f t="shared" si="1"/>
        <v>0</v>
      </c>
      <c r="N57" s="1938"/>
      <c r="O57" s="1940" t="s">
        <v>242</v>
      </c>
      <c r="P57" s="1941"/>
    </row>
    <row r="58" spans="1:16" ht="19.5" customHeight="1">
      <c r="A58" s="1970" t="s">
        <v>4801</v>
      </c>
      <c r="B58" s="1964">
        <v>75971847</v>
      </c>
      <c r="C58" s="1945" t="s">
        <v>4479</v>
      </c>
      <c r="D58" s="1944">
        <v>24</v>
      </c>
      <c r="E58" s="1946">
        <v>13.44</v>
      </c>
      <c r="F58" s="1946">
        <v>0.56000000000000005</v>
      </c>
      <c r="G58" s="1946">
        <v>15.59</v>
      </c>
      <c r="H58" s="1946">
        <v>0.65</v>
      </c>
      <c r="I58" s="1936"/>
      <c r="J58" s="1936"/>
      <c r="K58" s="1947">
        <f t="shared" si="0"/>
        <v>0</v>
      </c>
      <c r="L58" s="1938"/>
      <c r="M58" s="1943">
        <f t="shared" si="1"/>
        <v>0</v>
      </c>
      <c r="N58" s="1938"/>
      <c r="O58" s="1940" t="s">
        <v>242</v>
      </c>
      <c r="P58" s="1941"/>
    </row>
    <row r="59" spans="1:16" ht="23.25" customHeight="1">
      <c r="A59" s="1970" t="s">
        <v>2966</v>
      </c>
      <c r="B59" s="1963">
        <v>7591164000034</v>
      </c>
      <c r="C59" s="1945" t="s">
        <v>2967</v>
      </c>
      <c r="D59" s="1944">
        <v>24</v>
      </c>
      <c r="E59" s="1946">
        <v>16.079999999999998</v>
      </c>
      <c r="F59" s="1946">
        <v>0.67</v>
      </c>
      <c r="G59" s="1946">
        <v>18.649999999999999</v>
      </c>
      <c r="H59" s="1946">
        <v>0.78</v>
      </c>
      <c r="I59" s="1936">
        <v>35</v>
      </c>
      <c r="J59" s="1936">
        <v>253</v>
      </c>
      <c r="K59" s="1947">
        <f t="shared" si="0"/>
        <v>10.541666666666666</v>
      </c>
      <c r="L59" s="1938">
        <v>10</v>
      </c>
      <c r="M59" s="1943">
        <f t="shared" si="1"/>
        <v>0.41666666666666669</v>
      </c>
      <c r="N59" s="1938"/>
      <c r="O59" s="1940" t="s">
        <v>242</v>
      </c>
      <c r="P59" s="1941"/>
    </row>
    <row r="60" spans="1:16" s="1594" customFormat="1" ht="23.25" customHeight="1">
      <c r="A60" s="1970"/>
      <c r="B60" s="1963"/>
      <c r="C60" s="1945" t="s">
        <v>5575</v>
      </c>
      <c r="D60" s="1944"/>
      <c r="E60" s="1946"/>
      <c r="F60" s="1946"/>
      <c r="G60" s="1946"/>
      <c r="H60" s="1946"/>
      <c r="I60" s="1936">
        <v>25</v>
      </c>
      <c r="J60" s="1936"/>
      <c r="K60" s="1947"/>
      <c r="L60" s="1938"/>
      <c r="M60" s="1943"/>
      <c r="N60" s="1938"/>
      <c r="O60" s="1940" t="s">
        <v>242</v>
      </c>
      <c r="P60" s="1941"/>
    </row>
    <row r="61" spans="1:16" ht="19.5" customHeight="1">
      <c r="A61" s="1970" t="s">
        <v>2968</v>
      </c>
      <c r="B61" s="1963">
        <v>753079100835</v>
      </c>
      <c r="C61" s="1945" t="s">
        <v>2969</v>
      </c>
      <c r="D61" s="1944">
        <v>24</v>
      </c>
      <c r="E61" s="1946">
        <v>31.68</v>
      </c>
      <c r="F61" s="1946">
        <v>1.32</v>
      </c>
      <c r="G61" s="1946">
        <v>36.75</v>
      </c>
      <c r="H61" s="1946">
        <v>1.53</v>
      </c>
      <c r="I61" s="1936"/>
      <c r="J61" s="1936"/>
      <c r="K61" s="1947">
        <f t="shared" si="0"/>
        <v>0</v>
      </c>
      <c r="L61" s="1938"/>
      <c r="M61" s="1943">
        <f t="shared" si="1"/>
        <v>0</v>
      </c>
      <c r="N61" s="1938"/>
      <c r="O61" s="1940" t="s">
        <v>242</v>
      </c>
      <c r="P61" s="1941"/>
    </row>
    <row r="62" spans="1:16" ht="19.5" customHeight="1">
      <c r="A62" s="1969" t="s">
        <v>2970</v>
      </c>
      <c r="B62" s="1965" t="s">
        <v>2971</v>
      </c>
      <c r="C62" s="1945" t="s">
        <v>2972</v>
      </c>
      <c r="D62" s="1944">
        <v>24</v>
      </c>
      <c r="E62" s="1946">
        <v>30.72</v>
      </c>
      <c r="F62" s="1946">
        <v>1.28</v>
      </c>
      <c r="G62" s="1946">
        <v>35.64</v>
      </c>
      <c r="H62" s="1946">
        <v>1.48</v>
      </c>
      <c r="I62" s="1936"/>
      <c r="J62" s="1936"/>
      <c r="K62" s="1947">
        <f t="shared" si="0"/>
        <v>0</v>
      </c>
      <c r="L62" s="1938"/>
      <c r="M62" s="1943">
        <f t="shared" si="1"/>
        <v>0</v>
      </c>
      <c r="N62" s="1938"/>
      <c r="O62" s="1940" t="s">
        <v>242</v>
      </c>
      <c r="P62" s="1941"/>
    </row>
    <row r="63" spans="1:16" ht="19.5" customHeight="1">
      <c r="A63" s="1976" t="s">
        <v>5586</v>
      </c>
      <c r="B63" s="1950" t="s">
        <v>5576</v>
      </c>
      <c r="C63" s="1948" t="s">
        <v>5577</v>
      </c>
      <c r="D63" s="1950" t="s">
        <v>5578</v>
      </c>
      <c r="E63" s="1950" t="s">
        <v>5579</v>
      </c>
      <c r="F63" s="1950" t="s">
        <v>5580</v>
      </c>
      <c r="G63" s="1950" t="s">
        <v>5581</v>
      </c>
      <c r="H63" s="1950" t="s">
        <v>5582</v>
      </c>
      <c r="I63" s="1936"/>
      <c r="J63" s="1936"/>
      <c r="K63" s="1947" t="e">
        <f t="shared" si="0"/>
        <v>#VALUE!</v>
      </c>
      <c r="L63" s="1938"/>
      <c r="M63" s="1943" t="e">
        <f t="shared" si="1"/>
        <v>#VALUE!</v>
      </c>
      <c r="N63" s="1938"/>
      <c r="O63" s="1940" t="s">
        <v>242</v>
      </c>
      <c r="P63" s="1941"/>
    </row>
    <row r="64" spans="1:16" ht="19.5" customHeight="1">
      <c r="A64" s="1971" t="s">
        <v>5587</v>
      </c>
      <c r="B64" s="2371"/>
      <c r="C64" s="2371"/>
      <c r="D64" s="2371"/>
      <c r="E64" s="2371"/>
      <c r="F64" s="2371"/>
      <c r="G64" s="2371"/>
      <c r="H64" s="2371"/>
      <c r="I64" s="1938"/>
      <c r="J64" s="1938"/>
      <c r="K64" s="1947" t="e">
        <f t="shared" si="0"/>
        <v>#DIV/0!</v>
      </c>
      <c r="L64" s="1938"/>
      <c r="M64" s="1943" t="e">
        <f t="shared" si="1"/>
        <v>#DIV/0!</v>
      </c>
      <c r="N64" s="1938"/>
      <c r="O64" s="1940" t="s">
        <v>242</v>
      </c>
      <c r="P64" s="1941"/>
    </row>
    <row r="65" spans="1:16" ht="19.5" customHeight="1">
      <c r="A65" s="1972" t="s">
        <v>3045</v>
      </c>
      <c r="B65" s="1944">
        <v>7591473005058</v>
      </c>
      <c r="C65" s="1945" t="s">
        <v>3046</v>
      </c>
      <c r="D65" s="1944">
        <v>30</v>
      </c>
      <c r="E65" s="1946">
        <v>17.100000000000001</v>
      </c>
      <c r="F65" s="1946">
        <v>0.56999999999999995</v>
      </c>
      <c r="G65" s="1946">
        <v>17.100000000000001</v>
      </c>
      <c r="H65" s="1946">
        <v>0.56999999999999995</v>
      </c>
      <c r="I65" s="1938"/>
      <c r="J65" s="1938"/>
      <c r="K65" s="1947">
        <f t="shared" si="0"/>
        <v>0</v>
      </c>
      <c r="L65" s="1938"/>
      <c r="M65" s="1943">
        <f t="shared" si="1"/>
        <v>0</v>
      </c>
      <c r="N65" s="1938"/>
      <c r="O65" s="1940" t="s">
        <v>242</v>
      </c>
      <c r="P65" s="1941"/>
    </row>
    <row r="66" spans="1:16" ht="19.5" customHeight="1">
      <c r="A66" s="1972" t="s">
        <v>3047</v>
      </c>
      <c r="B66" s="1944">
        <v>7591473003474</v>
      </c>
      <c r="C66" s="1945" t="s">
        <v>3048</v>
      </c>
      <c r="D66" s="1944">
        <v>24</v>
      </c>
      <c r="E66" s="1946">
        <v>17.04</v>
      </c>
      <c r="F66" s="1946">
        <v>0.71</v>
      </c>
      <c r="G66" s="1946">
        <v>17.04</v>
      </c>
      <c r="H66" s="1946">
        <v>0.71</v>
      </c>
      <c r="I66" s="1938"/>
      <c r="J66" s="1938"/>
      <c r="K66" s="1947">
        <f t="shared" si="0"/>
        <v>0</v>
      </c>
      <c r="L66" s="1938"/>
      <c r="M66" s="1943">
        <f t="shared" si="1"/>
        <v>0</v>
      </c>
      <c r="N66" s="1938"/>
      <c r="O66" s="1940" t="s">
        <v>242</v>
      </c>
      <c r="P66" s="1941"/>
    </row>
    <row r="67" spans="1:16" ht="19.5" customHeight="1">
      <c r="A67" s="1972" t="s">
        <v>3049</v>
      </c>
      <c r="B67" s="1944">
        <v>7591473005126</v>
      </c>
      <c r="C67" s="1945" t="s">
        <v>3050</v>
      </c>
      <c r="D67" s="1944">
        <v>48</v>
      </c>
      <c r="E67" s="1946">
        <v>17.28</v>
      </c>
      <c r="F67" s="1946">
        <v>0.36</v>
      </c>
      <c r="G67" s="1946">
        <v>17.28</v>
      </c>
      <c r="H67" s="1946">
        <v>0.36</v>
      </c>
      <c r="I67" s="1938"/>
      <c r="J67" s="1938"/>
      <c r="K67" s="1947">
        <f t="shared" si="0"/>
        <v>0</v>
      </c>
      <c r="L67" s="1938"/>
      <c r="M67" s="1943">
        <f t="shared" si="1"/>
        <v>0</v>
      </c>
      <c r="N67" s="1938"/>
      <c r="O67" s="1940" t="s">
        <v>242</v>
      </c>
      <c r="P67" s="1941"/>
    </row>
    <row r="68" spans="1:16" ht="19.5" customHeight="1">
      <c r="A68" s="1972" t="s">
        <v>3051</v>
      </c>
      <c r="B68" s="1944">
        <v>7591473005126</v>
      </c>
      <c r="C68" s="1945" t="s">
        <v>3052</v>
      </c>
      <c r="D68" s="1944">
        <v>48</v>
      </c>
      <c r="E68" s="1946">
        <v>17.28</v>
      </c>
      <c r="F68" s="1946">
        <v>0.36</v>
      </c>
      <c r="G68" s="1946">
        <v>17.28</v>
      </c>
      <c r="H68" s="1946">
        <v>0.36</v>
      </c>
      <c r="I68" s="1938"/>
      <c r="J68" s="1938"/>
      <c r="K68" s="1947">
        <f t="shared" si="0"/>
        <v>0</v>
      </c>
      <c r="L68" s="1938"/>
      <c r="M68" s="1943">
        <f t="shared" si="1"/>
        <v>0</v>
      </c>
      <c r="N68" s="1938"/>
      <c r="O68" s="1940" t="s">
        <v>242</v>
      </c>
      <c r="P68" s="1941"/>
    </row>
    <row r="69" spans="1:16" ht="19.5" customHeight="1">
      <c r="A69" s="1972" t="s">
        <v>3053</v>
      </c>
      <c r="B69" s="1944">
        <v>7591473005041</v>
      </c>
      <c r="C69" s="1945" t="s">
        <v>3054</v>
      </c>
      <c r="D69" s="1944">
        <v>30</v>
      </c>
      <c r="E69" s="1946">
        <v>18.3</v>
      </c>
      <c r="F69" s="1946">
        <v>0.61</v>
      </c>
      <c r="G69" s="1946">
        <v>18.3</v>
      </c>
      <c r="H69" s="1946">
        <v>0.61</v>
      </c>
      <c r="I69" s="1938"/>
      <c r="J69" s="1938"/>
      <c r="K69" s="1947">
        <f t="shared" si="0"/>
        <v>0</v>
      </c>
      <c r="L69" s="1938"/>
      <c r="M69" s="1943">
        <f t="shared" si="1"/>
        <v>0</v>
      </c>
      <c r="N69" s="1938"/>
      <c r="O69" s="1940" t="s">
        <v>242</v>
      </c>
      <c r="P69" s="1941"/>
    </row>
    <row r="70" spans="1:16" ht="19.5" customHeight="1">
      <c r="A70" s="1972" t="s">
        <v>3055</v>
      </c>
      <c r="B70" s="1944">
        <v>7591473003450</v>
      </c>
      <c r="C70" s="1945" t="s">
        <v>3056</v>
      </c>
      <c r="D70" s="1944">
        <v>24</v>
      </c>
      <c r="E70" s="1946">
        <v>18.48</v>
      </c>
      <c r="F70" s="1946">
        <v>0.77</v>
      </c>
      <c r="G70" s="1946">
        <v>18.48</v>
      </c>
      <c r="H70" s="1946">
        <v>0.77</v>
      </c>
      <c r="I70" s="1938"/>
      <c r="J70" s="1938"/>
      <c r="K70" s="1947">
        <f t="shared" si="0"/>
        <v>0</v>
      </c>
      <c r="L70" s="1938"/>
      <c r="M70" s="1943">
        <f t="shared" si="1"/>
        <v>0</v>
      </c>
      <c r="N70" s="1938"/>
      <c r="O70" s="1940" t="s">
        <v>242</v>
      </c>
      <c r="P70" s="1941"/>
    </row>
    <row r="71" spans="1:16" ht="19.5" customHeight="1">
      <c r="A71" s="1972" t="s">
        <v>4810</v>
      </c>
      <c r="B71" s="1944">
        <v>7591473005119</v>
      </c>
      <c r="C71" s="1945" t="s">
        <v>4811</v>
      </c>
      <c r="D71" s="1944">
        <v>24</v>
      </c>
      <c r="E71" s="1946">
        <v>7.44</v>
      </c>
      <c r="F71" s="1946">
        <v>0.31</v>
      </c>
      <c r="G71" s="1946">
        <v>7.44</v>
      </c>
      <c r="H71" s="1946">
        <v>0.31</v>
      </c>
      <c r="I71" s="1938"/>
      <c r="J71" s="1938"/>
      <c r="K71" s="1947">
        <f t="shared" si="0"/>
        <v>0</v>
      </c>
      <c r="L71" s="1938"/>
      <c r="M71" s="1943">
        <f t="shared" si="1"/>
        <v>0</v>
      </c>
      <c r="N71" s="1938"/>
      <c r="O71" s="1940" t="s">
        <v>242</v>
      </c>
      <c r="P71" s="1941"/>
    </row>
    <row r="72" spans="1:16" ht="19.5" customHeight="1">
      <c r="A72" s="1972" t="s">
        <v>3057</v>
      </c>
      <c r="B72" s="1944">
        <v>7591473005119</v>
      </c>
      <c r="C72" s="1945" t="s">
        <v>3058</v>
      </c>
      <c r="D72" s="1944">
        <v>48</v>
      </c>
      <c r="E72" s="1946">
        <v>18.72</v>
      </c>
      <c r="F72" s="1946">
        <v>0.39</v>
      </c>
      <c r="G72" s="1946">
        <v>18.72</v>
      </c>
      <c r="H72" s="1946">
        <v>0.39</v>
      </c>
      <c r="I72" s="1938"/>
      <c r="J72" s="1938"/>
      <c r="K72" s="1947">
        <f t="shared" ref="K72:K135" si="4">+J72/D72</f>
        <v>0</v>
      </c>
      <c r="L72" s="1938"/>
      <c r="M72" s="1943">
        <f t="shared" ref="M72:M135" si="5">+L72/D72</f>
        <v>0</v>
      </c>
      <c r="N72" s="1938"/>
      <c r="O72" s="1940" t="s">
        <v>242</v>
      </c>
      <c r="P72" s="1941"/>
    </row>
    <row r="73" spans="1:16" ht="19.5" customHeight="1">
      <c r="A73" s="1972" t="s">
        <v>3059</v>
      </c>
      <c r="B73" s="1944">
        <v>7591473005119</v>
      </c>
      <c r="C73" s="1945" t="s">
        <v>3060</v>
      </c>
      <c r="D73" s="1944">
        <v>48</v>
      </c>
      <c r="E73" s="1946">
        <v>18.72</v>
      </c>
      <c r="F73" s="1946">
        <v>0.39</v>
      </c>
      <c r="G73" s="1946">
        <v>18.72</v>
      </c>
      <c r="H73" s="1946">
        <v>0.39</v>
      </c>
      <c r="I73" s="1938"/>
      <c r="J73" s="1938"/>
      <c r="K73" s="1947">
        <f t="shared" si="4"/>
        <v>0</v>
      </c>
      <c r="L73" s="1938"/>
      <c r="M73" s="1943">
        <f t="shared" si="5"/>
        <v>0</v>
      </c>
      <c r="N73" s="1938"/>
      <c r="O73" s="1940" t="s">
        <v>242</v>
      </c>
      <c r="P73" s="1941"/>
    </row>
    <row r="74" spans="1:16" ht="19.5" customHeight="1">
      <c r="A74" s="1972" t="s">
        <v>3061</v>
      </c>
      <c r="B74" s="1944">
        <v>7591473005003</v>
      </c>
      <c r="C74" s="1945" t="s">
        <v>3062</v>
      </c>
      <c r="D74" s="1944">
        <v>30</v>
      </c>
      <c r="E74" s="1946">
        <v>23.7</v>
      </c>
      <c r="F74" s="1946">
        <v>0.79</v>
      </c>
      <c r="G74" s="1946">
        <v>23.7</v>
      </c>
      <c r="H74" s="1946">
        <v>0.79</v>
      </c>
      <c r="I74" s="1938"/>
      <c r="J74" s="1938"/>
      <c r="K74" s="1947">
        <f t="shared" si="4"/>
        <v>0</v>
      </c>
      <c r="L74" s="1938"/>
      <c r="M74" s="1943">
        <f t="shared" si="5"/>
        <v>0</v>
      </c>
      <c r="N74" s="1938"/>
      <c r="O74" s="1940" t="s">
        <v>242</v>
      </c>
      <c r="P74" s="1941"/>
    </row>
    <row r="75" spans="1:16" ht="19.5" customHeight="1">
      <c r="A75" s="1972" t="s">
        <v>4812</v>
      </c>
      <c r="B75" s="1944">
        <v>7591473005072</v>
      </c>
      <c r="C75" s="1945" t="s">
        <v>4813</v>
      </c>
      <c r="D75" s="1944">
        <v>24</v>
      </c>
      <c r="E75" s="1946">
        <v>9.6</v>
      </c>
      <c r="F75" s="1946">
        <v>0.4</v>
      </c>
      <c r="G75" s="1946">
        <v>9.6</v>
      </c>
      <c r="H75" s="1946">
        <v>0.4</v>
      </c>
      <c r="I75" s="1938"/>
      <c r="J75" s="1938"/>
      <c r="K75" s="1947">
        <f t="shared" si="4"/>
        <v>0</v>
      </c>
      <c r="L75" s="1938"/>
      <c r="M75" s="1943">
        <f t="shared" si="5"/>
        <v>0</v>
      </c>
      <c r="N75" s="1938"/>
      <c r="O75" s="1940" t="s">
        <v>242</v>
      </c>
      <c r="P75" s="1941"/>
    </row>
    <row r="76" spans="1:16" ht="19.5" customHeight="1">
      <c r="A76" s="1972" t="s">
        <v>3063</v>
      </c>
      <c r="B76" s="1944">
        <v>7591473003351</v>
      </c>
      <c r="C76" s="1945" t="s">
        <v>3064</v>
      </c>
      <c r="D76" s="1944">
        <v>24</v>
      </c>
      <c r="E76" s="1946">
        <v>23.76</v>
      </c>
      <c r="F76" s="1946">
        <v>0.99</v>
      </c>
      <c r="G76" s="1946">
        <v>23.76</v>
      </c>
      <c r="H76" s="1946">
        <v>0.99</v>
      </c>
      <c r="I76" s="1938"/>
      <c r="J76" s="1938"/>
      <c r="K76" s="1947">
        <f t="shared" si="4"/>
        <v>0</v>
      </c>
      <c r="L76" s="1938"/>
      <c r="M76" s="1943">
        <f t="shared" si="5"/>
        <v>0</v>
      </c>
      <c r="N76" s="1938"/>
      <c r="O76" s="1940" t="s">
        <v>242</v>
      </c>
      <c r="P76" s="1941"/>
    </row>
    <row r="77" spans="1:16" ht="19.5" customHeight="1">
      <c r="A77" s="1972" t="s">
        <v>3065</v>
      </c>
      <c r="B77" s="1944">
        <v>7591473005072</v>
      </c>
      <c r="C77" s="1945" t="s">
        <v>3066</v>
      </c>
      <c r="D77" s="1944">
        <v>48</v>
      </c>
      <c r="E77" s="1946">
        <v>24</v>
      </c>
      <c r="F77" s="1946">
        <v>0.5</v>
      </c>
      <c r="G77" s="1946">
        <v>24</v>
      </c>
      <c r="H77" s="1946">
        <v>0.5</v>
      </c>
      <c r="I77" s="1938"/>
      <c r="J77" s="1938"/>
      <c r="K77" s="1947">
        <f t="shared" si="4"/>
        <v>0</v>
      </c>
      <c r="L77" s="1938"/>
      <c r="M77" s="1943">
        <f t="shared" si="5"/>
        <v>0</v>
      </c>
      <c r="N77" s="1938"/>
      <c r="O77" s="1940" t="s">
        <v>242</v>
      </c>
      <c r="P77" s="1941"/>
    </row>
    <row r="78" spans="1:16" ht="19.5" customHeight="1">
      <c r="A78" s="1972" t="s">
        <v>3067</v>
      </c>
      <c r="B78" s="1944">
        <v>7591473003375</v>
      </c>
      <c r="C78" s="1945" t="s">
        <v>3068</v>
      </c>
      <c r="D78" s="1944">
        <v>24</v>
      </c>
      <c r="E78" s="1946">
        <v>40.08</v>
      </c>
      <c r="F78" s="1946">
        <v>1.67</v>
      </c>
      <c r="G78" s="1946">
        <v>40.08</v>
      </c>
      <c r="H78" s="1946">
        <v>1.67</v>
      </c>
      <c r="I78" s="1938"/>
      <c r="J78" s="1938"/>
      <c r="K78" s="1947">
        <f t="shared" si="4"/>
        <v>0</v>
      </c>
      <c r="L78" s="1938"/>
      <c r="M78" s="1943">
        <f t="shared" si="5"/>
        <v>0</v>
      </c>
      <c r="N78" s="1938"/>
      <c r="O78" s="1940" t="s">
        <v>242</v>
      </c>
      <c r="P78" s="1941"/>
    </row>
    <row r="79" spans="1:16" ht="19.5" customHeight="1">
      <c r="A79" s="1972" t="s">
        <v>3069</v>
      </c>
      <c r="B79" s="1944">
        <v>7591473005096</v>
      </c>
      <c r="C79" s="1945" t="s">
        <v>3070</v>
      </c>
      <c r="D79" s="1944">
        <v>48</v>
      </c>
      <c r="E79" s="1946">
        <v>40.32</v>
      </c>
      <c r="F79" s="1946">
        <v>0.84</v>
      </c>
      <c r="G79" s="1946">
        <v>40.32</v>
      </c>
      <c r="H79" s="1946">
        <v>0.84</v>
      </c>
      <c r="I79" s="1938"/>
      <c r="J79" s="1938"/>
      <c r="K79" s="1947">
        <f t="shared" si="4"/>
        <v>0</v>
      </c>
      <c r="L79" s="1938"/>
      <c r="M79" s="1943">
        <f t="shared" si="5"/>
        <v>0</v>
      </c>
      <c r="N79" s="1938"/>
      <c r="O79" s="1940" t="s">
        <v>242</v>
      </c>
      <c r="P79" s="1941"/>
    </row>
    <row r="80" spans="1:16" ht="19.5" customHeight="1">
      <c r="A80" s="1972" t="s">
        <v>3071</v>
      </c>
      <c r="B80" s="1944">
        <v>7591473003412</v>
      </c>
      <c r="C80" s="1945" t="s">
        <v>3072</v>
      </c>
      <c r="D80" s="1944">
        <v>24</v>
      </c>
      <c r="E80" s="1946">
        <v>33.36</v>
      </c>
      <c r="F80" s="1946">
        <v>1.39</v>
      </c>
      <c r="G80" s="1946">
        <v>33.36</v>
      </c>
      <c r="H80" s="1946">
        <v>1.39</v>
      </c>
      <c r="I80" s="1938"/>
      <c r="J80" s="1938"/>
      <c r="K80" s="1947">
        <f t="shared" si="4"/>
        <v>0</v>
      </c>
      <c r="L80" s="1938"/>
      <c r="M80" s="1943">
        <f t="shared" si="5"/>
        <v>0</v>
      </c>
      <c r="N80" s="1938"/>
      <c r="O80" s="1940" t="s">
        <v>242</v>
      </c>
      <c r="P80" s="1941"/>
    </row>
    <row r="81" spans="1:16" ht="19.5" customHeight="1">
      <c r="A81" s="1972" t="s">
        <v>3073</v>
      </c>
      <c r="B81" s="1944">
        <v>7591473005089</v>
      </c>
      <c r="C81" s="1945" t="s">
        <v>3074</v>
      </c>
      <c r="D81" s="1944">
        <v>48</v>
      </c>
      <c r="E81" s="1946">
        <v>33.119999999999997</v>
      </c>
      <c r="F81" s="1946">
        <v>0.69</v>
      </c>
      <c r="G81" s="1946">
        <v>33.119999999999997</v>
      </c>
      <c r="H81" s="1946">
        <v>0.69</v>
      </c>
      <c r="I81" s="1938"/>
      <c r="J81" s="1938"/>
      <c r="K81" s="1947">
        <f t="shared" si="4"/>
        <v>0</v>
      </c>
      <c r="L81" s="1938"/>
      <c r="M81" s="1943">
        <f t="shared" si="5"/>
        <v>0</v>
      </c>
      <c r="N81" s="1938"/>
      <c r="O81" s="1940" t="s">
        <v>242</v>
      </c>
      <c r="P81" s="1941"/>
    </row>
    <row r="82" spans="1:16" ht="19.5" customHeight="1">
      <c r="A82" s="1972" t="s">
        <v>3075</v>
      </c>
      <c r="B82" s="1944">
        <v>7591473004433</v>
      </c>
      <c r="C82" s="1945" t="s">
        <v>3076</v>
      </c>
      <c r="D82" s="1944">
        <v>24</v>
      </c>
      <c r="E82" s="1946">
        <v>13.68</v>
      </c>
      <c r="F82" s="1946">
        <v>0.56999999999999995</v>
      </c>
      <c r="G82" s="1946">
        <v>13.68</v>
      </c>
      <c r="H82" s="1946">
        <v>0.56999999999999995</v>
      </c>
      <c r="I82" s="1938"/>
      <c r="J82" s="1938"/>
      <c r="K82" s="1947">
        <f t="shared" si="4"/>
        <v>0</v>
      </c>
      <c r="L82" s="1938"/>
      <c r="M82" s="1943">
        <f t="shared" si="5"/>
        <v>0</v>
      </c>
      <c r="N82" s="1938"/>
      <c r="O82" s="1940" t="s">
        <v>242</v>
      </c>
      <c r="P82" s="1941"/>
    </row>
    <row r="83" spans="1:16" ht="19.5" customHeight="1">
      <c r="A83" s="1972" t="s">
        <v>3077</v>
      </c>
      <c r="B83" s="1944">
        <v>7591473004631</v>
      </c>
      <c r="C83" s="1945" t="s">
        <v>3078</v>
      </c>
      <c r="D83" s="1944">
        <v>48</v>
      </c>
      <c r="E83" s="1946">
        <v>13.92</v>
      </c>
      <c r="F83" s="1946">
        <v>0.28999999999999998</v>
      </c>
      <c r="G83" s="1946">
        <v>13.92</v>
      </c>
      <c r="H83" s="1946">
        <v>0.28999999999999998</v>
      </c>
      <c r="I83" s="1938"/>
      <c r="J83" s="1938"/>
      <c r="K83" s="1947">
        <f t="shared" si="4"/>
        <v>0</v>
      </c>
      <c r="L83" s="1938"/>
      <c r="M83" s="1943">
        <f t="shared" si="5"/>
        <v>0</v>
      </c>
      <c r="N83" s="1938"/>
      <c r="O83" s="1940" t="s">
        <v>242</v>
      </c>
      <c r="P83" s="1941"/>
    </row>
    <row r="84" spans="1:16" ht="19.5" customHeight="1">
      <c r="A84" s="1972" t="s">
        <v>3079</v>
      </c>
      <c r="B84" s="1944">
        <v>7591473004440</v>
      </c>
      <c r="C84" s="1945" t="s">
        <v>3080</v>
      </c>
      <c r="D84" s="1944">
        <v>24</v>
      </c>
      <c r="E84" s="1946">
        <v>13.68</v>
      </c>
      <c r="F84" s="1946">
        <v>0.56999999999999995</v>
      </c>
      <c r="G84" s="1946">
        <v>13.68</v>
      </c>
      <c r="H84" s="1946">
        <v>0.56999999999999995</v>
      </c>
      <c r="I84" s="1938"/>
      <c r="J84" s="1938"/>
      <c r="K84" s="1947">
        <f t="shared" si="4"/>
        <v>0</v>
      </c>
      <c r="L84" s="1938"/>
      <c r="M84" s="1943">
        <f t="shared" si="5"/>
        <v>0</v>
      </c>
      <c r="N84" s="1938"/>
      <c r="O84" s="1940" t="s">
        <v>242</v>
      </c>
      <c r="P84" s="1941"/>
    </row>
    <row r="85" spans="1:16" ht="19.5" customHeight="1">
      <c r="A85" s="1972" t="s">
        <v>3081</v>
      </c>
      <c r="B85" s="1944">
        <v>7591473004600</v>
      </c>
      <c r="C85" s="1945" t="s">
        <v>3082</v>
      </c>
      <c r="D85" s="1944">
        <v>48</v>
      </c>
      <c r="E85" s="1946">
        <v>13.92</v>
      </c>
      <c r="F85" s="1946">
        <v>0.28999999999999998</v>
      </c>
      <c r="G85" s="1946">
        <v>13.92</v>
      </c>
      <c r="H85" s="1946">
        <v>0.28999999999999998</v>
      </c>
      <c r="I85" s="1938"/>
      <c r="J85" s="1938"/>
      <c r="K85" s="1947">
        <f t="shared" si="4"/>
        <v>0</v>
      </c>
      <c r="L85" s="1938"/>
      <c r="M85" s="1943">
        <f t="shared" si="5"/>
        <v>0</v>
      </c>
      <c r="N85" s="1938"/>
      <c r="O85" s="1940" t="s">
        <v>242</v>
      </c>
      <c r="P85" s="1941"/>
    </row>
    <row r="86" spans="1:16" ht="19.5" customHeight="1">
      <c r="A86" s="1972" t="s">
        <v>3083</v>
      </c>
      <c r="B86" s="1944">
        <v>7591473003511</v>
      </c>
      <c r="C86" s="1945" t="s">
        <v>3084</v>
      </c>
      <c r="D86" s="1944">
        <v>24</v>
      </c>
      <c r="E86" s="1946">
        <v>40.799999999999997</v>
      </c>
      <c r="F86" s="1946">
        <v>1.7</v>
      </c>
      <c r="G86" s="1946">
        <v>40.799999999999997</v>
      </c>
      <c r="H86" s="1946">
        <v>1.7</v>
      </c>
      <c r="I86" s="1938"/>
      <c r="J86" s="1938"/>
      <c r="K86" s="1947">
        <f t="shared" si="4"/>
        <v>0</v>
      </c>
      <c r="L86" s="1938"/>
      <c r="M86" s="1943">
        <f t="shared" si="5"/>
        <v>0</v>
      </c>
      <c r="N86" s="1938"/>
      <c r="O86" s="1940" t="s">
        <v>242</v>
      </c>
      <c r="P86" s="1941"/>
    </row>
    <row r="87" spans="1:16" ht="19.5" customHeight="1">
      <c r="A87" s="1972" t="s">
        <v>3085</v>
      </c>
      <c r="B87" s="1944">
        <v>7591473005133</v>
      </c>
      <c r="C87" s="1945" t="s">
        <v>3086</v>
      </c>
      <c r="D87" s="1944">
        <v>48</v>
      </c>
      <c r="E87" s="1946">
        <v>40.799999999999997</v>
      </c>
      <c r="F87" s="1946">
        <v>0.85</v>
      </c>
      <c r="G87" s="1946">
        <v>40.799999999999997</v>
      </c>
      <c r="H87" s="1946">
        <v>0.85</v>
      </c>
      <c r="I87" s="1938"/>
      <c r="J87" s="1938"/>
      <c r="K87" s="1947">
        <f t="shared" si="4"/>
        <v>0</v>
      </c>
      <c r="L87" s="1938"/>
      <c r="M87" s="1943">
        <f t="shared" si="5"/>
        <v>0</v>
      </c>
      <c r="N87" s="1938"/>
      <c r="O87" s="1940" t="s">
        <v>242</v>
      </c>
      <c r="P87" s="1941"/>
    </row>
    <row r="88" spans="1:16" ht="19.5" customHeight="1">
      <c r="A88" s="1972" t="s">
        <v>3087</v>
      </c>
      <c r="B88" s="1944">
        <v>7591473005034</v>
      </c>
      <c r="C88" s="1945" t="s">
        <v>3088</v>
      </c>
      <c r="D88" s="1944">
        <v>30</v>
      </c>
      <c r="E88" s="1946">
        <v>22.2</v>
      </c>
      <c r="F88" s="1946">
        <v>0.74</v>
      </c>
      <c r="G88" s="1946">
        <v>22.2</v>
      </c>
      <c r="H88" s="1946">
        <v>0.74</v>
      </c>
      <c r="I88" s="1938"/>
      <c r="J88" s="1938"/>
      <c r="K88" s="1947">
        <f t="shared" si="4"/>
        <v>0</v>
      </c>
      <c r="L88" s="1938"/>
      <c r="M88" s="1943">
        <f t="shared" si="5"/>
        <v>0</v>
      </c>
      <c r="N88" s="1938"/>
      <c r="O88" s="1940" t="s">
        <v>242</v>
      </c>
      <c r="P88" s="1941"/>
    </row>
    <row r="89" spans="1:16" ht="19.5" customHeight="1">
      <c r="A89" s="1972" t="s">
        <v>4814</v>
      </c>
      <c r="B89" s="1944">
        <v>7591473005102</v>
      </c>
      <c r="C89" s="1945" t="s">
        <v>4815</v>
      </c>
      <c r="D89" s="1944">
        <v>24</v>
      </c>
      <c r="E89" s="1946">
        <v>9.1199999999999992</v>
      </c>
      <c r="F89" s="1946">
        <v>0.38</v>
      </c>
      <c r="G89" s="1946">
        <v>9.1199999999999992</v>
      </c>
      <c r="H89" s="1946">
        <v>0.38</v>
      </c>
      <c r="I89" s="1938"/>
      <c r="J89" s="1938"/>
      <c r="K89" s="1947">
        <f t="shared" si="4"/>
        <v>0</v>
      </c>
      <c r="L89" s="1938"/>
      <c r="M89" s="1943">
        <f t="shared" si="5"/>
        <v>0</v>
      </c>
      <c r="N89" s="1938"/>
      <c r="O89" s="1940" t="s">
        <v>242</v>
      </c>
      <c r="P89" s="1941"/>
    </row>
    <row r="90" spans="1:16" ht="19.5" customHeight="1">
      <c r="A90" s="1972" t="s">
        <v>3089</v>
      </c>
      <c r="B90" s="1944">
        <v>7591473003535</v>
      </c>
      <c r="C90" s="1945" t="s">
        <v>3090</v>
      </c>
      <c r="D90" s="1944">
        <v>24</v>
      </c>
      <c r="E90" s="1946">
        <v>22.08</v>
      </c>
      <c r="F90" s="1946">
        <v>0.92</v>
      </c>
      <c r="G90" s="1946">
        <v>22.08</v>
      </c>
      <c r="H90" s="1946">
        <v>0.92</v>
      </c>
      <c r="I90" s="1938"/>
      <c r="J90" s="1938"/>
      <c r="K90" s="1947">
        <f t="shared" si="4"/>
        <v>0</v>
      </c>
      <c r="L90" s="1938"/>
      <c r="M90" s="1943">
        <f t="shared" si="5"/>
        <v>0</v>
      </c>
      <c r="N90" s="1938"/>
      <c r="O90" s="1940" t="s">
        <v>242</v>
      </c>
      <c r="P90" s="1941"/>
    </row>
    <row r="91" spans="1:16" ht="19.5" customHeight="1">
      <c r="A91" s="1972" t="s">
        <v>3091</v>
      </c>
      <c r="B91" s="1944">
        <v>7591473005102</v>
      </c>
      <c r="C91" s="1945" t="s">
        <v>3092</v>
      </c>
      <c r="D91" s="1944">
        <v>48</v>
      </c>
      <c r="E91" s="1946">
        <v>22.56</v>
      </c>
      <c r="F91" s="1946">
        <v>0.47</v>
      </c>
      <c r="G91" s="1946">
        <v>22.56</v>
      </c>
      <c r="H91" s="1946">
        <v>0.47</v>
      </c>
      <c r="I91" s="1938"/>
      <c r="J91" s="1938"/>
      <c r="K91" s="1947">
        <f t="shared" si="4"/>
        <v>0</v>
      </c>
      <c r="L91" s="1938"/>
      <c r="M91" s="1943">
        <f t="shared" si="5"/>
        <v>0</v>
      </c>
      <c r="N91" s="1938"/>
      <c r="O91" s="1940" t="s">
        <v>242</v>
      </c>
      <c r="P91" s="1941"/>
    </row>
    <row r="92" spans="1:16" ht="19.5" customHeight="1">
      <c r="A92" s="1972" t="s">
        <v>3093</v>
      </c>
      <c r="B92" s="1944">
        <v>7591473003559</v>
      </c>
      <c r="C92" s="1945" t="s">
        <v>3094</v>
      </c>
      <c r="D92" s="1944">
        <v>24</v>
      </c>
      <c r="E92" s="1946">
        <v>19.68</v>
      </c>
      <c r="F92" s="1946">
        <v>0.82</v>
      </c>
      <c r="G92" s="1946">
        <v>19.68</v>
      </c>
      <c r="H92" s="1946">
        <v>0.82</v>
      </c>
      <c r="I92" s="1938"/>
      <c r="J92" s="1938"/>
      <c r="K92" s="1947">
        <f t="shared" si="4"/>
        <v>0</v>
      </c>
      <c r="L92" s="1938"/>
      <c r="M92" s="1943">
        <f t="shared" si="5"/>
        <v>0</v>
      </c>
      <c r="N92" s="1938"/>
      <c r="O92" s="1940" t="s">
        <v>242</v>
      </c>
      <c r="P92" s="1941"/>
    </row>
    <row r="93" spans="1:16" ht="19.5" customHeight="1">
      <c r="A93" s="1972" t="s">
        <v>3095</v>
      </c>
      <c r="B93" s="1944">
        <v>7591473004969</v>
      </c>
      <c r="C93" s="1945" t="s">
        <v>3096</v>
      </c>
      <c r="D93" s="1944">
        <v>48</v>
      </c>
      <c r="E93" s="1946">
        <v>19.68</v>
      </c>
      <c r="F93" s="1946">
        <v>0.41</v>
      </c>
      <c r="G93" s="1946">
        <v>19.68</v>
      </c>
      <c r="H93" s="1946">
        <v>0.41</v>
      </c>
      <c r="I93" s="1938"/>
      <c r="J93" s="1938"/>
      <c r="K93" s="1947">
        <f t="shared" si="4"/>
        <v>0</v>
      </c>
      <c r="L93" s="1938"/>
      <c r="M93" s="1943">
        <f t="shared" si="5"/>
        <v>0</v>
      </c>
      <c r="N93" s="1938"/>
      <c r="O93" s="1940" t="s">
        <v>242</v>
      </c>
      <c r="P93" s="1941"/>
    </row>
    <row r="94" spans="1:16" ht="19.5" customHeight="1">
      <c r="A94" s="1977" t="s">
        <v>5588</v>
      </c>
      <c r="B94" s="2371"/>
      <c r="C94" s="2371"/>
      <c r="D94" s="2371"/>
      <c r="E94" s="2371"/>
      <c r="F94" s="2371"/>
      <c r="G94" s="2371"/>
      <c r="H94" s="2371"/>
      <c r="I94" s="1938"/>
      <c r="J94" s="1938"/>
      <c r="K94" s="1947" t="e">
        <f t="shared" si="4"/>
        <v>#DIV/0!</v>
      </c>
      <c r="L94" s="1938"/>
      <c r="M94" s="1943" t="e">
        <f t="shared" si="5"/>
        <v>#DIV/0!</v>
      </c>
      <c r="N94" s="1938"/>
      <c r="O94" s="1940" t="s">
        <v>242</v>
      </c>
      <c r="P94" s="1941"/>
    </row>
    <row r="95" spans="1:16" ht="19.5" customHeight="1">
      <c r="A95" s="1978" t="s">
        <v>3097</v>
      </c>
      <c r="B95" s="1965" t="s">
        <v>2971</v>
      </c>
      <c r="C95" s="1945" t="s">
        <v>3098</v>
      </c>
      <c r="D95" s="1944">
        <v>24</v>
      </c>
      <c r="E95" s="1949" t="s">
        <v>3099</v>
      </c>
      <c r="F95" s="1949" t="s">
        <v>3099</v>
      </c>
      <c r="G95" s="1949" t="s">
        <v>3099</v>
      </c>
      <c r="H95" s="1949" t="s">
        <v>3099</v>
      </c>
      <c r="I95" s="1938"/>
      <c r="J95" s="1938"/>
      <c r="K95" s="1947">
        <f t="shared" si="4"/>
        <v>0</v>
      </c>
      <c r="L95" s="1938"/>
      <c r="M95" s="1943">
        <f t="shared" si="5"/>
        <v>0</v>
      </c>
      <c r="N95" s="1938"/>
      <c r="O95" s="1940" t="s">
        <v>242</v>
      </c>
      <c r="P95" s="1941"/>
    </row>
    <row r="96" spans="1:16" ht="19.5" customHeight="1">
      <c r="A96" s="1978" t="s">
        <v>3100</v>
      </c>
      <c r="B96" s="1965" t="s">
        <v>2971</v>
      </c>
      <c r="C96" s="1945" t="s">
        <v>3101</v>
      </c>
      <c r="D96" s="1944">
        <v>48</v>
      </c>
      <c r="E96" s="1949" t="s">
        <v>3099</v>
      </c>
      <c r="F96" s="1949" t="s">
        <v>3099</v>
      </c>
      <c r="G96" s="1949" t="s">
        <v>3099</v>
      </c>
      <c r="H96" s="1949" t="s">
        <v>3099</v>
      </c>
      <c r="I96" s="1938"/>
      <c r="J96" s="1938"/>
      <c r="K96" s="1947">
        <f t="shared" si="4"/>
        <v>0</v>
      </c>
      <c r="L96" s="1938"/>
      <c r="M96" s="1943">
        <f t="shared" si="5"/>
        <v>0</v>
      </c>
      <c r="N96" s="1938"/>
      <c r="O96" s="1940" t="s">
        <v>242</v>
      </c>
      <c r="P96" s="1941"/>
    </row>
    <row r="97" spans="1:16" ht="19.5" customHeight="1">
      <c r="A97" s="1974" t="s">
        <v>5589</v>
      </c>
      <c r="B97" s="2371"/>
      <c r="C97" s="2371"/>
      <c r="D97" s="2371"/>
      <c r="E97" s="2371"/>
      <c r="F97" s="2371"/>
      <c r="G97" s="2371"/>
      <c r="H97" s="2371"/>
      <c r="I97" s="1938"/>
      <c r="J97" s="1938"/>
      <c r="K97" s="1947" t="e">
        <f t="shared" si="4"/>
        <v>#DIV/0!</v>
      </c>
      <c r="L97" s="1938"/>
      <c r="M97" s="1943" t="e">
        <f t="shared" si="5"/>
        <v>#DIV/0!</v>
      </c>
      <c r="N97" s="1938"/>
      <c r="O97" s="1940" t="s">
        <v>242</v>
      </c>
      <c r="P97" s="1941"/>
    </row>
    <row r="98" spans="1:16" ht="19.5" customHeight="1">
      <c r="A98" s="1969" t="s">
        <v>3102</v>
      </c>
      <c r="B98" s="1944">
        <v>7591473003306</v>
      </c>
      <c r="C98" s="1945" t="s">
        <v>3103</v>
      </c>
      <c r="D98" s="1944">
        <v>6</v>
      </c>
      <c r="E98" s="1946">
        <v>32.46</v>
      </c>
      <c r="F98" s="1946">
        <v>5.41</v>
      </c>
      <c r="G98" s="1946">
        <v>37.65</v>
      </c>
      <c r="H98" s="1946">
        <v>6.28</v>
      </c>
      <c r="I98" s="1938"/>
      <c r="J98" s="1938"/>
      <c r="K98" s="1947">
        <f t="shared" si="4"/>
        <v>0</v>
      </c>
      <c r="L98" s="1938"/>
      <c r="M98" s="1943">
        <f t="shared" si="5"/>
        <v>0</v>
      </c>
      <c r="N98" s="1938"/>
      <c r="O98" s="1940" t="s">
        <v>242</v>
      </c>
      <c r="P98" s="1941"/>
    </row>
    <row r="99" spans="1:16" ht="19.5" customHeight="1">
      <c r="A99" s="1969" t="s">
        <v>3104</v>
      </c>
      <c r="B99" s="1944">
        <v>7591473003207</v>
      </c>
      <c r="C99" s="1945" t="s">
        <v>3105</v>
      </c>
      <c r="D99" s="1944">
        <v>12</v>
      </c>
      <c r="E99" s="1946">
        <v>30.48</v>
      </c>
      <c r="F99" s="1946">
        <v>2.54</v>
      </c>
      <c r="G99" s="1946">
        <v>35.36</v>
      </c>
      <c r="H99" s="1946">
        <v>2.95</v>
      </c>
      <c r="I99" s="1938"/>
      <c r="J99" s="1938"/>
      <c r="K99" s="1947">
        <f t="shared" si="4"/>
        <v>0</v>
      </c>
      <c r="L99" s="1938"/>
      <c r="M99" s="1943">
        <f t="shared" si="5"/>
        <v>0</v>
      </c>
      <c r="N99" s="1938"/>
      <c r="O99" s="1940" t="s">
        <v>242</v>
      </c>
      <c r="P99" s="1941"/>
    </row>
    <row r="100" spans="1:16" ht="19.5" customHeight="1">
      <c r="A100" s="1969" t="s">
        <v>3106</v>
      </c>
      <c r="B100" s="1944">
        <v>7491473003290</v>
      </c>
      <c r="C100" s="1945" t="s">
        <v>3107</v>
      </c>
      <c r="D100" s="1944">
        <v>24</v>
      </c>
      <c r="E100" s="1946">
        <v>30.96</v>
      </c>
      <c r="F100" s="1946">
        <v>1.29</v>
      </c>
      <c r="G100" s="1946">
        <v>35.909999999999997</v>
      </c>
      <c r="H100" s="1946">
        <v>1.5</v>
      </c>
      <c r="I100" s="1938"/>
      <c r="J100" s="1938"/>
      <c r="K100" s="1947">
        <f t="shared" si="4"/>
        <v>0</v>
      </c>
      <c r="L100" s="1938"/>
      <c r="M100" s="1943">
        <f t="shared" si="5"/>
        <v>0</v>
      </c>
      <c r="N100" s="1938"/>
      <c r="O100" s="1940" t="s">
        <v>242</v>
      </c>
      <c r="P100" s="1941"/>
    </row>
    <row r="101" spans="1:16" ht="19.5" customHeight="1">
      <c r="A101" s="1971" t="s">
        <v>5590</v>
      </c>
      <c r="B101" s="2371"/>
      <c r="C101" s="2371"/>
      <c r="D101" s="2371"/>
      <c r="E101" s="2371"/>
      <c r="F101" s="2371"/>
      <c r="G101" s="2371"/>
      <c r="H101" s="2371"/>
      <c r="I101" s="1938"/>
      <c r="J101" s="1938"/>
      <c r="K101" s="1947" t="e">
        <f t="shared" si="4"/>
        <v>#DIV/0!</v>
      </c>
      <c r="L101" s="1938"/>
      <c r="M101" s="1943" t="e">
        <f t="shared" si="5"/>
        <v>#DIV/0!</v>
      </c>
      <c r="N101" s="1938"/>
      <c r="O101" s="1940" t="s">
        <v>242</v>
      </c>
      <c r="P101" s="1941"/>
    </row>
    <row r="102" spans="1:16" ht="19.5" customHeight="1">
      <c r="A102" s="1972" t="s">
        <v>3108</v>
      </c>
      <c r="B102" s="1966">
        <v>7591473004501</v>
      </c>
      <c r="C102" s="1945" t="s">
        <v>3109</v>
      </c>
      <c r="D102" s="1944">
        <v>12</v>
      </c>
      <c r="E102" s="1946">
        <v>25.56</v>
      </c>
      <c r="F102" s="1946">
        <v>2.13</v>
      </c>
      <c r="G102" s="1946">
        <v>29.65</v>
      </c>
      <c r="H102" s="1946">
        <v>2.4700000000000002</v>
      </c>
      <c r="I102" s="1938"/>
      <c r="J102" s="1938"/>
      <c r="K102" s="1947">
        <f t="shared" si="4"/>
        <v>0</v>
      </c>
      <c r="L102" s="1938"/>
      <c r="M102" s="1943">
        <f t="shared" si="5"/>
        <v>0</v>
      </c>
      <c r="N102" s="1938"/>
      <c r="O102" s="1940" t="s">
        <v>242</v>
      </c>
      <c r="P102" s="1941"/>
    </row>
    <row r="103" spans="1:16" ht="19.5" customHeight="1">
      <c r="A103" s="1971" t="s">
        <v>5591</v>
      </c>
      <c r="B103" s="2371"/>
      <c r="C103" s="2371"/>
      <c r="D103" s="2371"/>
      <c r="E103" s="2371"/>
      <c r="F103" s="2371"/>
      <c r="G103" s="2371"/>
      <c r="H103" s="2371"/>
      <c r="I103" s="1938"/>
      <c r="J103" s="1938"/>
      <c r="K103" s="1947" t="e">
        <f t="shared" si="4"/>
        <v>#DIV/0!</v>
      </c>
      <c r="L103" s="1938"/>
      <c r="M103" s="1943" t="e">
        <f t="shared" si="5"/>
        <v>#DIV/0!</v>
      </c>
      <c r="N103" s="1938"/>
      <c r="O103" s="1940" t="s">
        <v>242</v>
      </c>
      <c r="P103" s="1941"/>
    </row>
    <row r="104" spans="1:16" ht="19.5" customHeight="1">
      <c r="A104" s="1972" t="s">
        <v>3110</v>
      </c>
      <c r="B104" s="1963">
        <v>759189500037</v>
      </c>
      <c r="C104" s="1945" t="s">
        <v>3111</v>
      </c>
      <c r="D104" s="1944">
        <v>25</v>
      </c>
      <c r="E104" s="1946">
        <v>7.25</v>
      </c>
      <c r="F104" s="1946">
        <v>0.28999999999999998</v>
      </c>
      <c r="G104" s="1946">
        <v>7.25</v>
      </c>
      <c r="H104" s="1946">
        <v>0.28999999999999998</v>
      </c>
      <c r="I104" s="1938"/>
      <c r="J104" s="1938"/>
      <c r="K104" s="1947">
        <f t="shared" si="4"/>
        <v>0</v>
      </c>
      <c r="L104" s="1938"/>
      <c r="M104" s="1943">
        <f t="shared" si="5"/>
        <v>0</v>
      </c>
      <c r="N104" s="1938"/>
      <c r="O104" s="1940" t="s">
        <v>242</v>
      </c>
      <c r="P104" s="1941"/>
    </row>
    <row r="105" spans="1:16" ht="19.5" customHeight="1">
      <c r="A105" s="1972" t="s">
        <v>3112</v>
      </c>
      <c r="B105" s="1965" t="s">
        <v>2971</v>
      </c>
      <c r="C105" s="1945" t="s">
        <v>3113</v>
      </c>
      <c r="D105" s="1944">
        <v>25</v>
      </c>
      <c r="E105" s="1946">
        <v>7.25</v>
      </c>
      <c r="F105" s="1946">
        <v>0.28999999999999998</v>
      </c>
      <c r="G105" s="1946">
        <v>7.25</v>
      </c>
      <c r="H105" s="1946">
        <v>0.28999999999999998</v>
      </c>
      <c r="I105" s="1938"/>
      <c r="J105" s="1938"/>
      <c r="K105" s="1947">
        <f t="shared" si="4"/>
        <v>0</v>
      </c>
      <c r="L105" s="1938"/>
      <c r="M105" s="1943">
        <f t="shared" si="5"/>
        <v>0</v>
      </c>
      <c r="N105" s="1938"/>
      <c r="O105" s="1940" t="s">
        <v>242</v>
      </c>
      <c r="P105" s="1941"/>
    </row>
    <row r="106" spans="1:16" ht="19.5" customHeight="1">
      <c r="A106" s="1972" t="s">
        <v>3114</v>
      </c>
      <c r="B106" s="1965" t="s">
        <v>2971</v>
      </c>
      <c r="C106" s="1945" t="s">
        <v>3115</v>
      </c>
      <c r="D106" s="1944">
        <v>25</v>
      </c>
      <c r="E106" s="1946">
        <v>7.25</v>
      </c>
      <c r="F106" s="1946">
        <v>0.28999999999999998</v>
      </c>
      <c r="G106" s="1946">
        <v>7.25</v>
      </c>
      <c r="H106" s="1946">
        <v>0.28999999999999998</v>
      </c>
      <c r="I106" s="1938"/>
      <c r="J106" s="1938"/>
      <c r="K106" s="1947">
        <f t="shared" si="4"/>
        <v>0</v>
      </c>
      <c r="L106" s="1938"/>
      <c r="M106" s="1943">
        <f t="shared" si="5"/>
        <v>0</v>
      </c>
      <c r="N106" s="1938"/>
      <c r="O106" s="1940" t="s">
        <v>242</v>
      </c>
      <c r="P106" s="1941"/>
    </row>
    <row r="107" spans="1:16" ht="19.5" customHeight="1">
      <c r="A107" s="1971" t="s">
        <v>5592</v>
      </c>
      <c r="B107" s="2371"/>
      <c r="C107" s="2371"/>
      <c r="D107" s="2371"/>
      <c r="E107" s="2371"/>
      <c r="F107" s="2371"/>
      <c r="G107" s="2371"/>
      <c r="H107" s="2371"/>
      <c r="I107" s="1938"/>
      <c r="J107" s="1938"/>
      <c r="K107" s="1947" t="e">
        <f t="shared" si="4"/>
        <v>#DIV/0!</v>
      </c>
      <c r="L107" s="1938"/>
      <c r="M107" s="1943" t="e">
        <f t="shared" si="5"/>
        <v>#DIV/0!</v>
      </c>
      <c r="N107" s="1938"/>
      <c r="O107" s="1940" t="s">
        <v>242</v>
      </c>
      <c r="P107" s="1941"/>
    </row>
    <row r="108" spans="1:16" ht="19.5" customHeight="1">
      <c r="A108" s="1972" t="s">
        <v>3116</v>
      </c>
      <c r="B108" s="1944">
        <v>7591473003597</v>
      </c>
      <c r="C108" s="1945" t="s">
        <v>3117</v>
      </c>
      <c r="D108" s="1944">
        <v>24</v>
      </c>
      <c r="E108" s="1946">
        <v>48.72</v>
      </c>
      <c r="F108" s="1946">
        <v>2.0299999999999998</v>
      </c>
      <c r="G108" s="1946">
        <v>56.52</v>
      </c>
      <c r="H108" s="1946">
        <v>2.35</v>
      </c>
      <c r="I108" s="1938"/>
      <c r="J108" s="1938"/>
      <c r="K108" s="1947">
        <f t="shared" si="4"/>
        <v>0</v>
      </c>
      <c r="L108" s="1938"/>
      <c r="M108" s="1943">
        <f t="shared" si="5"/>
        <v>0</v>
      </c>
      <c r="N108" s="1938"/>
      <c r="O108" s="1940" t="s">
        <v>242</v>
      </c>
      <c r="P108" s="1941"/>
    </row>
    <row r="109" spans="1:16" ht="19.5" customHeight="1">
      <c r="A109" s="1972" t="s">
        <v>3118</v>
      </c>
      <c r="B109" s="1944">
        <v>7591473003603</v>
      </c>
      <c r="C109" s="1945" t="s">
        <v>3119</v>
      </c>
      <c r="D109" s="1944">
        <v>12</v>
      </c>
      <c r="E109" s="1946">
        <v>48.12</v>
      </c>
      <c r="F109" s="1946">
        <v>4.01</v>
      </c>
      <c r="G109" s="1946">
        <v>55.82</v>
      </c>
      <c r="H109" s="1946">
        <v>4.6500000000000004</v>
      </c>
      <c r="I109" s="1938"/>
      <c r="J109" s="1938"/>
      <c r="K109" s="1947">
        <f t="shared" si="4"/>
        <v>0</v>
      </c>
      <c r="L109" s="1938"/>
      <c r="M109" s="1943">
        <f t="shared" si="5"/>
        <v>0</v>
      </c>
      <c r="N109" s="1938"/>
      <c r="O109" s="1940" t="s">
        <v>242</v>
      </c>
      <c r="P109" s="1941"/>
    </row>
    <row r="110" spans="1:16" ht="19.5" customHeight="1">
      <c r="A110" s="1976" t="s">
        <v>5586</v>
      </c>
      <c r="B110" s="1950" t="s">
        <v>5576</v>
      </c>
      <c r="C110" s="1948" t="s">
        <v>5577</v>
      </c>
      <c r="D110" s="1950" t="s">
        <v>5578</v>
      </c>
      <c r="E110" s="1950" t="s">
        <v>5579</v>
      </c>
      <c r="F110" s="1950" t="s">
        <v>5580</v>
      </c>
      <c r="G110" s="1950" t="s">
        <v>5581</v>
      </c>
      <c r="H110" s="1950" t="s">
        <v>5582</v>
      </c>
      <c r="I110" s="1938"/>
      <c r="J110" s="1938"/>
      <c r="K110" s="1947" t="e">
        <f t="shared" si="4"/>
        <v>#VALUE!</v>
      </c>
      <c r="L110" s="1938"/>
      <c r="M110" s="1943" t="e">
        <f t="shared" si="5"/>
        <v>#VALUE!</v>
      </c>
      <c r="N110" s="1938"/>
      <c r="O110" s="1940" t="s">
        <v>242</v>
      </c>
      <c r="P110" s="1941"/>
    </row>
    <row r="111" spans="1:16" ht="19.5" customHeight="1">
      <c r="A111" s="1971" t="s">
        <v>5593</v>
      </c>
      <c r="B111" s="2371"/>
      <c r="C111" s="2371"/>
      <c r="D111" s="2371"/>
      <c r="E111" s="2371"/>
      <c r="F111" s="2371"/>
      <c r="G111" s="2371"/>
      <c r="H111" s="2371"/>
      <c r="I111" s="1938"/>
      <c r="J111" s="1938"/>
      <c r="K111" s="1947" t="e">
        <f t="shared" si="4"/>
        <v>#DIV/0!</v>
      </c>
      <c r="L111" s="1938"/>
      <c r="M111" s="1943" t="e">
        <f t="shared" si="5"/>
        <v>#DIV/0!</v>
      </c>
      <c r="N111" s="1938"/>
      <c r="O111" s="1940" t="s">
        <v>242</v>
      </c>
      <c r="P111" s="1941"/>
    </row>
    <row r="112" spans="1:16" ht="33" customHeight="1">
      <c r="A112" s="1972" t="s">
        <v>2973</v>
      </c>
      <c r="B112" s="1949" t="s">
        <v>2974</v>
      </c>
      <c r="C112" s="1945" t="s">
        <v>2975</v>
      </c>
      <c r="D112" s="1944">
        <v>12</v>
      </c>
      <c r="E112" s="1946">
        <v>5.52</v>
      </c>
      <c r="F112" s="1946">
        <v>0.46</v>
      </c>
      <c r="G112" s="1946">
        <v>6.4</v>
      </c>
      <c r="H112" s="1946">
        <v>0.53</v>
      </c>
      <c r="I112" s="1938"/>
      <c r="J112" s="1938"/>
      <c r="K112" s="1947">
        <f t="shared" si="4"/>
        <v>0</v>
      </c>
      <c r="L112" s="1938"/>
      <c r="M112" s="1943">
        <f t="shared" si="5"/>
        <v>0</v>
      </c>
      <c r="N112" s="1938"/>
      <c r="O112" s="1940" t="s">
        <v>242</v>
      </c>
      <c r="P112" s="1941"/>
    </row>
    <row r="113" spans="1:16" ht="34.5" customHeight="1">
      <c r="A113" s="1972" t="s">
        <v>2976</v>
      </c>
      <c r="B113" s="1949" t="s">
        <v>2977</v>
      </c>
      <c r="C113" s="1945" t="s">
        <v>2978</v>
      </c>
      <c r="D113" s="1944">
        <v>12</v>
      </c>
      <c r="E113" s="1946">
        <v>5.52</v>
      </c>
      <c r="F113" s="1946">
        <v>0.46</v>
      </c>
      <c r="G113" s="1946">
        <v>6.4</v>
      </c>
      <c r="H113" s="1946">
        <v>0.53</v>
      </c>
      <c r="I113" s="1938"/>
      <c r="J113" s="1938"/>
      <c r="K113" s="1947">
        <f t="shared" si="4"/>
        <v>0</v>
      </c>
      <c r="L113" s="1938"/>
      <c r="M113" s="1943">
        <f t="shared" si="5"/>
        <v>0</v>
      </c>
      <c r="N113" s="1938"/>
      <c r="O113" s="1940" t="s">
        <v>242</v>
      </c>
      <c r="P113" s="1941"/>
    </row>
    <row r="114" spans="1:16" ht="26.25" customHeight="1">
      <c r="A114" s="1972" t="s">
        <v>2979</v>
      </c>
      <c r="B114" s="1949" t="s">
        <v>2980</v>
      </c>
      <c r="C114" s="1945" t="s">
        <v>2981</v>
      </c>
      <c r="D114" s="1944">
        <v>12</v>
      </c>
      <c r="E114" s="1946">
        <v>5.52</v>
      </c>
      <c r="F114" s="1946">
        <v>0.46</v>
      </c>
      <c r="G114" s="1946">
        <v>6.4</v>
      </c>
      <c r="H114" s="1946">
        <v>0.53</v>
      </c>
      <c r="I114" s="1938"/>
      <c r="J114" s="1938"/>
      <c r="K114" s="1947">
        <f t="shared" si="4"/>
        <v>0</v>
      </c>
      <c r="L114" s="1938"/>
      <c r="M114" s="1943">
        <f t="shared" si="5"/>
        <v>0</v>
      </c>
      <c r="N114" s="1938"/>
      <c r="O114" s="1940" t="s">
        <v>242</v>
      </c>
      <c r="P114" s="1941"/>
    </row>
    <row r="115" spans="1:16" ht="26.25" customHeight="1">
      <c r="A115" s="1972" t="s">
        <v>2982</v>
      </c>
      <c r="B115" s="1949" t="s">
        <v>2983</v>
      </c>
      <c r="C115" s="1945" t="s">
        <v>2984</v>
      </c>
      <c r="D115" s="1944">
        <v>12</v>
      </c>
      <c r="E115" s="1946">
        <v>5.52</v>
      </c>
      <c r="F115" s="1946">
        <v>0.46</v>
      </c>
      <c r="G115" s="1946">
        <v>6.4</v>
      </c>
      <c r="H115" s="1946">
        <v>0.53</v>
      </c>
      <c r="I115" s="1938"/>
      <c r="J115" s="1938"/>
      <c r="K115" s="1947">
        <f t="shared" si="4"/>
        <v>0</v>
      </c>
      <c r="L115" s="1938"/>
      <c r="M115" s="1943">
        <f t="shared" si="5"/>
        <v>0</v>
      </c>
      <c r="N115" s="1938"/>
      <c r="O115" s="1940" t="s">
        <v>242</v>
      </c>
      <c r="P115" s="1941"/>
    </row>
    <row r="116" spans="1:16" ht="29.25" customHeight="1">
      <c r="A116" s="1972" t="s">
        <v>2985</v>
      </c>
      <c r="B116" s="1949" t="s">
        <v>2986</v>
      </c>
      <c r="C116" s="1945" t="s">
        <v>2987</v>
      </c>
      <c r="D116" s="1944">
        <v>12</v>
      </c>
      <c r="E116" s="1946">
        <v>5.52</v>
      </c>
      <c r="F116" s="1946">
        <v>0.46</v>
      </c>
      <c r="G116" s="1946">
        <v>6.4</v>
      </c>
      <c r="H116" s="1946">
        <v>0.53</v>
      </c>
      <c r="I116" s="1938"/>
      <c r="J116" s="1938"/>
      <c r="K116" s="1947">
        <f t="shared" si="4"/>
        <v>0</v>
      </c>
      <c r="L116" s="1938"/>
      <c r="M116" s="1943">
        <f t="shared" si="5"/>
        <v>0</v>
      </c>
      <c r="N116" s="1938"/>
      <c r="O116" s="1940" t="s">
        <v>242</v>
      </c>
      <c r="P116" s="1941"/>
    </row>
    <row r="117" spans="1:16" ht="29.25" customHeight="1">
      <c r="A117" s="1972" t="s">
        <v>2988</v>
      </c>
      <c r="B117" s="1949" t="s">
        <v>2989</v>
      </c>
      <c r="C117" s="1945" t="s">
        <v>2990</v>
      </c>
      <c r="D117" s="1944">
        <v>12</v>
      </c>
      <c r="E117" s="1946">
        <v>5.52</v>
      </c>
      <c r="F117" s="1946">
        <v>0.46</v>
      </c>
      <c r="G117" s="1946">
        <v>6.4</v>
      </c>
      <c r="H117" s="1946">
        <v>0.53</v>
      </c>
      <c r="I117" s="1938"/>
      <c r="J117" s="1938"/>
      <c r="K117" s="1947">
        <f t="shared" si="4"/>
        <v>0</v>
      </c>
      <c r="L117" s="1938"/>
      <c r="M117" s="1943">
        <f t="shared" si="5"/>
        <v>0</v>
      </c>
      <c r="N117" s="1938"/>
      <c r="O117" s="1940" t="s">
        <v>242</v>
      </c>
      <c r="P117" s="1941"/>
    </row>
    <row r="118" spans="1:16" ht="19.5" customHeight="1">
      <c r="A118" s="1971" t="s">
        <v>5594</v>
      </c>
      <c r="B118" s="2371"/>
      <c r="C118" s="2371"/>
      <c r="D118" s="2371"/>
      <c r="E118" s="2371"/>
      <c r="F118" s="2371"/>
      <c r="G118" s="2371"/>
      <c r="H118" s="2371"/>
      <c r="I118" s="1938"/>
      <c r="J118" s="1938"/>
      <c r="K118" s="1947" t="e">
        <f t="shared" si="4"/>
        <v>#DIV/0!</v>
      </c>
      <c r="L118" s="1938"/>
      <c r="M118" s="1943" t="e">
        <f t="shared" si="5"/>
        <v>#DIV/0!</v>
      </c>
      <c r="N118" s="1938"/>
      <c r="O118" s="1940" t="s">
        <v>242</v>
      </c>
      <c r="P118" s="1941"/>
    </row>
    <row r="119" spans="1:16" ht="37.5" customHeight="1">
      <c r="A119" s="1972" t="s">
        <v>2991</v>
      </c>
      <c r="B119" s="1944">
        <v>7591473004020</v>
      </c>
      <c r="C119" s="1945" t="s">
        <v>4818</v>
      </c>
      <c r="D119" s="1944">
        <v>24</v>
      </c>
      <c r="E119" s="1946">
        <v>17.760000000000002</v>
      </c>
      <c r="F119" s="1946">
        <v>0.74</v>
      </c>
      <c r="G119" s="1946">
        <v>17.760000000000002</v>
      </c>
      <c r="H119" s="1946">
        <v>0.74</v>
      </c>
      <c r="I119" s="1938"/>
      <c r="J119" s="1938"/>
      <c r="K119" s="1947">
        <f t="shared" si="4"/>
        <v>0</v>
      </c>
      <c r="L119" s="1938"/>
      <c r="M119" s="1943">
        <f t="shared" si="5"/>
        <v>0</v>
      </c>
      <c r="N119" s="1938"/>
      <c r="O119" s="1940" t="s">
        <v>242</v>
      </c>
      <c r="P119" s="1941"/>
    </row>
    <row r="120" spans="1:16" ht="37.5" customHeight="1">
      <c r="A120" s="1972" t="s">
        <v>2992</v>
      </c>
      <c r="B120" s="1944">
        <v>7591473004006</v>
      </c>
      <c r="C120" s="1945" t="s">
        <v>4819</v>
      </c>
      <c r="D120" s="1944">
        <v>24</v>
      </c>
      <c r="E120" s="1946">
        <v>17.760000000000002</v>
      </c>
      <c r="F120" s="1946">
        <v>0.74</v>
      </c>
      <c r="G120" s="1946">
        <v>17.760000000000002</v>
      </c>
      <c r="H120" s="1946">
        <v>0.74</v>
      </c>
      <c r="I120" s="1938"/>
      <c r="J120" s="1938"/>
      <c r="K120" s="1947">
        <f t="shared" si="4"/>
        <v>0</v>
      </c>
      <c r="L120" s="1938"/>
      <c r="M120" s="1943">
        <f t="shared" si="5"/>
        <v>0</v>
      </c>
      <c r="N120" s="1938"/>
      <c r="O120" s="1940" t="s">
        <v>242</v>
      </c>
      <c r="P120" s="1941"/>
    </row>
    <row r="121" spans="1:16" ht="37.5" customHeight="1">
      <c r="A121" s="1972" t="s">
        <v>2993</v>
      </c>
      <c r="B121" s="1944">
        <v>7597417000127</v>
      </c>
      <c r="C121" s="1945" t="s">
        <v>4820</v>
      </c>
      <c r="D121" s="1944">
        <v>12</v>
      </c>
      <c r="E121" s="1946">
        <v>8.8800000000000008</v>
      </c>
      <c r="F121" s="1946">
        <v>0.74</v>
      </c>
      <c r="G121" s="1946">
        <v>8.8800000000000008</v>
      </c>
      <c r="H121" s="1946">
        <v>0.74</v>
      </c>
      <c r="I121" s="1938"/>
      <c r="J121" s="1938"/>
      <c r="K121" s="1947">
        <f t="shared" si="4"/>
        <v>0</v>
      </c>
      <c r="L121" s="1938"/>
      <c r="M121" s="1943">
        <f t="shared" si="5"/>
        <v>0</v>
      </c>
      <c r="N121" s="1938"/>
      <c r="O121" s="1940" t="s">
        <v>242</v>
      </c>
      <c r="P121" s="1941"/>
    </row>
    <row r="122" spans="1:16" ht="37.5" customHeight="1">
      <c r="A122" s="1972" t="s">
        <v>2994</v>
      </c>
      <c r="B122" s="1944">
        <v>7597417000110</v>
      </c>
      <c r="C122" s="1945" t="s">
        <v>4821</v>
      </c>
      <c r="D122" s="1944">
        <v>12</v>
      </c>
      <c r="E122" s="1946">
        <v>8.8800000000000008</v>
      </c>
      <c r="F122" s="1946">
        <v>0.74</v>
      </c>
      <c r="G122" s="1946">
        <v>8.8800000000000008</v>
      </c>
      <c r="H122" s="1946">
        <v>0.74</v>
      </c>
      <c r="I122" s="1938"/>
      <c r="J122" s="1938"/>
      <c r="K122" s="1947">
        <f t="shared" si="4"/>
        <v>0</v>
      </c>
      <c r="L122" s="1938"/>
      <c r="M122" s="1943">
        <f t="shared" si="5"/>
        <v>0</v>
      </c>
      <c r="N122" s="1938"/>
      <c r="O122" s="1940" t="s">
        <v>242</v>
      </c>
      <c r="P122" s="1941"/>
    </row>
    <row r="123" spans="1:16" ht="37.5" customHeight="1">
      <c r="A123" s="1972" t="s">
        <v>2995</v>
      </c>
      <c r="B123" s="1944">
        <v>7591473003948</v>
      </c>
      <c r="C123" s="1945" t="s">
        <v>4822</v>
      </c>
      <c r="D123" s="1944">
        <v>12</v>
      </c>
      <c r="E123" s="1946">
        <v>8.8800000000000008</v>
      </c>
      <c r="F123" s="1946">
        <v>0.74</v>
      </c>
      <c r="G123" s="1946">
        <v>8.8800000000000008</v>
      </c>
      <c r="H123" s="1946">
        <v>0.74</v>
      </c>
      <c r="I123" s="1938"/>
      <c r="J123" s="1938"/>
      <c r="K123" s="1947">
        <f t="shared" si="4"/>
        <v>0</v>
      </c>
      <c r="L123" s="1938"/>
      <c r="M123" s="1943">
        <f t="shared" si="5"/>
        <v>0</v>
      </c>
      <c r="N123" s="1938"/>
      <c r="O123" s="1940" t="s">
        <v>242</v>
      </c>
      <c r="P123" s="1941"/>
    </row>
    <row r="124" spans="1:16" ht="37.5" customHeight="1">
      <c r="A124" s="1972" t="s">
        <v>2996</v>
      </c>
      <c r="B124" s="1944">
        <v>7591473003955</v>
      </c>
      <c r="C124" s="1945" t="s">
        <v>4823</v>
      </c>
      <c r="D124" s="1944">
        <v>12</v>
      </c>
      <c r="E124" s="1946">
        <v>8.8800000000000008</v>
      </c>
      <c r="F124" s="1946">
        <v>0.74</v>
      </c>
      <c r="G124" s="1946">
        <v>8.8800000000000008</v>
      </c>
      <c r="H124" s="1946">
        <v>0.74</v>
      </c>
      <c r="I124" s="1938"/>
      <c r="J124" s="1938"/>
      <c r="K124" s="1947">
        <f t="shared" si="4"/>
        <v>0</v>
      </c>
      <c r="L124" s="1938"/>
      <c r="M124" s="1943">
        <f t="shared" si="5"/>
        <v>0</v>
      </c>
      <c r="N124" s="1938"/>
      <c r="O124" s="1940" t="s">
        <v>242</v>
      </c>
      <c r="P124" s="1941"/>
    </row>
    <row r="125" spans="1:16" ht="37.5" customHeight="1">
      <c r="A125" s="1972" t="s">
        <v>2997</v>
      </c>
      <c r="B125" s="1944">
        <v>7591473003924</v>
      </c>
      <c r="C125" s="1945" t="s">
        <v>4824</v>
      </c>
      <c r="D125" s="1944">
        <v>12</v>
      </c>
      <c r="E125" s="1946">
        <v>8.8800000000000008</v>
      </c>
      <c r="F125" s="1946">
        <v>0.74</v>
      </c>
      <c r="G125" s="1946">
        <v>8.8800000000000008</v>
      </c>
      <c r="H125" s="1946">
        <v>0.74</v>
      </c>
      <c r="I125" s="1938"/>
      <c r="J125" s="1938"/>
      <c r="K125" s="1947">
        <f t="shared" si="4"/>
        <v>0</v>
      </c>
      <c r="L125" s="1938"/>
      <c r="M125" s="1943">
        <f t="shared" si="5"/>
        <v>0</v>
      </c>
      <c r="N125" s="1938"/>
      <c r="O125" s="1940" t="s">
        <v>242</v>
      </c>
      <c r="P125" s="1941"/>
    </row>
    <row r="126" spans="1:16" ht="37.5" customHeight="1">
      <c r="A126" s="1972" t="s">
        <v>2998</v>
      </c>
      <c r="B126" s="1944">
        <v>7591473003931</v>
      </c>
      <c r="C126" s="1945" t="s">
        <v>2999</v>
      </c>
      <c r="D126" s="1944">
        <v>12</v>
      </c>
      <c r="E126" s="1946">
        <v>8.8800000000000008</v>
      </c>
      <c r="F126" s="1946">
        <v>0.74</v>
      </c>
      <c r="G126" s="1946">
        <v>8.8800000000000008</v>
      </c>
      <c r="H126" s="1946">
        <v>0.74</v>
      </c>
      <c r="I126" s="1938"/>
      <c r="J126" s="1938"/>
      <c r="K126" s="1947">
        <f t="shared" si="4"/>
        <v>0</v>
      </c>
      <c r="L126" s="1938"/>
      <c r="M126" s="1943">
        <f t="shared" si="5"/>
        <v>0</v>
      </c>
      <c r="N126" s="1938"/>
      <c r="O126" s="1940" t="s">
        <v>242</v>
      </c>
      <c r="P126" s="1941"/>
    </row>
    <row r="127" spans="1:16" ht="37.5" customHeight="1">
      <c r="A127" s="1972" t="s">
        <v>3000</v>
      </c>
      <c r="B127" s="1944">
        <v>7597417000103</v>
      </c>
      <c r="C127" s="1945" t="s">
        <v>3001</v>
      </c>
      <c r="D127" s="1944">
        <v>12</v>
      </c>
      <c r="E127" s="1946">
        <v>8.8800000000000008</v>
      </c>
      <c r="F127" s="1946">
        <v>0.74</v>
      </c>
      <c r="G127" s="1946">
        <v>8.8800000000000008</v>
      </c>
      <c r="H127" s="1946">
        <v>0.74</v>
      </c>
      <c r="I127" s="1938"/>
      <c r="J127" s="1938"/>
      <c r="K127" s="1947">
        <f t="shared" si="4"/>
        <v>0</v>
      </c>
      <c r="L127" s="1938"/>
      <c r="M127" s="1943">
        <f t="shared" si="5"/>
        <v>0</v>
      </c>
      <c r="N127" s="1938"/>
      <c r="O127" s="1940" t="s">
        <v>242</v>
      </c>
      <c r="P127" s="1941"/>
    </row>
    <row r="128" spans="1:16" ht="24" customHeight="1">
      <c r="A128" s="1972" t="s">
        <v>4825</v>
      </c>
      <c r="B128" s="1944">
        <v>7597417000783</v>
      </c>
      <c r="C128" s="1945" t="s">
        <v>4826</v>
      </c>
      <c r="D128" s="1944">
        <v>12</v>
      </c>
      <c r="E128" s="1946">
        <v>17.760000000000002</v>
      </c>
      <c r="F128" s="1946">
        <v>1.48</v>
      </c>
      <c r="G128" s="1946">
        <v>17.760000000000002</v>
      </c>
      <c r="H128" s="1946">
        <v>1.48</v>
      </c>
      <c r="I128" s="1938">
        <v>25</v>
      </c>
      <c r="J128" s="1938">
        <v>0</v>
      </c>
      <c r="K128" s="1947">
        <f t="shared" si="4"/>
        <v>0</v>
      </c>
      <c r="L128" s="1938">
        <v>0</v>
      </c>
      <c r="M128" s="1943">
        <f t="shared" si="5"/>
        <v>0</v>
      </c>
      <c r="N128" s="1938"/>
      <c r="O128" s="1940" t="s">
        <v>242</v>
      </c>
      <c r="P128" s="1941"/>
    </row>
    <row r="129" spans="1:16" ht="23.25" customHeight="1">
      <c r="A129" s="1972" t="s">
        <v>4827</v>
      </c>
      <c r="B129" s="1944">
        <v>7597417000806</v>
      </c>
      <c r="C129" s="1945" t="s">
        <v>4828</v>
      </c>
      <c r="D129" s="1944">
        <v>12</v>
      </c>
      <c r="E129" s="1946">
        <v>17.760000000000002</v>
      </c>
      <c r="F129" s="1946">
        <v>1.48</v>
      </c>
      <c r="G129" s="1946">
        <v>17.760000000000002</v>
      </c>
      <c r="H129" s="1946">
        <v>1.48</v>
      </c>
      <c r="I129" s="1938">
        <v>25</v>
      </c>
      <c r="J129" s="1938">
        <v>0</v>
      </c>
      <c r="K129" s="1947">
        <f t="shared" si="4"/>
        <v>0</v>
      </c>
      <c r="L129" s="1938">
        <v>0</v>
      </c>
      <c r="M129" s="1943">
        <f t="shared" si="5"/>
        <v>0</v>
      </c>
      <c r="N129" s="1938"/>
      <c r="O129" s="1940" t="s">
        <v>242</v>
      </c>
      <c r="P129" s="1941"/>
    </row>
    <row r="130" spans="1:16" ht="17.25" customHeight="1">
      <c r="A130" s="1972" t="s">
        <v>4829</v>
      </c>
      <c r="B130" s="1944">
        <v>7597417000790</v>
      </c>
      <c r="C130" s="1945" t="s">
        <v>4830</v>
      </c>
      <c r="D130" s="1944">
        <v>12</v>
      </c>
      <c r="E130" s="1946">
        <v>17.760000000000002</v>
      </c>
      <c r="F130" s="1946">
        <v>1.48</v>
      </c>
      <c r="G130" s="1946">
        <v>17.760000000000002</v>
      </c>
      <c r="H130" s="1946">
        <v>1.48</v>
      </c>
      <c r="I130" s="1938">
        <v>25</v>
      </c>
      <c r="J130" s="1938">
        <v>0</v>
      </c>
      <c r="K130" s="1947">
        <f t="shared" si="4"/>
        <v>0</v>
      </c>
      <c r="L130" s="1938">
        <v>0</v>
      </c>
      <c r="M130" s="1943">
        <f t="shared" si="5"/>
        <v>0</v>
      </c>
      <c r="N130" s="1938"/>
      <c r="O130" s="1940" t="s">
        <v>242</v>
      </c>
      <c r="P130" s="1941"/>
    </row>
    <row r="131" spans="1:16" ht="24" customHeight="1">
      <c r="A131" s="1972" t="s">
        <v>3002</v>
      </c>
      <c r="B131" s="1944">
        <v>7597417000417</v>
      </c>
      <c r="C131" s="1945" t="s">
        <v>2417</v>
      </c>
      <c r="D131" s="1944">
        <v>12</v>
      </c>
      <c r="E131" s="1946">
        <v>15</v>
      </c>
      <c r="F131" s="1946">
        <v>1.25</v>
      </c>
      <c r="G131" s="1946">
        <v>15</v>
      </c>
      <c r="H131" s="1946">
        <v>1.25</v>
      </c>
      <c r="I131" s="1938">
        <v>25</v>
      </c>
      <c r="J131" s="1938">
        <v>85</v>
      </c>
      <c r="K131" s="1947">
        <f t="shared" si="4"/>
        <v>7.083333333333333</v>
      </c>
      <c r="L131" s="1938">
        <v>55</v>
      </c>
      <c r="M131" s="1943">
        <f t="shared" si="5"/>
        <v>4.583333333333333</v>
      </c>
      <c r="N131" s="1938"/>
      <c r="O131" s="1940" t="s">
        <v>242</v>
      </c>
      <c r="P131" s="1941"/>
    </row>
    <row r="132" spans="1:16" ht="25.5" customHeight="1">
      <c r="A132" s="1972" t="s">
        <v>3003</v>
      </c>
      <c r="B132" s="1944">
        <v>7597417000134</v>
      </c>
      <c r="C132" s="1945" t="s">
        <v>2419</v>
      </c>
      <c r="D132" s="1944">
        <v>12</v>
      </c>
      <c r="E132" s="1946">
        <v>15</v>
      </c>
      <c r="F132" s="1946">
        <v>1.25</v>
      </c>
      <c r="G132" s="1946">
        <v>15</v>
      </c>
      <c r="H132" s="1946">
        <v>1.25</v>
      </c>
      <c r="I132" s="1938">
        <v>25</v>
      </c>
      <c r="J132" s="1938">
        <v>43</v>
      </c>
      <c r="K132" s="1947">
        <f t="shared" si="4"/>
        <v>3.5833333333333335</v>
      </c>
      <c r="L132" s="1938">
        <v>350</v>
      </c>
      <c r="M132" s="1943">
        <f t="shared" si="5"/>
        <v>29.166666666666668</v>
      </c>
      <c r="N132" s="1938"/>
      <c r="O132" s="1940" t="s">
        <v>242</v>
      </c>
      <c r="P132" s="1941"/>
    </row>
    <row r="133" spans="1:16" ht="24.75" customHeight="1">
      <c r="A133" s="1972" t="s">
        <v>3004</v>
      </c>
      <c r="B133" s="1944">
        <v>7597417000462</v>
      </c>
      <c r="C133" s="1945" t="s">
        <v>2418</v>
      </c>
      <c r="D133" s="1944">
        <v>12</v>
      </c>
      <c r="E133" s="1946">
        <v>15</v>
      </c>
      <c r="F133" s="1946">
        <v>1.25</v>
      </c>
      <c r="G133" s="1946">
        <v>15</v>
      </c>
      <c r="H133" s="1946">
        <v>1.25</v>
      </c>
      <c r="I133" s="1938">
        <v>25</v>
      </c>
      <c r="J133" s="1938">
        <v>95</v>
      </c>
      <c r="K133" s="1947">
        <f t="shared" si="4"/>
        <v>7.916666666666667</v>
      </c>
      <c r="L133" s="1938">
        <v>224</v>
      </c>
      <c r="M133" s="1943">
        <f t="shared" si="5"/>
        <v>18.666666666666668</v>
      </c>
      <c r="N133" s="1938"/>
      <c r="O133" s="1940" t="s">
        <v>242</v>
      </c>
      <c r="P133" s="1941"/>
    </row>
    <row r="134" spans="1:16" ht="26.25" customHeight="1">
      <c r="A134" s="1972" t="s">
        <v>4831</v>
      </c>
      <c r="B134" s="1944">
        <v>7597417000820</v>
      </c>
      <c r="C134" s="1945" t="s">
        <v>4832</v>
      </c>
      <c r="D134" s="1944">
        <v>24</v>
      </c>
      <c r="E134" s="1946">
        <v>15</v>
      </c>
      <c r="F134" s="1946">
        <v>0.63</v>
      </c>
      <c r="G134" s="1946">
        <v>15</v>
      </c>
      <c r="H134" s="1946">
        <v>0.63</v>
      </c>
      <c r="I134" s="1938">
        <v>25</v>
      </c>
      <c r="J134" s="1938"/>
      <c r="K134" s="1947">
        <f t="shared" si="4"/>
        <v>0</v>
      </c>
      <c r="L134" s="1938"/>
      <c r="M134" s="1943">
        <f t="shared" si="5"/>
        <v>0</v>
      </c>
      <c r="N134" s="1938"/>
      <c r="O134" s="1940" t="s">
        <v>242</v>
      </c>
      <c r="P134" s="1941"/>
    </row>
    <row r="135" spans="1:16" ht="37.5" customHeight="1">
      <c r="A135" s="1972" t="s">
        <v>4833</v>
      </c>
      <c r="B135" s="1944">
        <v>7597417000837</v>
      </c>
      <c r="C135" s="1945" t="s">
        <v>4834</v>
      </c>
      <c r="D135" s="1944">
        <v>12</v>
      </c>
      <c r="E135" s="1946">
        <v>7.5</v>
      </c>
      <c r="F135" s="1946">
        <v>0.63</v>
      </c>
      <c r="G135" s="1946">
        <v>7.5</v>
      </c>
      <c r="H135" s="1946">
        <v>0.63</v>
      </c>
      <c r="I135" s="1938"/>
      <c r="J135" s="1938"/>
      <c r="K135" s="1947">
        <f t="shared" si="4"/>
        <v>0</v>
      </c>
      <c r="L135" s="1938"/>
      <c r="M135" s="1943">
        <f t="shared" si="5"/>
        <v>0</v>
      </c>
      <c r="N135" s="1938"/>
      <c r="O135" s="1940" t="s">
        <v>242</v>
      </c>
      <c r="P135" s="1941"/>
    </row>
    <row r="136" spans="1:16" ht="37.5" customHeight="1">
      <c r="A136" s="1972" t="s">
        <v>4835</v>
      </c>
      <c r="B136" s="1944">
        <v>7597417000844</v>
      </c>
      <c r="C136" s="1945" t="s">
        <v>4836</v>
      </c>
      <c r="D136" s="1944">
        <v>12</v>
      </c>
      <c r="E136" s="1946">
        <v>7.5</v>
      </c>
      <c r="F136" s="1946">
        <v>0.63</v>
      </c>
      <c r="G136" s="1946">
        <v>7.5</v>
      </c>
      <c r="H136" s="1946">
        <v>0.63</v>
      </c>
      <c r="I136" s="1938"/>
      <c r="J136" s="1938"/>
      <c r="K136" s="1947">
        <f t="shared" ref="K136:K171" si="6">+J136/D136</f>
        <v>0</v>
      </c>
      <c r="L136" s="1938"/>
      <c r="M136" s="1943">
        <f t="shared" ref="M136:M171" si="7">+L136/D136</f>
        <v>0</v>
      </c>
      <c r="N136" s="1938"/>
      <c r="O136" s="1940" t="s">
        <v>242</v>
      </c>
      <c r="P136" s="1941"/>
    </row>
    <row r="137" spans="1:16" ht="18" customHeight="1">
      <c r="A137" s="1972" t="s">
        <v>3005</v>
      </c>
      <c r="B137" s="1944">
        <v>7597417000677</v>
      </c>
      <c r="C137" s="1945" t="s">
        <v>3006</v>
      </c>
      <c r="D137" s="1944">
        <v>12</v>
      </c>
      <c r="E137" s="1946">
        <v>13.56</v>
      </c>
      <c r="F137" s="1946">
        <v>1.1299999999999999</v>
      </c>
      <c r="G137" s="1946">
        <v>13.56</v>
      </c>
      <c r="H137" s="1946">
        <v>1.1299999999999999</v>
      </c>
      <c r="I137" s="1938">
        <v>25</v>
      </c>
      <c r="J137" s="1938">
        <v>0</v>
      </c>
      <c r="K137" s="1947">
        <f t="shared" si="6"/>
        <v>0</v>
      </c>
      <c r="L137" s="1938"/>
      <c r="M137" s="1943">
        <f t="shared" si="7"/>
        <v>0</v>
      </c>
      <c r="N137" s="1938"/>
      <c r="O137" s="1940" t="s">
        <v>242</v>
      </c>
      <c r="P137" s="1941"/>
    </row>
    <row r="138" spans="1:16" ht="24.75" customHeight="1">
      <c r="A138" s="1972" t="s">
        <v>3007</v>
      </c>
      <c r="B138" s="1944">
        <v>7597417000653</v>
      </c>
      <c r="C138" s="1945" t="s">
        <v>3008</v>
      </c>
      <c r="D138" s="1944">
        <v>12</v>
      </c>
      <c r="E138" s="1946">
        <v>13.56</v>
      </c>
      <c r="F138" s="1946">
        <v>1.1299999999999999</v>
      </c>
      <c r="G138" s="1946">
        <v>13.56</v>
      </c>
      <c r="H138" s="1946">
        <v>1.1299999999999999</v>
      </c>
      <c r="I138" s="1938">
        <v>25</v>
      </c>
      <c r="J138" s="1938">
        <v>0</v>
      </c>
      <c r="K138" s="1947">
        <f t="shared" si="6"/>
        <v>0</v>
      </c>
      <c r="L138" s="1938"/>
      <c r="M138" s="1943">
        <f t="shared" si="7"/>
        <v>0</v>
      </c>
      <c r="N138" s="1938"/>
      <c r="O138" s="1940" t="s">
        <v>242</v>
      </c>
      <c r="P138" s="1941"/>
    </row>
    <row r="139" spans="1:16" ht="37.5" customHeight="1">
      <c r="A139" s="1972" t="s">
        <v>4837</v>
      </c>
      <c r="B139" s="1944">
        <v>7597417000769</v>
      </c>
      <c r="C139" s="1945" t="s">
        <v>4838</v>
      </c>
      <c r="D139" s="1944">
        <v>24</v>
      </c>
      <c r="E139" s="1946">
        <v>13.56</v>
      </c>
      <c r="F139" s="1946">
        <v>0.56999999999999995</v>
      </c>
      <c r="G139" s="1946">
        <v>13.56</v>
      </c>
      <c r="H139" s="1946">
        <v>0.56999999999999995</v>
      </c>
      <c r="I139" s="1938"/>
      <c r="J139" s="1938"/>
      <c r="K139" s="1947">
        <f t="shared" si="6"/>
        <v>0</v>
      </c>
      <c r="L139" s="1938"/>
      <c r="M139" s="1943">
        <f t="shared" si="7"/>
        <v>0</v>
      </c>
      <c r="N139" s="1938"/>
      <c r="O139" s="1940" t="s">
        <v>242</v>
      </c>
      <c r="P139" s="1941"/>
    </row>
    <row r="140" spans="1:16" ht="37.5" customHeight="1">
      <c r="A140" s="1972" t="s">
        <v>4839</v>
      </c>
      <c r="B140" s="1944">
        <v>7597417000752</v>
      </c>
      <c r="C140" s="1945" t="s">
        <v>4840</v>
      </c>
      <c r="D140" s="1944">
        <v>12</v>
      </c>
      <c r="E140" s="1946">
        <v>6.78</v>
      </c>
      <c r="F140" s="1946">
        <v>0.56999999999999995</v>
      </c>
      <c r="G140" s="1946">
        <v>6.78</v>
      </c>
      <c r="H140" s="1946">
        <v>0.56999999999999995</v>
      </c>
      <c r="I140" s="1938"/>
      <c r="J140" s="1938"/>
      <c r="K140" s="1947">
        <f t="shared" si="6"/>
        <v>0</v>
      </c>
      <c r="L140" s="1938"/>
      <c r="M140" s="1943">
        <f t="shared" si="7"/>
        <v>0</v>
      </c>
      <c r="N140" s="1938"/>
      <c r="O140" s="1940" t="s">
        <v>242</v>
      </c>
      <c r="P140" s="1941"/>
    </row>
    <row r="141" spans="1:16" ht="37.5" customHeight="1">
      <c r="A141" s="1972" t="s">
        <v>4841</v>
      </c>
      <c r="B141" s="1944">
        <v>7597417000776</v>
      </c>
      <c r="C141" s="1945" t="s">
        <v>4842</v>
      </c>
      <c r="D141" s="1944">
        <v>12</v>
      </c>
      <c r="E141" s="1946">
        <v>6.78</v>
      </c>
      <c r="F141" s="1946">
        <v>0.56999999999999995</v>
      </c>
      <c r="G141" s="1946">
        <v>6.78</v>
      </c>
      <c r="H141" s="1946">
        <v>0.56999999999999995</v>
      </c>
      <c r="I141" s="1938"/>
      <c r="J141" s="1938"/>
      <c r="K141" s="1947">
        <f t="shared" si="6"/>
        <v>0</v>
      </c>
      <c r="L141" s="1938"/>
      <c r="M141" s="1943">
        <f t="shared" si="7"/>
        <v>0</v>
      </c>
      <c r="N141" s="1938"/>
      <c r="O141" s="1940" t="s">
        <v>242</v>
      </c>
      <c r="P141" s="1941"/>
    </row>
    <row r="142" spans="1:16" ht="37.5" customHeight="1">
      <c r="A142" s="1972" t="s">
        <v>4843</v>
      </c>
      <c r="B142" s="1944">
        <v>7597417000813</v>
      </c>
      <c r="C142" s="1945" t="s">
        <v>4844</v>
      </c>
      <c r="D142" s="1944">
        <v>12</v>
      </c>
      <c r="E142" s="1946">
        <v>6.78</v>
      </c>
      <c r="F142" s="1946">
        <v>0.56999999999999995</v>
      </c>
      <c r="G142" s="1946">
        <v>6.78</v>
      </c>
      <c r="H142" s="1946">
        <v>0.56999999999999995</v>
      </c>
      <c r="I142" s="1938"/>
      <c r="J142" s="1938"/>
      <c r="K142" s="1947">
        <f t="shared" si="6"/>
        <v>0</v>
      </c>
      <c r="L142" s="1938"/>
      <c r="M142" s="1943">
        <f t="shared" si="7"/>
        <v>0</v>
      </c>
      <c r="N142" s="1938"/>
      <c r="O142" s="1940" t="s">
        <v>242</v>
      </c>
      <c r="P142" s="1941"/>
    </row>
    <row r="143" spans="1:16" ht="37.5" customHeight="1">
      <c r="A143" s="1971" t="s">
        <v>5595</v>
      </c>
      <c r="B143" s="2371"/>
      <c r="C143" s="2371"/>
      <c r="D143" s="2371"/>
      <c r="E143" s="2371"/>
      <c r="F143" s="2371"/>
      <c r="G143" s="2371"/>
      <c r="H143" s="2371"/>
      <c r="I143" s="1938"/>
      <c r="J143" s="1938"/>
      <c r="K143" s="1947" t="e">
        <f t="shared" si="6"/>
        <v>#DIV/0!</v>
      </c>
      <c r="L143" s="1938"/>
      <c r="M143" s="1943" t="e">
        <f t="shared" si="7"/>
        <v>#DIV/0!</v>
      </c>
      <c r="N143" s="1938"/>
      <c r="O143" s="1940" t="s">
        <v>242</v>
      </c>
      <c r="P143" s="1941"/>
    </row>
    <row r="144" spans="1:16" ht="18.75" customHeight="1">
      <c r="A144" s="1972" t="s">
        <v>3009</v>
      </c>
      <c r="B144" s="1944">
        <v>7597417000097</v>
      </c>
      <c r="C144" s="1945" t="s">
        <v>3010</v>
      </c>
      <c r="D144" s="1944">
        <v>12</v>
      </c>
      <c r="E144" s="1946">
        <v>12.36</v>
      </c>
      <c r="F144" s="1946">
        <v>1.03</v>
      </c>
      <c r="G144" s="1946">
        <v>12.36</v>
      </c>
      <c r="H144" s="1946">
        <v>1.03</v>
      </c>
      <c r="I144" s="1938">
        <v>25</v>
      </c>
      <c r="J144" s="1938"/>
      <c r="K144" s="1947">
        <f t="shared" si="6"/>
        <v>0</v>
      </c>
      <c r="L144" s="1938"/>
      <c r="M144" s="1943">
        <f t="shared" si="7"/>
        <v>0</v>
      </c>
      <c r="N144" s="1938"/>
      <c r="O144" s="1940" t="s">
        <v>242</v>
      </c>
      <c r="P144" s="1941"/>
    </row>
    <row r="145" spans="1:16" ht="23.25" customHeight="1">
      <c r="A145" s="1972" t="s">
        <v>3011</v>
      </c>
      <c r="B145" s="1944">
        <v>7597417000073</v>
      </c>
      <c r="C145" s="1945" t="s">
        <v>3012</v>
      </c>
      <c r="D145" s="1944">
        <v>12</v>
      </c>
      <c r="E145" s="1946">
        <v>12.36</v>
      </c>
      <c r="F145" s="1946">
        <v>1.03</v>
      </c>
      <c r="G145" s="1946">
        <v>12.36</v>
      </c>
      <c r="H145" s="1946">
        <v>1.03</v>
      </c>
      <c r="I145" s="1938">
        <v>25</v>
      </c>
      <c r="J145" s="1938"/>
      <c r="K145" s="1947">
        <f t="shared" si="6"/>
        <v>0</v>
      </c>
      <c r="L145" s="1938"/>
      <c r="M145" s="1943">
        <f t="shared" si="7"/>
        <v>0</v>
      </c>
      <c r="N145" s="1938"/>
      <c r="O145" s="1940" t="s">
        <v>242</v>
      </c>
      <c r="P145" s="1941"/>
    </row>
    <row r="146" spans="1:16" ht="37.5" customHeight="1">
      <c r="A146" s="1973" t="s">
        <v>5596</v>
      </c>
      <c r="B146" s="2372"/>
      <c r="C146" s="2372"/>
      <c r="D146" s="2372"/>
      <c r="E146" s="2372"/>
      <c r="F146" s="2372"/>
      <c r="G146" s="2372"/>
      <c r="H146" s="2372"/>
      <c r="I146" s="1640"/>
      <c r="J146" s="1640"/>
      <c r="K146" s="1646" t="e">
        <f t="shared" si="6"/>
        <v>#DIV/0!</v>
      </c>
      <c r="L146" s="1640"/>
      <c r="M146" s="1642" t="e">
        <f t="shared" si="7"/>
        <v>#DIV/0!</v>
      </c>
      <c r="N146" s="1640"/>
      <c r="O146" s="1641" t="s">
        <v>242</v>
      </c>
    </row>
    <row r="147" spans="1:16" ht="37.5" customHeight="1">
      <c r="A147" s="1973" t="s">
        <v>5597</v>
      </c>
      <c r="B147" s="2372"/>
      <c r="C147" s="2372"/>
      <c r="D147" s="2372"/>
      <c r="E147" s="2372"/>
      <c r="F147" s="2372"/>
      <c r="G147" s="2372"/>
      <c r="H147" s="2372"/>
      <c r="I147" s="1640"/>
      <c r="J147" s="1640"/>
      <c r="K147" s="1646" t="e">
        <f t="shared" si="6"/>
        <v>#DIV/0!</v>
      </c>
      <c r="L147" s="1640"/>
      <c r="M147" s="1642" t="e">
        <f t="shared" si="7"/>
        <v>#DIV/0!</v>
      </c>
      <c r="N147" s="1640"/>
      <c r="O147" s="1641" t="s">
        <v>242</v>
      </c>
    </row>
    <row r="148" spans="1:16" ht="37.5" customHeight="1">
      <c r="A148" s="1979" t="s">
        <v>3013</v>
      </c>
      <c r="B148" s="1650">
        <v>7591473004464</v>
      </c>
      <c r="C148" s="1651" t="s">
        <v>3014</v>
      </c>
      <c r="D148" s="1643">
        <v>1</v>
      </c>
      <c r="E148" s="1645">
        <v>43.3</v>
      </c>
      <c r="F148" s="1645">
        <v>43.3</v>
      </c>
      <c r="G148" s="1645">
        <v>43.3</v>
      </c>
      <c r="H148" s="1645">
        <v>43.3</v>
      </c>
      <c r="I148" s="1640">
        <v>250</v>
      </c>
      <c r="J148" s="1640" t="s">
        <v>65</v>
      </c>
      <c r="K148" s="1646" t="e">
        <f t="shared" si="6"/>
        <v>#VALUE!</v>
      </c>
      <c r="L148" s="1640"/>
      <c r="M148" s="1642">
        <f t="shared" si="7"/>
        <v>0</v>
      </c>
      <c r="N148" s="1640"/>
      <c r="O148" s="1641" t="s">
        <v>242</v>
      </c>
    </row>
    <row r="149" spans="1:16" ht="37.5" customHeight="1">
      <c r="A149" s="1972" t="s">
        <v>3015</v>
      </c>
      <c r="B149" s="1652"/>
      <c r="C149" s="1644" t="s">
        <v>3016</v>
      </c>
      <c r="D149" s="1643">
        <v>1</v>
      </c>
      <c r="E149" s="1647" t="s">
        <v>2971</v>
      </c>
      <c r="F149" s="1647" t="s">
        <v>2971</v>
      </c>
      <c r="G149" s="1647" t="s">
        <v>2971</v>
      </c>
      <c r="H149" s="1647" t="s">
        <v>2971</v>
      </c>
      <c r="I149" s="1640"/>
      <c r="J149" s="1640"/>
      <c r="K149" s="1646">
        <f t="shared" si="6"/>
        <v>0</v>
      </c>
      <c r="L149" s="1640"/>
      <c r="M149" s="1642">
        <f t="shared" si="7"/>
        <v>0</v>
      </c>
      <c r="N149" s="1640"/>
      <c r="O149" s="1641" t="s">
        <v>242</v>
      </c>
    </row>
    <row r="150" spans="1:16" ht="37.5" customHeight="1">
      <c r="A150" s="1979" t="s">
        <v>3017</v>
      </c>
      <c r="B150" s="1653"/>
      <c r="C150" s="1651" t="s">
        <v>3018</v>
      </c>
      <c r="D150" s="1643">
        <v>20</v>
      </c>
      <c r="E150" s="1645">
        <v>17.8</v>
      </c>
      <c r="F150" s="1645">
        <v>0.89</v>
      </c>
      <c r="G150" s="1645">
        <v>17.8</v>
      </c>
      <c r="H150" s="1645">
        <v>0.89</v>
      </c>
      <c r="I150" s="1640">
        <v>30</v>
      </c>
      <c r="J150" s="1640">
        <v>100</v>
      </c>
      <c r="K150" s="1646">
        <f t="shared" si="6"/>
        <v>5</v>
      </c>
      <c r="L150" s="1640"/>
      <c r="M150" s="1642">
        <f t="shared" si="7"/>
        <v>0</v>
      </c>
      <c r="N150" s="1640"/>
      <c r="O150" s="1641" t="s">
        <v>242</v>
      </c>
    </row>
    <row r="151" spans="1:16" ht="37.5" customHeight="1">
      <c r="A151" s="1973" t="s">
        <v>5598</v>
      </c>
      <c r="B151" s="2373"/>
      <c r="C151" s="2373"/>
      <c r="D151" s="2373"/>
      <c r="E151" s="2373"/>
      <c r="F151" s="2373"/>
      <c r="G151" s="2373"/>
      <c r="H151" s="2373"/>
      <c r="I151" s="1640"/>
      <c r="J151" s="1640"/>
      <c r="K151" s="1646" t="e">
        <f t="shared" si="6"/>
        <v>#DIV/0!</v>
      </c>
      <c r="L151" s="1640"/>
      <c r="M151" s="1642" t="e">
        <f t="shared" si="7"/>
        <v>#DIV/0!</v>
      </c>
      <c r="N151" s="1640"/>
      <c r="O151" s="1641" t="s">
        <v>242</v>
      </c>
    </row>
    <row r="152" spans="1:16" ht="37.5" customHeight="1">
      <c r="A152" s="1972" t="s">
        <v>3019</v>
      </c>
      <c r="B152" s="1643">
        <v>7591473004525</v>
      </c>
      <c r="C152" s="1644" t="s">
        <v>3020</v>
      </c>
      <c r="D152" s="1643">
        <v>12</v>
      </c>
      <c r="E152" s="1645">
        <v>90.6</v>
      </c>
      <c r="F152" s="1645">
        <v>7.55</v>
      </c>
      <c r="G152" s="1645">
        <v>105.1</v>
      </c>
      <c r="H152" s="1645">
        <v>8.76</v>
      </c>
      <c r="I152" s="1640"/>
      <c r="J152" s="1640" t="s">
        <v>65</v>
      </c>
      <c r="K152" s="1646" t="e">
        <f t="shared" si="6"/>
        <v>#VALUE!</v>
      </c>
      <c r="L152" s="1640"/>
      <c r="M152" s="1642">
        <f t="shared" si="7"/>
        <v>0</v>
      </c>
      <c r="N152" s="1640"/>
      <c r="O152" s="1641" t="s">
        <v>242</v>
      </c>
    </row>
    <row r="153" spans="1:16" ht="37.5" customHeight="1">
      <c r="A153" s="1972" t="s">
        <v>3021</v>
      </c>
      <c r="B153" s="1643">
        <v>7591473004532</v>
      </c>
      <c r="C153" s="1644" t="s">
        <v>3022</v>
      </c>
      <c r="D153" s="1643">
        <v>12</v>
      </c>
      <c r="E153" s="1645">
        <v>129.24</v>
      </c>
      <c r="F153" s="1645">
        <v>10.77</v>
      </c>
      <c r="G153" s="1645">
        <v>149.91999999999999</v>
      </c>
      <c r="H153" s="1645">
        <v>12.49</v>
      </c>
      <c r="I153" s="1640"/>
      <c r="J153" s="1640"/>
      <c r="K153" s="1646">
        <f t="shared" si="6"/>
        <v>0</v>
      </c>
      <c r="L153" s="1640"/>
      <c r="M153" s="1642">
        <f t="shared" si="7"/>
        <v>0</v>
      </c>
      <c r="N153" s="1640"/>
      <c r="O153" s="1641" t="s">
        <v>242</v>
      </c>
    </row>
    <row r="154" spans="1:16" ht="37.5" customHeight="1">
      <c r="A154" s="1971" t="s">
        <v>5599</v>
      </c>
      <c r="B154" s="2374"/>
      <c r="C154" s="2374"/>
      <c r="D154" s="2374"/>
      <c r="E154" s="2374"/>
      <c r="F154" s="2374"/>
      <c r="G154" s="2374"/>
      <c r="H154" s="2374"/>
      <c r="I154" s="1640"/>
      <c r="J154" s="1640"/>
      <c r="K154" s="1646" t="e">
        <f t="shared" si="6"/>
        <v>#DIV/0!</v>
      </c>
      <c r="L154" s="1640"/>
      <c r="M154" s="1642" t="e">
        <f t="shared" si="7"/>
        <v>#DIV/0!</v>
      </c>
      <c r="N154" s="1640"/>
      <c r="O154" s="1641" t="s">
        <v>242</v>
      </c>
    </row>
    <row r="155" spans="1:16" ht="37.5" customHeight="1">
      <c r="A155" s="1972" t="s">
        <v>3023</v>
      </c>
      <c r="B155" s="1648">
        <v>7798151952332</v>
      </c>
      <c r="C155" s="1644" t="s">
        <v>3024</v>
      </c>
      <c r="D155" s="1643">
        <v>9</v>
      </c>
      <c r="E155" s="1645">
        <v>23.13</v>
      </c>
      <c r="F155" s="1645">
        <v>2.57</v>
      </c>
      <c r="G155" s="1645">
        <v>26.83</v>
      </c>
      <c r="H155" s="1645">
        <v>2.98</v>
      </c>
      <c r="I155" s="1640"/>
      <c r="J155" s="1640"/>
      <c r="K155" s="1646">
        <f t="shared" si="6"/>
        <v>0</v>
      </c>
      <c r="L155" s="1640"/>
      <c r="M155" s="1642">
        <f t="shared" si="7"/>
        <v>0</v>
      </c>
      <c r="N155" s="1640"/>
      <c r="O155" s="1641" t="s">
        <v>242</v>
      </c>
    </row>
    <row r="156" spans="1:16" ht="37.5" customHeight="1">
      <c r="A156" s="1972" t="s">
        <v>3025</v>
      </c>
      <c r="B156" s="1648">
        <v>7798151952332</v>
      </c>
      <c r="C156" s="1644" t="s">
        <v>3026</v>
      </c>
      <c r="D156" s="1643">
        <v>12</v>
      </c>
      <c r="E156" s="1645">
        <v>30.84</v>
      </c>
      <c r="F156" s="1645">
        <v>2.57</v>
      </c>
      <c r="G156" s="1645">
        <v>35.770000000000003</v>
      </c>
      <c r="H156" s="1645">
        <v>2.98</v>
      </c>
      <c r="I156" s="1640"/>
      <c r="J156" s="1640"/>
      <c r="K156" s="1646">
        <f t="shared" si="6"/>
        <v>0</v>
      </c>
      <c r="L156" s="1640"/>
      <c r="M156" s="1642">
        <f t="shared" si="7"/>
        <v>0</v>
      </c>
      <c r="N156" s="1640"/>
      <c r="O156" s="1641" t="s">
        <v>242</v>
      </c>
    </row>
    <row r="157" spans="1:16" ht="37.5" customHeight="1">
      <c r="A157" s="1972" t="s">
        <v>3027</v>
      </c>
      <c r="B157" s="1649" t="s">
        <v>2971</v>
      </c>
      <c r="C157" s="1644" t="s">
        <v>3028</v>
      </c>
      <c r="D157" s="1643">
        <v>360</v>
      </c>
      <c r="E157" s="1645">
        <v>46.8</v>
      </c>
      <c r="F157" s="1645">
        <v>0.13</v>
      </c>
      <c r="G157" s="1645">
        <v>54.29</v>
      </c>
      <c r="H157" s="1645">
        <v>0.15</v>
      </c>
      <c r="I157" s="1640"/>
      <c r="J157" s="1640"/>
      <c r="K157" s="1646">
        <f t="shared" si="6"/>
        <v>0</v>
      </c>
      <c r="L157" s="1640"/>
      <c r="M157" s="1642">
        <f t="shared" si="7"/>
        <v>0</v>
      </c>
      <c r="N157" s="1640"/>
      <c r="O157" s="1641" t="s">
        <v>242</v>
      </c>
    </row>
    <row r="158" spans="1:16" ht="37.5" customHeight="1">
      <c r="A158" s="1972" t="s">
        <v>3029</v>
      </c>
      <c r="B158" s="1649" t="s">
        <v>2971</v>
      </c>
      <c r="C158" s="1644" t="s">
        <v>3030</v>
      </c>
      <c r="D158" s="1643">
        <v>10</v>
      </c>
      <c r="E158" s="1645">
        <v>6.3</v>
      </c>
      <c r="F158" s="1645">
        <v>0.63</v>
      </c>
      <c r="G158" s="1645">
        <v>7.31</v>
      </c>
      <c r="H158" s="1645">
        <v>0.73</v>
      </c>
      <c r="I158" s="1640"/>
      <c r="J158" s="1640"/>
      <c r="K158" s="1646">
        <f t="shared" si="6"/>
        <v>0</v>
      </c>
      <c r="L158" s="1640"/>
      <c r="M158" s="1642">
        <f t="shared" si="7"/>
        <v>0</v>
      </c>
      <c r="N158" s="1640"/>
      <c r="O158" s="1641" t="s">
        <v>242</v>
      </c>
    </row>
    <row r="159" spans="1:16" ht="37.5" customHeight="1">
      <c r="A159" s="1972" t="s">
        <v>3031</v>
      </c>
      <c r="B159" s="1648">
        <v>7798151950260</v>
      </c>
      <c r="C159" s="1644" t="s">
        <v>3032</v>
      </c>
      <c r="D159" s="1643">
        <v>20</v>
      </c>
      <c r="E159" s="1645">
        <v>7.4</v>
      </c>
      <c r="F159" s="1645">
        <v>0.37</v>
      </c>
      <c r="G159" s="1645">
        <v>8.58</v>
      </c>
      <c r="H159" s="1645">
        <v>0.43</v>
      </c>
      <c r="I159" s="1640"/>
      <c r="J159" s="1640"/>
      <c r="K159" s="1646">
        <f t="shared" si="6"/>
        <v>0</v>
      </c>
      <c r="L159" s="1640"/>
      <c r="M159" s="1642">
        <f t="shared" si="7"/>
        <v>0</v>
      </c>
      <c r="N159" s="1640"/>
      <c r="O159" s="1641" t="s">
        <v>242</v>
      </c>
    </row>
    <row r="160" spans="1:16" ht="37.5" customHeight="1">
      <c r="A160" s="1972" t="s">
        <v>3033</v>
      </c>
      <c r="B160" s="1649" t="s">
        <v>2971</v>
      </c>
      <c r="C160" s="1644" t="s">
        <v>3034</v>
      </c>
      <c r="D160" s="1643">
        <v>288</v>
      </c>
      <c r="E160" s="1647" t="s">
        <v>2971</v>
      </c>
      <c r="F160" s="1647" t="s">
        <v>2971</v>
      </c>
      <c r="G160" s="1647" t="s">
        <v>2971</v>
      </c>
      <c r="H160" s="1647" t="s">
        <v>2971</v>
      </c>
      <c r="I160" s="1640"/>
      <c r="J160" s="1640"/>
      <c r="K160" s="1646">
        <f t="shared" si="6"/>
        <v>0</v>
      </c>
      <c r="L160" s="1640"/>
      <c r="M160" s="1642">
        <f t="shared" si="7"/>
        <v>0</v>
      </c>
      <c r="N160" s="1640"/>
      <c r="O160" s="1641" t="s">
        <v>242</v>
      </c>
    </row>
    <row r="161" spans="1:15" ht="37.5" customHeight="1">
      <c r="A161" s="1974" t="s">
        <v>5600</v>
      </c>
      <c r="B161" s="2374"/>
      <c r="C161" s="2374"/>
      <c r="D161" s="2374"/>
      <c r="E161" s="2374"/>
      <c r="F161" s="2374"/>
      <c r="G161" s="2374"/>
      <c r="H161" s="2374"/>
      <c r="I161" s="1640"/>
      <c r="J161" s="1640"/>
      <c r="K161" s="1646" t="e">
        <f t="shared" si="6"/>
        <v>#DIV/0!</v>
      </c>
      <c r="L161" s="1640"/>
      <c r="M161" s="1642" t="e">
        <f t="shared" si="7"/>
        <v>#DIV/0!</v>
      </c>
      <c r="N161" s="1640"/>
      <c r="O161" s="1641" t="s">
        <v>242</v>
      </c>
    </row>
    <row r="162" spans="1:15" ht="37.5" customHeight="1">
      <c r="A162" s="1970" t="s">
        <v>3035</v>
      </c>
      <c r="B162" s="1643">
        <v>8886467068768</v>
      </c>
      <c r="C162" s="1644" t="s">
        <v>3036</v>
      </c>
      <c r="D162" s="1643">
        <v>6</v>
      </c>
      <c r="E162" s="1645">
        <v>145.86000000000001</v>
      </c>
      <c r="F162" s="1645">
        <v>24.31</v>
      </c>
      <c r="G162" s="1645">
        <v>169.2</v>
      </c>
      <c r="H162" s="1645">
        <v>28.2</v>
      </c>
      <c r="I162" s="1640"/>
      <c r="J162" s="1640"/>
      <c r="K162" s="1646">
        <f t="shared" si="6"/>
        <v>0</v>
      </c>
      <c r="L162" s="1640"/>
      <c r="M162" s="1642">
        <f t="shared" si="7"/>
        <v>0</v>
      </c>
      <c r="N162" s="1640"/>
      <c r="O162" s="1641" t="s">
        <v>242</v>
      </c>
    </row>
    <row r="163" spans="1:15" ht="37.5" customHeight="1">
      <c r="A163" s="1970" t="s">
        <v>4851</v>
      </c>
      <c r="B163" s="1643">
        <v>8886467052682</v>
      </c>
      <c r="C163" s="1644" t="s">
        <v>4852</v>
      </c>
      <c r="D163" s="1643">
        <v>6</v>
      </c>
      <c r="E163" s="1645">
        <v>145.86000000000001</v>
      </c>
      <c r="F163" s="1645">
        <v>24.31</v>
      </c>
      <c r="G163" s="1645">
        <v>169.2</v>
      </c>
      <c r="H163" s="1645">
        <v>28.2</v>
      </c>
      <c r="I163" s="1640"/>
      <c r="J163" s="1640"/>
      <c r="K163" s="1646">
        <f t="shared" si="6"/>
        <v>0</v>
      </c>
      <c r="L163" s="1640"/>
      <c r="M163" s="1642">
        <f t="shared" si="7"/>
        <v>0</v>
      </c>
      <c r="N163" s="1640"/>
      <c r="O163" s="1641" t="s">
        <v>242</v>
      </c>
    </row>
    <row r="164" spans="1:15" ht="37.5" customHeight="1">
      <c r="A164" s="1970" t="s">
        <v>4853</v>
      </c>
      <c r="B164" s="1643">
        <v>8886467052675</v>
      </c>
      <c r="C164" s="1644" t="s">
        <v>4854</v>
      </c>
      <c r="D164" s="1643">
        <v>6</v>
      </c>
      <c r="E164" s="1645">
        <v>145.86000000000001</v>
      </c>
      <c r="F164" s="1645">
        <v>24.31</v>
      </c>
      <c r="G164" s="1645">
        <v>169.2</v>
      </c>
      <c r="H164" s="1645">
        <v>28.2</v>
      </c>
      <c r="I164" s="1640"/>
      <c r="J164" s="1640"/>
      <c r="K164" s="1646">
        <f t="shared" si="6"/>
        <v>0</v>
      </c>
      <c r="L164" s="1640"/>
      <c r="M164" s="1642">
        <f t="shared" si="7"/>
        <v>0</v>
      </c>
      <c r="N164" s="1640"/>
      <c r="O164" s="1641" t="s">
        <v>242</v>
      </c>
    </row>
    <row r="165" spans="1:15" ht="37.5" customHeight="1">
      <c r="A165" s="1970" t="s">
        <v>3037</v>
      </c>
      <c r="B165" s="1643">
        <v>8886467068751</v>
      </c>
      <c r="C165" s="1644" t="s">
        <v>3038</v>
      </c>
      <c r="D165" s="1643">
        <v>4</v>
      </c>
      <c r="E165" s="1645">
        <v>121.04</v>
      </c>
      <c r="F165" s="1645">
        <v>30.26</v>
      </c>
      <c r="G165" s="1645">
        <v>140.41</v>
      </c>
      <c r="H165" s="1645">
        <v>35.1</v>
      </c>
      <c r="I165" s="1640"/>
      <c r="J165" s="1640"/>
      <c r="K165" s="1646">
        <f t="shared" si="6"/>
        <v>0</v>
      </c>
      <c r="L165" s="1640"/>
      <c r="M165" s="1642">
        <f t="shared" si="7"/>
        <v>0</v>
      </c>
      <c r="N165" s="1640"/>
      <c r="O165" s="1641" t="s">
        <v>242</v>
      </c>
    </row>
    <row r="166" spans="1:15" ht="37.5" customHeight="1">
      <c r="A166" s="1970" t="s">
        <v>4855</v>
      </c>
      <c r="B166" s="1643">
        <v>8886467052644</v>
      </c>
      <c r="C166" s="1644" t="s">
        <v>4856</v>
      </c>
      <c r="D166" s="1643">
        <v>4</v>
      </c>
      <c r="E166" s="1645">
        <v>121.04</v>
      </c>
      <c r="F166" s="1645">
        <v>30.26</v>
      </c>
      <c r="G166" s="1645">
        <v>140.41</v>
      </c>
      <c r="H166" s="1645">
        <v>35.1</v>
      </c>
      <c r="I166" s="1640"/>
      <c r="J166" s="1640"/>
      <c r="K166" s="1646">
        <f t="shared" si="6"/>
        <v>0</v>
      </c>
      <c r="L166" s="1640"/>
      <c r="M166" s="1642">
        <f t="shared" si="7"/>
        <v>0</v>
      </c>
      <c r="N166" s="1640"/>
      <c r="O166" s="1641" t="s">
        <v>242</v>
      </c>
    </row>
    <row r="167" spans="1:15" ht="37.5" customHeight="1">
      <c r="A167" s="1970" t="s">
        <v>4857</v>
      </c>
      <c r="B167" s="1643">
        <v>8886467052675</v>
      </c>
      <c r="C167" s="1644" t="s">
        <v>4858</v>
      </c>
      <c r="D167" s="1643">
        <v>4</v>
      </c>
      <c r="E167" s="1645">
        <v>121.04</v>
      </c>
      <c r="F167" s="1645">
        <v>30.26</v>
      </c>
      <c r="G167" s="1645">
        <v>140.41</v>
      </c>
      <c r="H167" s="1645">
        <v>35.1</v>
      </c>
      <c r="I167" s="1640"/>
      <c r="J167" s="1640"/>
      <c r="K167" s="1646">
        <f t="shared" si="6"/>
        <v>0</v>
      </c>
      <c r="L167" s="1640"/>
      <c r="M167" s="1642">
        <f t="shared" si="7"/>
        <v>0</v>
      </c>
      <c r="N167" s="1640"/>
      <c r="O167" s="1641" t="s">
        <v>242</v>
      </c>
    </row>
    <row r="168" spans="1:15" ht="37.5" customHeight="1">
      <c r="A168" s="1970" t="s">
        <v>3039</v>
      </c>
      <c r="B168" s="1643">
        <v>8886467068744</v>
      </c>
      <c r="C168" s="1644" t="s">
        <v>3040</v>
      </c>
      <c r="D168" s="1643">
        <v>12</v>
      </c>
      <c r="E168" s="1645">
        <v>145.56</v>
      </c>
      <c r="F168" s="1645">
        <v>12.13</v>
      </c>
      <c r="G168" s="1645">
        <v>168.85</v>
      </c>
      <c r="H168" s="1645">
        <v>14.07</v>
      </c>
      <c r="I168" s="1640"/>
      <c r="J168" s="1640"/>
      <c r="K168" s="1646">
        <f t="shared" si="6"/>
        <v>0</v>
      </c>
      <c r="L168" s="1640"/>
      <c r="M168" s="1642">
        <f t="shared" si="7"/>
        <v>0</v>
      </c>
      <c r="N168" s="1640"/>
      <c r="O168" s="1641" t="s">
        <v>242</v>
      </c>
    </row>
    <row r="169" spans="1:15" ht="37.5" customHeight="1">
      <c r="A169" s="1976" t="s">
        <v>5601</v>
      </c>
      <c r="B169" s="2374"/>
      <c r="C169" s="2374"/>
      <c r="D169" s="2374"/>
      <c r="E169" s="2374"/>
      <c r="F169" s="2374"/>
      <c r="G169" s="2374"/>
      <c r="H169" s="2374"/>
      <c r="I169" s="1640"/>
      <c r="J169" s="1640"/>
      <c r="K169" s="1646" t="e">
        <f t="shared" si="6"/>
        <v>#DIV/0!</v>
      </c>
      <c r="L169" s="1640"/>
      <c r="M169" s="1642" t="e">
        <f t="shared" si="7"/>
        <v>#DIV/0!</v>
      </c>
      <c r="N169" s="1640"/>
      <c r="O169" s="1641" t="s">
        <v>242</v>
      </c>
    </row>
    <row r="170" spans="1:15" ht="37.5" customHeight="1">
      <c r="A170" s="1980" t="s">
        <v>3041</v>
      </c>
      <c r="B170" s="1643">
        <v>18886467052030</v>
      </c>
      <c r="C170" s="1644" t="s">
        <v>3042</v>
      </c>
      <c r="D170" s="1643">
        <v>30</v>
      </c>
      <c r="E170" s="1645">
        <v>9</v>
      </c>
      <c r="F170" s="1645">
        <v>0.3</v>
      </c>
      <c r="G170" s="1645">
        <v>10.44</v>
      </c>
      <c r="H170" s="1645">
        <v>0.35</v>
      </c>
      <c r="I170" s="1640"/>
      <c r="J170" s="1640"/>
      <c r="K170" s="1646">
        <f t="shared" si="6"/>
        <v>0</v>
      </c>
      <c r="L170" s="1640"/>
      <c r="M170" s="1642">
        <f t="shared" si="7"/>
        <v>0</v>
      </c>
      <c r="N170" s="1640"/>
      <c r="O170" s="1641" t="s">
        <v>242</v>
      </c>
    </row>
    <row r="171" spans="1:15" ht="37.5" customHeight="1">
      <c r="A171" s="1980" t="s">
        <v>3043</v>
      </c>
      <c r="B171" s="1643">
        <v>18886467052047</v>
      </c>
      <c r="C171" s="1644" t="s">
        <v>3044</v>
      </c>
      <c r="D171" s="1643">
        <v>30</v>
      </c>
      <c r="E171" s="1645">
        <v>9</v>
      </c>
      <c r="F171" s="1645">
        <v>0.3</v>
      </c>
      <c r="G171" s="1645">
        <v>10.44</v>
      </c>
      <c r="H171" s="1645">
        <v>0.35</v>
      </c>
      <c r="I171" s="1640"/>
      <c r="J171" s="1640"/>
      <c r="K171" s="1646">
        <f t="shared" si="6"/>
        <v>0</v>
      </c>
      <c r="L171" s="1640"/>
      <c r="M171" s="1642">
        <f t="shared" si="7"/>
        <v>0</v>
      </c>
      <c r="N171" s="1640"/>
      <c r="O171" s="1641" t="s">
        <v>242</v>
      </c>
    </row>
    <row r="172" spans="1:15" ht="24.75" customHeight="1">
      <c r="A172" s="1981"/>
      <c r="B172" s="1654"/>
      <c r="C172" s="1655" t="s">
        <v>3018</v>
      </c>
      <c r="D172" s="1654"/>
      <c r="E172" s="1639"/>
      <c r="F172" s="1639"/>
      <c r="G172" s="1639"/>
      <c r="H172" s="1639"/>
      <c r="I172" s="1640" t="s">
        <v>65</v>
      </c>
      <c r="J172" s="1640"/>
      <c r="K172" s="1640"/>
      <c r="L172" s="1640"/>
      <c r="M172" s="1642"/>
      <c r="N172" s="1640"/>
      <c r="O172" s="1641" t="s">
        <v>242</v>
      </c>
    </row>
    <row r="173" spans="1:15" ht="19.5" customHeight="1">
      <c r="A173" s="1982"/>
      <c r="B173" s="1656"/>
      <c r="C173" s="1656"/>
      <c r="D173" s="1656"/>
      <c r="E173" s="1657"/>
      <c r="F173" s="1657"/>
      <c r="G173" s="1657"/>
      <c r="H173" s="1657"/>
    </row>
    <row r="174" spans="1:15" ht="19.5" customHeight="1">
      <c r="A174" s="1982"/>
      <c r="B174" s="1656"/>
      <c r="C174" s="1656"/>
      <c r="D174" s="1656"/>
      <c r="E174" s="1657"/>
      <c r="F174" s="1657"/>
      <c r="G174" s="1657"/>
      <c r="H174" s="1657"/>
    </row>
    <row r="175" spans="1:15" ht="19.5" customHeight="1">
      <c r="A175" s="1982"/>
      <c r="B175" s="1656"/>
      <c r="C175" s="1656"/>
      <c r="D175" s="1656"/>
      <c r="E175" s="1657"/>
      <c r="F175" s="1657"/>
      <c r="G175" s="1657"/>
      <c r="H175" s="1657"/>
    </row>
    <row r="176" spans="1:15" ht="19.5" customHeight="1">
      <c r="A176" s="1982"/>
      <c r="B176" s="1656"/>
      <c r="C176" s="1656"/>
      <c r="D176" s="1656"/>
      <c r="E176" s="1657"/>
      <c r="F176" s="1657"/>
      <c r="G176" s="1657"/>
      <c r="H176" s="1657"/>
    </row>
    <row r="177" spans="1:19" ht="19.5" customHeight="1">
      <c r="A177" s="1982"/>
      <c r="B177" s="1656"/>
      <c r="C177" s="1656"/>
      <c r="D177" s="1656"/>
      <c r="E177" s="1657"/>
      <c r="F177" s="1657"/>
      <c r="G177" s="1657"/>
      <c r="H177" s="1657"/>
    </row>
    <row r="178" spans="1:19" ht="19.5" customHeight="1">
      <c r="A178" s="1982"/>
      <c r="B178" s="1656"/>
      <c r="C178" s="1656"/>
      <c r="D178" s="1656"/>
      <c r="E178" s="1657"/>
      <c r="F178" s="1657"/>
      <c r="G178" s="1657"/>
      <c r="H178" s="1657"/>
    </row>
    <row r="179" spans="1:19" ht="19.5" customHeight="1">
      <c r="A179" s="1982"/>
      <c r="B179" s="1656"/>
      <c r="C179" s="1656"/>
      <c r="D179" s="1656"/>
      <c r="E179" s="1657"/>
      <c r="F179" s="1657"/>
      <c r="G179" s="1657"/>
      <c r="H179" s="1657"/>
    </row>
    <row r="180" spans="1:19" ht="19.5" customHeight="1">
      <c r="A180" s="1982"/>
      <c r="B180" s="1656"/>
      <c r="C180" s="1656"/>
      <c r="D180" s="1656"/>
      <c r="E180" s="1657"/>
      <c r="F180" s="1657"/>
      <c r="G180" s="1657"/>
      <c r="H180" s="1657"/>
    </row>
    <row r="181" spans="1:19" ht="19.5" customHeight="1">
      <c r="A181" s="1982"/>
      <c r="B181" s="1656"/>
      <c r="C181" s="1656"/>
      <c r="D181" s="1656"/>
      <c r="E181" s="1657"/>
      <c r="F181" s="1657"/>
      <c r="G181" s="1657"/>
      <c r="H181" s="1657"/>
    </row>
    <row r="182" spans="1:19" ht="19.5" customHeight="1">
      <c r="A182" s="1982"/>
      <c r="B182" s="1656"/>
      <c r="C182" s="1656"/>
      <c r="D182" s="1656"/>
      <c r="E182" s="1657"/>
      <c r="F182" s="1657"/>
      <c r="G182" s="1657"/>
      <c r="H182" s="1657"/>
      <c r="O182" s="1638" t="s">
        <v>3952</v>
      </c>
    </row>
    <row r="183" spans="1:19" ht="40.5" customHeight="1">
      <c r="A183" s="1982"/>
      <c r="B183" s="1656"/>
      <c r="C183" s="1656"/>
      <c r="D183" s="1656"/>
      <c r="E183" s="1657"/>
      <c r="F183" s="1657"/>
      <c r="G183" s="1657"/>
      <c r="H183" s="1657"/>
      <c r="I183" s="1903">
        <v>44649</v>
      </c>
      <c r="J183" s="1640"/>
      <c r="K183" s="1640"/>
      <c r="L183" s="1640"/>
      <c r="M183" s="1642"/>
      <c r="N183" s="1640"/>
      <c r="O183" s="1904">
        <v>4.3693</v>
      </c>
      <c r="P183" s="1905" t="s">
        <v>5500</v>
      </c>
      <c r="Q183" s="584" t="s">
        <v>5501</v>
      </c>
      <c r="R183" s="693"/>
      <c r="S183" t="s">
        <v>5503</v>
      </c>
    </row>
    <row r="184" spans="1:19" ht="36" customHeight="1">
      <c r="A184" s="1982"/>
      <c r="B184" s="1656"/>
      <c r="C184" s="1656"/>
      <c r="D184" s="1656"/>
      <c r="E184" s="1657"/>
      <c r="F184" s="1657"/>
      <c r="G184" s="1657"/>
      <c r="H184" s="1657"/>
      <c r="I184" s="1905" t="s">
        <v>5499</v>
      </c>
      <c r="J184" s="1640"/>
      <c r="K184" s="1640"/>
      <c r="L184" s="1640"/>
      <c r="M184" s="1642"/>
      <c r="N184" s="1640"/>
      <c r="O184" s="1904">
        <v>73.930000000000007</v>
      </c>
      <c r="P184" s="1906">
        <f>+O184/O$183</f>
        <v>16.920330487721149</v>
      </c>
      <c r="Q184" s="1715">
        <v>20</v>
      </c>
      <c r="R184" s="6">
        <f>+Q184*P184</f>
        <v>338.40660975442296</v>
      </c>
    </row>
    <row r="185" spans="1:19" ht="27.75" customHeight="1">
      <c r="A185" s="1982"/>
      <c r="B185" s="1656"/>
      <c r="C185" s="1656"/>
      <c r="D185" s="1656"/>
      <c r="E185" s="1657"/>
      <c r="F185" s="1657"/>
      <c r="G185" s="1657"/>
      <c r="H185" s="1657"/>
      <c r="I185" s="1905" t="s">
        <v>5499</v>
      </c>
      <c r="J185" s="1640"/>
      <c r="K185" s="1640"/>
      <c r="L185" s="1640"/>
      <c r="M185" s="1642"/>
      <c r="N185" s="1640"/>
      <c r="O185" s="1904">
        <v>73.930000000000007</v>
      </c>
      <c r="P185" s="1906">
        <f>+O185/O$183</f>
        <v>16.920330487721149</v>
      </c>
      <c r="Q185" s="1715">
        <v>20</v>
      </c>
      <c r="R185" s="6">
        <f>+Q185*P185</f>
        <v>338.40660975442296</v>
      </c>
    </row>
    <row r="186" spans="1:19" ht="27.75" customHeight="1">
      <c r="A186" s="1982"/>
      <c r="B186" s="1656"/>
      <c r="C186" s="1656"/>
      <c r="D186" s="1656"/>
      <c r="E186" s="1657"/>
      <c r="F186" s="1657"/>
      <c r="G186" s="1657"/>
      <c r="H186" s="1657"/>
      <c r="I186" s="1905" t="s">
        <v>5499</v>
      </c>
      <c r="J186" s="1640"/>
      <c r="K186" s="1640"/>
      <c r="L186" s="1640"/>
      <c r="M186" s="1642"/>
      <c r="N186" s="1640"/>
      <c r="O186" s="1641">
        <v>58.2</v>
      </c>
      <c r="P186" s="1906">
        <f>+O186/O$183</f>
        <v>13.320211475522395</v>
      </c>
      <c r="Q186" s="693">
        <v>10</v>
      </c>
      <c r="R186" s="6">
        <f>+Q186*P186</f>
        <v>133.20211475522396</v>
      </c>
    </row>
    <row r="187" spans="1:19" ht="24" customHeight="1">
      <c r="A187" s="1982"/>
      <c r="B187" s="1656"/>
      <c r="C187" s="1656"/>
      <c r="D187" s="1656"/>
      <c r="E187" s="1657"/>
      <c r="F187" s="1657"/>
      <c r="G187" s="1657"/>
      <c r="H187" s="1657"/>
      <c r="I187" s="1905" t="s">
        <v>5499</v>
      </c>
      <c r="J187" s="1640"/>
      <c r="K187" s="1640"/>
      <c r="L187" s="1640"/>
      <c r="M187" s="1642"/>
      <c r="N187" s="1640"/>
      <c r="O187" s="1641"/>
      <c r="P187" s="1906">
        <f>+O187/O$183</f>
        <v>0</v>
      </c>
      <c r="Q187" s="693"/>
      <c r="R187" s="6">
        <f>+Q187*P187</f>
        <v>0</v>
      </c>
    </row>
    <row r="188" spans="1:19" ht="24" customHeight="1">
      <c r="A188" s="1982"/>
      <c r="B188" s="1656"/>
      <c r="C188" s="1656"/>
      <c r="D188" s="1656"/>
      <c r="E188" s="1657"/>
      <c r="F188" s="1657"/>
      <c r="G188" s="1657"/>
      <c r="H188" s="1657"/>
      <c r="R188" s="336">
        <f>+R184+R185+R186+R187</f>
        <v>810.01533426406991</v>
      </c>
    </row>
    <row r="189" spans="1:19" ht="19.5" customHeight="1">
      <c r="A189" s="1982"/>
      <c r="B189" s="1656"/>
      <c r="C189" s="1656"/>
      <c r="D189" s="1656"/>
      <c r="E189" s="1657"/>
      <c r="F189" s="1657"/>
      <c r="G189" s="1657"/>
      <c r="H189" s="1657"/>
      <c r="Q189" s="388">
        <v>0.16</v>
      </c>
      <c r="R189" s="336">
        <f>+R188*16%</f>
        <v>129.60245348225118</v>
      </c>
    </row>
    <row r="190" spans="1:19" ht="19.5" customHeight="1">
      <c r="A190" s="1982"/>
      <c r="B190" s="1656"/>
      <c r="C190" s="1656"/>
      <c r="D190" s="1656"/>
      <c r="E190" s="1657"/>
      <c r="F190" s="1657"/>
      <c r="G190" s="1657"/>
      <c r="H190" s="1657"/>
      <c r="R190" s="336">
        <f>+R188+R189</f>
        <v>939.61778774632103</v>
      </c>
    </row>
    <row r="191" spans="1:19" ht="19.5" customHeight="1">
      <c r="A191" s="1982"/>
      <c r="B191" s="1656"/>
      <c r="C191" s="1656"/>
      <c r="D191" s="1656"/>
      <c r="E191" s="1657"/>
      <c r="F191" s="1657"/>
      <c r="G191" s="1657"/>
      <c r="H191" s="1657"/>
    </row>
    <row r="192" spans="1:19" ht="19.5" customHeight="1">
      <c r="A192" s="1982"/>
      <c r="B192" s="1656"/>
      <c r="C192" s="1656"/>
      <c r="D192" s="1656"/>
      <c r="E192" s="1657"/>
      <c r="F192" s="1657"/>
      <c r="G192" s="1657"/>
      <c r="H192" s="1657"/>
    </row>
    <row r="193" spans="1:8" ht="19.5" customHeight="1">
      <c r="A193" s="1982"/>
      <c r="B193" s="1656"/>
      <c r="C193" s="1656"/>
      <c r="D193" s="1656"/>
      <c r="E193" s="1657"/>
      <c r="F193" s="1657"/>
      <c r="G193" s="1657"/>
      <c r="H193" s="1657"/>
    </row>
    <row r="194" spans="1:8" ht="19.5" customHeight="1">
      <c r="A194" s="1982"/>
      <c r="B194" s="1656"/>
      <c r="C194" s="1656"/>
      <c r="D194" s="1656"/>
      <c r="E194" s="1657"/>
      <c r="F194" s="1657"/>
      <c r="G194" s="1657"/>
      <c r="H194" s="1657"/>
    </row>
    <row r="195" spans="1:8" ht="19.5" customHeight="1">
      <c r="A195" s="1982"/>
      <c r="B195" s="1656"/>
      <c r="C195" s="1656"/>
      <c r="D195" s="1656"/>
      <c r="E195" s="1657"/>
      <c r="F195" s="1657"/>
      <c r="G195" s="1657"/>
      <c r="H195" s="1657"/>
    </row>
    <row r="196" spans="1:8" ht="19.5" customHeight="1">
      <c r="A196" s="1982"/>
      <c r="B196" s="1656"/>
      <c r="C196" s="1656"/>
      <c r="D196" s="1656"/>
      <c r="E196" s="1657"/>
      <c r="F196" s="1657"/>
      <c r="G196" s="1657"/>
      <c r="H196" s="1657"/>
    </row>
    <row r="197" spans="1:8" ht="19.5" customHeight="1">
      <c r="A197" s="1982"/>
      <c r="B197" s="1656"/>
      <c r="C197" s="1656"/>
      <c r="D197" s="1656"/>
      <c r="E197" s="1657"/>
      <c r="F197" s="1657"/>
      <c r="G197" s="1657"/>
      <c r="H197" s="1657"/>
    </row>
    <row r="198" spans="1:8" ht="19.5" customHeight="1">
      <c r="A198" s="1982"/>
      <c r="B198" s="1656"/>
      <c r="C198" s="1656"/>
      <c r="D198" s="1656"/>
      <c r="E198" s="1657"/>
      <c r="F198" s="1657"/>
      <c r="G198" s="1657"/>
      <c r="H198" s="1657"/>
    </row>
    <row r="199" spans="1:8" ht="19.5" customHeight="1">
      <c r="A199" s="1982"/>
      <c r="B199" s="1656"/>
      <c r="C199" s="1656"/>
      <c r="D199" s="1656"/>
      <c r="E199" s="1657"/>
      <c r="F199" s="1657"/>
      <c r="G199" s="1657"/>
      <c r="H199" s="1657"/>
    </row>
    <row r="200" spans="1:8" ht="19.5" customHeight="1">
      <c r="A200" s="1982"/>
      <c r="B200" s="1656"/>
      <c r="C200" s="1656"/>
      <c r="D200" s="1656"/>
      <c r="E200" s="1657"/>
      <c r="F200" s="1657"/>
      <c r="G200" s="1657"/>
      <c r="H200" s="1657"/>
    </row>
    <row r="201" spans="1:8" ht="19.5" customHeight="1">
      <c r="A201" s="1982"/>
      <c r="B201" s="1656"/>
      <c r="C201" s="1656"/>
      <c r="D201" s="1656"/>
      <c r="E201" s="1657"/>
      <c r="F201" s="1657"/>
      <c r="G201" s="1657"/>
      <c r="H201" s="1657"/>
    </row>
    <row r="202" spans="1:8" ht="19.5" customHeight="1">
      <c r="A202" s="1982"/>
      <c r="B202" s="1656"/>
      <c r="C202" s="1656"/>
      <c r="D202" s="1656"/>
      <c r="E202" s="1657"/>
      <c r="F202" s="1657"/>
      <c r="G202" s="1657"/>
      <c r="H202" s="1657"/>
    </row>
    <row r="203" spans="1:8" ht="19.5" customHeight="1">
      <c r="A203" s="1982"/>
      <c r="B203" s="1656"/>
      <c r="C203" s="1656"/>
      <c r="D203" s="1656"/>
      <c r="E203" s="1657"/>
      <c r="F203" s="1657"/>
      <c r="G203" s="1657"/>
      <c r="H203" s="1657"/>
    </row>
    <row r="204" spans="1:8" ht="19.5" customHeight="1">
      <c r="A204" s="1982"/>
      <c r="B204" s="1656"/>
      <c r="C204" s="1656"/>
      <c r="D204" s="1656"/>
      <c r="E204" s="1657"/>
      <c r="F204" s="1657"/>
      <c r="G204" s="1657"/>
      <c r="H204" s="1657"/>
    </row>
    <row r="205" spans="1:8" ht="19.5" customHeight="1">
      <c r="A205" s="1982"/>
      <c r="B205" s="1656"/>
      <c r="C205" s="1656"/>
      <c r="D205" s="1656"/>
      <c r="E205" s="1657"/>
      <c r="F205" s="1657"/>
      <c r="G205" s="1657"/>
      <c r="H205" s="1657"/>
    </row>
    <row r="206" spans="1:8" ht="19.5" customHeight="1">
      <c r="A206" s="1982"/>
      <c r="B206" s="1656"/>
      <c r="C206" s="1656"/>
      <c r="D206" s="1656"/>
      <c r="E206" s="1657"/>
      <c r="F206" s="1657"/>
      <c r="G206" s="1657"/>
      <c r="H206" s="1657"/>
    </row>
    <row r="207" spans="1:8" ht="19.5" customHeight="1">
      <c r="A207" s="1982"/>
      <c r="B207" s="1656"/>
      <c r="C207" s="1656"/>
      <c r="D207" s="1656"/>
      <c r="E207" s="1657"/>
      <c r="F207" s="1657"/>
      <c r="G207" s="1657"/>
      <c r="H207" s="1657"/>
    </row>
    <row r="208" spans="1:8" ht="19.5" customHeight="1">
      <c r="A208" s="1982"/>
      <c r="B208" s="1656"/>
      <c r="C208" s="1656"/>
      <c r="D208" s="1656"/>
      <c r="E208" s="1657"/>
      <c r="F208" s="1657"/>
      <c r="G208" s="1657"/>
      <c r="H208" s="1657"/>
    </row>
    <row r="209" spans="1:8" ht="19.5" customHeight="1">
      <c r="A209" s="1982"/>
      <c r="B209" s="1656"/>
      <c r="C209" s="1656"/>
      <c r="D209" s="1656"/>
      <c r="E209" s="1657"/>
      <c r="F209" s="1657"/>
      <c r="G209" s="1657"/>
      <c r="H209" s="1657"/>
    </row>
    <row r="210" spans="1:8" ht="19.5" customHeight="1">
      <c r="A210" s="1982"/>
      <c r="B210" s="1656"/>
      <c r="C210" s="1656"/>
      <c r="D210" s="1656"/>
      <c r="E210" s="1657"/>
      <c r="F210" s="1657"/>
      <c r="G210" s="1657"/>
      <c r="H210" s="1657"/>
    </row>
    <row r="211" spans="1:8" ht="19.5" customHeight="1">
      <c r="A211" s="1982"/>
      <c r="B211" s="1656"/>
      <c r="C211" s="1656"/>
      <c r="D211" s="1656"/>
      <c r="E211" s="1657"/>
      <c r="F211" s="1657"/>
      <c r="G211" s="1657"/>
      <c r="H211" s="1657"/>
    </row>
    <row r="212" spans="1:8" ht="19.5" customHeight="1">
      <c r="A212" s="1982"/>
      <c r="B212" s="1656"/>
      <c r="C212" s="1656"/>
      <c r="D212" s="1656"/>
      <c r="E212" s="1657"/>
      <c r="F212" s="1657"/>
      <c r="G212" s="1657"/>
      <c r="H212" s="1657"/>
    </row>
    <row r="213" spans="1:8" ht="19.5" customHeight="1">
      <c r="A213" s="1982"/>
      <c r="B213" s="1656"/>
      <c r="C213" s="1656"/>
      <c r="D213" s="1656"/>
      <c r="E213" s="1657"/>
      <c r="F213" s="1657"/>
      <c r="G213" s="1657"/>
      <c r="H213" s="1657"/>
    </row>
    <row r="214" spans="1:8" ht="19.5" customHeight="1">
      <c r="A214" s="1982"/>
      <c r="B214" s="1656"/>
      <c r="C214" s="1656"/>
      <c r="D214" s="1656"/>
      <c r="E214" s="1657"/>
      <c r="F214" s="1657"/>
      <c r="G214" s="1657"/>
      <c r="H214" s="1657"/>
    </row>
    <row r="215" spans="1:8" ht="19.5" customHeight="1">
      <c r="A215" s="1982"/>
      <c r="B215" s="1656"/>
      <c r="C215" s="1656"/>
      <c r="D215" s="1656"/>
      <c r="E215" s="1657"/>
      <c r="F215" s="1657"/>
      <c r="G215" s="1657"/>
      <c r="H215" s="1657"/>
    </row>
    <row r="216" spans="1:8" ht="19.5" customHeight="1">
      <c r="A216" s="1982"/>
      <c r="B216" s="1656"/>
      <c r="C216" s="1656"/>
      <c r="D216" s="1656"/>
      <c r="E216" s="1657"/>
      <c r="F216" s="1657"/>
      <c r="G216" s="1657"/>
      <c r="H216" s="1657"/>
    </row>
    <row r="217" spans="1:8" ht="19.5" customHeight="1">
      <c r="A217" s="1982"/>
      <c r="B217" s="1656"/>
      <c r="C217" s="1656"/>
      <c r="D217" s="1656"/>
      <c r="E217" s="1657"/>
      <c r="F217" s="1657"/>
      <c r="G217" s="1657"/>
      <c r="H217" s="1657"/>
    </row>
    <row r="218" spans="1:8" ht="19.5" customHeight="1">
      <c r="A218" s="1982"/>
      <c r="B218" s="1656"/>
      <c r="C218" s="1656"/>
      <c r="D218" s="1656"/>
      <c r="E218" s="1657"/>
      <c r="F218" s="1657"/>
      <c r="G218" s="1657"/>
      <c r="H218" s="1657"/>
    </row>
    <row r="219" spans="1:8" ht="19.5" customHeight="1">
      <c r="A219" s="1982"/>
      <c r="B219" s="1656"/>
      <c r="C219" s="1656"/>
      <c r="D219" s="1656"/>
      <c r="E219" s="1657"/>
      <c r="F219" s="1657"/>
      <c r="G219" s="1657"/>
      <c r="H219" s="1657"/>
    </row>
    <row r="220" spans="1:8" ht="19.5" customHeight="1">
      <c r="A220" s="1982"/>
      <c r="B220" s="1656"/>
      <c r="C220" s="1656"/>
      <c r="D220" s="1656"/>
      <c r="E220" s="1657"/>
      <c r="F220" s="1657"/>
      <c r="G220" s="1657"/>
      <c r="H220" s="1657"/>
    </row>
    <row r="221" spans="1:8" ht="19.5" customHeight="1">
      <c r="A221" s="1982"/>
      <c r="B221" s="1656"/>
      <c r="C221" s="1656"/>
      <c r="D221" s="1656"/>
      <c r="E221" s="1657"/>
      <c r="F221" s="1657"/>
      <c r="G221" s="1657"/>
      <c r="H221" s="1657"/>
    </row>
    <row r="222" spans="1:8" ht="19.5" customHeight="1">
      <c r="A222" s="1982"/>
      <c r="B222" s="1656"/>
      <c r="C222" s="1656"/>
      <c r="D222" s="1656"/>
      <c r="E222" s="1657"/>
      <c r="F222" s="1657"/>
      <c r="G222" s="1657"/>
      <c r="H222" s="1657"/>
    </row>
    <row r="223" spans="1:8" ht="19.5" customHeight="1">
      <c r="A223" s="1982"/>
      <c r="B223" s="1656"/>
      <c r="C223" s="1656"/>
      <c r="D223" s="1656"/>
      <c r="E223" s="1657"/>
      <c r="F223" s="1657"/>
      <c r="G223" s="1657"/>
      <c r="H223" s="1657"/>
    </row>
    <row r="224" spans="1:8" ht="19.5" customHeight="1">
      <c r="A224" s="1982"/>
      <c r="B224" s="1656"/>
      <c r="C224" s="1656"/>
      <c r="D224" s="1656"/>
      <c r="E224" s="1657"/>
      <c r="F224" s="1657"/>
      <c r="G224" s="1657"/>
      <c r="H224" s="1657"/>
    </row>
    <row r="225" spans="1:8" ht="19.5" customHeight="1">
      <c r="A225" s="1982"/>
      <c r="B225" s="1656"/>
      <c r="C225" s="1656"/>
      <c r="D225" s="1656"/>
      <c r="E225" s="1657"/>
      <c r="F225" s="1657"/>
      <c r="G225" s="1657"/>
      <c r="H225" s="1657"/>
    </row>
    <row r="226" spans="1:8" ht="19.5" customHeight="1">
      <c r="A226" s="1982"/>
      <c r="B226" s="1656"/>
      <c r="C226" s="1656"/>
      <c r="D226" s="1656"/>
      <c r="E226" s="1657"/>
      <c r="F226" s="1657"/>
      <c r="G226" s="1657"/>
      <c r="H226" s="1657"/>
    </row>
    <row r="227" spans="1:8" ht="19.5" customHeight="1">
      <c r="A227" s="1982"/>
      <c r="B227" s="1656"/>
      <c r="C227" s="1656"/>
      <c r="D227" s="1656"/>
      <c r="E227" s="1657"/>
      <c r="F227" s="1657"/>
      <c r="G227" s="1657"/>
      <c r="H227" s="1657"/>
    </row>
    <row r="228" spans="1:8" ht="19.5" customHeight="1">
      <c r="A228" s="1982"/>
      <c r="B228" s="1656"/>
      <c r="C228" s="1656"/>
      <c r="D228" s="1656"/>
      <c r="E228" s="1657"/>
      <c r="F228" s="1657"/>
      <c r="G228" s="1657"/>
      <c r="H228" s="1657"/>
    </row>
    <row r="229" spans="1:8" ht="19.5" customHeight="1">
      <c r="A229" s="1982"/>
      <c r="B229" s="1656"/>
      <c r="C229" s="1656"/>
      <c r="D229" s="1656"/>
      <c r="E229" s="1657"/>
      <c r="F229" s="1657"/>
      <c r="G229" s="1657"/>
      <c r="H229" s="1657"/>
    </row>
    <row r="230" spans="1:8" ht="19.5" customHeight="1">
      <c r="A230" s="1982"/>
      <c r="B230" s="1656"/>
      <c r="C230" s="1656"/>
      <c r="D230" s="1656"/>
      <c r="E230" s="1657"/>
      <c r="F230" s="1657"/>
      <c r="G230" s="1657"/>
      <c r="H230" s="1657"/>
    </row>
    <row r="231" spans="1:8" ht="19.5" customHeight="1">
      <c r="A231" s="1982"/>
      <c r="B231" s="1656"/>
      <c r="C231" s="1656"/>
      <c r="D231" s="1656"/>
      <c r="E231" s="1657"/>
      <c r="F231" s="1657"/>
      <c r="G231" s="1657"/>
      <c r="H231" s="1657"/>
    </row>
    <row r="232" spans="1:8" ht="19.5" customHeight="1">
      <c r="A232" s="1982"/>
      <c r="B232" s="1656"/>
      <c r="C232" s="1656"/>
      <c r="D232" s="1656"/>
      <c r="E232" s="1657"/>
      <c r="F232" s="1657"/>
      <c r="G232" s="1657"/>
      <c r="H232" s="1657"/>
    </row>
    <row r="233" spans="1:8" ht="19.5" customHeight="1">
      <c r="A233" s="1982"/>
      <c r="B233" s="1656"/>
      <c r="C233" s="1656"/>
      <c r="D233" s="1656"/>
      <c r="E233" s="1657"/>
      <c r="F233" s="1657"/>
      <c r="G233" s="1657"/>
      <c r="H233" s="1657"/>
    </row>
    <row r="234" spans="1:8" ht="19.5" customHeight="1">
      <c r="A234" s="1982"/>
      <c r="B234" s="1656"/>
      <c r="C234" s="1656"/>
      <c r="D234" s="1656"/>
      <c r="E234" s="1657"/>
      <c r="F234" s="1657"/>
      <c r="G234" s="1657"/>
      <c r="H234" s="1657"/>
    </row>
    <row r="235" spans="1:8" ht="19.5" customHeight="1">
      <c r="A235" s="1982"/>
      <c r="B235" s="1656"/>
      <c r="C235" s="1656"/>
      <c r="D235" s="1656"/>
      <c r="E235" s="1657"/>
      <c r="F235" s="1657"/>
      <c r="G235" s="1657"/>
      <c r="H235" s="1657"/>
    </row>
    <row r="236" spans="1:8" ht="19.5" customHeight="1">
      <c r="A236" s="1982"/>
      <c r="B236" s="1656"/>
      <c r="C236" s="1656"/>
      <c r="D236" s="1656"/>
      <c r="E236" s="1657"/>
      <c r="F236" s="1657"/>
      <c r="G236" s="1657"/>
      <c r="H236" s="1657"/>
    </row>
    <row r="237" spans="1:8" ht="19.5" customHeight="1">
      <c r="A237" s="1982"/>
      <c r="B237" s="1656"/>
      <c r="C237" s="1656"/>
      <c r="D237" s="1656"/>
      <c r="E237" s="1657"/>
      <c r="F237" s="1657"/>
      <c r="G237" s="1657"/>
      <c r="H237" s="1657"/>
    </row>
    <row r="238" spans="1:8" ht="19.5" customHeight="1">
      <c r="A238" s="1982"/>
      <c r="B238" s="1656"/>
      <c r="C238" s="1656"/>
      <c r="D238" s="1656"/>
      <c r="E238" s="1657"/>
      <c r="F238" s="1657"/>
      <c r="G238" s="1657"/>
      <c r="H238" s="1657"/>
    </row>
    <row r="239" spans="1:8" ht="19.5" customHeight="1">
      <c r="A239" s="1982"/>
      <c r="B239" s="1656"/>
      <c r="C239" s="1656"/>
      <c r="D239" s="1656"/>
      <c r="E239" s="1657"/>
      <c r="F239" s="1657"/>
      <c r="G239" s="1657"/>
      <c r="H239" s="1657"/>
    </row>
    <row r="240" spans="1:8" ht="19.5" customHeight="1">
      <c r="A240" s="1982"/>
      <c r="B240" s="1656"/>
      <c r="C240" s="1656"/>
      <c r="D240" s="1656"/>
      <c r="E240" s="1657"/>
      <c r="F240" s="1657"/>
      <c r="G240" s="1657"/>
      <c r="H240" s="1657"/>
    </row>
    <row r="241" spans="1:8" ht="19.5" customHeight="1">
      <c r="A241" s="1982"/>
      <c r="B241" s="1656"/>
      <c r="C241" s="1656"/>
      <c r="D241" s="1656"/>
      <c r="E241" s="1657"/>
      <c r="F241" s="1657"/>
      <c r="G241" s="1657"/>
      <c r="H241" s="1657"/>
    </row>
    <row r="242" spans="1:8" ht="19.5" customHeight="1">
      <c r="A242" s="1982"/>
      <c r="B242" s="1656"/>
      <c r="C242" s="1656"/>
      <c r="D242" s="1656"/>
      <c r="E242" s="1657"/>
      <c r="F242" s="1657"/>
      <c r="G242" s="1657"/>
      <c r="H242" s="1657"/>
    </row>
    <row r="243" spans="1:8" ht="19.5" customHeight="1">
      <c r="A243" s="1982"/>
      <c r="B243" s="1656"/>
      <c r="C243" s="1656"/>
      <c r="D243" s="1656"/>
      <c r="E243" s="1657"/>
      <c r="F243" s="1657"/>
      <c r="G243" s="1657"/>
      <c r="H243" s="1657"/>
    </row>
    <row r="244" spans="1:8" ht="19.5" customHeight="1">
      <c r="A244" s="1982"/>
      <c r="B244" s="1656"/>
      <c r="C244" s="1656"/>
      <c r="D244" s="1656"/>
      <c r="E244" s="1657"/>
      <c r="F244" s="1657"/>
      <c r="G244" s="1657"/>
      <c r="H244" s="1657"/>
    </row>
    <row r="245" spans="1:8" ht="19.5" customHeight="1">
      <c r="A245" s="1982"/>
      <c r="B245" s="1656"/>
      <c r="C245" s="1656"/>
      <c r="D245" s="1656"/>
      <c r="E245" s="1657"/>
      <c r="F245" s="1657"/>
      <c r="G245" s="1657"/>
      <c r="H245" s="1657"/>
    </row>
    <row r="246" spans="1:8" ht="19.5" customHeight="1">
      <c r="A246" s="1982"/>
      <c r="B246" s="1656"/>
      <c r="C246" s="1656"/>
      <c r="D246" s="1656"/>
      <c r="E246" s="1657"/>
      <c r="F246" s="1657"/>
      <c r="G246" s="1657"/>
      <c r="H246" s="1657"/>
    </row>
    <row r="247" spans="1:8" ht="19.5" customHeight="1">
      <c r="A247" s="1982"/>
      <c r="B247" s="1656"/>
      <c r="C247" s="1656"/>
      <c r="D247" s="1656"/>
      <c r="E247" s="1657"/>
      <c r="F247" s="1657"/>
      <c r="G247" s="1657"/>
      <c r="H247" s="1657"/>
    </row>
    <row r="248" spans="1:8" ht="19.5" customHeight="1">
      <c r="A248" s="1982"/>
      <c r="B248" s="1656"/>
      <c r="C248" s="1656"/>
      <c r="D248" s="1656"/>
      <c r="E248" s="1657"/>
      <c r="F248" s="1657"/>
      <c r="G248" s="1657"/>
      <c r="H248" s="1657"/>
    </row>
    <row r="249" spans="1:8" ht="19.5" customHeight="1">
      <c r="A249" s="1982"/>
      <c r="B249" s="1656"/>
      <c r="C249" s="1656"/>
      <c r="D249" s="1656"/>
      <c r="E249" s="1657"/>
      <c r="F249" s="1657"/>
      <c r="G249" s="1657"/>
      <c r="H249" s="1657"/>
    </row>
    <row r="250" spans="1:8" ht="19.5" customHeight="1">
      <c r="A250" s="1982"/>
      <c r="B250" s="1656"/>
      <c r="C250" s="1656"/>
      <c r="D250" s="1656"/>
      <c r="E250" s="1657"/>
      <c r="F250" s="1657"/>
      <c r="G250" s="1657"/>
      <c r="H250" s="1657"/>
    </row>
    <row r="251" spans="1:8" ht="19.5" customHeight="1">
      <c r="A251" s="1982"/>
      <c r="B251" s="1656"/>
      <c r="C251" s="1656"/>
      <c r="D251" s="1656"/>
      <c r="E251" s="1657"/>
      <c r="F251" s="1657"/>
      <c r="G251" s="1657"/>
      <c r="H251" s="1657"/>
    </row>
    <row r="252" spans="1:8" ht="19.5" customHeight="1">
      <c r="A252" s="1982"/>
      <c r="B252" s="1656"/>
      <c r="C252" s="1656"/>
      <c r="D252" s="1656"/>
      <c r="E252" s="1657"/>
      <c r="F252" s="1657"/>
      <c r="G252" s="1657"/>
      <c r="H252" s="1657"/>
    </row>
    <row r="253" spans="1:8" ht="19.5" customHeight="1">
      <c r="A253" s="1982"/>
      <c r="B253" s="1656"/>
      <c r="C253" s="1656"/>
      <c r="D253" s="1656"/>
      <c r="E253" s="1657"/>
      <c r="F253" s="1657"/>
      <c r="G253" s="1657"/>
      <c r="H253" s="1657"/>
    </row>
    <row r="254" spans="1:8" ht="19.5" customHeight="1">
      <c r="A254" s="1982"/>
      <c r="B254" s="1656"/>
      <c r="C254" s="1656"/>
      <c r="D254" s="1656"/>
      <c r="E254" s="1657"/>
      <c r="F254" s="1657"/>
      <c r="G254" s="1657"/>
      <c r="H254" s="1657"/>
    </row>
    <row r="255" spans="1:8" ht="19.5" customHeight="1">
      <c r="A255" s="1982"/>
      <c r="B255" s="1656"/>
      <c r="C255" s="1656"/>
      <c r="D255" s="1656"/>
      <c r="E255" s="1657"/>
      <c r="F255" s="1657"/>
      <c r="G255" s="1657"/>
      <c r="H255" s="1657"/>
    </row>
    <row r="256" spans="1:8" ht="19.5" customHeight="1">
      <c r="A256" s="1982"/>
      <c r="B256" s="1656"/>
      <c r="C256" s="1656"/>
      <c r="D256" s="1656"/>
      <c r="E256" s="1657"/>
      <c r="F256" s="1657"/>
      <c r="G256" s="1657"/>
      <c r="H256" s="1657"/>
    </row>
    <row r="257" spans="1:8" ht="19.5" customHeight="1">
      <c r="A257" s="1982"/>
      <c r="B257" s="1656"/>
      <c r="C257" s="1656"/>
      <c r="D257" s="1656"/>
      <c r="E257" s="1657"/>
      <c r="F257" s="1657"/>
      <c r="G257" s="1657"/>
      <c r="H257" s="1657"/>
    </row>
    <row r="258" spans="1:8" ht="19.5" customHeight="1">
      <c r="A258" s="1982"/>
      <c r="B258" s="1656"/>
      <c r="C258" s="1656"/>
      <c r="D258" s="1656"/>
      <c r="E258" s="1657"/>
      <c r="F258" s="1657"/>
      <c r="G258" s="1657"/>
      <c r="H258" s="1657"/>
    </row>
    <row r="259" spans="1:8" ht="19.5" customHeight="1">
      <c r="A259" s="1982"/>
      <c r="B259" s="1656"/>
      <c r="C259" s="1656"/>
      <c r="D259" s="1656"/>
      <c r="E259" s="1657"/>
      <c r="F259" s="1657"/>
      <c r="G259" s="1657"/>
      <c r="H259" s="1657"/>
    </row>
    <row r="260" spans="1:8" ht="19.5" customHeight="1">
      <c r="A260" s="1982"/>
      <c r="B260" s="1656"/>
      <c r="C260" s="1656"/>
      <c r="D260" s="1656"/>
      <c r="E260" s="1657"/>
      <c r="F260" s="1657"/>
      <c r="G260" s="1657"/>
      <c r="H260" s="1657"/>
    </row>
    <row r="261" spans="1:8" ht="19.5" customHeight="1">
      <c r="A261" s="1982"/>
      <c r="B261" s="1656"/>
      <c r="C261" s="1656"/>
      <c r="D261" s="1656"/>
      <c r="E261" s="1657"/>
      <c r="F261" s="1657"/>
      <c r="G261" s="1657"/>
      <c r="H261" s="1657"/>
    </row>
  </sheetData>
  <mergeCells count="18">
    <mergeCell ref="B161:H161"/>
    <mergeCell ref="B169:H169"/>
    <mergeCell ref="B97:H97"/>
    <mergeCell ref="B101:H101"/>
    <mergeCell ref="B103:H103"/>
    <mergeCell ref="B107:H107"/>
    <mergeCell ref="B111:H111"/>
    <mergeCell ref="B118:H118"/>
    <mergeCell ref="I1:O1"/>
    <mergeCell ref="B143:H143"/>
    <mergeCell ref="B146:H147"/>
    <mergeCell ref="B151:H151"/>
    <mergeCell ref="B154:H154"/>
    <mergeCell ref="B3:H3"/>
    <mergeCell ref="B15:H15"/>
    <mergeCell ref="B26:H26"/>
    <mergeCell ref="B64:H64"/>
    <mergeCell ref="B94:H94"/>
  </mergeCells>
  <pageMargins left="0.7" right="0.7" top="0.75" bottom="0.75" header="0.3" footer="0.3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1:F35"/>
  <sheetViews>
    <sheetView workbookViewId="0">
      <selection activeCell="E2" sqref="E2:F4"/>
    </sheetView>
  </sheetViews>
  <sheetFormatPr baseColWidth="10" defaultRowHeight="51.75" customHeight="1"/>
  <cols>
    <col min="5" max="5" width="38.42578125" customWidth="1"/>
  </cols>
  <sheetData>
    <row r="1" spans="2:6" ht="25.5" customHeight="1"/>
    <row r="2" spans="2:6" ht="78.75" customHeight="1">
      <c r="B2" s="1603" t="s">
        <v>0</v>
      </c>
      <c r="C2" s="1603" t="s">
        <v>122</v>
      </c>
      <c r="D2" s="1603" t="s">
        <v>547</v>
      </c>
      <c r="E2" s="1603" t="s">
        <v>5770</v>
      </c>
      <c r="F2" s="1603" t="s">
        <v>68</v>
      </c>
    </row>
    <row r="3" spans="2:6" ht="25.5" customHeight="1">
      <c r="B3" s="1603">
        <v>7532</v>
      </c>
      <c r="C3" s="1603">
        <v>20</v>
      </c>
      <c r="D3" s="1603">
        <v>4.76</v>
      </c>
      <c r="E3" s="293" t="s">
        <v>5250</v>
      </c>
      <c r="F3" s="1603" t="s">
        <v>4037</v>
      </c>
    </row>
    <row r="4" spans="2:6" ht="25.5" customHeight="1">
      <c r="B4" s="1604"/>
      <c r="C4" s="1604"/>
      <c r="D4" s="1604"/>
      <c r="E4" s="1604"/>
      <c r="F4" s="1604"/>
    </row>
    <row r="5" spans="2:6" ht="25.5" customHeight="1"/>
    <row r="6" spans="2:6" ht="25.5" customHeight="1"/>
    <row r="7" spans="2:6" ht="25.5" customHeight="1"/>
    <row r="8" spans="2:6" ht="25.5" customHeight="1"/>
    <row r="9" spans="2:6" ht="25.5" customHeight="1"/>
    <row r="10" spans="2:6" ht="25.5" customHeight="1"/>
    <row r="11" spans="2:6" ht="25.5" customHeight="1"/>
    <row r="12" spans="2:6" ht="25.5" customHeight="1"/>
    <row r="13" spans="2:6" ht="25.5" customHeight="1"/>
    <row r="14" spans="2:6" ht="25.5" customHeight="1"/>
    <row r="15" spans="2:6" ht="25.5" customHeight="1"/>
    <row r="16" spans="2:6" ht="25.5" customHeight="1"/>
    <row r="17" ht="25.5" customHeight="1"/>
    <row r="18" ht="25.5" customHeight="1"/>
    <row r="19" ht="25.5" customHeight="1"/>
    <row r="20" ht="25.5" customHeight="1"/>
    <row r="21" ht="25.5" customHeight="1"/>
    <row r="22" ht="25.5" customHeight="1"/>
    <row r="23" ht="25.5" customHeight="1"/>
    <row r="24" ht="25.5" customHeight="1"/>
    <row r="25" ht="25.5" customHeight="1"/>
    <row r="26" ht="25.5" customHeight="1"/>
    <row r="27" ht="25.5" customHeight="1"/>
    <row r="28" ht="25.5" customHeight="1"/>
    <row r="29" ht="25.5" customHeight="1"/>
    <row r="30" ht="25.5" customHeight="1"/>
    <row r="31" ht="25.5" customHeight="1"/>
    <row r="32" ht="25.5" customHeight="1"/>
    <row r="33" ht="25.5" customHeight="1"/>
    <row r="34" ht="25.5" customHeight="1"/>
    <row r="35" ht="25.5" customHeight="1"/>
  </sheetData>
  <pageMargins left="0.7" right="0.7" top="0.75" bottom="0.75" header="0.3" footer="0.3"/>
  <pageSetup paperSize="11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Q231"/>
  <sheetViews>
    <sheetView workbookViewId="0">
      <selection activeCell="A2" sqref="A2:XFD63"/>
    </sheetView>
  </sheetViews>
  <sheetFormatPr baseColWidth="10" defaultRowHeight="23.25" customHeight="1"/>
  <cols>
    <col min="2" max="2" width="21.85546875" customWidth="1"/>
    <col min="3" max="3" width="19.28515625" customWidth="1"/>
    <col min="4" max="4" width="54.42578125" customWidth="1"/>
    <col min="5" max="5" width="34.85546875" style="404" customWidth="1"/>
    <col min="6" max="6" width="8.7109375" style="357" customWidth="1"/>
    <col min="7" max="7" width="10.28515625" style="357" customWidth="1"/>
    <col min="8" max="8" width="8.5703125" style="357" customWidth="1"/>
    <col min="9" max="11" width="11.5703125" style="336" customWidth="1"/>
    <col min="12" max="13" width="11.42578125" customWidth="1"/>
    <col min="14" max="14" width="15.140625" customWidth="1"/>
  </cols>
  <sheetData>
    <row r="2" spans="1:15" ht="23.25" customHeight="1" thickBot="1">
      <c r="A2" s="1622" t="s">
        <v>4802</v>
      </c>
      <c r="B2" s="1620" t="s">
        <v>4803</v>
      </c>
      <c r="C2" s="1621" t="s">
        <v>4804</v>
      </c>
      <c r="D2" s="1620" t="s">
        <v>4805</v>
      </c>
      <c r="E2" s="1618" t="s">
        <v>4806</v>
      </c>
      <c r="F2" s="1618" t="s">
        <v>4807</v>
      </c>
      <c r="G2" s="1619" t="s">
        <v>4808</v>
      </c>
      <c r="H2" s="1618" t="s">
        <v>4809</v>
      </c>
      <c r="I2" s="1617"/>
      <c r="J2" s="1617"/>
    </row>
    <row r="3" spans="1:15" ht="43.5" customHeight="1">
      <c r="A3" s="1625" t="s">
        <v>4816</v>
      </c>
      <c r="B3" s="2377"/>
      <c r="C3" s="2377"/>
      <c r="D3" s="2377"/>
      <c r="E3" s="2377"/>
      <c r="F3" s="2377"/>
      <c r="G3" s="2377"/>
      <c r="H3" s="2377"/>
      <c r="I3" s="1617"/>
      <c r="J3" s="1617"/>
      <c r="K3" s="477"/>
    </row>
    <row r="4" spans="1:15" ht="51.75" customHeight="1" thickBot="1">
      <c r="A4" s="1533" t="s">
        <v>2973</v>
      </c>
      <c r="B4" s="1533" t="s">
        <v>2974</v>
      </c>
      <c r="C4" s="1531" t="s">
        <v>2975</v>
      </c>
      <c r="D4" s="1530">
        <v>12</v>
      </c>
      <c r="E4" s="1623">
        <v>5.52</v>
      </c>
      <c r="F4" s="1623">
        <v>0.46</v>
      </c>
      <c r="G4" s="1623">
        <v>6.4</v>
      </c>
      <c r="H4" s="1623">
        <v>0.53</v>
      </c>
      <c r="I4" s="1617"/>
      <c r="J4" s="1617"/>
      <c r="K4" s="478" t="s">
        <v>3323</v>
      </c>
      <c r="L4" s="32" t="s">
        <v>560</v>
      </c>
      <c r="M4" s="3" t="s">
        <v>23</v>
      </c>
      <c r="N4" s="3" t="s">
        <v>24</v>
      </c>
    </row>
    <row r="5" spans="1:15" ht="23.25" customHeight="1">
      <c r="A5" s="1533" t="s">
        <v>2976</v>
      </c>
      <c r="B5" s="1533" t="s">
        <v>2977</v>
      </c>
      <c r="C5" s="1531" t="s">
        <v>2978</v>
      </c>
      <c r="D5" s="1530">
        <v>12</v>
      </c>
      <c r="E5" s="1623">
        <v>5.52</v>
      </c>
      <c r="F5" s="1623">
        <v>0.46</v>
      </c>
      <c r="G5" s="1623">
        <v>6.4</v>
      </c>
      <c r="H5" s="1623">
        <v>0.53</v>
      </c>
      <c r="I5" s="1617"/>
      <c r="J5" s="1617"/>
      <c r="K5" s="6">
        <v>5</v>
      </c>
      <c r="L5" s="111">
        <f>200*5</f>
        <v>1000</v>
      </c>
      <c r="M5" s="111"/>
      <c r="N5" s="111"/>
    </row>
    <row r="6" spans="1:15" ht="23.25" customHeight="1">
      <c r="A6" s="1533" t="s">
        <v>2979</v>
      </c>
      <c r="B6" s="1533" t="s">
        <v>2980</v>
      </c>
      <c r="C6" s="1531" t="s">
        <v>2981</v>
      </c>
      <c r="D6" s="1530">
        <v>12</v>
      </c>
      <c r="E6" s="1623">
        <v>5.52</v>
      </c>
      <c r="F6" s="1623">
        <v>0.46</v>
      </c>
      <c r="G6" s="1623">
        <v>6.4</v>
      </c>
      <c r="H6" s="1623">
        <v>0.53</v>
      </c>
      <c r="I6" s="1617"/>
      <c r="J6" s="1617"/>
      <c r="K6" s="6">
        <v>7</v>
      </c>
      <c r="L6" s="111">
        <f>7*90</f>
        <v>630</v>
      </c>
      <c r="M6" s="111"/>
      <c r="N6" s="111"/>
    </row>
    <row r="7" spans="1:15" ht="34.5" customHeight="1">
      <c r="A7" s="1533" t="s">
        <v>2982</v>
      </c>
      <c r="B7" s="1533" t="s">
        <v>2983</v>
      </c>
      <c r="C7" s="1531" t="s">
        <v>2984</v>
      </c>
      <c r="D7" s="1530">
        <v>12</v>
      </c>
      <c r="E7" s="1623">
        <v>5.52</v>
      </c>
      <c r="F7" s="1623">
        <v>0.46</v>
      </c>
      <c r="G7" s="1623">
        <v>6.4</v>
      </c>
      <c r="H7" s="1623">
        <v>0.53</v>
      </c>
      <c r="I7" s="1617"/>
      <c r="J7" s="1617"/>
      <c r="K7" s="645"/>
      <c r="L7" s="111"/>
      <c r="M7" s="111"/>
      <c r="N7" s="111"/>
    </row>
    <row r="8" spans="1:15" ht="23.25" customHeight="1">
      <c r="A8" s="1533" t="s">
        <v>2985</v>
      </c>
      <c r="B8" s="1533" t="s">
        <v>2986</v>
      </c>
      <c r="C8" s="1531" t="s">
        <v>2987</v>
      </c>
      <c r="D8" s="1530">
        <v>12</v>
      </c>
      <c r="E8" s="1623">
        <v>5.52</v>
      </c>
      <c r="F8" s="1623">
        <v>0.46</v>
      </c>
      <c r="G8" s="1623">
        <v>6.4</v>
      </c>
      <c r="H8" s="1623">
        <v>0.53</v>
      </c>
      <c r="I8" s="1617"/>
      <c r="J8" s="1617"/>
      <c r="K8" s="645">
        <v>7</v>
      </c>
      <c r="L8" s="111"/>
      <c r="M8" s="111"/>
      <c r="N8" s="111"/>
    </row>
    <row r="9" spans="1:15" ht="23.25" customHeight="1">
      <c r="A9" s="1533" t="s">
        <v>2988</v>
      </c>
      <c r="B9" s="1533" t="s">
        <v>2989</v>
      </c>
      <c r="C9" s="1531" t="s">
        <v>2990</v>
      </c>
      <c r="D9" s="1530">
        <v>12</v>
      </c>
      <c r="E9" s="1623">
        <v>5.52</v>
      </c>
      <c r="F9" s="1623">
        <v>0.46</v>
      </c>
      <c r="G9" s="1623">
        <v>6.4</v>
      </c>
      <c r="H9" s="1623">
        <v>0.53</v>
      </c>
      <c r="I9" s="1617"/>
      <c r="J9" s="1617"/>
    </row>
    <row r="10" spans="1:15" ht="23.25" customHeight="1">
      <c r="A10" s="1625" t="s">
        <v>4817</v>
      </c>
      <c r="B10" s="2377"/>
      <c r="C10" s="2377"/>
      <c r="D10" s="2377"/>
      <c r="E10" s="2377"/>
      <c r="F10" s="2377"/>
      <c r="G10" s="2377"/>
      <c r="H10" s="2377"/>
      <c r="I10" s="1617"/>
      <c r="J10" s="1617"/>
    </row>
    <row r="11" spans="1:15" ht="23.25" customHeight="1">
      <c r="A11" s="1538" t="s">
        <v>2991</v>
      </c>
      <c r="B11" s="1627">
        <v>7591473004020</v>
      </c>
      <c r="C11" s="1540" t="s">
        <v>5237</v>
      </c>
      <c r="D11" s="1530">
        <v>24</v>
      </c>
      <c r="E11" s="1623">
        <v>16.8</v>
      </c>
      <c r="F11" s="1623">
        <v>0.7</v>
      </c>
      <c r="G11" s="1623">
        <v>16.8</v>
      </c>
      <c r="H11" s="1623">
        <v>0.7</v>
      </c>
      <c r="I11" s="1617"/>
      <c r="J11" s="1617"/>
      <c r="N11" t="s">
        <v>3120</v>
      </c>
      <c r="O11">
        <v>41.71</v>
      </c>
    </row>
    <row r="12" spans="1:15" ht="23.25" customHeight="1">
      <c r="A12" s="1538" t="s">
        <v>2992</v>
      </c>
      <c r="B12" s="1627">
        <v>7591473004006</v>
      </c>
      <c r="C12" s="1540" t="s">
        <v>5236</v>
      </c>
      <c r="D12" s="1530">
        <v>24</v>
      </c>
      <c r="E12" s="1623">
        <v>16.8</v>
      </c>
      <c r="F12" s="1623">
        <v>0.7</v>
      </c>
      <c r="G12" s="1623">
        <v>16.8</v>
      </c>
      <c r="H12" s="1623">
        <v>0.7</v>
      </c>
      <c r="I12" s="1617"/>
      <c r="J12" s="1617"/>
      <c r="N12" t="s">
        <v>3121</v>
      </c>
      <c r="O12">
        <v>6</v>
      </c>
    </row>
    <row r="13" spans="1:15" ht="23.25" customHeight="1">
      <c r="A13" s="1538" t="s">
        <v>2993</v>
      </c>
      <c r="B13" s="1627">
        <v>7597417000127</v>
      </c>
      <c r="C13" s="1540" t="s">
        <v>5235</v>
      </c>
      <c r="D13" s="1530">
        <v>12</v>
      </c>
      <c r="E13" s="1623">
        <v>8.4</v>
      </c>
      <c r="F13" s="1623">
        <v>0.7</v>
      </c>
      <c r="G13" s="1623">
        <v>8.4</v>
      </c>
      <c r="H13" s="1623">
        <v>0.7</v>
      </c>
      <c r="I13" s="1617"/>
      <c r="J13" s="1617"/>
      <c r="N13" t="s">
        <v>246</v>
      </c>
      <c r="O13" s="57">
        <f>O11/6</f>
        <v>6.9516666666666671</v>
      </c>
    </row>
    <row r="14" spans="1:15" ht="23.25" customHeight="1">
      <c r="A14" s="1538" t="s">
        <v>2994</v>
      </c>
      <c r="B14" s="1627">
        <v>7597417000110</v>
      </c>
      <c r="C14" s="1540" t="s">
        <v>5234</v>
      </c>
      <c r="D14" s="1530">
        <v>12</v>
      </c>
      <c r="E14" s="1623">
        <v>8.4</v>
      </c>
      <c r="F14" s="1623">
        <v>0.7</v>
      </c>
      <c r="G14" s="1623">
        <v>8.4</v>
      </c>
      <c r="H14" s="1623">
        <v>0.7</v>
      </c>
      <c r="I14" s="1617"/>
      <c r="J14" s="1617"/>
      <c r="N14" t="s">
        <v>1389</v>
      </c>
      <c r="O14">
        <v>4.4800000000000004</v>
      </c>
    </row>
    <row r="15" spans="1:15" ht="23.25" customHeight="1">
      <c r="A15" s="1538" t="s">
        <v>2995</v>
      </c>
      <c r="B15" s="1627">
        <v>7591473003948</v>
      </c>
      <c r="C15" s="1540" t="s">
        <v>5233</v>
      </c>
      <c r="D15" s="1530">
        <v>12</v>
      </c>
      <c r="E15" s="1623">
        <v>8.4</v>
      </c>
      <c r="F15" s="1623">
        <v>0.7</v>
      </c>
      <c r="G15" s="1623">
        <v>8.4</v>
      </c>
      <c r="H15" s="1623">
        <v>0.7</v>
      </c>
      <c r="I15" s="1617"/>
      <c r="J15" s="1617"/>
      <c r="O15" s="57">
        <f>O13/O14</f>
        <v>1.5517113095238095</v>
      </c>
    </row>
    <row r="16" spans="1:15" ht="23.25" customHeight="1">
      <c r="A16" s="1538" t="s">
        <v>2996</v>
      </c>
      <c r="B16" s="1627">
        <v>7591473003955</v>
      </c>
      <c r="C16" s="1540" t="s">
        <v>5232</v>
      </c>
      <c r="D16" s="1530">
        <v>12</v>
      </c>
      <c r="E16" s="1623">
        <v>8.4</v>
      </c>
      <c r="F16" s="1623">
        <v>0.7</v>
      </c>
      <c r="G16" s="1623">
        <v>8.4</v>
      </c>
      <c r="H16" s="1623">
        <v>0.7</v>
      </c>
      <c r="I16" s="1617"/>
      <c r="J16" s="1617"/>
    </row>
    <row r="17" spans="1:16" ht="23.25" customHeight="1">
      <c r="A17" s="1538" t="s">
        <v>2997</v>
      </c>
      <c r="B17" s="1627">
        <v>7591473003924</v>
      </c>
      <c r="C17" s="1540" t="s">
        <v>5231</v>
      </c>
      <c r="D17" s="1530">
        <v>12</v>
      </c>
      <c r="E17" s="1623">
        <v>8.4</v>
      </c>
      <c r="F17" s="1623">
        <v>0.7</v>
      </c>
      <c r="G17" s="1623">
        <v>8.4</v>
      </c>
      <c r="H17" s="1623">
        <v>0.7</v>
      </c>
      <c r="I17" s="1617"/>
      <c r="J17" s="1617"/>
      <c r="K17" s="52"/>
    </row>
    <row r="18" spans="1:16" ht="23.25" customHeight="1">
      <c r="A18" s="1538" t="s">
        <v>2998</v>
      </c>
      <c r="B18" s="1627">
        <v>7591473003931</v>
      </c>
      <c r="C18" s="1540" t="s">
        <v>2999</v>
      </c>
      <c r="D18" s="1530">
        <v>12</v>
      </c>
      <c r="E18" s="1623">
        <v>8.4</v>
      </c>
      <c r="F18" s="1623">
        <v>0.7</v>
      </c>
      <c r="G18" s="1623">
        <v>8.4</v>
      </c>
      <c r="H18" s="1623">
        <v>0.7</v>
      </c>
      <c r="I18" s="1617"/>
      <c r="J18" s="1617"/>
      <c r="K18" s="52"/>
    </row>
    <row r="19" spans="1:16" ht="36.75" customHeight="1">
      <c r="A19" s="1538" t="s">
        <v>3000</v>
      </c>
      <c r="B19" s="1627">
        <v>7597417000103</v>
      </c>
      <c r="C19" s="1540" t="s">
        <v>3001</v>
      </c>
      <c r="D19" s="1530">
        <v>12</v>
      </c>
      <c r="E19" s="1623">
        <v>8.4</v>
      </c>
      <c r="F19" s="1623">
        <v>0.7</v>
      </c>
      <c r="G19" s="1623">
        <v>8.4</v>
      </c>
      <c r="H19" s="1623">
        <v>0.7</v>
      </c>
      <c r="I19" s="1617"/>
      <c r="J19" s="1617"/>
      <c r="K19" s="817" t="s">
        <v>4682</v>
      </c>
    </row>
    <row r="20" spans="1:16" ht="39" customHeight="1">
      <c r="A20" s="1538" t="s">
        <v>4825</v>
      </c>
      <c r="B20" s="1627">
        <v>7597417000783</v>
      </c>
      <c r="C20" s="1540" t="s">
        <v>4826</v>
      </c>
      <c r="D20" s="1530">
        <v>12</v>
      </c>
      <c r="E20" s="1623">
        <v>16.8</v>
      </c>
      <c r="F20" s="1623">
        <v>1.4</v>
      </c>
      <c r="G20" s="1623">
        <v>16.8</v>
      </c>
      <c r="H20" s="1623">
        <v>1.4</v>
      </c>
      <c r="I20" s="1617"/>
      <c r="J20" s="1617"/>
      <c r="K20" s="817" t="s">
        <v>4683</v>
      </c>
      <c r="L20" s="1240" t="s">
        <v>69</v>
      </c>
      <c r="M20" s="2376" t="s">
        <v>1323</v>
      </c>
      <c r="N20" s="2376"/>
      <c r="O20" s="1262"/>
      <c r="P20" s="1262"/>
    </row>
    <row r="21" spans="1:16" ht="46.5" customHeight="1">
      <c r="A21" s="1538" t="s">
        <v>4827</v>
      </c>
      <c r="B21" s="1627">
        <v>7597417000806</v>
      </c>
      <c r="C21" s="1540" t="s">
        <v>4828</v>
      </c>
      <c r="D21" s="1530">
        <v>12</v>
      </c>
      <c r="E21" s="1623">
        <v>16.8</v>
      </c>
      <c r="F21" s="1623">
        <v>1.4</v>
      </c>
      <c r="G21" s="1623">
        <v>16.8</v>
      </c>
      <c r="H21" s="1623">
        <v>1.4</v>
      </c>
      <c r="I21" s="1617"/>
      <c r="J21" s="1617"/>
      <c r="K21" s="52">
        <v>30</v>
      </c>
      <c r="L21" s="101" t="e">
        <f>+K21*#REF!</f>
        <v>#REF!</v>
      </c>
      <c r="N21" s="21" t="e">
        <f>+#REF!+L21</f>
        <v>#REF!</v>
      </c>
      <c r="O21" s="1311" t="s">
        <v>917</v>
      </c>
    </row>
    <row r="22" spans="1:16" ht="23.25" customHeight="1">
      <c r="A22" s="1538" t="s">
        <v>4829</v>
      </c>
      <c r="B22" s="1627">
        <v>7597417000790</v>
      </c>
      <c r="C22" s="1540" t="s">
        <v>4830</v>
      </c>
      <c r="D22" s="1530">
        <v>12</v>
      </c>
      <c r="E22" s="1623">
        <v>16.8</v>
      </c>
      <c r="F22" s="1623">
        <v>1.4</v>
      </c>
      <c r="G22" s="1623">
        <v>16.8</v>
      </c>
      <c r="H22" s="1623">
        <v>1.4</v>
      </c>
      <c r="I22" s="1617"/>
      <c r="J22" s="1617"/>
    </row>
    <row r="23" spans="1:16" ht="23.25" customHeight="1">
      <c r="A23" s="1533" t="s">
        <v>3002</v>
      </c>
      <c r="B23" s="1530">
        <v>7597417000417</v>
      </c>
      <c r="C23" s="1531" t="s">
        <v>2417</v>
      </c>
      <c r="D23" s="1530">
        <v>12</v>
      </c>
      <c r="E23" s="1623">
        <v>15</v>
      </c>
      <c r="F23" s="1623">
        <v>1.25</v>
      </c>
      <c r="G23" s="1623">
        <v>15</v>
      </c>
      <c r="H23" s="1623">
        <v>1.25</v>
      </c>
      <c r="I23" s="1617"/>
      <c r="J23" s="1617"/>
    </row>
    <row r="24" spans="1:16" ht="23.25" customHeight="1">
      <c r="A24" s="1533" t="s">
        <v>3003</v>
      </c>
      <c r="B24" s="1530">
        <v>7597417000134</v>
      </c>
      <c r="C24" s="1531" t="s">
        <v>2419</v>
      </c>
      <c r="D24" s="1530">
        <v>12</v>
      </c>
      <c r="E24" s="1623">
        <v>15</v>
      </c>
      <c r="F24" s="1623">
        <v>1.25</v>
      </c>
      <c r="G24" s="1623">
        <v>15</v>
      </c>
      <c r="H24" s="1623">
        <v>1.25</v>
      </c>
      <c r="I24" s="1617"/>
      <c r="J24" s="1617"/>
    </row>
    <row r="25" spans="1:16" ht="23.25" customHeight="1">
      <c r="A25" s="1533" t="s">
        <v>3004</v>
      </c>
      <c r="B25" s="1530">
        <v>7597417000462</v>
      </c>
      <c r="C25" s="1531" t="s">
        <v>2418</v>
      </c>
      <c r="D25" s="1530">
        <v>12</v>
      </c>
      <c r="E25" s="1623">
        <v>15</v>
      </c>
      <c r="F25" s="1623">
        <v>1.25</v>
      </c>
      <c r="G25" s="1623">
        <v>15</v>
      </c>
      <c r="H25" s="1623">
        <v>1.25</v>
      </c>
      <c r="I25" s="1617"/>
      <c r="J25" s="1617"/>
    </row>
    <row r="26" spans="1:16" ht="23.25" customHeight="1">
      <c r="A26" s="1533" t="s">
        <v>4831</v>
      </c>
      <c r="B26" s="1530">
        <v>7597417000820</v>
      </c>
      <c r="C26" s="1531" t="s">
        <v>4832</v>
      </c>
      <c r="D26" s="1530">
        <v>24</v>
      </c>
      <c r="E26" s="1623">
        <v>15</v>
      </c>
      <c r="F26" s="1623">
        <v>0.63</v>
      </c>
      <c r="G26" s="1623">
        <v>15</v>
      </c>
      <c r="H26" s="1623">
        <v>0.63</v>
      </c>
      <c r="I26" s="1617"/>
      <c r="J26" s="1617"/>
    </row>
    <row r="27" spans="1:16" ht="23.25" customHeight="1">
      <c r="A27" s="1533" t="s">
        <v>4833</v>
      </c>
      <c r="B27" s="1530">
        <v>7597417000837</v>
      </c>
      <c r="C27" s="1531" t="s">
        <v>4834</v>
      </c>
      <c r="D27" s="1530">
        <v>12</v>
      </c>
      <c r="E27" s="1623">
        <v>7.5</v>
      </c>
      <c r="F27" s="1623">
        <v>0.63</v>
      </c>
      <c r="G27" s="1623">
        <v>7.5</v>
      </c>
      <c r="H27" s="1623">
        <v>0.63</v>
      </c>
      <c r="I27" s="1617"/>
      <c r="J27" s="1617"/>
    </row>
    <row r="28" spans="1:16" ht="23.25" customHeight="1">
      <c r="A28" s="1533" t="s">
        <v>4835</v>
      </c>
      <c r="B28" s="1530">
        <v>7597417000844</v>
      </c>
      <c r="C28" s="1531" t="s">
        <v>4836</v>
      </c>
      <c r="D28" s="1530">
        <v>12</v>
      </c>
      <c r="E28" s="1623">
        <v>7.5</v>
      </c>
      <c r="F28" s="1623">
        <v>0.63</v>
      </c>
      <c r="G28" s="1623">
        <v>7.5</v>
      </c>
      <c r="H28" s="1623">
        <v>0.63</v>
      </c>
      <c r="I28" s="1617"/>
      <c r="J28" s="1617"/>
    </row>
    <row r="29" spans="1:16" ht="23.25" customHeight="1">
      <c r="A29" s="1533" t="s">
        <v>3005</v>
      </c>
      <c r="B29" s="1530">
        <v>7597417000677</v>
      </c>
      <c r="C29" s="1531" t="s">
        <v>3006</v>
      </c>
      <c r="D29" s="1530">
        <v>12</v>
      </c>
      <c r="E29" s="1623">
        <v>13.56</v>
      </c>
      <c r="F29" s="1623">
        <v>1.1299999999999999</v>
      </c>
      <c r="G29" s="1623">
        <v>13.56</v>
      </c>
      <c r="H29" s="1623">
        <v>1.1299999999999999</v>
      </c>
      <c r="I29" s="1617"/>
      <c r="J29" s="1617"/>
    </row>
    <row r="30" spans="1:16" ht="23.25" customHeight="1">
      <c r="A30" s="1533" t="s">
        <v>3007</v>
      </c>
      <c r="B30" s="1530">
        <v>7597417000653</v>
      </c>
      <c r="C30" s="1531" t="s">
        <v>3008</v>
      </c>
      <c r="D30" s="1530">
        <v>12</v>
      </c>
      <c r="E30" s="1623">
        <v>13.56</v>
      </c>
      <c r="F30" s="1623">
        <v>1.1299999999999999</v>
      </c>
      <c r="G30" s="1623">
        <v>13.56</v>
      </c>
      <c r="H30" s="1623">
        <v>1.1299999999999999</v>
      </c>
      <c r="I30" s="1617"/>
      <c r="J30" s="1617"/>
    </row>
    <row r="31" spans="1:16" ht="23.25" customHeight="1">
      <c r="A31" s="1533" t="s">
        <v>4837</v>
      </c>
      <c r="B31" s="1530">
        <v>7597417000769</v>
      </c>
      <c r="C31" s="1531" t="s">
        <v>4838</v>
      </c>
      <c r="D31" s="1530">
        <v>24</v>
      </c>
      <c r="E31" s="1623">
        <v>13.56</v>
      </c>
      <c r="F31" s="1623">
        <v>0.56999999999999995</v>
      </c>
      <c r="G31" s="1623">
        <v>13.56</v>
      </c>
      <c r="H31" s="1623">
        <v>0.56999999999999995</v>
      </c>
      <c r="I31" s="1617"/>
      <c r="J31" s="1617"/>
    </row>
    <row r="32" spans="1:16" ht="23.25" customHeight="1">
      <c r="A32" s="1533" t="s">
        <v>4839</v>
      </c>
      <c r="B32" s="1530">
        <v>7597417000752</v>
      </c>
      <c r="C32" s="1531" t="s">
        <v>4840</v>
      </c>
      <c r="D32" s="1530">
        <v>12</v>
      </c>
      <c r="E32" s="1623">
        <v>6.78</v>
      </c>
      <c r="F32" s="1623">
        <v>0.56999999999999995</v>
      </c>
      <c r="G32" s="1623">
        <v>6.78</v>
      </c>
      <c r="H32" s="1623">
        <v>0.56999999999999995</v>
      </c>
      <c r="I32" s="1617"/>
      <c r="J32" s="1617"/>
    </row>
    <row r="33" spans="1:10" ht="23.25" customHeight="1">
      <c r="A33" s="1533" t="s">
        <v>4841</v>
      </c>
      <c r="B33" s="1530">
        <v>7597417000776</v>
      </c>
      <c r="C33" s="1531" t="s">
        <v>4842</v>
      </c>
      <c r="D33" s="1530">
        <v>12</v>
      </c>
      <c r="E33" s="1623">
        <v>6.78</v>
      </c>
      <c r="F33" s="1623">
        <v>0.56999999999999995</v>
      </c>
      <c r="G33" s="1623">
        <v>6.78</v>
      </c>
      <c r="H33" s="1623">
        <v>0.56999999999999995</v>
      </c>
      <c r="I33" s="1617"/>
      <c r="J33" s="1617"/>
    </row>
    <row r="34" spans="1:10" ht="23.25" customHeight="1">
      <c r="A34" s="1533" t="s">
        <v>4843</v>
      </c>
      <c r="B34" s="1530">
        <v>7597417000813</v>
      </c>
      <c r="C34" s="1531" t="s">
        <v>4844</v>
      </c>
      <c r="D34" s="1530">
        <v>12</v>
      </c>
      <c r="E34" s="1623">
        <v>6.78</v>
      </c>
      <c r="F34" s="1623">
        <v>0.56999999999999995</v>
      </c>
      <c r="G34" s="1623">
        <v>6.78</v>
      </c>
      <c r="H34" s="1623">
        <v>0.56999999999999995</v>
      </c>
      <c r="I34" s="1617"/>
      <c r="J34" s="1617"/>
    </row>
    <row r="35" spans="1:10" ht="23.25" customHeight="1">
      <c r="A35" s="1625" t="s">
        <v>4845</v>
      </c>
      <c r="B35" s="2377"/>
      <c r="C35" s="2377"/>
      <c r="D35" s="2377"/>
      <c r="E35" s="2377"/>
      <c r="F35" s="2377"/>
      <c r="G35" s="2377"/>
      <c r="H35" s="2377"/>
      <c r="I35" s="1617"/>
      <c r="J35" s="1617"/>
    </row>
    <row r="36" spans="1:10" ht="23.25" customHeight="1">
      <c r="A36" s="1533" t="s">
        <v>3009</v>
      </c>
      <c r="B36" s="1530">
        <v>7597417000097</v>
      </c>
      <c r="C36" s="1531" t="s">
        <v>3010</v>
      </c>
      <c r="D36" s="1530">
        <v>12</v>
      </c>
      <c r="E36" s="1623">
        <v>12.36</v>
      </c>
      <c r="F36" s="1623">
        <v>1.03</v>
      </c>
      <c r="G36" s="1623">
        <v>12.36</v>
      </c>
      <c r="H36" s="1623">
        <v>1.03</v>
      </c>
      <c r="I36" s="1617"/>
      <c r="J36" s="1617"/>
    </row>
    <row r="37" spans="1:10" ht="23.25" customHeight="1">
      <c r="A37" s="1533" t="s">
        <v>3011</v>
      </c>
      <c r="B37" s="1530">
        <v>7597417000073</v>
      </c>
      <c r="C37" s="1531" t="s">
        <v>3012</v>
      </c>
      <c r="D37" s="1530">
        <v>12</v>
      </c>
      <c r="E37" s="1623">
        <v>12.36</v>
      </c>
      <c r="F37" s="1623">
        <v>1.03</v>
      </c>
      <c r="G37" s="1623">
        <v>12.36</v>
      </c>
      <c r="H37" s="1623">
        <v>1.03</v>
      </c>
      <c r="I37" s="1617"/>
      <c r="J37" s="1617"/>
    </row>
    <row r="38" spans="1:10" ht="23.25" customHeight="1">
      <c r="A38" s="1624" t="s">
        <v>4846</v>
      </c>
      <c r="B38" s="2378"/>
      <c r="C38" s="2378"/>
      <c r="D38" s="2378"/>
      <c r="E38" s="2378"/>
      <c r="F38" s="2378"/>
      <c r="G38" s="2378"/>
      <c r="H38" s="2378"/>
      <c r="I38" s="1617"/>
      <c r="J38" s="1617"/>
    </row>
    <row r="39" spans="1:10" ht="23.25" customHeight="1">
      <c r="A39" s="1537" t="s">
        <v>4847</v>
      </c>
      <c r="B39" s="2379"/>
      <c r="C39" s="2379"/>
      <c r="D39" s="2379"/>
      <c r="E39" s="2379"/>
      <c r="F39" s="2379"/>
      <c r="G39" s="2379"/>
      <c r="H39" s="2379"/>
      <c r="I39" s="1617"/>
      <c r="J39" s="1617"/>
    </row>
    <row r="40" spans="1:10" ht="23.25" customHeight="1">
      <c r="A40" s="1538" t="s">
        <v>3013</v>
      </c>
      <c r="B40" s="1539">
        <v>7591473004464</v>
      </c>
      <c r="C40" s="1540" t="s">
        <v>3014</v>
      </c>
      <c r="D40" s="1530">
        <v>1</v>
      </c>
      <c r="E40" s="1541">
        <v>37</v>
      </c>
      <c r="F40" s="1541">
        <v>37</v>
      </c>
      <c r="G40" s="1541">
        <v>37</v>
      </c>
      <c r="H40" s="1541">
        <v>37</v>
      </c>
      <c r="I40" s="1617"/>
      <c r="J40" s="1617"/>
    </row>
    <row r="41" spans="1:10" ht="23.25" customHeight="1">
      <c r="A41" s="1533" t="s">
        <v>3015</v>
      </c>
      <c r="B41" s="1542"/>
      <c r="C41" s="1531" t="s">
        <v>3016</v>
      </c>
      <c r="D41" s="1530">
        <v>1</v>
      </c>
      <c r="E41" s="1533" t="s">
        <v>2971</v>
      </c>
      <c r="F41" s="1533" t="s">
        <v>2971</v>
      </c>
      <c r="G41" s="1533" t="s">
        <v>2971</v>
      </c>
      <c r="H41" s="1533" t="s">
        <v>2971</v>
      </c>
      <c r="I41" s="1617"/>
      <c r="J41" s="1617"/>
    </row>
    <row r="42" spans="1:10" ht="23.25" customHeight="1">
      <c r="A42" s="1533" t="s">
        <v>3017</v>
      </c>
      <c r="B42" s="1542"/>
      <c r="C42" s="1531" t="s">
        <v>3018</v>
      </c>
      <c r="D42" s="1530">
        <v>20</v>
      </c>
      <c r="E42" s="1541">
        <v>17.399999999999999</v>
      </c>
      <c r="F42" s="1541">
        <v>0.87</v>
      </c>
      <c r="G42" s="1541">
        <v>17.399999999999999</v>
      </c>
      <c r="H42" s="1541">
        <v>0.87</v>
      </c>
      <c r="I42" s="1617"/>
      <c r="J42" s="1617"/>
    </row>
    <row r="43" spans="1:10" ht="23.25" customHeight="1">
      <c r="A43" s="1624" t="s">
        <v>4848</v>
      </c>
      <c r="B43" s="2380"/>
      <c r="C43" s="2380"/>
      <c r="D43" s="2380"/>
      <c r="E43" s="2380"/>
      <c r="F43" s="2380"/>
      <c r="G43" s="2380"/>
      <c r="H43" s="2380"/>
      <c r="I43" s="1617"/>
      <c r="J43" s="1617"/>
    </row>
    <row r="44" spans="1:10" ht="23.25" customHeight="1">
      <c r="A44" s="1533" t="s">
        <v>3019</v>
      </c>
      <c r="B44" s="1530">
        <v>7591473004525</v>
      </c>
      <c r="C44" s="1531" t="s">
        <v>3020</v>
      </c>
      <c r="D44" s="1530">
        <v>12</v>
      </c>
      <c r="E44" s="1623">
        <v>90.6</v>
      </c>
      <c r="F44" s="1623">
        <v>7.55</v>
      </c>
      <c r="G44" s="1623">
        <v>105.1</v>
      </c>
      <c r="H44" s="1623">
        <v>8.76</v>
      </c>
      <c r="I44" s="1617"/>
      <c r="J44" s="1617"/>
    </row>
    <row r="45" spans="1:10" ht="23.25" customHeight="1">
      <c r="A45" s="1533" t="s">
        <v>3021</v>
      </c>
      <c r="B45" s="1530">
        <v>7591473004532</v>
      </c>
      <c r="C45" s="1531" t="s">
        <v>3022</v>
      </c>
      <c r="D45" s="1530">
        <v>12</v>
      </c>
      <c r="E45" s="1623">
        <v>129.24</v>
      </c>
      <c r="F45" s="1623">
        <v>10.77</v>
      </c>
      <c r="G45" s="1623">
        <v>149.91999999999999</v>
      </c>
      <c r="H45" s="1623">
        <v>12.49</v>
      </c>
      <c r="I45" s="1617"/>
      <c r="J45" s="1617"/>
    </row>
    <row r="46" spans="1:10" ht="23.25" customHeight="1">
      <c r="A46" s="1625" t="s">
        <v>4849</v>
      </c>
      <c r="B46" s="2377"/>
      <c r="C46" s="2377"/>
      <c r="D46" s="2377"/>
      <c r="E46" s="2377"/>
      <c r="F46" s="2377"/>
      <c r="G46" s="2377"/>
      <c r="H46" s="2377"/>
      <c r="I46" s="1617"/>
      <c r="J46" s="1617"/>
    </row>
    <row r="47" spans="1:10" ht="23.25" customHeight="1">
      <c r="A47" s="1533" t="s">
        <v>3023</v>
      </c>
      <c r="B47" s="1535">
        <v>7798151952332</v>
      </c>
      <c r="C47" s="1531" t="s">
        <v>3024</v>
      </c>
      <c r="D47" s="1530">
        <v>9</v>
      </c>
      <c r="E47" s="1623">
        <v>23.13</v>
      </c>
      <c r="F47" s="1541">
        <v>2.57</v>
      </c>
      <c r="G47" s="1623">
        <v>26.83</v>
      </c>
      <c r="H47" s="1541">
        <v>2.98</v>
      </c>
      <c r="I47" s="1617"/>
      <c r="J47" s="1617"/>
    </row>
    <row r="48" spans="1:10" ht="23.25" customHeight="1">
      <c r="A48" s="1533" t="s">
        <v>3025</v>
      </c>
      <c r="B48" s="1535">
        <v>7798151952332</v>
      </c>
      <c r="C48" s="1531" t="s">
        <v>3026</v>
      </c>
      <c r="D48" s="1530">
        <v>12</v>
      </c>
      <c r="E48" s="1623">
        <v>30.84</v>
      </c>
      <c r="F48" s="1541">
        <v>2.57</v>
      </c>
      <c r="G48" s="1623">
        <v>35.770000000000003</v>
      </c>
      <c r="H48" s="1541">
        <v>2.98</v>
      </c>
      <c r="I48" s="1617"/>
      <c r="J48" s="1617"/>
    </row>
    <row r="49" spans="1:11" ht="23.25" customHeight="1">
      <c r="A49" s="1533" t="s">
        <v>3027</v>
      </c>
      <c r="B49" s="1536" t="s">
        <v>2971</v>
      </c>
      <c r="C49" s="1531" t="s">
        <v>3028</v>
      </c>
      <c r="D49" s="1530">
        <v>360</v>
      </c>
      <c r="E49" s="1623">
        <v>46.8</v>
      </c>
      <c r="F49" s="1541">
        <v>0.13</v>
      </c>
      <c r="G49" s="1623">
        <v>54.29</v>
      </c>
      <c r="H49" s="1541">
        <v>0.15</v>
      </c>
      <c r="I49" s="1617"/>
      <c r="J49" s="1617"/>
    </row>
    <row r="50" spans="1:11" ht="23.25" customHeight="1">
      <c r="A50" s="1533" t="s">
        <v>3029</v>
      </c>
      <c r="B50" s="1536" t="s">
        <v>2971</v>
      </c>
      <c r="C50" s="1531" t="s">
        <v>3030</v>
      </c>
      <c r="D50" s="1530">
        <v>10</v>
      </c>
      <c r="E50" s="1623">
        <v>6.3</v>
      </c>
      <c r="F50" s="1541">
        <v>0.63</v>
      </c>
      <c r="G50" s="1623">
        <v>7.31</v>
      </c>
      <c r="H50" s="1541">
        <v>0.73</v>
      </c>
      <c r="I50" s="1617"/>
      <c r="J50" s="1617"/>
    </row>
    <row r="51" spans="1:11" ht="23.25" customHeight="1">
      <c r="A51" s="1533" t="s">
        <v>3031</v>
      </c>
      <c r="B51" s="1535">
        <v>7798151950260</v>
      </c>
      <c r="C51" s="1531" t="s">
        <v>3032</v>
      </c>
      <c r="D51" s="1530">
        <v>20</v>
      </c>
      <c r="E51" s="1623">
        <v>7.4</v>
      </c>
      <c r="F51" s="1541">
        <v>0.37</v>
      </c>
      <c r="G51" s="1623">
        <v>8.58</v>
      </c>
      <c r="H51" s="1541">
        <v>0.43</v>
      </c>
      <c r="I51" s="1617"/>
      <c r="J51" s="1617"/>
    </row>
    <row r="52" spans="1:11" ht="23.25" customHeight="1">
      <c r="A52" s="1533" t="s">
        <v>3033</v>
      </c>
      <c r="B52" s="1536" t="s">
        <v>2971</v>
      </c>
      <c r="C52" s="1531" t="s">
        <v>3034</v>
      </c>
      <c r="D52" s="1530">
        <v>288</v>
      </c>
      <c r="E52" s="1533" t="s">
        <v>2971</v>
      </c>
      <c r="F52" s="1533" t="s">
        <v>2971</v>
      </c>
      <c r="G52" s="1626" t="s">
        <v>2971</v>
      </c>
      <c r="H52" s="1533" t="s">
        <v>2971</v>
      </c>
      <c r="I52" s="1617"/>
      <c r="J52" s="1617"/>
    </row>
    <row r="53" spans="1:11" ht="23.25" customHeight="1">
      <c r="A53" s="1534" t="s">
        <v>4850</v>
      </c>
      <c r="B53" s="2377"/>
      <c r="C53" s="2377"/>
      <c r="D53" s="2377"/>
      <c r="E53" s="2377"/>
      <c r="F53" s="2377"/>
      <c r="G53" s="2377"/>
      <c r="H53" s="2377"/>
      <c r="I53" s="1617"/>
      <c r="J53" s="1617"/>
    </row>
    <row r="54" spans="1:11" ht="23.25" customHeight="1">
      <c r="A54" s="1532" t="s">
        <v>3035</v>
      </c>
      <c r="B54" s="1530">
        <v>8886467068768</v>
      </c>
      <c r="C54" s="1531" t="s">
        <v>3036</v>
      </c>
      <c r="D54" s="1530">
        <v>6</v>
      </c>
      <c r="E54" s="1623">
        <v>145.86000000000001</v>
      </c>
      <c r="F54" s="1623">
        <v>24.31</v>
      </c>
      <c r="G54" s="1623">
        <v>169.2</v>
      </c>
      <c r="H54" s="1623">
        <v>28.2</v>
      </c>
      <c r="I54" s="1617"/>
      <c r="J54" s="1617"/>
    </row>
    <row r="55" spans="1:11" ht="23.25" customHeight="1">
      <c r="A55" s="1532" t="s">
        <v>3037</v>
      </c>
      <c r="B55" s="1530">
        <v>8886467068751</v>
      </c>
      <c r="C55" s="1531" t="s">
        <v>3038</v>
      </c>
      <c r="D55" s="1530">
        <v>4</v>
      </c>
      <c r="E55" s="1623">
        <v>121.04</v>
      </c>
      <c r="F55" s="1623">
        <v>30.26</v>
      </c>
      <c r="G55" s="1623">
        <v>140.41</v>
      </c>
      <c r="H55" s="1623">
        <v>35.1</v>
      </c>
      <c r="I55" s="1617"/>
      <c r="J55" s="1617"/>
    </row>
    <row r="56" spans="1:11" ht="23.25" customHeight="1">
      <c r="A56" s="1532" t="s">
        <v>3039</v>
      </c>
      <c r="B56" s="1530">
        <v>8886467068744</v>
      </c>
      <c r="C56" s="1531" t="s">
        <v>3040</v>
      </c>
      <c r="D56" s="1530">
        <v>12</v>
      </c>
      <c r="E56" s="1623">
        <v>145.56</v>
      </c>
      <c r="F56" s="1623">
        <v>12.13</v>
      </c>
      <c r="G56" s="1623">
        <v>168.85</v>
      </c>
      <c r="H56" s="1623">
        <v>14.07</v>
      </c>
      <c r="I56" s="1617"/>
      <c r="J56" s="1617"/>
    </row>
    <row r="57" spans="1:11" ht="23.25" customHeight="1">
      <c r="A57" s="1529" t="s">
        <v>4859</v>
      </c>
      <c r="B57" s="2377"/>
      <c r="C57" s="2377"/>
      <c r="D57" s="2377"/>
      <c r="E57" s="2377"/>
      <c r="F57" s="2377"/>
      <c r="G57" s="2377"/>
      <c r="H57" s="2377"/>
      <c r="I57" s="1617"/>
      <c r="J57" s="1617"/>
    </row>
    <row r="58" spans="1:11" ht="23.25" customHeight="1">
      <c r="A58" s="1543" t="s">
        <v>3041</v>
      </c>
      <c r="B58" s="1530">
        <v>18886467052030</v>
      </c>
      <c r="C58" s="1531" t="s">
        <v>3042</v>
      </c>
      <c r="D58" s="1530">
        <v>30</v>
      </c>
      <c r="E58" s="1623">
        <v>9</v>
      </c>
      <c r="F58" s="1623">
        <v>0.3</v>
      </c>
      <c r="G58" s="1623">
        <v>10.44</v>
      </c>
      <c r="H58" s="1623">
        <v>0.35</v>
      </c>
      <c r="I58" s="1617"/>
      <c r="J58" s="1617"/>
    </row>
    <row r="59" spans="1:11" s="404" customFormat="1" ht="23.25" customHeight="1">
      <c r="A59" s="1543" t="s">
        <v>3043</v>
      </c>
      <c r="B59" s="1530">
        <v>18886467052047</v>
      </c>
      <c r="C59" s="1531" t="s">
        <v>3044</v>
      </c>
      <c r="D59" s="1530">
        <v>30</v>
      </c>
      <c r="E59" s="1623">
        <v>9</v>
      </c>
      <c r="F59" s="1623">
        <v>0.3</v>
      </c>
      <c r="G59" s="1623">
        <v>10.44</v>
      </c>
      <c r="H59" s="1623">
        <v>0.35</v>
      </c>
      <c r="I59" s="1617"/>
      <c r="J59" s="1617"/>
      <c r="K59" s="336"/>
    </row>
    <row r="60" spans="1:11" s="404" customFormat="1" ht="23.25" customHeight="1">
      <c r="A60" s="1617"/>
      <c r="B60" s="1617"/>
      <c r="C60" s="1617"/>
      <c r="D60" s="1617"/>
      <c r="E60" s="1617"/>
      <c r="F60" s="1617"/>
      <c r="G60" s="1617"/>
      <c r="H60" s="1617"/>
      <c r="I60" s="1617"/>
      <c r="J60" s="1617"/>
      <c r="K60" s="336"/>
    </row>
    <row r="61" spans="1:11" ht="23.25" customHeight="1">
      <c r="A61" s="1617"/>
      <c r="B61" s="1617"/>
      <c r="C61" s="1617"/>
      <c r="D61" s="1617"/>
      <c r="E61" s="1617"/>
      <c r="F61" s="1617"/>
      <c r="G61" s="1617"/>
      <c r="H61" s="1617"/>
      <c r="I61" s="1617"/>
      <c r="J61" s="1617"/>
    </row>
    <row r="62" spans="1:11" ht="23.25" customHeight="1">
      <c r="B62" s="644"/>
      <c r="C62" s="644"/>
      <c r="D62" s="644"/>
      <c r="E62" s="644"/>
      <c r="F62" s="644"/>
      <c r="G62" s="644"/>
      <c r="H62" s="644"/>
      <c r="I62" s="368"/>
      <c r="J62" s="368"/>
    </row>
    <row r="84" spans="15:17" ht="23.25" customHeight="1">
      <c r="O84" t="e">
        <f t="shared" ref="O84:O115" si="0">+N84/F84</f>
        <v>#DIV/0!</v>
      </c>
      <c r="Q84" t="e">
        <f>+P84/F84</f>
        <v>#DIV/0!</v>
      </c>
    </row>
    <row r="85" spans="15:17" ht="23.25" customHeight="1">
      <c r="O85" s="827" t="e">
        <f t="shared" si="0"/>
        <v>#DIV/0!</v>
      </c>
      <c r="Q85" s="827" t="e">
        <f t="shared" ref="Q85:Q137" si="1">+P85/F85</f>
        <v>#DIV/0!</v>
      </c>
    </row>
    <row r="86" spans="15:17" ht="23.25" customHeight="1">
      <c r="O86" s="827" t="e">
        <f t="shared" si="0"/>
        <v>#DIV/0!</v>
      </c>
      <c r="Q86" s="827" t="e">
        <f t="shared" si="1"/>
        <v>#DIV/0!</v>
      </c>
    </row>
    <row r="87" spans="15:17" ht="23.25" customHeight="1">
      <c r="O87" s="827" t="e">
        <f t="shared" si="0"/>
        <v>#DIV/0!</v>
      </c>
      <c r="Q87" s="827" t="e">
        <f t="shared" si="1"/>
        <v>#DIV/0!</v>
      </c>
    </row>
    <row r="88" spans="15:17" ht="23.25" customHeight="1">
      <c r="O88" s="827" t="e">
        <f t="shared" si="0"/>
        <v>#DIV/0!</v>
      </c>
      <c r="Q88" s="827" t="e">
        <f t="shared" si="1"/>
        <v>#DIV/0!</v>
      </c>
    </row>
    <row r="89" spans="15:17" ht="23.25" customHeight="1">
      <c r="O89" s="827" t="e">
        <f t="shared" si="0"/>
        <v>#DIV/0!</v>
      </c>
      <c r="Q89" s="827" t="e">
        <f t="shared" si="1"/>
        <v>#DIV/0!</v>
      </c>
    </row>
    <row r="90" spans="15:17" ht="23.25" customHeight="1">
      <c r="O90" s="827" t="e">
        <f t="shared" si="0"/>
        <v>#DIV/0!</v>
      </c>
      <c r="Q90" s="827" t="e">
        <f t="shared" si="1"/>
        <v>#DIV/0!</v>
      </c>
    </row>
    <row r="91" spans="15:17" ht="23.25" customHeight="1">
      <c r="O91" s="827" t="e">
        <f t="shared" si="0"/>
        <v>#DIV/0!</v>
      </c>
      <c r="Q91" s="827" t="e">
        <f t="shared" si="1"/>
        <v>#DIV/0!</v>
      </c>
    </row>
    <row r="92" spans="15:17" ht="23.25" customHeight="1">
      <c r="O92" s="827" t="e">
        <f t="shared" si="0"/>
        <v>#DIV/0!</v>
      </c>
      <c r="Q92" s="827" t="e">
        <f t="shared" si="1"/>
        <v>#DIV/0!</v>
      </c>
    </row>
    <row r="93" spans="15:17" ht="23.25" customHeight="1">
      <c r="O93" s="827" t="e">
        <f t="shared" si="0"/>
        <v>#DIV/0!</v>
      </c>
      <c r="Q93" s="827" t="e">
        <f t="shared" si="1"/>
        <v>#DIV/0!</v>
      </c>
    </row>
    <row r="94" spans="15:17" ht="23.25" customHeight="1">
      <c r="O94" s="827" t="e">
        <f t="shared" si="0"/>
        <v>#DIV/0!</v>
      </c>
      <c r="Q94" s="827" t="e">
        <f t="shared" si="1"/>
        <v>#DIV/0!</v>
      </c>
    </row>
    <row r="95" spans="15:17" ht="23.25" customHeight="1">
      <c r="O95" s="827" t="e">
        <f t="shared" si="0"/>
        <v>#DIV/0!</v>
      </c>
      <c r="Q95" s="827" t="e">
        <f t="shared" si="1"/>
        <v>#DIV/0!</v>
      </c>
    </row>
    <row r="96" spans="15:17" ht="23.25" customHeight="1">
      <c r="O96" s="827" t="e">
        <f t="shared" si="0"/>
        <v>#DIV/0!</v>
      </c>
      <c r="Q96" s="827" t="e">
        <f t="shared" si="1"/>
        <v>#DIV/0!</v>
      </c>
    </row>
    <row r="97" spans="15:17" ht="23.25" customHeight="1">
      <c r="O97" s="827" t="e">
        <f t="shared" si="0"/>
        <v>#DIV/0!</v>
      </c>
      <c r="Q97" s="827" t="e">
        <f t="shared" si="1"/>
        <v>#DIV/0!</v>
      </c>
    </row>
    <row r="98" spans="15:17" ht="23.25" customHeight="1">
      <c r="O98" s="827" t="e">
        <f t="shared" si="0"/>
        <v>#DIV/0!</v>
      </c>
      <c r="Q98" s="827" t="e">
        <f t="shared" si="1"/>
        <v>#DIV/0!</v>
      </c>
    </row>
    <row r="99" spans="15:17" ht="23.25" customHeight="1">
      <c r="O99" s="827" t="e">
        <f t="shared" si="0"/>
        <v>#DIV/0!</v>
      </c>
      <c r="Q99" s="827" t="e">
        <f t="shared" si="1"/>
        <v>#DIV/0!</v>
      </c>
    </row>
    <row r="100" spans="15:17" ht="23.25" customHeight="1">
      <c r="O100" s="827" t="e">
        <f t="shared" si="0"/>
        <v>#DIV/0!</v>
      </c>
      <c r="Q100" s="827" t="e">
        <f t="shared" si="1"/>
        <v>#DIV/0!</v>
      </c>
    </row>
    <row r="101" spans="15:17" ht="23.25" customHeight="1">
      <c r="O101" s="827" t="e">
        <f t="shared" si="0"/>
        <v>#DIV/0!</v>
      </c>
      <c r="Q101" s="827" t="e">
        <f t="shared" si="1"/>
        <v>#DIV/0!</v>
      </c>
    </row>
    <row r="102" spans="15:17" ht="23.25" customHeight="1">
      <c r="O102" s="827" t="e">
        <f t="shared" si="0"/>
        <v>#DIV/0!</v>
      </c>
      <c r="Q102" s="827" t="e">
        <f t="shared" si="1"/>
        <v>#DIV/0!</v>
      </c>
    </row>
    <row r="103" spans="15:17" ht="23.25" customHeight="1">
      <c r="O103" s="827" t="e">
        <f t="shared" si="0"/>
        <v>#DIV/0!</v>
      </c>
      <c r="Q103" s="827" t="e">
        <f t="shared" si="1"/>
        <v>#DIV/0!</v>
      </c>
    </row>
    <row r="104" spans="15:17" ht="23.25" customHeight="1">
      <c r="O104" s="827" t="e">
        <f t="shared" si="0"/>
        <v>#DIV/0!</v>
      </c>
      <c r="Q104" s="827" t="e">
        <f t="shared" si="1"/>
        <v>#DIV/0!</v>
      </c>
    </row>
    <row r="105" spans="15:17" ht="23.25" customHeight="1">
      <c r="O105" s="827" t="e">
        <f t="shared" si="0"/>
        <v>#DIV/0!</v>
      </c>
      <c r="Q105" s="827" t="e">
        <f t="shared" si="1"/>
        <v>#DIV/0!</v>
      </c>
    </row>
    <row r="106" spans="15:17" ht="23.25" customHeight="1">
      <c r="O106" s="827" t="e">
        <f t="shared" si="0"/>
        <v>#DIV/0!</v>
      </c>
      <c r="Q106" s="827" t="e">
        <f t="shared" si="1"/>
        <v>#DIV/0!</v>
      </c>
    </row>
    <row r="107" spans="15:17" ht="23.25" customHeight="1">
      <c r="O107" s="827" t="e">
        <f t="shared" si="0"/>
        <v>#DIV/0!</v>
      </c>
      <c r="Q107" s="827" t="e">
        <f t="shared" si="1"/>
        <v>#DIV/0!</v>
      </c>
    </row>
    <row r="108" spans="15:17" ht="23.25" customHeight="1">
      <c r="O108" s="827" t="e">
        <f t="shared" si="0"/>
        <v>#DIV/0!</v>
      </c>
      <c r="Q108" s="827" t="e">
        <f t="shared" si="1"/>
        <v>#DIV/0!</v>
      </c>
    </row>
    <row r="109" spans="15:17" ht="23.25" customHeight="1">
      <c r="O109" s="827" t="e">
        <f t="shared" si="0"/>
        <v>#DIV/0!</v>
      </c>
      <c r="Q109" s="827" t="e">
        <f t="shared" si="1"/>
        <v>#DIV/0!</v>
      </c>
    </row>
    <row r="110" spans="15:17" ht="23.25" customHeight="1">
      <c r="O110" s="827" t="e">
        <f t="shared" si="0"/>
        <v>#DIV/0!</v>
      </c>
      <c r="Q110" s="827" t="e">
        <f t="shared" si="1"/>
        <v>#DIV/0!</v>
      </c>
    </row>
    <row r="111" spans="15:17" ht="23.25" customHeight="1">
      <c r="O111" s="827" t="e">
        <f t="shared" si="0"/>
        <v>#DIV/0!</v>
      </c>
      <c r="Q111" s="827" t="e">
        <f t="shared" si="1"/>
        <v>#DIV/0!</v>
      </c>
    </row>
    <row r="112" spans="15:17" ht="23.25" customHeight="1">
      <c r="O112" s="827" t="e">
        <f t="shared" si="0"/>
        <v>#DIV/0!</v>
      </c>
      <c r="Q112" s="827" t="e">
        <f t="shared" si="1"/>
        <v>#DIV/0!</v>
      </c>
    </row>
    <row r="113" spans="15:17" ht="23.25" customHeight="1">
      <c r="O113" s="827" t="e">
        <f t="shared" si="0"/>
        <v>#DIV/0!</v>
      </c>
      <c r="Q113" s="827" t="e">
        <f t="shared" si="1"/>
        <v>#DIV/0!</v>
      </c>
    </row>
    <row r="114" spans="15:17" ht="23.25" customHeight="1">
      <c r="O114" s="827" t="e">
        <f t="shared" si="0"/>
        <v>#DIV/0!</v>
      </c>
      <c r="Q114" s="827" t="e">
        <f t="shared" si="1"/>
        <v>#DIV/0!</v>
      </c>
    </row>
    <row r="115" spans="15:17" ht="23.25" customHeight="1">
      <c r="O115" s="827" t="e">
        <f t="shared" si="0"/>
        <v>#DIV/0!</v>
      </c>
      <c r="Q115" s="827" t="e">
        <f t="shared" si="1"/>
        <v>#DIV/0!</v>
      </c>
    </row>
    <row r="116" spans="15:17" ht="23.25" customHeight="1">
      <c r="O116" s="827" t="e">
        <f t="shared" ref="O116:O137" si="2">+N116/F116</f>
        <v>#DIV/0!</v>
      </c>
      <c r="Q116" s="827" t="e">
        <f t="shared" si="1"/>
        <v>#DIV/0!</v>
      </c>
    </row>
    <row r="117" spans="15:17" ht="23.25" customHeight="1">
      <c r="O117" s="827" t="e">
        <f t="shared" si="2"/>
        <v>#DIV/0!</v>
      </c>
      <c r="Q117" s="827" t="e">
        <f t="shared" si="1"/>
        <v>#DIV/0!</v>
      </c>
    </row>
    <row r="118" spans="15:17" ht="23.25" customHeight="1">
      <c r="O118" s="827" t="e">
        <f t="shared" si="2"/>
        <v>#DIV/0!</v>
      </c>
      <c r="Q118" s="827" t="e">
        <f t="shared" si="1"/>
        <v>#DIV/0!</v>
      </c>
    </row>
    <row r="119" spans="15:17" ht="23.25" customHeight="1">
      <c r="O119" s="827" t="e">
        <f t="shared" si="2"/>
        <v>#DIV/0!</v>
      </c>
      <c r="Q119" s="827" t="e">
        <f t="shared" si="1"/>
        <v>#DIV/0!</v>
      </c>
    </row>
    <row r="120" spans="15:17" ht="23.25" customHeight="1">
      <c r="O120" s="827" t="e">
        <f t="shared" si="2"/>
        <v>#DIV/0!</v>
      </c>
      <c r="Q120" s="827" t="e">
        <f t="shared" si="1"/>
        <v>#DIV/0!</v>
      </c>
    </row>
    <row r="121" spans="15:17" ht="23.25" customHeight="1">
      <c r="O121" s="827" t="e">
        <f t="shared" si="2"/>
        <v>#DIV/0!</v>
      </c>
      <c r="Q121" s="827" t="e">
        <f t="shared" si="1"/>
        <v>#DIV/0!</v>
      </c>
    </row>
    <row r="122" spans="15:17" ht="23.25" customHeight="1">
      <c r="O122" s="827" t="e">
        <f t="shared" si="2"/>
        <v>#DIV/0!</v>
      </c>
      <c r="Q122" s="827" t="e">
        <f t="shared" si="1"/>
        <v>#DIV/0!</v>
      </c>
    </row>
    <row r="123" spans="15:17" ht="23.25" customHeight="1">
      <c r="O123" s="827" t="e">
        <f t="shared" si="2"/>
        <v>#DIV/0!</v>
      </c>
      <c r="Q123" s="827" t="e">
        <f t="shared" si="1"/>
        <v>#DIV/0!</v>
      </c>
    </row>
    <row r="124" spans="15:17" ht="23.25" customHeight="1">
      <c r="O124" s="827" t="e">
        <f t="shared" si="2"/>
        <v>#DIV/0!</v>
      </c>
      <c r="Q124" s="827" t="e">
        <f t="shared" si="1"/>
        <v>#DIV/0!</v>
      </c>
    </row>
    <row r="125" spans="15:17" ht="23.25" customHeight="1">
      <c r="O125" s="827" t="e">
        <f t="shared" si="2"/>
        <v>#DIV/0!</v>
      </c>
      <c r="Q125" s="827" t="e">
        <f t="shared" si="1"/>
        <v>#DIV/0!</v>
      </c>
    </row>
    <row r="126" spans="15:17" ht="23.25" customHeight="1">
      <c r="O126" s="827" t="e">
        <f t="shared" si="2"/>
        <v>#DIV/0!</v>
      </c>
      <c r="Q126" s="827" t="e">
        <f t="shared" si="1"/>
        <v>#DIV/0!</v>
      </c>
    </row>
    <row r="127" spans="15:17" ht="23.25" customHeight="1">
      <c r="O127" s="827" t="e">
        <f t="shared" si="2"/>
        <v>#DIV/0!</v>
      </c>
      <c r="Q127" s="827" t="e">
        <f t="shared" si="1"/>
        <v>#DIV/0!</v>
      </c>
    </row>
    <row r="128" spans="15:17" ht="23.25" customHeight="1">
      <c r="O128" s="827" t="e">
        <f t="shared" si="2"/>
        <v>#DIV/0!</v>
      </c>
      <c r="Q128" s="827" t="e">
        <f t="shared" si="1"/>
        <v>#DIV/0!</v>
      </c>
    </row>
    <row r="129" spans="3:17" ht="23.25" customHeight="1">
      <c r="O129" s="827" t="e">
        <f t="shared" si="2"/>
        <v>#DIV/0!</v>
      </c>
      <c r="Q129" s="827" t="e">
        <f t="shared" si="1"/>
        <v>#DIV/0!</v>
      </c>
    </row>
    <row r="130" spans="3:17" ht="23.25" customHeight="1">
      <c r="O130" s="827" t="e">
        <f t="shared" si="2"/>
        <v>#DIV/0!</v>
      </c>
      <c r="Q130" s="827" t="e">
        <f t="shared" si="1"/>
        <v>#DIV/0!</v>
      </c>
    </row>
    <row r="131" spans="3:17" ht="23.25" customHeight="1">
      <c r="O131" s="827" t="e">
        <f t="shared" si="2"/>
        <v>#DIV/0!</v>
      </c>
      <c r="Q131" s="827" t="e">
        <f t="shared" si="1"/>
        <v>#DIV/0!</v>
      </c>
    </row>
    <row r="132" spans="3:17" ht="23.25" customHeight="1">
      <c r="O132" s="827" t="e">
        <f t="shared" si="2"/>
        <v>#DIV/0!</v>
      </c>
      <c r="Q132" s="827" t="e">
        <f t="shared" si="1"/>
        <v>#DIV/0!</v>
      </c>
    </row>
    <row r="133" spans="3:17" ht="23.25" customHeight="1">
      <c r="O133" s="827" t="e">
        <f t="shared" si="2"/>
        <v>#DIV/0!</v>
      </c>
      <c r="Q133" s="827" t="e">
        <f t="shared" si="1"/>
        <v>#DIV/0!</v>
      </c>
    </row>
    <row r="134" spans="3:17" ht="23.25" customHeight="1">
      <c r="O134" s="827" t="e">
        <f t="shared" si="2"/>
        <v>#DIV/0!</v>
      </c>
      <c r="Q134" s="827" t="e">
        <f t="shared" si="1"/>
        <v>#DIV/0!</v>
      </c>
    </row>
    <row r="135" spans="3:17" ht="23.25" customHeight="1">
      <c r="O135" s="827" t="e">
        <f t="shared" si="2"/>
        <v>#DIV/0!</v>
      </c>
      <c r="Q135" s="827" t="e">
        <f t="shared" si="1"/>
        <v>#DIV/0!</v>
      </c>
    </row>
    <row r="136" spans="3:17" ht="23.25" customHeight="1">
      <c r="O136" s="827" t="e">
        <f t="shared" si="2"/>
        <v>#DIV/0!</v>
      </c>
      <c r="Q136" s="827" t="e">
        <f t="shared" si="1"/>
        <v>#DIV/0!</v>
      </c>
    </row>
    <row r="137" spans="3:17" ht="23.25" customHeight="1">
      <c r="O137" s="827" t="e">
        <f t="shared" si="2"/>
        <v>#DIV/0!</v>
      </c>
      <c r="Q137" s="827" t="e">
        <f t="shared" si="1"/>
        <v>#DIV/0!</v>
      </c>
    </row>
    <row r="138" spans="3:17" ht="23.25" customHeight="1">
      <c r="C138" s="693"/>
      <c r="E138"/>
      <c r="F138" s="404"/>
      <c r="I138" s="357"/>
      <c r="O138" s="827" t="e">
        <f t="shared" ref="O138:O169" si="3">+N138/G138</f>
        <v>#DIV/0!</v>
      </c>
      <c r="Q138" s="827" t="e">
        <f t="shared" ref="Q138:Q169" si="4">+P138/G138</f>
        <v>#DIV/0!</v>
      </c>
    </row>
    <row r="139" spans="3:17" ht="23.25" customHeight="1">
      <c r="C139" s="693"/>
      <c r="E139"/>
      <c r="F139" s="404"/>
      <c r="I139" s="357"/>
      <c r="O139" s="827" t="e">
        <f t="shared" si="3"/>
        <v>#DIV/0!</v>
      </c>
      <c r="Q139" s="827" t="e">
        <f t="shared" si="4"/>
        <v>#DIV/0!</v>
      </c>
    </row>
    <row r="140" spans="3:17" ht="23.25" customHeight="1">
      <c r="C140" s="693"/>
      <c r="E140"/>
      <c r="F140" s="404"/>
      <c r="I140" s="357"/>
      <c r="O140" s="827" t="e">
        <f t="shared" si="3"/>
        <v>#DIV/0!</v>
      </c>
      <c r="Q140" s="827" t="e">
        <f t="shared" si="4"/>
        <v>#DIV/0!</v>
      </c>
    </row>
    <row r="141" spans="3:17" ht="23.25" customHeight="1">
      <c r="C141" s="693"/>
      <c r="E141"/>
      <c r="F141" s="404"/>
      <c r="I141" s="357"/>
      <c r="O141" s="827" t="e">
        <f t="shared" si="3"/>
        <v>#DIV/0!</v>
      </c>
      <c r="Q141" s="827" t="e">
        <f t="shared" si="4"/>
        <v>#DIV/0!</v>
      </c>
    </row>
    <row r="142" spans="3:17" ht="23.25" customHeight="1">
      <c r="C142" s="693"/>
      <c r="E142"/>
      <c r="F142" s="404"/>
      <c r="I142" s="357"/>
      <c r="O142" s="827" t="e">
        <f t="shared" si="3"/>
        <v>#DIV/0!</v>
      </c>
      <c r="Q142" s="827" t="e">
        <f t="shared" si="4"/>
        <v>#DIV/0!</v>
      </c>
    </row>
    <row r="143" spans="3:17" ht="23.25" customHeight="1">
      <c r="C143" s="693"/>
      <c r="E143"/>
      <c r="F143" s="404"/>
      <c r="I143" s="357"/>
      <c r="O143" s="827" t="e">
        <f t="shared" si="3"/>
        <v>#DIV/0!</v>
      </c>
      <c r="Q143" s="827" t="e">
        <f t="shared" si="4"/>
        <v>#DIV/0!</v>
      </c>
    </row>
    <row r="144" spans="3:17" ht="23.25" customHeight="1">
      <c r="C144" s="693"/>
      <c r="E144"/>
      <c r="F144" s="404"/>
      <c r="I144" s="357"/>
      <c r="O144" s="827" t="e">
        <f t="shared" si="3"/>
        <v>#DIV/0!</v>
      </c>
      <c r="Q144" s="827" t="e">
        <f t="shared" si="4"/>
        <v>#DIV/0!</v>
      </c>
    </row>
    <row r="145" spans="3:17" ht="23.25" customHeight="1">
      <c r="C145" s="693"/>
      <c r="E145"/>
      <c r="F145" s="404"/>
      <c r="I145" s="357"/>
      <c r="O145" s="827" t="e">
        <f t="shared" si="3"/>
        <v>#DIV/0!</v>
      </c>
      <c r="Q145" s="827" t="e">
        <f t="shared" si="4"/>
        <v>#DIV/0!</v>
      </c>
    </row>
    <row r="146" spans="3:17" ht="23.25" customHeight="1">
      <c r="C146" s="693"/>
      <c r="E146"/>
      <c r="F146" s="404"/>
      <c r="I146" s="357"/>
      <c r="O146" s="827" t="e">
        <f t="shared" si="3"/>
        <v>#DIV/0!</v>
      </c>
      <c r="Q146" s="827" t="e">
        <f t="shared" si="4"/>
        <v>#DIV/0!</v>
      </c>
    </row>
    <row r="147" spans="3:17" ht="23.25" customHeight="1">
      <c r="C147" s="693"/>
      <c r="E147"/>
      <c r="F147" s="404"/>
      <c r="I147" s="357"/>
      <c r="O147" s="827" t="e">
        <f t="shared" si="3"/>
        <v>#DIV/0!</v>
      </c>
      <c r="Q147" s="827" t="e">
        <f t="shared" si="4"/>
        <v>#DIV/0!</v>
      </c>
    </row>
    <row r="148" spans="3:17" ht="23.25" customHeight="1">
      <c r="C148" s="693"/>
      <c r="E148"/>
      <c r="F148" s="404"/>
      <c r="I148" s="357"/>
      <c r="O148" s="827" t="e">
        <f t="shared" si="3"/>
        <v>#DIV/0!</v>
      </c>
      <c r="Q148" s="827" t="e">
        <f t="shared" si="4"/>
        <v>#DIV/0!</v>
      </c>
    </row>
    <row r="149" spans="3:17" ht="23.25" customHeight="1">
      <c r="C149" s="693"/>
      <c r="E149"/>
      <c r="F149" s="404"/>
      <c r="I149" s="357"/>
      <c r="O149" s="827" t="e">
        <f t="shared" si="3"/>
        <v>#DIV/0!</v>
      </c>
      <c r="Q149" s="827" t="e">
        <f t="shared" si="4"/>
        <v>#DIV/0!</v>
      </c>
    </row>
    <row r="150" spans="3:17" ht="23.25" customHeight="1">
      <c r="C150" s="693"/>
      <c r="E150"/>
      <c r="F150" s="404"/>
      <c r="I150" s="357"/>
      <c r="O150" s="827" t="e">
        <f t="shared" si="3"/>
        <v>#DIV/0!</v>
      </c>
      <c r="Q150" s="827" t="e">
        <f t="shared" si="4"/>
        <v>#DIV/0!</v>
      </c>
    </row>
    <row r="151" spans="3:17" ht="23.25" customHeight="1">
      <c r="C151" s="693"/>
      <c r="E151"/>
      <c r="F151" s="404"/>
      <c r="I151" s="357"/>
      <c r="O151" s="827" t="e">
        <f t="shared" si="3"/>
        <v>#DIV/0!</v>
      </c>
      <c r="Q151" s="827" t="e">
        <f t="shared" si="4"/>
        <v>#DIV/0!</v>
      </c>
    </row>
    <row r="152" spans="3:17" ht="23.25" customHeight="1">
      <c r="C152" s="693"/>
      <c r="E152"/>
      <c r="F152" s="404"/>
      <c r="I152" s="357"/>
      <c r="O152" s="827" t="e">
        <f t="shared" si="3"/>
        <v>#DIV/0!</v>
      </c>
      <c r="Q152" s="827" t="e">
        <f t="shared" si="4"/>
        <v>#DIV/0!</v>
      </c>
    </row>
    <row r="153" spans="3:17" ht="23.25" customHeight="1">
      <c r="C153" s="693"/>
      <c r="E153"/>
      <c r="F153" s="404"/>
      <c r="I153" s="357"/>
      <c r="O153" s="827" t="e">
        <f t="shared" si="3"/>
        <v>#DIV/0!</v>
      </c>
      <c r="Q153" s="827" t="e">
        <f t="shared" si="4"/>
        <v>#DIV/0!</v>
      </c>
    </row>
    <row r="154" spans="3:17" ht="23.25" customHeight="1">
      <c r="C154" s="693"/>
      <c r="E154"/>
      <c r="F154" s="404"/>
      <c r="I154" s="357"/>
      <c r="O154" s="827" t="e">
        <f t="shared" si="3"/>
        <v>#DIV/0!</v>
      </c>
      <c r="Q154" s="827" t="e">
        <f t="shared" si="4"/>
        <v>#DIV/0!</v>
      </c>
    </row>
    <row r="155" spans="3:17" ht="23.25" customHeight="1">
      <c r="C155" s="693"/>
      <c r="E155"/>
      <c r="F155" s="404"/>
      <c r="I155" s="357"/>
      <c r="O155" s="827" t="e">
        <f t="shared" si="3"/>
        <v>#DIV/0!</v>
      </c>
      <c r="Q155" s="827" t="e">
        <f t="shared" si="4"/>
        <v>#DIV/0!</v>
      </c>
    </row>
    <row r="156" spans="3:17" ht="23.25" customHeight="1">
      <c r="C156" s="693"/>
      <c r="E156"/>
      <c r="F156" s="404"/>
      <c r="I156" s="357"/>
      <c r="O156" s="827" t="e">
        <f t="shared" si="3"/>
        <v>#DIV/0!</v>
      </c>
      <c r="Q156" s="827" t="e">
        <f t="shared" si="4"/>
        <v>#DIV/0!</v>
      </c>
    </row>
    <row r="157" spans="3:17" ht="23.25" customHeight="1">
      <c r="C157" s="693"/>
      <c r="E157"/>
      <c r="F157" s="404"/>
      <c r="I157" s="357"/>
      <c r="O157" s="827" t="e">
        <f t="shared" si="3"/>
        <v>#DIV/0!</v>
      </c>
      <c r="Q157" s="827" t="e">
        <f t="shared" si="4"/>
        <v>#DIV/0!</v>
      </c>
    </row>
    <row r="158" spans="3:17" ht="23.25" customHeight="1">
      <c r="C158" s="693"/>
      <c r="E158"/>
      <c r="F158" s="404"/>
      <c r="I158" s="357"/>
      <c r="O158" s="827" t="e">
        <f t="shared" si="3"/>
        <v>#DIV/0!</v>
      </c>
      <c r="Q158" s="827" t="e">
        <f t="shared" si="4"/>
        <v>#DIV/0!</v>
      </c>
    </row>
    <row r="159" spans="3:17" ht="23.25" customHeight="1">
      <c r="C159" s="693"/>
      <c r="E159"/>
      <c r="F159" s="404"/>
      <c r="I159" s="357"/>
      <c r="O159" s="827" t="e">
        <f t="shared" si="3"/>
        <v>#DIV/0!</v>
      </c>
      <c r="Q159" s="827" t="e">
        <f t="shared" si="4"/>
        <v>#DIV/0!</v>
      </c>
    </row>
    <row r="160" spans="3:17" ht="23.25" customHeight="1">
      <c r="C160" s="693"/>
      <c r="E160"/>
      <c r="F160" s="404"/>
      <c r="I160" s="357"/>
      <c r="O160" s="827" t="e">
        <f t="shared" si="3"/>
        <v>#DIV/0!</v>
      </c>
      <c r="Q160" s="827" t="e">
        <f t="shared" si="4"/>
        <v>#DIV/0!</v>
      </c>
    </row>
    <row r="161" spans="3:17" ht="23.25" customHeight="1">
      <c r="C161" s="693"/>
      <c r="E161"/>
      <c r="F161" s="404"/>
      <c r="I161" s="357"/>
      <c r="O161" s="827" t="e">
        <f t="shared" si="3"/>
        <v>#DIV/0!</v>
      </c>
      <c r="Q161" s="827" t="e">
        <f t="shared" si="4"/>
        <v>#DIV/0!</v>
      </c>
    </row>
    <row r="162" spans="3:17" ht="23.25" customHeight="1">
      <c r="C162" s="693"/>
      <c r="E162"/>
      <c r="F162" s="404"/>
      <c r="I162" s="357"/>
      <c r="O162" s="827" t="e">
        <f t="shared" si="3"/>
        <v>#DIV/0!</v>
      </c>
      <c r="Q162" s="827" t="e">
        <f t="shared" si="4"/>
        <v>#DIV/0!</v>
      </c>
    </row>
    <row r="163" spans="3:17" ht="23.25" customHeight="1">
      <c r="C163" s="693"/>
      <c r="E163"/>
      <c r="F163" s="404"/>
      <c r="I163" s="357"/>
      <c r="O163" s="827" t="e">
        <f t="shared" si="3"/>
        <v>#DIV/0!</v>
      </c>
      <c r="Q163" s="827" t="e">
        <f t="shared" si="4"/>
        <v>#DIV/0!</v>
      </c>
    </row>
    <row r="164" spans="3:17" ht="23.25" customHeight="1">
      <c r="C164" s="693"/>
      <c r="E164"/>
      <c r="F164" s="404"/>
      <c r="I164" s="357"/>
      <c r="O164" s="827" t="e">
        <f t="shared" si="3"/>
        <v>#DIV/0!</v>
      </c>
      <c r="Q164" s="827" t="e">
        <f t="shared" si="4"/>
        <v>#DIV/0!</v>
      </c>
    </row>
    <row r="165" spans="3:17" ht="23.25" customHeight="1">
      <c r="C165" s="693"/>
      <c r="E165"/>
      <c r="F165" s="404"/>
      <c r="I165" s="357"/>
      <c r="O165" s="827" t="e">
        <f t="shared" si="3"/>
        <v>#DIV/0!</v>
      </c>
      <c r="Q165" s="827" t="e">
        <f t="shared" si="4"/>
        <v>#DIV/0!</v>
      </c>
    </row>
    <row r="166" spans="3:17" ht="23.25" customHeight="1">
      <c r="C166" s="693"/>
      <c r="E166"/>
      <c r="F166" s="404"/>
      <c r="I166" s="357"/>
      <c r="O166" s="827" t="e">
        <f t="shared" si="3"/>
        <v>#DIV/0!</v>
      </c>
      <c r="Q166" s="827" t="e">
        <f t="shared" si="4"/>
        <v>#DIV/0!</v>
      </c>
    </row>
    <row r="167" spans="3:17" ht="23.25" customHeight="1">
      <c r="C167" s="693"/>
      <c r="E167"/>
      <c r="F167" s="404"/>
      <c r="I167" s="357"/>
      <c r="O167" s="827" t="e">
        <f t="shared" si="3"/>
        <v>#DIV/0!</v>
      </c>
      <c r="Q167" s="827" t="e">
        <f t="shared" si="4"/>
        <v>#DIV/0!</v>
      </c>
    </row>
    <row r="168" spans="3:17" ht="23.25" customHeight="1">
      <c r="C168" s="693"/>
      <c r="E168"/>
      <c r="F168" s="404"/>
      <c r="I168" s="357"/>
      <c r="O168" s="827" t="e">
        <f t="shared" si="3"/>
        <v>#DIV/0!</v>
      </c>
      <c r="Q168" s="827" t="e">
        <f t="shared" si="4"/>
        <v>#DIV/0!</v>
      </c>
    </row>
    <row r="169" spans="3:17" ht="23.25" customHeight="1">
      <c r="C169" s="693"/>
      <c r="E169"/>
      <c r="F169" s="404"/>
      <c r="I169" s="357"/>
      <c r="O169" s="827" t="e">
        <f t="shared" si="3"/>
        <v>#DIV/0!</v>
      </c>
      <c r="Q169" s="827" t="e">
        <f t="shared" si="4"/>
        <v>#DIV/0!</v>
      </c>
    </row>
    <row r="170" spans="3:17" ht="23.25" customHeight="1">
      <c r="C170" s="693"/>
      <c r="E170"/>
      <c r="F170" s="404"/>
      <c r="I170" s="357"/>
      <c r="O170" s="827" t="e">
        <f t="shared" ref="O170:O201" si="5">+N170/G170</f>
        <v>#DIV/0!</v>
      </c>
      <c r="Q170" s="827" t="e">
        <f t="shared" ref="Q170:Q201" si="6">+P170/G170</f>
        <v>#DIV/0!</v>
      </c>
    </row>
    <row r="171" spans="3:17" ht="23.25" customHeight="1">
      <c r="C171" s="693"/>
      <c r="E171"/>
      <c r="F171" s="404"/>
      <c r="I171" s="357"/>
      <c r="O171" s="827" t="e">
        <f t="shared" si="5"/>
        <v>#DIV/0!</v>
      </c>
      <c r="Q171" s="827" t="e">
        <f t="shared" si="6"/>
        <v>#DIV/0!</v>
      </c>
    </row>
    <row r="172" spans="3:17" ht="23.25" customHeight="1">
      <c r="C172" s="693"/>
      <c r="E172"/>
      <c r="F172" s="404"/>
      <c r="I172" s="357"/>
      <c r="O172" s="827" t="e">
        <f t="shared" si="5"/>
        <v>#DIV/0!</v>
      </c>
      <c r="Q172" s="827" t="e">
        <f t="shared" si="6"/>
        <v>#DIV/0!</v>
      </c>
    </row>
    <row r="173" spans="3:17" ht="23.25" customHeight="1">
      <c r="C173" s="693"/>
      <c r="E173"/>
      <c r="F173" s="404"/>
      <c r="I173" s="357"/>
      <c r="O173" s="827" t="e">
        <f t="shared" si="5"/>
        <v>#DIV/0!</v>
      </c>
      <c r="Q173" s="827" t="e">
        <f t="shared" si="6"/>
        <v>#DIV/0!</v>
      </c>
    </row>
    <row r="174" spans="3:17" ht="23.25" customHeight="1">
      <c r="C174" s="693"/>
      <c r="E174"/>
      <c r="F174" s="404"/>
      <c r="I174" s="357"/>
      <c r="O174" s="827" t="e">
        <f t="shared" si="5"/>
        <v>#DIV/0!</v>
      </c>
      <c r="Q174" s="827" t="e">
        <f t="shared" si="6"/>
        <v>#DIV/0!</v>
      </c>
    </row>
    <row r="175" spans="3:17" ht="23.25" customHeight="1">
      <c r="C175" s="693"/>
      <c r="E175"/>
      <c r="F175" s="404"/>
      <c r="I175" s="357"/>
      <c r="O175" s="827" t="e">
        <f t="shared" si="5"/>
        <v>#DIV/0!</v>
      </c>
      <c r="Q175" s="827" t="e">
        <f t="shared" si="6"/>
        <v>#DIV/0!</v>
      </c>
    </row>
    <row r="176" spans="3:17" ht="23.25" customHeight="1">
      <c r="C176" s="693"/>
      <c r="E176"/>
      <c r="F176" s="404"/>
      <c r="I176" s="357"/>
      <c r="O176" s="827" t="e">
        <f t="shared" si="5"/>
        <v>#DIV/0!</v>
      </c>
      <c r="Q176" s="827" t="e">
        <f t="shared" si="6"/>
        <v>#DIV/0!</v>
      </c>
    </row>
    <row r="177" spans="3:17" ht="23.25" customHeight="1">
      <c r="C177" s="693"/>
      <c r="E177"/>
      <c r="F177" s="404"/>
      <c r="I177" s="357"/>
      <c r="O177" s="827" t="e">
        <f t="shared" si="5"/>
        <v>#DIV/0!</v>
      </c>
      <c r="Q177" s="827" t="e">
        <f t="shared" si="6"/>
        <v>#DIV/0!</v>
      </c>
    </row>
    <row r="178" spans="3:17" ht="23.25" customHeight="1">
      <c r="C178" s="693"/>
      <c r="E178"/>
      <c r="F178" s="404"/>
      <c r="I178" s="357"/>
      <c r="O178" s="827" t="e">
        <f t="shared" si="5"/>
        <v>#DIV/0!</v>
      </c>
      <c r="Q178" s="827" t="e">
        <f t="shared" si="6"/>
        <v>#DIV/0!</v>
      </c>
    </row>
    <row r="179" spans="3:17" ht="23.25" customHeight="1">
      <c r="C179" s="693"/>
      <c r="E179"/>
      <c r="F179" s="404"/>
      <c r="I179" s="357"/>
      <c r="O179" s="827" t="e">
        <f t="shared" si="5"/>
        <v>#DIV/0!</v>
      </c>
      <c r="Q179" s="827" t="e">
        <f t="shared" si="6"/>
        <v>#DIV/0!</v>
      </c>
    </row>
    <row r="180" spans="3:17" ht="23.25" customHeight="1">
      <c r="C180" s="693"/>
      <c r="E180"/>
      <c r="F180" s="404"/>
      <c r="I180" s="357"/>
      <c r="O180" s="827" t="e">
        <f t="shared" si="5"/>
        <v>#DIV/0!</v>
      </c>
      <c r="Q180" s="827" t="e">
        <f t="shared" si="6"/>
        <v>#DIV/0!</v>
      </c>
    </row>
    <row r="181" spans="3:17" ht="23.25" customHeight="1">
      <c r="C181" s="693"/>
      <c r="E181"/>
      <c r="F181" s="404"/>
      <c r="I181" s="357"/>
      <c r="O181" s="827" t="e">
        <f t="shared" si="5"/>
        <v>#DIV/0!</v>
      </c>
      <c r="Q181" s="827" t="e">
        <f t="shared" si="6"/>
        <v>#DIV/0!</v>
      </c>
    </row>
    <row r="182" spans="3:17" ht="23.25" customHeight="1">
      <c r="C182" s="693"/>
      <c r="E182"/>
      <c r="F182" s="404"/>
      <c r="I182" s="357"/>
      <c r="O182" s="827" t="e">
        <f t="shared" si="5"/>
        <v>#DIV/0!</v>
      </c>
      <c r="Q182" s="827" t="e">
        <f t="shared" si="6"/>
        <v>#DIV/0!</v>
      </c>
    </row>
    <row r="183" spans="3:17" ht="23.25" customHeight="1">
      <c r="C183" s="693"/>
      <c r="E183"/>
      <c r="F183" s="404"/>
      <c r="I183" s="357"/>
      <c r="O183" s="827" t="e">
        <f t="shared" si="5"/>
        <v>#DIV/0!</v>
      </c>
      <c r="Q183" s="827" t="e">
        <f t="shared" si="6"/>
        <v>#DIV/0!</v>
      </c>
    </row>
    <row r="184" spans="3:17" ht="23.25" customHeight="1">
      <c r="C184" s="693"/>
      <c r="E184"/>
      <c r="F184" s="404"/>
      <c r="I184" s="357"/>
      <c r="O184" s="827" t="e">
        <f t="shared" si="5"/>
        <v>#DIV/0!</v>
      </c>
      <c r="Q184" s="827" t="e">
        <f t="shared" si="6"/>
        <v>#DIV/0!</v>
      </c>
    </row>
    <row r="185" spans="3:17" ht="23.25" customHeight="1">
      <c r="C185" s="693"/>
      <c r="E185"/>
      <c r="F185" s="404"/>
      <c r="I185" s="357"/>
      <c r="O185" s="827" t="e">
        <f t="shared" si="5"/>
        <v>#DIV/0!</v>
      </c>
      <c r="Q185" s="827" t="e">
        <f t="shared" si="6"/>
        <v>#DIV/0!</v>
      </c>
    </row>
    <row r="186" spans="3:17" ht="23.25" customHeight="1">
      <c r="C186" s="693"/>
      <c r="E186"/>
      <c r="F186" s="404"/>
      <c r="I186" s="357"/>
      <c r="O186" s="827" t="e">
        <f t="shared" si="5"/>
        <v>#DIV/0!</v>
      </c>
      <c r="Q186" s="827" t="e">
        <f t="shared" si="6"/>
        <v>#DIV/0!</v>
      </c>
    </row>
    <row r="187" spans="3:17" ht="23.25" customHeight="1">
      <c r="C187" s="693"/>
      <c r="E187"/>
      <c r="F187" s="404"/>
      <c r="I187" s="357"/>
      <c r="O187" s="827" t="e">
        <f t="shared" si="5"/>
        <v>#DIV/0!</v>
      </c>
      <c r="Q187" s="827" t="e">
        <f t="shared" si="6"/>
        <v>#DIV/0!</v>
      </c>
    </row>
    <row r="188" spans="3:17" ht="23.25" customHeight="1">
      <c r="C188" s="693"/>
      <c r="E188"/>
      <c r="F188" s="404"/>
      <c r="I188" s="357"/>
      <c r="O188" s="827" t="e">
        <f t="shared" si="5"/>
        <v>#DIV/0!</v>
      </c>
      <c r="Q188" s="827" t="e">
        <f t="shared" si="6"/>
        <v>#DIV/0!</v>
      </c>
    </row>
    <row r="189" spans="3:17" ht="23.25" customHeight="1">
      <c r="C189" s="693"/>
      <c r="E189"/>
      <c r="F189" s="404"/>
      <c r="I189" s="357"/>
      <c r="O189" s="827" t="e">
        <f t="shared" si="5"/>
        <v>#DIV/0!</v>
      </c>
      <c r="Q189" s="827" t="e">
        <f t="shared" si="6"/>
        <v>#DIV/0!</v>
      </c>
    </row>
    <row r="190" spans="3:17" ht="23.25" customHeight="1">
      <c r="C190" s="693"/>
      <c r="E190"/>
      <c r="F190" s="404"/>
      <c r="I190" s="357"/>
      <c r="O190" s="827" t="e">
        <f t="shared" si="5"/>
        <v>#DIV/0!</v>
      </c>
      <c r="Q190" s="827" t="e">
        <f t="shared" si="6"/>
        <v>#DIV/0!</v>
      </c>
    </row>
    <row r="191" spans="3:17" ht="23.25" customHeight="1">
      <c r="C191" s="693"/>
      <c r="E191"/>
      <c r="F191" s="404"/>
      <c r="I191" s="357"/>
      <c r="O191" s="827" t="e">
        <f t="shared" si="5"/>
        <v>#DIV/0!</v>
      </c>
      <c r="Q191" s="827" t="e">
        <f t="shared" si="6"/>
        <v>#DIV/0!</v>
      </c>
    </row>
    <row r="192" spans="3:17" ht="23.25" customHeight="1">
      <c r="C192" s="693"/>
      <c r="E192"/>
      <c r="F192" s="404"/>
      <c r="I192" s="357"/>
      <c r="O192" s="827" t="e">
        <f t="shared" si="5"/>
        <v>#DIV/0!</v>
      </c>
      <c r="Q192" s="827" t="e">
        <f t="shared" si="6"/>
        <v>#DIV/0!</v>
      </c>
    </row>
    <row r="193" spans="3:17" ht="23.25" customHeight="1">
      <c r="C193" s="693"/>
      <c r="E193"/>
      <c r="F193" s="404"/>
      <c r="I193" s="357"/>
      <c r="O193" s="827" t="e">
        <f t="shared" si="5"/>
        <v>#DIV/0!</v>
      </c>
      <c r="Q193" s="827" t="e">
        <f t="shared" si="6"/>
        <v>#DIV/0!</v>
      </c>
    </row>
    <row r="194" spans="3:17" ht="23.25" customHeight="1">
      <c r="C194" s="693"/>
      <c r="E194"/>
      <c r="F194" s="404"/>
      <c r="I194" s="357"/>
      <c r="O194" s="827" t="e">
        <f t="shared" si="5"/>
        <v>#DIV/0!</v>
      </c>
      <c r="Q194" s="827" t="e">
        <f t="shared" si="6"/>
        <v>#DIV/0!</v>
      </c>
    </row>
    <row r="195" spans="3:17" ht="23.25" customHeight="1">
      <c r="C195" s="693"/>
      <c r="E195"/>
      <c r="F195" s="404"/>
      <c r="I195" s="357"/>
      <c r="O195" s="827" t="e">
        <f t="shared" si="5"/>
        <v>#DIV/0!</v>
      </c>
      <c r="Q195" s="827" t="e">
        <f t="shared" si="6"/>
        <v>#DIV/0!</v>
      </c>
    </row>
    <row r="196" spans="3:17" ht="23.25" customHeight="1">
      <c r="C196" s="693"/>
      <c r="E196"/>
      <c r="F196" s="404"/>
      <c r="I196" s="357"/>
      <c r="O196" s="827" t="e">
        <f t="shared" si="5"/>
        <v>#DIV/0!</v>
      </c>
      <c r="Q196" s="827" t="e">
        <f t="shared" si="6"/>
        <v>#DIV/0!</v>
      </c>
    </row>
    <row r="197" spans="3:17" ht="23.25" customHeight="1">
      <c r="C197" s="693"/>
      <c r="E197"/>
      <c r="F197" s="404"/>
      <c r="I197" s="357"/>
      <c r="O197" s="827" t="e">
        <f t="shared" si="5"/>
        <v>#DIV/0!</v>
      </c>
      <c r="Q197" s="827" t="e">
        <f t="shared" si="6"/>
        <v>#DIV/0!</v>
      </c>
    </row>
    <row r="198" spans="3:17" ht="23.25" customHeight="1">
      <c r="C198" s="693"/>
      <c r="E198"/>
      <c r="F198" s="404"/>
      <c r="I198" s="357"/>
      <c r="O198" s="827" t="e">
        <f t="shared" si="5"/>
        <v>#DIV/0!</v>
      </c>
      <c r="Q198" s="827" t="e">
        <f t="shared" si="6"/>
        <v>#DIV/0!</v>
      </c>
    </row>
    <row r="199" spans="3:17" ht="23.25" customHeight="1">
      <c r="C199" s="693"/>
      <c r="E199"/>
      <c r="F199" s="404"/>
      <c r="I199" s="357"/>
      <c r="O199" s="827" t="e">
        <f t="shared" si="5"/>
        <v>#DIV/0!</v>
      </c>
      <c r="Q199" s="827" t="e">
        <f t="shared" si="6"/>
        <v>#DIV/0!</v>
      </c>
    </row>
    <row r="200" spans="3:17" ht="23.25" customHeight="1">
      <c r="C200" s="693"/>
      <c r="E200"/>
      <c r="F200" s="404"/>
      <c r="I200" s="357"/>
      <c r="O200" s="827" t="e">
        <f t="shared" si="5"/>
        <v>#DIV/0!</v>
      </c>
      <c r="Q200" s="827" t="e">
        <f t="shared" si="6"/>
        <v>#DIV/0!</v>
      </c>
    </row>
    <row r="201" spans="3:17" ht="23.25" customHeight="1">
      <c r="C201" s="693"/>
      <c r="E201"/>
      <c r="F201" s="404"/>
      <c r="I201" s="357"/>
      <c r="O201" s="827" t="e">
        <f t="shared" si="5"/>
        <v>#DIV/0!</v>
      </c>
      <c r="Q201" s="827" t="e">
        <f t="shared" si="6"/>
        <v>#DIV/0!</v>
      </c>
    </row>
    <row r="202" spans="3:17" ht="23.25" customHeight="1">
      <c r="C202" s="693"/>
      <c r="E202"/>
      <c r="F202" s="404"/>
      <c r="I202" s="357"/>
      <c r="O202" s="827" t="e">
        <f t="shared" ref="O202:O224" si="7">+N202/G202</f>
        <v>#DIV/0!</v>
      </c>
      <c r="Q202" s="827" t="e">
        <f t="shared" ref="Q202:Q230" si="8">+P202/G202</f>
        <v>#DIV/0!</v>
      </c>
    </row>
    <row r="203" spans="3:17" ht="23.25" customHeight="1">
      <c r="C203" s="693"/>
      <c r="E203"/>
      <c r="F203" s="404"/>
      <c r="I203" s="357"/>
      <c r="O203" s="827" t="e">
        <f t="shared" si="7"/>
        <v>#DIV/0!</v>
      </c>
      <c r="Q203" s="827" t="e">
        <f t="shared" si="8"/>
        <v>#DIV/0!</v>
      </c>
    </row>
    <row r="204" spans="3:17" ht="23.25" customHeight="1">
      <c r="C204" s="693"/>
      <c r="E204"/>
      <c r="F204" s="404"/>
      <c r="I204" s="357"/>
      <c r="O204" s="827" t="e">
        <f t="shared" si="7"/>
        <v>#DIV/0!</v>
      </c>
      <c r="Q204" s="827" t="e">
        <f t="shared" si="8"/>
        <v>#DIV/0!</v>
      </c>
    </row>
    <row r="205" spans="3:17" ht="23.25" customHeight="1">
      <c r="C205" s="693"/>
      <c r="E205"/>
      <c r="F205" s="404"/>
      <c r="I205" s="357"/>
      <c r="O205" s="827" t="e">
        <f t="shared" si="7"/>
        <v>#DIV/0!</v>
      </c>
      <c r="Q205" s="827" t="e">
        <f t="shared" si="8"/>
        <v>#DIV/0!</v>
      </c>
    </row>
    <row r="206" spans="3:17" ht="23.25" customHeight="1">
      <c r="C206" s="693"/>
      <c r="E206"/>
      <c r="F206" s="404"/>
      <c r="I206" s="357"/>
      <c r="O206" s="827" t="e">
        <f t="shared" si="7"/>
        <v>#DIV/0!</v>
      </c>
      <c r="Q206" s="827" t="e">
        <f t="shared" si="8"/>
        <v>#DIV/0!</v>
      </c>
    </row>
    <row r="207" spans="3:17" ht="23.25" customHeight="1">
      <c r="C207" s="693"/>
      <c r="E207"/>
      <c r="F207" s="404"/>
      <c r="I207" s="357"/>
      <c r="O207" s="827" t="e">
        <f t="shared" si="7"/>
        <v>#DIV/0!</v>
      </c>
      <c r="Q207" s="827" t="e">
        <f t="shared" si="8"/>
        <v>#DIV/0!</v>
      </c>
    </row>
    <row r="208" spans="3:17" ht="23.25" customHeight="1">
      <c r="C208" s="693"/>
      <c r="E208"/>
      <c r="F208" s="404"/>
      <c r="I208" s="357"/>
      <c r="O208" s="827" t="e">
        <f t="shared" si="7"/>
        <v>#DIV/0!</v>
      </c>
      <c r="Q208" s="827" t="e">
        <f t="shared" si="8"/>
        <v>#DIV/0!</v>
      </c>
    </row>
    <row r="209" spans="3:17" ht="23.25" customHeight="1">
      <c r="C209" s="693"/>
      <c r="E209"/>
      <c r="F209" s="404"/>
      <c r="I209" s="357"/>
      <c r="O209" s="827" t="e">
        <f t="shared" si="7"/>
        <v>#DIV/0!</v>
      </c>
      <c r="Q209" s="827" t="e">
        <f t="shared" si="8"/>
        <v>#DIV/0!</v>
      </c>
    </row>
    <row r="210" spans="3:17" ht="23.25" customHeight="1">
      <c r="C210" s="693"/>
      <c r="E210"/>
      <c r="F210" s="404"/>
      <c r="I210" s="357"/>
      <c r="O210" s="827" t="e">
        <f t="shared" si="7"/>
        <v>#DIV/0!</v>
      </c>
      <c r="Q210" s="827" t="e">
        <f t="shared" si="8"/>
        <v>#DIV/0!</v>
      </c>
    </row>
    <row r="211" spans="3:17" ht="23.25" customHeight="1">
      <c r="C211" s="693"/>
      <c r="E211"/>
      <c r="F211" s="404"/>
      <c r="I211" s="357"/>
      <c r="O211" s="827" t="e">
        <f t="shared" si="7"/>
        <v>#DIV/0!</v>
      </c>
      <c r="Q211" s="827" t="e">
        <f t="shared" si="8"/>
        <v>#DIV/0!</v>
      </c>
    </row>
    <row r="212" spans="3:17" ht="23.25" customHeight="1">
      <c r="C212" s="693"/>
      <c r="E212"/>
      <c r="F212" s="404"/>
      <c r="I212" s="357"/>
      <c r="O212" s="827" t="e">
        <f t="shared" si="7"/>
        <v>#DIV/0!</v>
      </c>
      <c r="Q212" s="827" t="e">
        <f t="shared" si="8"/>
        <v>#DIV/0!</v>
      </c>
    </row>
    <row r="213" spans="3:17" ht="23.25" customHeight="1">
      <c r="C213" s="693"/>
      <c r="E213"/>
      <c r="F213" s="404"/>
      <c r="I213" s="357"/>
      <c r="O213" s="827" t="e">
        <f t="shared" si="7"/>
        <v>#DIV/0!</v>
      </c>
      <c r="Q213" s="827" t="e">
        <f t="shared" si="8"/>
        <v>#DIV/0!</v>
      </c>
    </row>
    <row r="214" spans="3:17" ht="23.25" customHeight="1">
      <c r="C214" s="693"/>
      <c r="E214"/>
      <c r="F214" s="404"/>
      <c r="I214" s="357"/>
      <c r="O214" s="827" t="e">
        <f t="shared" si="7"/>
        <v>#DIV/0!</v>
      </c>
      <c r="Q214" s="827" t="e">
        <f t="shared" si="8"/>
        <v>#DIV/0!</v>
      </c>
    </row>
    <row r="215" spans="3:17" ht="23.25" customHeight="1">
      <c r="C215" s="693"/>
      <c r="E215"/>
      <c r="F215" s="404"/>
      <c r="I215" s="357"/>
      <c r="O215" s="827" t="e">
        <f t="shared" si="7"/>
        <v>#DIV/0!</v>
      </c>
      <c r="Q215" s="827" t="e">
        <f t="shared" si="8"/>
        <v>#DIV/0!</v>
      </c>
    </row>
    <row r="216" spans="3:17" ht="23.25" customHeight="1">
      <c r="C216" s="693"/>
      <c r="E216"/>
      <c r="F216" s="404"/>
      <c r="I216" s="357"/>
      <c r="O216" s="827" t="e">
        <f t="shared" si="7"/>
        <v>#DIV/0!</v>
      </c>
      <c r="Q216" s="827" t="e">
        <f t="shared" si="8"/>
        <v>#DIV/0!</v>
      </c>
    </row>
    <row r="217" spans="3:17" ht="23.25" customHeight="1">
      <c r="C217" s="693"/>
      <c r="E217"/>
      <c r="F217" s="404"/>
      <c r="I217" s="357"/>
      <c r="O217" s="827" t="e">
        <f t="shared" si="7"/>
        <v>#DIV/0!</v>
      </c>
      <c r="Q217" s="827" t="e">
        <f t="shared" si="8"/>
        <v>#DIV/0!</v>
      </c>
    </row>
    <row r="218" spans="3:17" ht="23.25" customHeight="1">
      <c r="C218" s="693"/>
      <c r="E218"/>
      <c r="F218" s="404"/>
      <c r="I218" s="357"/>
      <c r="O218" s="827" t="e">
        <f t="shared" si="7"/>
        <v>#DIV/0!</v>
      </c>
      <c r="Q218" s="827" t="e">
        <f t="shared" si="8"/>
        <v>#DIV/0!</v>
      </c>
    </row>
    <row r="219" spans="3:17" ht="23.25" customHeight="1">
      <c r="C219" s="693"/>
      <c r="E219"/>
      <c r="F219" s="404"/>
      <c r="I219" s="357"/>
      <c r="O219" s="827" t="e">
        <f t="shared" si="7"/>
        <v>#DIV/0!</v>
      </c>
      <c r="Q219" s="827" t="e">
        <f t="shared" si="8"/>
        <v>#DIV/0!</v>
      </c>
    </row>
    <row r="220" spans="3:17" ht="23.25" customHeight="1">
      <c r="C220" s="693"/>
      <c r="E220"/>
      <c r="F220" s="404"/>
      <c r="I220" s="357"/>
      <c r="O220" s="827" t="e">
        <f t="shared" si="7"/>
        <v>#DIV/0!</v>
      </c>
      <c r="Q220" s="827" t="e">
        <f t="shared" si="8"/>
        <v>#DIV/0!</v>
      </c>
    </row>
    <row r="221" spans="3:17" ht="23.25" customHeight="1">
      <c r="C221" s="693"/>
      <c r="E221"/>
      <c r="F221" s="404"/>
      <c r="I221" s="357"/>
      <c r="O221" s="827" t="e">
        <f t="shared" si="7"/>
        <v>#DIV/0!</v>
      </c>
      <c r="Q221" s="827" t="e">
        <f t="shared" si="8"/>
        <v>#DIV/0!</v>
      </c>
    </row>
    <row r="222" spans="3:17" ht="23.25" customHeight="1">
      <c r="C222" s="693"/>
      <c r="E222"/>
      <c r="F222" s="404"/>
      <c r="I222" s="357"/>
      <c r="O222" s="827" t="e">
        <f t="shared" si="7"/>
        <v>#DIV/0!</v>
      </c>
      <c r="Q222" s="827" t="e">
        <f t="shared" si="8"/>
        <v>#DIV/0!</v>
      </c>
    </row>
    <row r="223" spans="3:17" ht="23.25" customHeight="1">
      <c r="C223" s="693"/>
      <c r="E223"/>
      <c r="F223" s="404"/>
      <c r="I223" s="357"/>
      <c r="O223" s="827" t="e">
        <f t="shared" si="7"/>
        <v>#DIV/0!</v>
      </c>
      <c r="Q223" s="827" t="e">
        <f t="shared" si="8"/>
        <v>#DIV/0!</v>
      </c>
    </row>
    <row r="224" spans="3:17" ht="23.25" customHeight="1">
      <c r="C224" s="693"/>
      <c r="E224"/>
      <c r="F224" s="404"/>
      <c r="I224" s="357"/>
      <c r="O224" s="827" t="e">
        <f t="shared" si="7"/>
        <v>#DIV/0!</v>
      </c>
      <c r="Q224" s="827" t="e">
        <f t="shared" si="8"/>
        <v>#DIV/0!</v>
      </c>
    </row>
    <row r="225" spans="3:17" ht="23.25" customHeight="1">
      <c r="C225" s="693"/>
      <c r="E225"/>
      <c r="F225" s="404"/>
      <c r="I225" s="357"/>
      <c r="O225" s="827" t="s">
        <v>65</v>
      </c>
      <c r="Q225" s="827" t="e">
        <f t="shared" si="8"/>
        <v>#DIV/0!</v>
      </c>
    </row>
    <row r="226" spans="3:17" ht="23.25" customHeight="1">
      <c r="C226" s="693"/>
      <c r="E226"/>
      <c r="F226" s="404"/>
      <c r="I226" s="357"/>
      <c r="O226" s="827" t="e">
        <f>+N226/G226</f>
        <v>#DIV/0!</v>
      </c>
      <c r="Q226" s="827" t="e">
        <f t="shared" si="8"/>
        <v>#DIV/0!</v>
      </c>
    </row>
    <row r="227" spans="3:17" ht="23.25" customHeight="1">
      <c r="C227" s="693"/>
      <c r="E227"/>
      <c r="F227" s="404"/>
      <c r="I227" s="357"/>
      <c r="O227" s="827" t="e">
        <f>+N227/G227</f>
        <v>#DIV/0!</v>
      </c>
      <c r="Q227" s="827" t="e">
        <f t="shared" si="8"/>
        <v>#DIV/0!</v>
      </c>
    </row>
    <row r="228" spans="3:17" ht="23.25" customHeight="1">
      <c r="C228" s="693"/>
      <c r="E228"/>
      <c r="F228" s="404"/>
      <c r="I228" s="357"/>
      <c r="O228" s="827" t="e">
        <f>+N228/G228</f>
        <v>#DIV/0!</v>
      </c>
      <c r="Q228" s="827" t="e">
        <f t="shared" si="8"/>
        <v>#DIV/0!</v>
      </c>
    </row>
    <row r="229" spans="3:17" ht="23.25" customHeight="1">
      <c r="C229" s="693"/>
      <c r="E229"/>
      <c r="F229" s="404"/>
      <c r="I229" s="357"/>
      <c r="O229" s="827" t="e">
        <f>+N229/G229</f>
        <v>#DIV/0!</v>
      </c>
      <c r="Q229" s="827" t="e">
        <f t="shared" si="8"/>
        <v>#DIV/0!</v>
      </c>
    </row>
    <row r="230" spans="3:17" ht="23.25" customHeight="1">
      <c r="C230" s="693"/>
      <c r="E230"/>
      <c r="F230" s="404"/>
      <c r="I230" s="357"/>
      <c r="O230" s="827" t="e">
        <f>+N230/G230</f>
        <v>#DIV/0!</v>
      </c>
      <c r="Q230" s="827" t="e">
        <f t="shared" si="8"/>
        <v>#DIV/0!</v>
      </c>
    </row>
    <row r="231" spans="3:17" ht="23.25" customHeight="1">
      <c r="O231" s="827" t="s">
        <v>65</v>
      </c>
    </row>
  </sheetData>
  <mergeCells count="9">
    <mergeCell ref="M20:N20"/>
    <mergeCell ref="B46:H46"/>
    <mergeCell ref="B53:H53"/>
    <mergeCell ref="B57:H57"/>
    <mergeCell ref="B3:H3"/>
    <mergeCell ref="B10:H10"/>
    <mergeCell ref="B35:H35"/>
    <mergeCell ref="B38:H39"/>
    <mergeCell ref="B43:H43"/>
  </mergeCells>
  <pageMargins left="0.7" right="0.7" top="0.75" bottom="0.75" header="0.3" footer="0.3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3:R113"/>
  <sheetViews>
    <sheetView topLeftCell="A68" workbookViewId="0">
      <selection activeCell="D77" sqref="D77:G92"/>
    </sheetView>
  </sheetViews>
  <sheetFormatPr baseColWidth="10" defaultRowHeight="15"/>
  <cols>
    <col min="2" max="2" width="11.42578125" style="345"/>
    <col min="3" max="3" width="11.5703125" style="345" customWidth="1"/>
    <col min="4" max="4" width="43.42578125" style="345" customWidth="1"/>
    <col min="5" max="5" width="14.28515625" hidden="1" customWidth="1"/>
    <col min="6" max="6" width="11.42578125" hidden="1" customWidth="1"/>
    <col min="7" max="7" width="11.42578125" customWidth="1"/>
    <col min="12" max="12" width="16.85546875" customWidth="1"/>
    <col min="15" max="15" width="7" customWidth="1"/>
  </cols>
  <sheetData>
    <row r="3" spans="2:6">
      <c r="E3" t="s">
        <v>65</v>
      </c>
    </row>
    <row r="5" spans="2:6" ht="44.25" customHeight="1">
      <c r="B5" s="87" t="s">
        <v>0</v>
      </c>
      <c r="C5" s="87" t="s">
        <v>122</v>
      </c>
      <c r="D5" s="87" t="s">
        <v>547</v>
      </c>
      <c r="E5" s="111" t="s">
        <v>1</v>
      </c>
      <c r="F5" s="816" t="s">
        <v>68</v>
      </c>
    </row>
    <row r="6" spans="2:6">
      <c r="B6" s="693">
        <v>3524</v>
      </c>
      <c r="C6" s="693"/>
      <c r="D6" s="770"/>
      <c r="E6" s="693" t="s">
        <v>1356</v>
      </c>
      <c r="F6" s="816" t="s">
        <v>3426</v>
      </c>
    </row>
    <row r="7" spans="2:6" hidden="1">
      <c r="B7" s="693">
        <v>3525</v>
      </c>
      <c r="C7" s="693"/>
      <c r="D7" s="770"/>
      <c r="E7" s="693" t="s">
        <v>3368</v>
      </c>
      <c r="F7" s="816"/>
    </row>
    <row r="8" spans="2:6" hidden="1">
      <c r="B8" s="693">
        <v>3586</v>
      </c>
      <c r="C8" s="693"/>
      <c r="D8" s="770"/>
      <c r="E8" s="693" t="s">
        <v>1848</v>
      </c>
      <c r="F8" s="816"/>
    </row>
    <row r="9" spans="2:6" hidden="1">
      <c r="B9" s="693">
        <v>9812</v>
      </c>
      <c r="C9" s="693"/>
      <c r="D9" s="770"/>
      <c r="E9" s="693" t="s">
        <v>3367</v>
      </c>
      <c r="F9" s="816"/>
    </row>
    <row r="10" spans="2:6">
      <c r="B10" s="693">
        <v>3655</v>
      </c>
      <c r="C10" s="693"/>
      <c r="D10" s="770"/>
      <c r="E10" s="693" t="s">
        <v>1355</v>
      </c>
      <c r="F10" s="816" t="s">
        <v>1923</v>
      </c>
    </row>
    <row r="11" spans="2:6" hidden="1">
      <c r="B11" s="693">
        <v>11051</v>
      </c>
      <c r="C11" s="693"/>
      <c r="D11" s="770"/>
      <c r="E11" s="693" t="s">
        <v>3366</v>
      </c>
      <c r="F11" s="816"/>
    </row>
    <row r="12" spans="2:6" hidden="1">
      <c r="B12" s="693">
        <v>11052</v>
      </c>
      <c r="C12" s="693"/>
      <c r="D12" s="770"/>
      <c r="E12" s="693" t="s">
        <v>3365</v>
      </c>
      <c r="F12" s="816"/>
    </row>
    <row r="13" spans="2:6" hidden="1">
      <c r="B13" s="693">
        <v>11053</v>
      </c>
      <c r="C13" s="693"/>
      <c r="D13" s="770"/>
      <c r="E13" s="693" t="s">
        <v>3364</v>
      </c>
      <c r="F13" s="816"/>
    </row>
    <row r="14" spans="2:6">
      <c r="B14" s="693">
        <v>5150</v>
      </c>
      <c r="C14" s="693"/>
      <c r="D14" s="770"/>
      <c r="E14" s="693" t="s">
        <v>1847</v>
      </c>
      <c r="F14" s="816" t="s">
        <v>1923</v>
      </c>
    </row>
    <row r="15" spans="2:6">
      <c r="B15" s="770">
        <v>5499</v>
      </c>
      <c r="C15" s="770"/>
      <c r="D15" s="770"/>
      <c r="E15" s="693" t="s">
        <v>3369</v>
      </c>
      <c r="F15" s="816" t="s">
        <v>1923</v>
      </c>
    </row>
    <row r="16" spans="2:6" hidden="1">
      <c r="B16" s="770">
        <v>11029</v>
      </c>
      <c r="C16" s="770"/>
      <c r="D16" s="770"/>
      <c r="E16" s="693" t="s">
        <v>3370</v>
      </c>
    </row>
    <row r="21" spans="2:9">
      <c r="B21" s="345" t="s">
        <v>0</v>
      </c>
      <c r="C21" s="345" t="s">
        <v>122</v>
      </c>
      <c r="D21" s="345" t="s">
        <v>547</v>
      </c>
      <c r="E21" t="s">
        <v>1</v>
      </c>
      <c r="F21" s="863" t="s">
        <v>110</v>
      </c>
    </row>
    <row r="22" spans="2:9">
      <c r="B22" s="345">
        <v>5150</v>
      </c>
      <c r="C22" s="345">
        <v>11</v>
      </c>
      <c r="D22" s="345">
        <v>0.45</v>
      </c>
      <c r="E22" t="s">
        <v>1847</v>
      </c>
      <c r="F22" s="863">
        <v>10</v>
      </c>
    </row>
    <row r="23" spans="2:9">
      <c r="B23" s="345">
        <v>3655</v>
      </c>
      <c r="C23" s="345">
        <v>24</v>
      </c>
      <c r="D23" s="345">
        <v>0.45</v>
      </c>
      <c r="E23" t="s">
        <v>1355</v>
      </c>
      <c r="F23" s="863">
        <v>14</v>
      </c>
    </row>
    <row r="24" spans="2:9">
      <c r="B24" s="345">
        <v>3524</v>
      </c>
      <c r="C24" s="345">
        <v>160</v>
      </c>
      <c r="D24" s="345">
        <v>0.75</v>
      </c>
      <c r="E24" t="s">
        <v>1356</v>
      </c>
      <c r="F24" s="863">
        <v>93</v>
      </c>
      <c r="G24" t="s">
        <v>3426</v>
      </c>
    </row>
    <row r="25" spans="2:9">
      <c r="B25" s="345">
        <v>3586</v>
      </c>
      <c r="C25" s="345">
        <v>24</v>
      </c>
      <c r="D25" s="345">
        <v>0.47</v>
      </c>
      <c r="E25" t="s">
        <v>1848</v>
      </c>
      <c r="F25" s="863">
        <v>20</v>
      </c>
    </row>
    <row r="26" spans="2:9">
      <c r="B26" s="345">
        <v>5499</v>
      </c>
      <c r="C26" s="345">
        <v>14</v>
      </c>
      <c r="D26" s="345">
        <v>1</v>
      </c>
      <c r="E26" t="s">
        <v>3725</v>
      </c>
      <c r="F26" s="863">
        <v>0</v>
      </c>
    </row>
    <row r="28" spans="2:9">
      <c r="B28" s="1001" t="s">
        <v>0</v>
      </c>
      <c r="C28" s="1001" t="s">
        <v>122</v>
      </c>
      <c r="D28" s="1001" t="s">
        <v>547</v>
      </c>
      <c r="E28" s="693" t="s">
        <v>1</v>
      </c>
      <c r="F28" s="1001" t="s">
        <v>1663</v>
      </c>
      <c r="G28" s="1001" t="s">
        <v>3844</v>
      </c>
      <c r="H28" s="693"/>
      <c r="I28" s="1001" t="s">
        <v>1932</v>
      </c>
    </row>
    <row r="29" spans="2:9">
      <c r="B29" s="1001">
        <v>3655</v>
      </c>
      <c r="C29" s="1001">
        <v>44</v>
      </c>
      <c r="D29" s="1001">
        <v>0.71</v>
      </c>
      <c r="E29" s="693" t="s">
        <v>1355</v>
      </c>
      <c r="F29" s="1001">
        <v>56</v>
      </c>
      <c r="G29" s="1001">
        <v>8</v>
      </c>
      <c r="H29" s="693"/>
      <c r="I29" s="693" t="s">
        <v>3870</v>
      </c>
    </row>
    <row r="30" spans="2:9" hidden="1">
      <c r="B30" s="1001">
        <v>3524</v>
      </c>
      <c r="C30" s="1001">
        <v>29</v>
      </c>
      <c r="D30" s="1001">
        <v>1.1000000000000001</v>
      </c>
      <c r="E30" s="693" t="s">
        <v>1356</v>
      </c>
      <c r="F30" s="1001">
        <v>155</v>
      </c>
      <c r="G30" s="1001">
        <v>36</v>
      </c>
      <c r="H30" s="693"/>
      <c r="I30" s="693"/>
    </row>
    <row r="31" spans="2:9">
      <c r="B31" s="1001">
        <v>3586</v>
      </c>
      <c r="C31" s="1001">
        <v>20</v>
      </c>
      <c r="D31" s="1001">
        <v>0.55000000000000004</v>
      </c>
      <c r="E31" s="693" t="s">
        <v>1848</v>
      </c>
      <c r="F31" s="1001">
        <v>25</v>
      </c>
      <c r="G31" s="1001">
        <v>0</v>
      </c>
      <c r="H31" s="693" t="s">
        <v>3845</v>
      </c>
      <c r="I31" s="693" t="s">
        <v>3873</v>
      </c>
    </row>
    <row r="32" spans="2:9">
      <c r="B32" s="1001">
        <v>11029</v>
      </c>
      <c r="C32" s="1001">
        <v>30</v>
      </c>
      <c r="D32" s="1001">
        <v>1</v>
      </c>
      <c r="E32" s="693" t="s">
        <v>3370</v>
      </c>
      <c r="F32" s="1001">
        <v>30</v>
      </c>
      <c r="G32" s="1001">
        <v>0</v>
      </c>
      <c r="H32" s="693" t="s">
        <v>3845</v>
      </c>
      <c r="I32" s="693" t="s">
        <v>3871</v>
      </c>
    </row>
    <row r="33" spans="1:15">
      <c r="B33" s="1001">
        <v>3524</v>
      </c>
      <c r="C33" s="1001">
        <v>150</v>
      </c>
      <c r="D33" s="1001">
        <v>1.1000000000000001</v>
      </c>
      <c r="E33" s="693" t="s">
        <v>1356</v>
      </c>
      <c r="F33" s="693"/>
      <c r="G33" s="693"/>
      <c r="H33" s="693"/>
      <c r="I33" s="693" t="s">
        <v>3872</v>
      </c>
    </row>
    <row r="34" spans="1:15">
      <c r="B34" s="1001"/>
      <c r="C34" s="1001"/>
      <c r="D34" s="1001"/>
      <c r="E34" s="693" t="s">
        <v>3725</v>
      </c>
      <c r="F34" s="693"/>
      <c r="G34" s="693"/>
      <c r="H34" s="693"/>
      <c r="I34" s="693" t="s">
        <v>1157</v>
      </c>
    </row>
    <row r="37" spans="1:15" ht="59.25" customHeight="1">
      <c r="A37" s="1084" t="s">
        <v>254</v>
      </c>
      <c r="B37" s="1084" t="s">
        <v>0</v>
      </c>
      <c r="C37" s="1084" t="s">
        <v>122</v>
      </c>
      <c r="D37" s="1084" t="s">
        <v>547</v>
      </c>
      <c r="E37" s="1084" t="s">
        <v>65</v>
      </c>
      <c r="F37" s="1084" t="s">
        <v>110</v>
      </c>
      <c r="G37" s="1084" t="s">
        <v>1067</v>
      </c>
      <c r="H37" s="1085" t="s">
        <v>3968</v>
      </c>
      <c r="L37" t="s">
        <v>793</v>
      </c>
      <c r="M37" t="s">
        <v>4039</v>
      </c>
      <c r="N37" t="s">
        <v>4041</v>
      </c>
      <c r="O37" t="s">
        <v>4042</v>
      </c>
    </row>
    <row r="38" spans="1:15">
      <c r="A38" s="1063" t="s">
        <v>3967</v>
      </c>
      <c r="B38" s="1063">
        <v>3655</v>
      </c>
      <c r="C38" s="1063">
        <v>50</v>
      </c>
      <c r="D38" s="1063">
        <v>0.71</v>
      </c>
      <c r="E38" s="15" t="s">
        <v>1355</v>
      </c>
      <c r="F38" s="1063">
        <v>22</v>
      </c>
      <c r="G38" s="1063">
        <v>32</v>
      </c>
      <c r="H38" s="1063" t="s">
        <v>1157</v>
      </c>
      <c r="L38" t="s">
        <v>4040</v>
      </c>
      <c r="M38">
        <v>18</v>
      </c>
      <c r="N38">
        <v>16</v>
      </c>
      <c r="O38" t="s">
        <v>4043</v>
      </c>
    </row>
    <row r="39" spans="1:15">
      <c r="A39" s="1063" t="s">
        <v>3967</v>
      </c>
      <c r="B39" s="1063">
        <v>3524</v>
      </c>
      <c r="C39" s="1063">
        <v>160</v>
      </c>
      <c r="D39" s="1063">
        <v>1.6</v>
      </c>
      <c r="E39" s="15" t="s">
        <v>1356</v>
      </c>
      <c r="F39" s="1063">
        <v>89</v>
      </c>
      <c r="G39" s="1063">
        <v>82</v>
      </c>
      <c r="H39" s="1063" t="s">
        <v>1923</v>
      </c>
    </row>
    <row r="40" spans="1:15">
      <c r="A40" s="1063" t="s">
        <v>3967</v>
      </c>
      <c r="B40" s="1063">
        <v>3586</v>
      </c>
      <c r="C40" s="1063">
        <v>35</v>
      </c>
      <c r="D40" s="1063">
        <v>0.55000000000000004</v>
      </c>
      <c r="E40" s="15" t="s">
        <v>1848</v>
      </c>
      <c r="F40" s="1063">
        <v>23</v>
      </c>
      <c r="G40" s="1063">
        <v>12</v>
      </c>
      <c r="H40" s="1063" t="s">
        <v>3873</v>
      </c>
    </row>
    <row r="41" spans="1:15">
      <c r="A41" s="1063" t="s">
        <v>3967</v>
      </c>
      <c r="B41" s="1063">
        <v>11029</v>
      </c>
      <c r="C41" s="1063">
        <v>45</v>
      </c>
      <c r="D41" s="1063">
        <v>1.51</v>
      </c>
      <c r="E41" s="15" t="s">
        <v>3370</v>
      </c>
      <c r="F41" s="1063">
        <v>37</v>
      </c>
      <c r="G41" s="1063">
        <v>8</v>
      </c>
      <c r="H41" s="1063" t="s">
        <v>3871</v>
      </c>
    </row>
    <row r="42" spans="1:15">
      <c r="A42" s="1063" t="s">
        <v>3967</v>
      </c>
      <c r="B42" s="1063">
        <v>5499</v>
      </c>
      <c r="C42" s="1063">
        <v>20</v>
      </c>
      <c r="D42" s="1063">
        <v>1.51</v>
      </c>
      <c r="E42" s="15" t="s">
        <v>3725</v>
      </c>
      <c r="F42" s="1063">
        <v>13</v>
      </c>
      <c r="G42" s="1063">
        <v>7</v>
      </c>
      <c r="H42" s="1063" t="s">
        <v>1157</v>
      </c>
    </row>
    <row r="43" spans="1:15">
      <c r="A43" s="345"/>
      <c r="B43" s="1058" t="s">
        <v>65</v>
      </c>
      <c r="D43"/>
      <c r="E43" s="827" t="s">
        <v>65</v>
      </c>
    </row>
    <row r="44" spans="1:15">
      <c r="A44" s="345"/>
      <c r="D44"/>
    </row>
    <row r="45" spans="1:15" ht="45">
      <c r="A45" s="693" t="s">
        <v>254</v>
      </c>
      <c r="B45" s="26" t="s">
        <v>0</v>
      </c>
      <c r="C45" s="693" t="s">
        <v>122</v>
      </c>
      <c r="D45" s="1078" t="s">
        <v>2311</v>
      </c>
      <c r="E45" s="1079" t="s">
        <v>65</v>
      </c>
      <c r="F45" s="1084" t="s">
        <v>110</v>
      </c>
      <c r="G45" s="1084" t="s">
        <v>1067</v>
      </c>
      <c r="H45" s="1085" t="s">
        <v>4036</v>
      </c>
    </row>
    <row r="46" spans="1:15">
      <c r="A46" s="349" t="s">
        <v>4006</v>
      </c>
      <c r="B46" s="26">
        <v>3655</v>
      </c>
      <c r="C46" s="693">
        <v>15</v>
      </c>
      <c r="D46" s="1078"/>
      <c r="E46" s="522" t="s">
        <v>1355</v>
      </c>
      <c r="F46" s="1079">
        <v>30</v>
      </c>
      <c r="G46" s="1079">
        <v>23</v>
      </c>
      <c r="H46" s="1079" t="s">
        <v>2601</v>
      </c>
      <c r="I46" t="s">
        <v>2601</v>
      </c>
    </row>
    <row r="47" spans="1:15">
      <c r="A47" s="349" t="s">
        <v>4006</v>
      </c>
      <c r="B47" s="26">
        <v>3524</v>
      </c>
      <c r="C47" s="693">
        <v>160</v>
      </c>
      <c r="D47" s="1078"/>
      <c r="E47" s="522" t="s">
        <v>1356</v>
      </c>
      <c r="F47" s="1079">
        <v>139</v>
      </c>
      <c r="G47" s="1079">
        <v>162</v>
      </c>
      <c r="H47" s="1079" t="s">
        <v>4037</v>
      </c>
      <c r="I47" t="s">
        <v>4037</v>
      </c>
    </row>
    <row r="48" spans="1:15">
      <c r="A48" s="349" t="s">
        <v>4006</v>
      </c>
      <c r="B48" s="26">
        <v>3586</v>
      </c>
      <c r="C48" s="693">
        <v>35</v>
      </c>
      <c r="D48" s="1078"/>
      <c r="E48" s="522" t="s">
        <v>1848</v>
      </c>
      <c r="F48" s="1079">
        <v>22</v>
      </c>
      <c r="G48" s="1079">
        <v>33</v>
      </c>
      <c r="H48" s="1079" t="s">
        <v>1157</v>
      </c>
      <c r="I48" t="s">
        <v>1157</v>
      </c>
    </row>
    <row r="49" spans="1:9">
      <c r="A49" s="349" t="s">
        <v>4006</v>
      </c>
      <c r="B49" s="26">
        <v>11029</v>
      </c>
      <c r="C49" s="693">
        <v>45</v>
      </c>
      <c r="D49" s="1078"/>
      <c r="E49" s="522" t="s">
        <v>3370</v>
      </c>
      <c r="F49" s="1079">
        <v>51</v>
      </c>
      <c r="G49" s="1079">
        <v>17</v>
      </c>
      <c r="H49" s="1079" t="s">
        <v>4038</v>
      </c>
      <c r="I49" t="s">
        <v>4038</v>
      </c>
    </row>
    <row r="50" spans="1:9" hidden="1">
      <c r="A50" s="349" t="s">
        <v>4006</v>
      </c>
      <c r="B50" s="26">
        <v>5499</v>
      </c>
      <c r="C50" s="693">
        <v>20</v>
      </c>
      <c r="D50" s="1078"/>
      <c r="E50" s="522" t="s">
        <v>3725</v>
      </c>
      <c r="F50" s="1079">
        <v>16</v>
      </c>
      <c r="G50" s="1079">
        <v>18</v>
      </c>
      <c r="H50" s="305">
        <v>0</v>
      </c>
      <c r="I50" s="1132">
        <v>0</v>
      </c>
    </row>
    <row r="51" spans="1:9">
      <c r="A51" s="693"/>
      <c r="B51" s="1081"/>
      <c r="C51" s="1079"/>
      <c r="D51" s="1079"/>
      <c r="E51" s="1079" t="s">
        <v>4007</v>
      </c>
      <c r="F51" s="1079"/>
      <c r="G51" s="1079"/>
      <c r="H51" s="1079" t="s">
        <v>1157</v>
      </c>
      <c r="I51" t="s">
        <v>1157</v>
      </c>
    </row>
    <row r="52" spans="1:9">
      <c r="A52" s="693"/>
      <c r="B52" s="1081"/>
      <c r="C52" s="1079"/>
      <c r="D52" s="1079"/>
      <c r="E52" s="522" t="s">
        <v>4062</v>
      </c>
      <c r="F52" s="1079"/>
      <c r="G52" s="1079"/>
      <c r="H52" s="1079" t="s">
        <v>3996</v>
      </c>
      <c r="I52" t="s">
        <v>3996</v>
      </c>
    </row>
    <row r="53" spans="1:9">
      <c r="C53" s="1079"/>
      <c r="D53" s="1079"/>
      <c r="E53" s="522" t="s">
        <v>4063</v>
      </c>
      <c r="F53" s="693"/>
      <c r="G53" s="693"/>
      <c r="H53" s="1079" t="s">
        <v>1535</v>
      </c>
      <c r="I53" t="s">
        <v>1535</v>
      </c>
    </row>
    <row r="54" spans="1:9">
      <c r="C54" s="1079"/>
      <c r="D54" s="1079"/>
      <c r="E54" s="1133" t="s">
        <v>4064</v>
      </c>
      <c r="F54" s="693"/>
      <c r="G54" s="693"/>
      <c r="H54" s="305" t="s">
        <v>1157</v>
      </c>
    </row>
    <row r="55" spans="1:9">
      <c r="C55" s="1079"/>
      <c r="D55" s="1079"/>
      <c r="E55" s="1133" t="s">
        <v>4065</v>
      </c>
      <c r="F55" s="693"/>
      <c r="G55" s="693"/>
      <c r="H55" s="305" t="s">
        <v>1157</v>
      </c>
    </row>
    <row r="56" spans="1:9">
      <c r="C56" s="1079"/>
      <c r="D56" s="1079"/>
      <c r="E56" s="1133" t="s">
        <v>4066</v>
      </c>
      <c r="F56" s="693"/>
      <c r="G56" s="693"/>
      <c r="H56" s="305" t="s">
        <v>1536</v>
      </c>
    </row>
    <row r="60" spans="1:9" ht="45">
      <c r="A60" t="s">
        <v>0</v>
      </c>
      <c r="B60" s="345" t="s">
        <v>122</v>
      </c>
      <c r="C60" s="345" t="s">
        <v>547</v>
      </c>
      <c r="D60" s="345" t="s">
        <v>3225</v>
      </c>
      <c r="E60" s="1151" t="s">
        <v>1</v>
      </c>
      <c r="F60" s="1070" t="s">
        <v>110</v>
      </c>
      <c r="G60" s="1070" t="s">
        <v>1067</v>
      </c>
      <c r="H60" s="1069" t="s">
        <v>4401</v>
      </c>
    </row>
    <row r="61" spans="1:9">
      <c r="A61">
        <v>3655</v>
      </c>
      <c r="B61" s="345">
        <v>15</v>
      </c>
      <c r="C61" s="345">
        <v>0.72</v>
      </c>
      <c r="D61" s="345">
        <v>10.8</v>
      </c>
      <c r="E61" s="1151" t="s">
        <v>1355</v>
      </c>
      <c r="F61" s="1151">
        <v>23</v>
      </c>
      <c r="G61" s="1151">
        <v>24</v>
      </c>
      <c r="H61" s="1151" t="s">
        <v>2601</v>
      </c>
    </row>
    <row r="62" spans="1:9">
      <c r="A62">
        <v>3524</v>
      </c>
      <c r="B62" s="345">
        <v>80</v>
      </c>
      <c r="C62" s="345">
        <v>1.52</v>
      </c>
      <c r="D62" s="345">
        <v>121.6</v>
      </c>
      <c r="E62" s="1151" t="s">
        <v>1356</v>
      </c>
      <c r="F62" s="1151">
        <v>156</v>
      </c>
      <c r="G62" s="1151">
        <v>97</v>
      </c>
      <c r="H62" s="1151" t="s">
        <v>1923</v>
      </c>
    </row>
    <row r="63" spans="1:9">
      <c r="A63">
        <v>21799</v>
      </c>
      <c r="B63" s="345">
        <v>30</v>
      </c>
      <c r="C63" s="345">
        <v>1.05</v>
      </c>
      <c r="D63" s="345">
        <v>31.5</v>
      </c>
      <c r="E63" s="1151" t="s">
        <v>4400</v>
      </c>
      <c r="F63" s="1151">
        <v>11</v>
      </c>
      <c r="G63" s="1151">
        <v>19</v>
      </c>
      <c r="H63" s="1151" t="s">
        <v>3996</v>
      </c>
    </row>
    <row r="64" spans="1:9">
      <c r="A64">
        <v>11029</v>
      </c>
      <c r="B64" s="345">
        <v>50</v>
      </c>
      <c r="C64" s="345">
        <v>1.05</v>
      </c>
      <c r="D64" s="345">
        <v>52.5</v>
      </c>
      <c r="E64" s="1151" t="s">
        <v>3370</v>
      </c>
      <c r="F64" s="375">
        <v>61</v>
      </c>
      <c r="G64" s="375">
        <v>24</v>
      </c>
      <c r="H64" s="375" t="s">
        <v>4038</v>
      </c>
    </row>
    <row r="65" spans="1:18" ht="45">
      <c r="A65">
        <v>3525</v>
      </c>
      <c r="B65" s="345">
        <v>10</v>
      </c>
      <c r="C65" s="345">
        <v>0.77</v>
      </c>
      <c r="D65" s="345">
        <v>7.7</v>
      </c>
      <c r="E65" s="1151" t="s">
        <v>3368</v>
      </c>
      <c r="F65" s="375">
        <v>8</v>
      </c>
      <c r="G65" s="375">
        <v>2</v>
      </c>
      <c r="H65" s="375" t="s">
        <v>1536</v>
      </c>
      <c r="O65" s="1195" t="s">
        <v>3520</v>
      </c>
    </row>
    <row r="66" spans="1:18">
      <c r="O66" s="1190">
        <v>4.4409999999999998</v>
      </c>
    </row>
    <row r="68" spans="1:18" ht="45">
      <c r="A68" s="1184" t="s">
        <v>0</v>
      </c>
      <c r="B68" s="1184" t="s">
        <v>122</v>
      </c>
      <c r="C68" s="1184" t="s">
        <v>547</v>
      </c>
      <c r="D68" s="1184" t="s">
        <v>1</v>
      </c>
      <c r="E68" s="1070" t="s">
        <v>110</v>
      </c>
      <c r="F68" s="1070" t="s">
        <v>1067</v>
      </c>
      <c r="G68" s="1069" t="s">
        <v>4495</v>
      </c>
      <c r="L68" s="693"/>
      <c r="M68" s="1190" t="s">
        <v>4497</v>
      </c>
      <c r="N68" s="1190" t="s">
        <v>4499</v>
      </c>
      <c r="O68" s="1190"/>
      <c r="P68" s="1190"/>
    </row>
    <row r="69" spans="1:18" hidden="1">
      <c r="A69" s="1190">
        <v>3586</v>
      </c>
      <c r="B69" s="1190">
        <v>35</v>
      </c>
      <c r="C69" s="1190">
        <v>0.55000000000000004</v>
      </c>
      <c r="D69" s="332" t="s">
        <v>1848</v>
      </c>
      <c r="E69" s="305">
        <v>18</v>
      </c>
      <c r="F69" s="305">
        <v>5</v>
      </c>
      <c r="G69" s="1190" t="s">
        <v>3996</v>
      </c>
      <c r="L69" s="693" t="s">
        <v>593</v>
      </c>
      <c r="M69" s="1190">
        <v>791.2</v>
      </c>
      <c r="N69" s="1190">
        <v>11.54</v>
      </c>
      <c r="O69" s="6">
        <f>+N69/O66</f>
        <v>2.59851384823238</v>
      </c>
      <c r="P69">
        <f>+M69*O69</f>
        <v>2055.944156721459</v>
      </c>
      <c r="Q69" s="388" t="s">
        <v>65</v>
      </c>
      <c r="R69" s="57" t="s">
        <v>65</v>
      </c>
    </row>
    <row r="70" spans="1:18">
      <c r="A70" s="1190">
        <v>5499</v>
      </c>
      <c r="B70" s="1190">
        <v>20</v>
      </c>
      <c r="C70" s="1190">
        <v>1.51</v>
      </c>
      <c r="D70" s="332" t="s">
        <v>3725</v>
      </c>
      <c r="E70" s="305">
        <v>12</v>
      </c>
      <c r="F70" s="305">
        <v>2</v>
      </c>
      <c r="G70" s="1190" t="s">
        <v>1157</v>
      </c>
      <c r="L70" s="693" t="s">
        <v>4496</v>
      </c>
      <c r="M70" s="1190">
        <v>20</v>
      </c>
      <c r="N70" s="1190"/>
      <c r="O70" s="1190">
        <v>1.3</v>
      </c>
      <c r="P70" s="1190">
        <f>+M70*O70</f>
        <v>26</v>
      </c>
    </row>
    <row r="71" spans="1:18">
      <c r="A71" s="1190">
        <v>3655</v>
      </c>
      <c r="B71" s="693">
        <v>15</v>
      </c>
      <c r="C71" s="1185"/>
      <c r="D71" s="1227" t="s">
        <v>1355</v>
      </c>
      <c r="E71" s="1190">
        <v>24</v>
      </c>
      <c r="F71" s="1190">
        <v>20</v>
      </c>
      <c r="G71" s="1190" t="s">
        <v>1157</v>
      </c>
      <c r="L71" s="693" t="s">
        <v>4498</v>
      </c>
      <c r="M71" s="1190">
        <v>49.8</v>
      </c>
      <c r="N71" s="1190"/>
      <c r="O71" s="1190">
        <v>1.35</v>
      </c>
      <c r="P71" s="1190">
        <f>+M71*O71</f>
        <v>67.23</v>
      </c>
    </row>
    <row r="72" spans="1:18" hidden="1">
      <c r="A72" s="1190">
        <v>3524</v>
      </c>
      <c r="B72" s="693">
        <v>160</v>
      </c>
      <c r="C72" s="1185"/>
      <c r="D72" s="1227" t="s">
        <v>1356</v>
      </c>
      <c r="E72" s="1190">
        <v>129</v>
      </c>
      <c r="F72" s="1190">
        <v>178</v>
      </c>
      <c r="G72" s="1190" t="s">
        <v>65</v>
      </c>
      <c r="M72" s="1181"/>
      <c r="N72" s="1181"/>
      <c r="O72" s="1181"/>
      <c r="P72" s="1181">
        <f>SUM(P70:P71)</f>
        <v>93.23</v>
      </c>
    </row>
    <row r="73" spans="1:18">
      <c r="A73" s="1190">
        <v>11029</v>
      </c>
      <c r="B73" s="693">
        <v>45</v>
      </c>
      <c r="C73" s="1185"/>
      <c r="D73" s="1227" t="s">
        <v>3370</v>
      </c>
      <c r="E73" s="1190">
        <v>55</v>
      </c>
      <c r="F73" s="1190">
        <v>34</v>
      </c>
      <c r="G73" s="1190" t="s">
        <v>3996</v>
      </c>
      <c r="M73" s="1181"/>
      <c r="N73" s="1181"/>
      <c r="O73" s="1181"/>
      <c r="P73" s="1181">
        <f>+P70+P71</f>
        <v>93.23</v>
      </c>
    </row>
    <row r="74" spans="1:18">
      <c r="A74" s="1184">
        <v>3525</v>
      </c>
      <c r="B74" s="1184">
        <v>10</v>
      </c>
      <c r="C74" s="1184">
        <v>0.82</v>
      </c>
      <c r="D74" s="1230" t="s">
        <v>3368</v>
      </c>
      <c r="E74" s="1190">
        <v>9</v>
      </c>
      <c r="F74" s="1190">
        <v>8</v>
      </c>
      <c r="G74" s="1190" t="s">
        <v>1536</v>
      </c>
      <c r="M74" s="1181"/>
      <c r="N74" s="1181"/>
      <c r="O74" s="1181"/>
      <c r="P74" s="1181"/>
    </row>
    <row r="75" spans="1:18">
      <c r="A75" s="1190">
        <v>5150</v>
      </c>
      <c r="B75" s="1190">
        <v>11</v>
      </c>
      <c r="C75" s="1190">
        <v>0.45</v>
      </c>
      <c r="D75" s="693" t="s">
        <v>1847</v>
      </c>
      <c r="E75" s="1190"/>
      <c r="F75" s="1190"/>
      <c r="G75" s="1190" t="s">
        <v>1157</v>
      </c>
      <c r="M75" s="1181"/>
      <c r="N75" s="1181"/>
      <c r="O75" s="1181"/>
      <c r="P75" s="1181"/>
    </row>
    <row r="76" spans="1:18">
      <c r="B76"/>
      <c r="C76"/>
      <c r="D76"/>
      <c r="M76" s="1181"/>
      <c r="N76" s="1181"/>
      <c r="O76" s="1181"/>
      <c r="P76" s="1181"/>
    </row>
    <row r="77" spans="1:18">
      <c r="B77"/>
      <c r="C77"/>
      <c r="D77" s="1692" t="s">
        <v>5492</v>
      </c>
      <c r="M77" s="1181"/>
      <c r="N77" s="1181"/>
      <c r="O77" s="1181"/>
      <c r="P77" s="1181"/>
    </row>
    <row r="78" spans="1:18">
      <c r="B78"/>
      <c r="C78"/>
      <c r="D78" s="101" t="s">
        <v>4792</v>
      </c>
      <c r="M78" s="1181"/>
      <c r="N78" s="1181"/>
      <c r="O78" s="1181"/>
      <c r="P78" s="1181"/>
    </row>
    <row r="79" spans="1:18">
      <c r="A79" s="1595" t="s">
        <v>3318</v>
      </c>
      <c r="B79" s="326" t="s">
        <v>4527</v>
      </c>
      <c r="C79" s="326" t="s">
        <v>559</v>
      </c>
      <c r="D79" s="326" t="s">
        <v>1</v>
      </c>
      <c r="E79" s="1070" t="s">
        <v>110</v>
      </c>
      <c r="F79" s="1070" t="s">
        <v>1067</v>
      </c>
      <c r="G79" s="1069" t="s">
        <v>1932</v>
      </c>
    </row>
    <row r="80" spans="1:18" hidden="1">
      <c r="A80" s="1595">
        <v>5150</v>
      </c>
      <c r="B80" s="1595"/>
      <c r="C80" s="1595"/>
      <c r="D80" s="293" t="s">
        <v>1847</v>
      </c>
      <c r="E80" s="1595"/>
      <c r="F80" s="1595">
        <v>0</v>
      </c>
      <c r="G80" s="1595">
        <v>0</v>
      </c>
    </row>
    <row r="81" spans="1:9" hidden="1">
      <c r="A81" s="1595">
        <v>3655</v>
      </c>
      <c r="B81" s="1595"/>
      <c r="C81" s="1595"/>
      <c r="D81" s="293" t="s">
        <v>1355</v>
      </c>
      <c r="E81" s="1595">
        <v>28</v>
      </c>
      <c r="F81" s="1595">
        <v>34</v>
      </c>
      <c r="G81" s="1595">
        <v>0</v>
      </c>
    </row>
    <row r="82" spans="1:9" hidden="1">
      <c r="A82" s="1595">
        <v>3524</v>
      </c>
      <c r="B82" s="1595"/>
      <c r="C82" s="1595"/>
      <c r="D82" s="293" t="s">
        <v>1356</v>
      </c>
      <c r="E82" s="1595">
        <v>149</v>
      </c>
      <c r="F82" s="1595">
        <v>91</v>
      </c>
      <c r="G82" s="1595">
        <v>0</v>
      </c>
      <c r="I82" t="s">
        <v>65</v>
      </c>
    </row>
    <row r="83" spans="1:9" hidden="1">
      <c r="A83" s="1595">
        <v>21799</v>
      </c>
      <c r="B83" s="1595"/>
      <c r="C83" s="1595"/>
      <c r="D83" s="293" t="s">
        <v>4400</v>
      </c>
      <c r="E83" s="1595">
        <v>28</v>
      </c>
      <c r="F83" s="1595">
        <v>28</v>
      </c>
      <c r="G83" s="1595">
        <v>0</v>
      </c>
    </row>
    <row r="84" spans="1:9">
      <c r="A84" s="1595">
        <v>3586</v>
      </c>
      <c r="B84" s="1595"/>
      <c r="C84" s="1595"/>
      <c r="D84" s="293" t="s">
        <v>1848</v>
      </c>
      <c r="E84" s="1595">
        <v>17</v>
      </c>
      <c r="F84" s="1595">
        <v>24</v>
      </c>
      <c r="G84" s="1595" t="s">
        <v>5491</v>
      </c>
    </row>
    <row r="85" spans="1:9" hidden="1">
      <c r="A85" s="1595">
        <v>11029</v>
      </c>
      <c r="B85" s="1595"/>
      <c r="C85" s="1595"/>
      <c r="D85" s="293" t="s">
        <v>3370</v>
      </c>
      <c r="E85" s="1595">
        <v>34</v>
      </c>
      <c r="F85" s="1595">
        <v>4</v>
      </c>
      <c r="G85" s="1595">
        <v>0</v>
      </c>
    </row>
    <row r="86" spans="1:9" hidden="1">
      <c r="A86" s="1595">
        <v>11053</v>
      </c>
      <c r="B86" s="1595"/>
      <c r="C86" s="1595"/>
      <c r="D86" s="293" t="s">
        <v>3364</v>
      </c>
      <c r="E86" s="1595"/>
      <c r="F86" s="1595"/>
      <c r="G86" s="1595"/>
    </row>
    <row r="87" spans="1:9" hidden="1">
      <c r="A87" s="1595">
        <v>11051</v>
      </c>
      <c r="B87" s="1595"/>
      <c r="C87" s="1595"/>
      <c r="D87" s="293" t="s">
        <v>3366</v>
      </c>
      <c r="E87" s="1595"/>
      <c r="F87" s="1595"/>
      <c r="G87" s="1595"/>
    </row>
    <row r="88" spans="1:9">
      <c r="A88" s="1595">
        <v>3525</v>
      </c>
      <c r="B88" s="1595"/>
      <c r="C88" s="1595"/>
      <c r="D88" s="293" t="s">
        <v>3368</v>
      </c>
      <c r="E88" s="1595">
        <v>0</v>
      </c>
      <c r="F88" s="1595">
        <v>0</v>
      </c>
      <c r="G88" s="1595" t="s">
        <v>1536</v>
      </c>
    </row>
    <row r="89" spans="1:9" hidden="1">
      <c r="A89" s="1595">
        <v>5499</v>
      </c>
      <c r="B89" s="1595"/>
      <c r="C89" s="1595"/>
      <c r="D89" s="293" t="s">
        <v>3725</v>
      </c>
      <c r="E89" s="1595">
        <v>13</v>
      </c>
      <c r="F89" s="1595">
        <v>12</v>
      </c>
      <c r="G89" s="1595">
        <v>0</v>
      </c>
    </row>
    <row r="90" spans="1:9">
      <c r="A90" s="1595">
        <v>21300</v>
      </c>
      <c r="B90" s="1595">
        <v>22</v>
      </c>
      <c r="C90" s="1595">
        <v>1.72</v>
      </c>
      <c r="D90" s="293" t="s">
        <v>4607</v>
      </c>
      <c r="E90" s="1595">
        <v>44</v>
      </c>
      <c r="F90" s="1595"/>
      <c r="G90" s="1595" t="s">
        <v>3911</v>
      </c>
    </row>
    <row r="91" spans="1:9">
      <c r="A91" s="21"/>
      <c r="B91" s="21"/>
      <c r="C91" s="21"/>
      <c r="D91" s="1352" t="s">
        <v>4608</v>
      </c>
      <c r="E91" s="21"/>
      <c r="F91" s="21"/>
      <c r="G91" s="1595" t="s">
        <v>3996</v>
      </c>
    </row>
    <row r="92" spans="1:9">
      <c r="A92" s="375">
        <v>22349</v>
      </c>
      <c r="B92" s="693"/>
      <c r="C92" s="693"/>
      <c r="D92" s="1352" t="s">
        <v>4790</v>
      </c>
      <c r="E92" s="375">
        <v>19</v>
      </c>
      <c r="F92" s="693">
        <v>0</v>
      </c>
      <c r="G92" s="1595" t="s">
        <v>4038</v>
      </c>
    </row>
    <row r="93" spans="1:9" hidden="1">
      <c r="A93" s="2381" t="s">
        <v>4791</v>
      </c>
      <c r="B93" s="2381"/>
      <c r="C93" s="2381"/>
      <c r="D93" s="2381"/>
    </row>
    <row r="94" spans="1:9" hidden="1">
      <c r="A94" s="1434" t="s">
        <v>0</v>
      </c>
      <c r="B94" s="1434" t="s">
        <v>122</v>
      </c>
      <c r="C94" s="1434" t="s">
        <v>547</v>
      </c>
      <c r="D94" s="1434" t="s">
        <v>1</v>
      </c>
      <c r="E94" s="1070" t="s">
        <v>110</v>
      </c>
      <c r="F94" s="1070" t="s">
        <v>1067</v>
      </c>
      <c r="G94" s="375" t="s">
        <v>68</v>
      </c>
    </row>
    <row r="95" spans="1:9" hidden="1">
      <c r="A95" s="21">
        <v>3655</v>
      </c>
      <c r="B95" s="1434">
        <v>30</v>
      </c>
      <c r="C95" s="1434">
        <v>0.75</v>
      </c>
      <c r="D95" s="293" t="s">
        <v>1355</v>
      </c>
      <c r="E95" s="1434">
        <v>32</v>
      </c>
      <c r="F95" s="1434">
        <v>37</v>
      </c>
      <c r="G95" s="1434" t="s">
        <v>591</v>
      </c>
    </row>
    <row r="96" spans="1:9" hidden="1">
      <c r="A96" s="21">
        <v>3524</v>
      </c>
      <c r="B96" s="1434">
        <v>80</v>
      </c>
      <c r="C96" s="1434">
        <v>1.35</v>
      </c>
      <c r="D96" s="293" t="s">
        <v>1356</v>
      </c>
      <c r="E96" s="1434">
        <v>124</v>
      </c>
      <c r="F96" s="1434">
        <v>162</v>
      </c>
      <c r="G96" s="1434" t="s">
        <v>4037</v>
      </c>
    </row>
    <row r="97" spans="1:11" hidden="1">
      <c r="A97" s="21">
        <v>21799</v>
      </c>
      <c r="B97" s="1434">
        <v>30</v>
      </c>
      <c r="C97" s="1434">
        <v>1.1000000000000001</v>
      </c>
      <c r="D97" s="293" t="s">
        <v>4400</v>
      </c>
      <c r="E97" s="1434">
        <v>15</v>
      </c>
      <c r="F97" s="1434">
        <v>15</v>
      </c>
      <c r="G97" s="1434" t="s">
        <v>1157</v>
      </c>
    </row>
    <row r="98" spans="1:11" hidden="1">
      <c r="A98" s="21">
        <v>3586</v>
      </c>
      <c r="B98" s="1434">
        <v>27</v>
      </c>
      <c r="C98" s="1434">
        <v>0.56999999999999995</v>
      </c>
      <c r="D98" s="293" t="s">
        <v>1848</v>
      </c>
      <c r="E98" s="1434">
        <v>14</v>
      </c>
      <c r="F98" s="1434">
        <v>13</v>
      </c>
      <c r="G98" s="1434" t="s">
        <v>3996</v>
      </c>
    </row>
    <row r="99" spans="1:11" hidden="1">
      <c r="A99" s="21">
        <v>11029</v>
      </c>
      <c r="B99" s="1434">
        <v>30</v>
      </c>
      <c r="C99" s="1434">
        <v>1.1000000000000001</v>
      </c>
      <c r="D99" s="293" t="s">
        <v>3370</v>
      </c>
      <c r="E99" s="1434">
        <v>59</v>
      </c>
      <c r="F99" s="1434">
        <v>14</v>
      </c>
      <c r="G99" s="1434" t="s">
        <v>4564</v>
      </c>
    </row>
    <row r="100" spans="1:11" hidden="1">
      <c r="A100" s="21">
        <v>5499</v>
      </c>
      <c r="B100" s="1434">
        <v>20</v>
      </c>
      <c r="C100" s="1434">
        <v>1.59</v>
      </c>
      <c r="D100" s="293" t="s">
        <v>3725</v>
      </c>
      <c r="E100" s="1434">
        <v>11</v>
      </c>
      <c r="F100" s="1434">
        <v>15</v>
      </c>
      <c r="G100" s="375">
        <v>0</v>
      </c>
    </row>
    <row r="101" spans="1:11" hidden="1">
      <c r="A101" s="21">
        <v>21300</v>
      </c>
      <c r="B101" s="1434">
        <v>41</v>
      </c>
      <c r="C101" s="1434">
        <v>1.73</v>
      </c>
      <c r="D101" s="293" t="s">
        <v>4607</v>
      </c>
      <c r="E101" s="1434">
        <v>32</v>
      </c>
      <c r="F101" s="1434">
        <v>9</v>
      </c>
      <c r="G101" s="1434" t="s">
        <v>4564</v>
      </c>
    </row>
    <row r="102" spans="1:11" hidden="1">
      <c r="A102" s="21">
        <v>22349</v>
      </c>
      <c r="B102" s="1434">
        <v>20</v>
      </c>
      <c r="C102" s="1434">
        <v>1.8</v>
      </c>
      <c r="D102" s="293" t="s">
        <v>4790</v>
      </c>
      <c r="E102" s="1434">
        <v>9</v>
      </c>
      <c r="F102" s="1434">
        <v>11</v>
      </c>
      <c r="G102" s="1434" t="s">
        <v>1536</v>
      </c>
    </row>
    <row r="103" spans="1:11" hidden="1">
      <c r="D103" s="1352" t="s">
        <v>4608</v>
      </c>
      <c r="E103" s="693"/>
      <c r="F103" s="693"/>
      <c r="G103" s="1434" t="s">
        <v>1157</v>
      </c>
    </row>
    <row r="104" spans="1:11" hidden="1"/>
    <row r="105" spans="1:11" hidden="1"/>
    <row r="111" spans="1:11">
      <c r="K111">
        <v>4.3849999999999998</v>
      </c>
    </row>
    <row r="112" spans="1:11">
      <c r="K112">
        <v>15534.87</v>
      </c>
    </row>
    <row r="113" spans="11:11">
      <c r="K113">
        <f>+K112/K111</f>
        <v>3542.7297605473209</v>
      </c>
    </row>
  </sheetData>
  <mergeCells count="1">
    <mergeCell ref="A93:D93"/>
  </mergeCells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C4:M18"/>
  <sheetViews>
    <sheetView workbookViewId="0">
      <selection activeCell="G5" sqref="G5"/>
    </sheetView>
  </sheetViews>
  <sheetFormatPr baseColWidth="10" defaultRowHeight="15"/>
  <cols>
    <col min="7" max="7" width="35.85546875" customWidth="1"/>
  </cols>
  <sheetData>
    <row r="4" spans="3:13">
      <c r="G4" t="s">
        <v>3892</v>
      </c>
    </row>
    <row r="6" spans="3:13" ht="75">
      <c r="C6" s="998" t="s">
        <v>0</v>
      </c>
      <c r="D6" s="998" t="s">
        <v>122</v>
      </c>
      <c r="E6" s="998" t="s">
        <v>547</v>
      </c>
      <c r="F6" s="2382" t="s">
        <v>1</v>
      </c>
      <c r="G6" s="2383"/>
      <c r="H6" s="1000" t="s">
        <v>3891</v>
      </c>
      <c r="I6" s="998" t="s">
        <v>3890</v>
      </c>
      <c r="J6" s="1000" t="s">
        <v>19</v>
      </c>
      <c r="K6" s="1000" t="s">
        <v>3888</v>
      </c>
      <c r="L6" s="827"/>
      <c r="M6" s="827"/>
    </row>
    <row r="7" spans="3:13">
      <c r="C7" s="998">
        <v>6102</v>
      </c>
      <c r="D7" s="998">
        <v>600</v>
      </c>
      <c r="E7" s="998">
        <v>0.85</v>
      </c>
      <c r="F7" s="21" t="s">
        <v>3876</v>
      </c>
      <c r="G7" s="998"/>
      <c r="H7" s="998">
        <f>+D7/24</f>
        <v>25</v>
      </c>
      <c r="I7" s="998" t="s">
        <v>3660</v>
      </c>
      <c r="J7" s="998" t="s">
        <v>1321</v>
      </c>
      <c r="K7" s="998" t="s">
        <v>243</v>
      </c>
      <c r="L7" s="827"/>
      <c r="M7" s="827"/>
    </row>
    <row r="8" spans="3:13">
      <c r="C8" s="998">
        <v>6314</v>
      </c>
      <c r="D8" s="998">
        <v>216</v>
      </c>
      <c r="E8" s="998">
        <v>0.75</v>
      </c>
      <c r="F8" s="21" t="s">
        <v>3877</v>
      </c>
      <c r="G8" s="998"/>
      <c r="H8" s="998">
        <f t="shared" ref="H8:H18" si="0">+D8/24</f>
        <v>9</v>
      </c>
      <c r="I8" s="998" t="s">
        <v>1321</v>
      </c>
      <c r="J8" s="998" t="s">
        <v>243</v>
      </c>
      <c r="K8" s="998" t="s">
        <v>244</v>
      </c>
      <c r="L8" s="827"/>
      <c r="M8" s="827"/>
    </row>
    <row r="9" spans="3:13">
      <c r="C9" s="998">
        <v>6916</v>
      </c>
      <c r="D9" s="998">
        <v>216</v>
      </c>
      <c r="E9" s="998">
        <v>0.75</v>
      </c>
      <c r="F9" s="21" t="s">
        <v>3878</v>
      </c>
      <c r="G9" s="998"/>
      <c r="H9" s="998">
        <f t="shared" si="0"/>
        <v>9</v>
      </c>
      <c r="I9" s="998" t="s">
        <v>3660</v>
      </c>
      <c r="J9" s="998" t="s">
        <v>1321</v>
      </c>
      <c r="K9" s="998" t="s">
        <v>243</v>
      </c>
      <c r="L9" s="827"/>
      <c r="M9" s="827"/>
    </row>
    <row r="10" spans="3:13">
      <c r="C10" s="998">
        <v>3787</v>
      </c>
      <c r="D10" s="998">
        <v>240</v>
      </c>
      <c r="E10" s="998">
        <v>0.75</v>
      </c>
      <c r="F10" s="21" t="s">
        <v>3879</v>
      </c>
      <c r="G10" s="998"/>
      <c r="H10" s="998">
        <f t="shared" si="0"/>
        <v>10</v>
      </c>
      <c r="I10" s="998" t="s">
        <v>1321</v>
      </c>
      <c r="J10" s="998" t="s">
        <v>243</v>
      </c>
      <c r="K10" s="998" t="s">
        <v>244</v>
      </c>
      <c r="L10" s="827"/>
      <c r="M10" s="827"/>
    </row>
    <row r="11" spans="3:13">
      <c r="C11" s="998">
        <v>2771</v>
      </c>
      <c r="D11" s="998">
        <v>600</v>
      </c>
      <c r="E11" s="998">
        <v>0.81</v>
      </c>
      <c r="F11" s="21" t="s">
        <v>3880</v>
      </c>
      <c r="G11" s="998"/>
      <c r="H11" s="998">
        <f t="shared" si="0"/>
        <v>25</v>
      </c>
      <c r="I11" s="998" t="s">
        <v>3660</v>
      </c>
      <c r="J11" s="998" t="s">
        <v>1321</v>
      </c>
      <c r="K11" s="998" t="s">
        <v>243</v>
      </c>
      <c r="L11" s="827"/>
      <c r="M11" s="827"/>
    </row>
    <row r="12" spans="3:13">
      <c r="C12" s="998">
        <v>6313</v>
      </c>
      <c r="D12" s="998">
        <v>112</v>
      </c>
      <c r="E12" s="998">
        <v>0.67</v>
      </c>
      <c r="F12" s="21" t="s">
        <v>3881</v>
      </c>
      <c r="G12" s="998"/>
      <c r="H12" s="998">
        <f>+D12/16</f>
        <v>7</v>
      </c>
      <c r="I12" s="998" t="s">
        <v>1321</v>
      </c>
      <c r="J12" s="998" t="s">
        <v>243</v>
      </c>
      <c r="K12" s="998" t="s">
        <v>244</v>
      </c>
      <c r="L12" s="827"/>
      <c r="M12" s="827"/>
    </row>
    <row r="13" spans="3:13">
      <c r="C13" s="998">
        <v>9375</v>
      </c>
      <c r="D13" s="998">
        <v>240</v>
      </c>
      <c r="E13" s="998">
        <v>0.42</v>
      </c>
      <c r="F13" s="21" t="s">
        <v>3882</v>
      </c>
      <c r="G13" s="998"/>
      <c r="H13" s="998">
        <f>+D13/48</f>
        <v>5</v>
      </c>
      <c r="I13" s="998" t="s">
        <v>591</v>
      </c>
      <c r="J13" s="998" t="s">
        <v>591</v>
      </c>
      <c r="K13" s="998" t="s">
        <v>591</v>
      </c>
      <c r="L13" s="827"/>
      <c r="M13" s="827"/>
    </row>
    <row r="14" spans="3:13">
      <c r="C14" s="998">
        <v>9376</v>
      </c>
      <c r="D14" s="998">
        <v>240</v>
      </c>
      <c r="E14" s="998">
        <v>0.42</v>
      </c>
      <c r="F14" s="21" t="s">
        <v>3883</v>
      </c>
      <c r="G14" s="998"/>
      <c r="H14" s="998">
        <f t="shared" si="0"/>
        <v>10</v>
      </c>
      <c r="I14" s="998" t="s">
        <v>591</v>
      </c>
      <c r="J14" s="998" t="s">
        <v>591</v>
      </c>
      <c r="K14" s="998" t="s">
        <v>591</v>
      </c>
      <c r="L14" s="827"/>
      <c r="M14" s="827"/>
    </row>
    <row r="15" spans="3:13">
      <c r="C15" s="998">
        <v>9993</v>
      </c>
      <c r="D15" s="998">
        <v>72</v>
      </c>
      <c r="E15" s="998">
        <v>1</v>
      </c>
      <c r="F15" s="21" t="s">
        <v>3884</v>
      </c>
      <c r="G15" s="998"/>
      <c r="H15" s="998">
        <f t="shared" si="0"/>
        <v>3</v>
      </c>
      <c r="I15" s="998" t="s">
        <v>243</v>
      </c>
      <c r="J15" s="998" t="s">
        <v>244</v>
      </c>
      <c r="K15" s="998" t="s">
        <v>244</v>
      </c>
      <c r="L15" s="827"/>
      <c r="M15" s="827"/>
    </row>
    <row r="16" spans="3:13">
      <c r="C16" s="998">
        <v>8287</v>
      </c>
      <c r="D16" s="998">
        <v>16</v>
      </c>
      <c r="E16" s="998">
        <v>0.67</v>
      </c>
      <c r="F16" s="21" t="s">
        <v>3885</v>
      </c>
      <c r="G16" s="998"/>
      <c r="H16" s="998">
        <f>+D16/16</f>
        <v>1</v>
      </c>
      <c r="I16" s="998" t="s">
        <v>3717</v>
      </c>
      <c r="J16" s="998" t="s">
        <v>244</v>
      </c>
      <c r="K16" s="998" t="s">
        <v>244</v>
      </c>
      <c r="L16" s="827"/>
      <c r="M16" s="827"/>
    </row>
    <row r="17" spans="3:13">
      <c r="C17" s="998">
        <v>1242</v>
      </c>
      <c r="D17" s="998">
        <v>48</v>
      </c>
      <c r="E17" s="998">
        <v>0.67</v>
      </c>
      <c r="F17" s="21" t="s">
        <v>3886</v>
      </c>
      <c r="G17" s="998"/>
      <c r="H17" s="998">
        <f>+D17/16</f>
        <v>3</v>
      </c>
      <c r="I17" s="998" t="s">
        <v>3717</v>
      </c>
      <c r="J17" s="998" t="s">
        <v>244</v>
      </c>
      <c r="K17" s="998" t="s">
        <v>244</v>
      </c>
      <c r="L17" s="827"/>
      <c r="M17" s="827"/>
    </row>
    <row r="18" spans="3:13">
      <c r="C18" s="998">
        <v>1431</v>
      </c>
      <c r="D18" s="998">
        <v>24</v>
      </c>
      <c r="E18" s="998">
        <v>1.1100000000000001</v>
      </c>
      <c r="F18" s="21" t="s">
        <v>3887</v>
      </c>
      <c r="G18" s="998"/>
      <c r="H18" s="998">
        <f t="shared" si="0"/>
        <v>1</v>
      </c>
      <c r="I18" s="998" t="s">
        <v>243</v>
      </c>
      <c r="J18" s="998" t="s">
        <v>556</v>
      </c>
      <c r="K18" s="998" t="s">
        <v>556</v>
      </c>
      <c r="L18" s="827"/>
      <c r="M18" s="827"/>
    </row>
  </sheetData>
  <mergeCells count="1">
    <mergeCell ref="F6:G6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:AA39"/>
  <sheetViews>
    <sheetView topLeftCell="B1" workbookViewId="0">
      <selection activeCell="B19" sqref="B19:T31"/>
    </sheetView>
  </sheetViews>
  <sheetFormatPr baseColWidth="10" defaultRowHeight="15"/>
  <cols>
    <col min="1" max="1" width="0" hidden="1" customWidth="1"/>
    <col min="2" max="3" width="11.42578125" style="363"/>
    <col min="4" max="4" width="11.42578125" style="599" customWidth="1"/>
    <col min="5" max="5" width="42" customWidth="1"/>
    <col min="6" max="6" width="11" style="599" hidden="1" customWidth="1"/>
    <col min="7" max="7" width="16.140625" style="789" hidden="1" customWidth="1"/>
    <col min="8" max="8" width="16.42578125" hidden="1" customWidth="1"/>
    <col min="9" max="9" width="10" style="404" hidden="1" customWidth="1"/>
    <col min="10" max="12" width="11.42578125" style="404" hidden="1" customWidth="1"/>
    <col min="13" max="13" width="13.28515625" customWidth="1"/>
    <col min="14" max="16" width="11.42578125" style="404" customWidth="1"/>
    <col min="17" max="17" width="15.28515625" customWidth="1"/>
    <col min="18" max="20" width="11.42578125" style="404" customWidth="1"/>
    <col min="21" max="21" width="11.42578125" customWidth="1"/>
    <col min="22" max="23" width="11.42578125" style="404" customWidth="1"/>
    <col min="24" max="27" width="11.42578125" customWidth="1"/>
  </cols>
  <sheetData>
    <row r="1" spans="2:27" ht="15.75" thickBot="1"/>
    <row r="2" spans="2:27" ht="45">
      <c r="B2" s="525"/>
      <c r="C2" s="999" t="s">
        <v>3875</v>
      </c>
      <c r="D2" s="613"/>
      <c r="E2" s="614"/>
      <c r="F2" s="613" t="s">
        <v>2647</v>
      </c>
      <c r="G2" s="615" t="s">
        <v>19</v>
      </c>
      <c r="H2" s="615" t="s">
        <v>19</v>
      </c>
      <c r="I2" s="615"/>
      <c r="J2" s="615" t="s">
        <v>2818</v>
      </c>
      <c r="K2" s="615" t="s">
        <v>110</v>
      </c>
      <c r="L2" s="615" t="s">
        <v>111</v>
      </c>
      <c r="M2" s="615" t="s">
        <v>20</v>
      </c>
      <c r="N2" s="615" t="s">
        <v>2818</v>
      </c>
      <c r="O2" s="799" t="s">
        <v>110</v>
      </c>
      <c r="P2" s="799" t="s">
        <v>111</v>
      </c>
      <c r="Q2" s="615" t="s">
        <v>21</v>
      </c>
      <c r="R2" s="615" t="s">
        <v>2818</v>
      </c>
      <c r="S2" s="802" t="s">
        <v>110</v>
      </c>
      <c r="T2" s="802" t="s">
        <v>111</v>
      </c>
      <c r="U2" s="615" t="s">
        <v>23</v>
      </c>
      <c r="V2" s="615"/>
      <c r="W2" s="615"/>
      <c r="X2" s="616" t="s">
        <v>24</v>
      </c>
      <c r="Y2" s="615" t="s">
        <v>2818</v>
      </c>
      <c r="Z2" s="615" t="s">
        <v>110</v>
      </c>
      <c r="AA2" s="615" t="s">
        <v>111</v>
      </c>
    </row>
    <row r="3" spans="2:27" ht="18.75" customHeight="1">
      <c r="B3" s="617" t="s">
        <v>0</v>
      </c>
      <c r="C3" s="598" t="s">
        <v>547</v>
      </c>
      <c r="D3" s="600" t="s">
        <v>2819</v>
      </c>
      <c r="E3" s="21" t="s">
        <v>1</v>
      </c>
      <c r="F3" s="598"/>
      <c r="G3" s="788"/>
      <c r="H3" s="598"/>
      <c r="I3" s="598"/>
      <c r="J3" s="598"/>
      <c r="K3" s="575" t="s">
        <v>65</v>
      </c>
      <c r="L3" s="575" t="s">
        <v>65</v>
      </c>
      <c r="M3" s="598" t="s">
        <v>68</v>
      </c>
      <c r="N3" s="598"/>
      <c r="O3" s="297"/>
      <c r="P3" s="297"/>
      <c r="Q3" s="598"/>
      <c r="R3" s="598"/>
      <c r="S3" s="430"/>
      <c r="T3" s="430"/>
      <c r="U3" s="21"/>
      <c r="V3" s="21"/>
      <c r="W3" s="21"/>
      <c r="X3" s="618"/>
    </row>
    <row r="4" spans="2:27">
      <c r="B4" s="617">
        <v>1519</v>
      </c>
      <c r="C4" s="598">
        <v>3.5</v>
      </c>
      <c r="D4" s="598">
        <f>C4*F4</f>
        <v>35</v>
      </c>
      <c r="E4" s="21" t="s">
        <v>1540</v>
      </c>
      <c r="F4" s="598">
        <v>10</v>
      </c>
      <c r="G4" s="788" t="s">
        <v>675</v>
      </c>
      <c r="H4" s="598">
        <v>33</v>
      </c>
      <c r="I4" s="598" t="s">
        <v>242</v>
      </c>
      <c r="J4" s="598">
        <f>H4*D4</f>
        <v>1155</v>
      </c>
      <c r="K4" s="575">
        <v>70</v>
      </c>
      <c r="L4" s="575">
        <v>43</v>
      </c>
      <c r="M4" s="598" t="s">
        <v>555</v>
      </c>
      <c r="N4" s="598" t="e">
        <f>M4*D4</f>
        <v>#VALUE!</v>
      </c>
      <c r="O4" s="297">
        <v>8</v>
      </c>
      <c r="P4" s="297">
        <v>19</v>
      </c>
      <c r="Q4" s="598" t="s">
        <v>546</v>
      </c>
      <c r="R4" s="598">
        <v>3</v>
      </c>
      <c r="S4" s="430">
        <v>81</v>
      </c>
      <c r="T4" s="430">
        <v>9</v>
      </c>
      <c r="U4" s="21"/>
      <c r="V4" s="21"/>
      <c r="W4" s="21"/>
      <c r="X4" s="618"/>
    </row>
    <row r="5" spans="2:27">
      <c r="B5" s="617">
        <v>1520</v>
      </c>
      <c r="C5" s="598">
        <v>3</v>
      </c>
      <c r="D5" s="598">
        <f>C5*F5</f>
        <v>30</v>
      </c>
      <c r="E5" s="21" t="s">
        <v>1539</v>
      </c>
      <c r="F5" s="598">
        <v>10</v>
      </c>
      <c r="G5" s="788" t="s">
        <v>676</v>
      </c>
      <c r="H5" s="598">
        <v>13</v>
      </c>
      <c r="I5" s="598" t="s">
        <v>242</v>
      </c>
      <c r="J5" s="598">
        <f>H5*D5</f>
        <v>390</v>
      </c>
      <c r="K5" s="575">
        <v>161</v>
      </c>
      <c r="L5" s="575">
        <v>335</v>
      </c>
      <c r="M5" s="598" t="s">
        <v>555</v>
      </c>
      <c r="N5" s="598">
        <v>0</v>
      </c>
      <c r="O5" s="297">
        <v>11</v>
      </c>
      <c r="P5" s="297">
        <v>19</v>
      </c>
      <c r="Q5" s="598" t="s">
        <v>555</v>
      </c>
      <c r="R5" s="598">
        <v>3</v>
      </c>
      <c r="S5" s="430">
        <v>126</v>
      </c>
      <c r="T5" s="430">
        <v>182</v>
      </c>
      <c r="U5" s="21"/>
      <c r="V5" s="21"/>
      <c r="W5" s="21"/>
      <c r="X5" s="618"/>
    </row>
    <row r="6" spans="2:27" ht="15.75" thickBot="1">
      <c r="B6" s="619">
        <v>1523</v>
      </c>
      <c r="C6" s="620">
        <v>7.5</v>
      </c>
      <c r="D6" s="598">
        <f>C6*F6</f>
        <v>45</v>
      </c>
      <c r="E6" s="621" t="s">
        <v>1538</v>
      </c>
      <c r="F6" s="620">
        <v>6</v>
      </c>
      <c r="G6" s="620" t="s">
        <v>558</v>
      </c>
      <c r="H6" s="620">
        <v>0</v>
      </c>
      <c r="I6" s="438"/>
      <c r="J6" s="598">
        <f>H6*D6</f>
        <v>0</v>
      </c>
      <c r="K6" s="801">
        <v>36</v>
      </c>
      <c r="L6" s="801">
        <v>94</v>
      </c>
      <c r="M6" s="620">
        <v>0</v>
      </c>
      <c r="N6" s="598">
        <v>0</v>
      </c>
      <c r="O6" s="800">
        <v>3</v>
      </c>
      <c r="P6" s="800">
        <v>43</v>
      </c>
      <c r="Q6" s="620" t="s">
        <v>546</v>
      </c>
      <c r="R6" s="620"/>
      <c r="S6" s="803">
        <v>31</v>
      </c>
      <c r="T6" s="803">
        <v>43</v>
      </c>
      <c r="U6" s="621"/>
      <c r="V6" s="621"/>
      <c r="W6" s="621"/>
      <c r="X6" s="622"/>
    </row>
    <row r="7" spans="2:27">
      <c r="C7" s="363" t="s">
        <v>65</v>
      </c>
      <c r="J7" s="599">
        <f>SUM(J4:J6)</f>
        <v>1545</v>
      </c>
      <c r="N7" s="599" t="e">
        <f>SUM(N4:N6)</f>
        <v>#VALUE!</v>
      </c>
    </row>
    <row r="8" spans="2:27">
      <c r="C8" s="1001" t="s">
        <v>3875</v>
      </c>
      <c r="D8" s="1001"/>
      <c r="E8" s="693"/>
    </row>
    <row r="9" spans="2:27" s="827" customFormat="1">
      <c r="B9" s="999"/>
      <c r="C9" s="998" t="s">
        <v>547</v>
      </c>
      <c r="D9" s="1001"/>
      <c r="E9" s="693"/>
      <c r="F9" s="999"/>
      <c r="G9" s="999"/>
    </row>
    <row r="10" spans="2:27">
      <c r="C10" s="1001">
        <v>2.19</v>
      </c>
      <c r="D10" s="1001"/>
      <c r="E10" s="53" t="s">
        <v>3874</v>
      </c>
    </row>
    <row r="11" spans="2:27">
      <c r="C11" s="1001"/>
      <c r="D11" s="1001"/>
      <c r="E11" s="693"/>
    </row>
    <row r="12" spans="2:27">
      <c r="C12" s="1001"/>
      <c r="D12" s="1001"/>
      <c r="E12" s="693"/>
    </row>
    <row r="13" spans="2:27">
      <c r="C13" s="1001"/>
      <c r="D13" s="1001"/>
      <c r="E13" s="693"/>
    </row>
    <row r="14" spans="2:27">
      <c r="C14" s="1001"/>
      <c r="D14" s="1001"/>
      <c r="E14" s="693"/>
    </row>
    <row r="19" spans="2:18" ht="60">
      <c r="B19" s="998" t="s">
        <v>0</v>
      </c>
      <c r="C19" s="998" t="s">
        <v>122</v>
      </c>
      <c r="D19" s="998" t="s">
        <v>547</v>
      </c>
      <c r="E19" s="998" t="s">
        <v>1</v>
      </c>
      <c r="F19" s="101"/>
      <c r="G19" s="101" t="s">
        <v>554</v>
      </c>
      <c r="H19" s="25"/>
      <c r="I19" s="25"/>
      <c r="J19" s="101"/>
      <c r="K19" s="25"/>
      <c r="L19" s="25"/>
      <c r="M19" s="25"/>
      <c r="N19" s="25"/>
      <c r="O19" s="25"/>
      <c r="P19" s="25"/>
      <c r="Q19" s="1000" t="s">
        <v>19</v>
      </c>
      <c r="R19" s="1000" t="s">
        <v>3888</v>
      </c>
    </row>
    <row r="20" spans="2:18">
      <c r="B20" s="998">
        <v>6102</v>
      </c>
      <c r="C20" s="998">
        <v>600</v>
      </c>
      <c r="D20" s="998">
        <v>0.85</v>
      </c>
      <c r="E20" s="21" t="s">
        <v>3876</v>
      </c>
      <c r="F20" s="101"/>
      <c r="G20" s="101">
        <f>+C20/24</f>
        <v>25</v>
      </c>
      <c r="H20" s="25"/>
      <c r="I20" s="25"/>
      <c r="J20" s="101" t="s">
        <v>3660</v>
      </c>
      <c r="K20" s="25"/>
      <c r="L20" s="25"/>
      <c r="M20" s="25"/>
      <c r="N20" s="25"/>
      <c r="O20" s="25"/>
      <c r="P20" s="25"/>
      <c r="Q20" s="998" t="s">
        <v>1321</v>
      </c>
      <c r="R20" s="998" t="s">
        <v>243</v>
      </c>
    </row>
    <row r="21" spans="2:18">
      <c r="B21" s="998">
        <v>6314</v>
      </c>
      <c r="C21" s="998">
        <v>216</v>
      </c>
      <c r="D21" s="998">
        <v>0.75</v>
      </c>
      <c r="E21" s="21" t="s">
        <v>3877</v>
      </c>
      <c r="F21" s="101"/>
      <c r="G21" s="101">
        <f t="shared" ref="G21:G31" si="0">+C21/24</f>
        <v>9</v>
      </c>
      <c r="H21" s="25"/>
      <c r="I21" s="25"/>
      <c r="J21" s="101" t="s">
        <v>1321</v>
      </c>
      <c r="K21" s="25"/>
      <c r="L21" s="25"/>
      <c r="M21" s="25"/>
      <c r="N21" s="25"/>
      <c r="O21" s="25"/>
      <c r="P21" s="25"/>
      <c r="Q21" s="998" t="s">
        <v>243</v>
      </c>
      <c r="R21" s="998" t="s">
        <v>244</v>
      </c>
    </row>
    <row r="22" spans="2:18">
      <c r="B22" s="998">
        <v>6916</v>
      </c>
      <c r="C22" s="998">
        <v>216</v>
      </c>
      <c r="D22" s="998">
        <v>0.75</v>
      </c>
      <c r="E22" s="21" t="s">
        <v>3878</v>
      </c>
      <c r="F22" s="101"/>
      <c r="G22" s="101">
        <f t="shared" si="0"/>
        <v>9</v>
      </c>
      <c r="H22" s="25"/>
      <c r="I22" s="25"/>
      <c r="J22" s="101" t="s">
        <v>3660</v>
      </c>
      <c r="K22" s="25"/>
      <c r="L22" s="25"/>
      <c r="M22" s="25"/>
      <c r="N22" s="25"/>
      <c r="O22" s="25"/>
      <c r="P22" s="25"/>
      <c r="Q22" s="998" t="s">
        <v>1321</v>
      </c>
      <c r="R22" s="998" t="s">
        <v>243</v>
      </c>
    </row>
    <row r="23" spans="2:18">
      <c r="B23" s="998">
        <v>3787</v>
      </c>
      <c r="C23" s="998">
        <v>240</v>
      </c>
      <c r="D23" s="998">
        <v>0.75</v>
      </c>
      <c r="E23" s="21" t="s">
        <v>3879</v>
      </c>
      <c r="F23" s="101"/>
      <c r="G23" s="101">
        <f t="shared" si="0"/>
        <v>10</v>
      </c>
      <c r="H23" s="25"/>
      <c r="I23" s="25"/>
      <c r="J23" s="101" t="s">
        <v>1321</v>
      </c>
      <c r="K23" s="25"/>
      <c r="L23" s="25"/>
      <c r="M23" s="25"/>
      <c r="N23" s="25"/>
      <c r="O23" s="25"/>
      <c r="P23" s="25"/>
      <c r="Q23" s="998" t="s">
        <v>243</v>
      </c>
      <c r="R23" s="998" t="s">
        <v>244</v>
      </c>
    </row>
    <row r="24" spans="2:18">
      <c r="B24" s="998">
        <v>2771</v>
      </c>
      <c r="C24" s="998">
        <v>600</v>
      </c>
      <c r="D24" s="998">
        <v>0.81</v>
      </c>
      <c r="E24" s="21" t="s">
        <v>3880</v>
      </c>
      <c r="F24" s="101"/>
      <c r="G24" s="101">
        <f t="shared" si="0"/>
        <v>25</v>
      </c>
      <c r="H24" s="25"/>
      <c r="I24" s="25"/>
      <c r="J24" s="101" t="s">
        <v>3660</v>
      </c>
      <c r="K24" s="25"/>
      <c r="L24" s="25"/>
      <c r="M24" s="25"/>
      <c r="N24" s="25"/>
      <c r="O24" s="25"/>
      <c r="P24" s="25"/>
      <c r="Q24" s="998" t="s">
        <v>1321</v>
      </c>
      <c r="R24" s="998" t="s">
        <v>243</v>
      </c>
    </row>
    <row r="25" spans="2:18">
      <c r="B25" s="998">
        <v>6313</v>
      </c>
      <c r="C25" s="998">
        <v>112</v>
      </c>
      <c r="D25" s="998">
        <v>0.67</v>
      </c>
      <c r="E25" s="21" t="s">
        <v>3881</v>
      </c>
      <c r="F25" s="101"/>
      <c r="G25" s="101">
        <f>+C25/16</f>
        <v>7</v>
      </c>
      <c r="H25" s="25"/>
      <c r="I25" s="25"/>
      <c r="J25" s="101" t="s">
        <v>1321</v>
      </c>
      <c r="K25" s="25"/>
      <c r="L25" s="25"/>
      <c r="M25" s="25"/>
      <c r="N25" s="25"/>
      <c r="O25" s="25"/>
      <c r="P25" s="25"/>
      <c r="Q25" s="998" t="s">
        <v>243</v>
      </c>
      <c r="R25" s="998" t="s">
        <v>244</v>
      </c>
    </row>
    <row r="26" spans="2:18" hidden="1">
      <c r="B26" s="998">
        <v>9375</v>
      </c>
      <c r="C26" s="998">
        <v>240</v>
      </c>
      <c r="D26" s="998">
        <v>0.42</v>
      </c>
      <c r="E26" s="21" t="s">
        <v>3882</v>
      </c>
      <c r="F26" s="101"/>
      <c r="G26" s="101">
        <f>+C26/48</f>
        <v>5</v>
      </c>
      <c r="H26" s="25"/>
      <c r="I26" s="25"/>
      <c r="J26" s="101" t="s">
        <v>591</v>
      </c>
      <c r="K26" s="25"/>
      <c r="L26" s="25"/>
      <c r="M26" s="25"/>
      <c r="N26" s="25"/>
      <c r="O26" s="25"/>
      <c r="P26" s="25"/>
      <c r="Q26" s="998" t="s">
        <v>591</v>
      </c>
      <c r="R26" s="998" t="s">
        <v>591</v>
      </c>
    </row>
    <row r="27" spans="2:18" hidden="1">
      <c r="B27" s="998">
        <v>9376</v>
      </c>
      <c r="C27" s="998">
        <v>240</v>
      </c>
      <c r="D27" s="998">
        <v>0.42</v>
      </c>
      <c r="E27" s="21" t="s">
        <v>3883</v>
      </c>
      <c r="F27" s="101"/>
      <c r="G27" s="101">
        <f t="shared" si="0"/>
        <v>10</v>
      </c>
      <c r="H27" s="25"/>
      <c r="I27" s="25"/>
      <c r="J27" s="101" t="s">
        <v>591</v>
      </c>
      <c r="K27" s="25"/>
      <c r="L27" s="25"/>
      <c r="M27" s="25"/>
      <c r="N27" s="25"/>
      <c r="O27" s="25"/>
      <c r="P27" s="25"/>
      <c r="Q27" s="998" t="s">
        <v>591</v>
      </c>
      <c r="R27" s="998" t="s">
        <v>591</v>
      </c>
    </row>
    <row r="28" spans="2:18">
      <c r="B28" s="998">
        <v>9993</v>
      </c>
      <c r="C28" s="998">
        <v>72</v>
      </c>
      <c r="D28" s="998">
        <v>1</v>
      </c>
      <c r="E28" s="21" t="s">
        <v>3884</v>
      </c>
      <c r="F28" s="101"/>
      <c r="G28" s="101">
        <f t="shared" si="0"/>
        <v>3</v>
      </c>
      <c r="H28" s="25"/>
      <c r="I28" s="25"/>
      <c r="J28" s="101" t="s">
        <v>243</v>
      </c>
      <c r="K28" s="25"/>
      <c r="L28" s="25"/>
      <c r="M28" s="25"/>
      <c r="N28" s="25"/>
      <c r="O28" s="25"/>
      <c r="P28" s="25"/>
      <c r="Q28" s="998" t="s">
        <v>244</v>
      </c>
      <c r="R28" s="998" t="s">
        <v>244</v>
      </c>
    </row>
    <row r="29" spans="2:18">
      <c r="B29" s="998">
        <v>8287</v>
      </c>
      <c r="C29" s="998">
        <v>16</v>
      </c>
      <c r="D29" s="998">
        <v>0.67</v>
      </c>
      <c r="E29" s="21" t="s">
        <v>3885</v>
      </c>
      <c r="F29" s="101"/>
      <c r="G29" s="101">
        <f>+C29/16</f>
        <v>1</v>
      </c>
      <c r="H29" s="25"/>
      <c r="I29" s="25"/>
      <c r="J29" s="101" t="s">
        <v>3717</v>
      </c>
      <c r="K29" s="25"/>
      <c r="L29" s="25"/>
      <c r="M29" s="25"/>
      <c r="N29" s="25"/>
      <c r="O29" s="25"/>
      <c r="P29" s="25"/>
      <c r="Q29" s="998" t="s">
        <v>244</v>
      </c>
      <c r="R29" s="998" t="s">
        <v>244</v>
      </c>
    </row>
    <row r="30" spans="2:18">
      <c r="B30" s="998">
        <v>1242</v>
      </c>
      <c r="C30" s="998">
        <v>48</v>
      </c>
      <c r="D30" s="998">
        <v>0.67</v>
      </c>
      <c r="E30" s="21" t="s">
        <v>3886</v>
      </c>
      <c r="F30" s="101"/>
      <c r="G30" s="101">
        <f>+C30/16</f>
        <v>3</v>
      </c>
      <c r="H30" s="25"/>
      <c r="I30" s="25"/>
      <c r="J30" s="101" t="s">
        <v>3717</v>
      </c>
      <c r="K30" s="25"/>
      <c r="L30" s="25"/>
      <c r="M30" s="25"/>
      <c r="N30" s="25"/>
      <c r="O30" s="25"/>
      <c r="P30" s="25"/>
      <c r="Q30" s="998" t="s">
        <v>244</v>
      </c>
      <c r="R30" s="998" t="s">
        <v>244</v>
      </c>
    </row>
    <row r="31" spans="2:18">
      <c r="B31" s="998">
        <v>1431</v>
      </c>
      <c r="C31" s="998">
        <v>24</v>
      </c>
      <c r="D31" s="998">
        <v>1.1100000000000001</v>
      </c>
      <c r="E31" s="21" t="s">
        <v>3887</v>
      </c>
      <c r="F31" s="101"/>
      <c r="G31" s="101">
        <f t="shared" si="0"/>
        <v>1</v>
      </c>
      <c r="H31" s="25"/>
      <c r="I31" s="25"/>
      <c r="J31" s="101" t="s">
        <v>243</v>
      </c>
      <c r="K31" s="25"/>
      <c r="L31" s="25"/>
      <c r="M31" s="25"/>
      <c r="N31" s="25"/>
      <c r="O31" s="25"/>
      <c r="P31" s="25"/>
      <c r="Q31" s="998" t="s">
        <v>556</v>
      </c>
      <c r="R31" s="998" t="s">
        <v>556</v>
      </c>
    </row>
    <row r="32" spans="2:18">
      <c r="B32" s="1001"/>
      <c r="C32" s="1001"/>
      <c r="D32" s="1001"/>
      <c r="E32" s="693"/>
    </row>
    <row r="33" spans="2:4">
      <c r="B33"/>
      <c r="C33"/>
      <c r="D33"/>
    </row>
    <row r="34" spans="2:4">
      <c r="B34"/>
      <c r="C34"/>
      <c r="D34"/>
    </row>
    <row r="35" spans="2:4">
      <c r="B35"/>
      <c r="C35"/>
      <c r="D35"/>
    </row>
    <row r="36" spans="2:4">
      <c r="B36"/>
      <c r="C36"/>
      <c r="D36"/>
    </row>
    <row r="37" spans="2:4">
      <c r="B37"/>
      <c r="C37"/>
      <c r="D37"/>
    </row>
    <row r="38" spans="2:4">
      <c r="B38"/>
      <c r="C38"/>
      <c r="D38"/>
    </row>
    <row r="39" spans="2:4">
      <c r="B39"/>
      <c r="C39"/>
      <c r="D39"/>
    </row>
  </sheetData>
  <pageMargins left="0.7" right="0.7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4:G21"/>
  <sheetViews>
    <sheetView workbookViewId="0">
      <selection activeCell="B4" sqref="B4:C23"/>
    </sheetView>
  </sheetViews>
  <sheetFormatPr baseColWidth="10" defaultRowHeight="15"/>
  <cols>
    <col min="2" max="2" width="27.28515625" customWidth="1"/>
    <col min="3" max="3" width="15.28515625" customWidth="1"/>
    <col min="4" max="4" width="8.7109375" hidden="1" customWidth="1"/>
    <col min="5" max="5" width="9.140625" customWidth="1"/>
    <col min="6" max="6" width="8.42578125" style="907" hidden="1" customWidth="1"/>
    <col min="7" max="7" width="9.42578125" style="907" hidden="1" customWidth="1"/>
  </cols>
  <sheetData>
    <row r="4" spans="1:7" ht="60">
      <c r="A4" s="1" t="s">
        <v>0</v>
      </c>
      <c r="B4" s="909" t="s">
        <v>5769</v>
      </c>
      <c r="C4" s="908" t="s">
        <v>19</v>
      </c>
      <c r="D4" s="908" t="s">
        <v>20</v>
      </c>
      <c r="E4" s="908" t="s">
        <v>21</v>
      </c>
      <c r="F4" s="908" t="s">
        <v>23</v>
      </c>
      <c r="G4" s="908" t="s">
        <v>24</v>
      </c>
    </row>
    <row r="5" spans="1:7" hidden="1">
      <c r="A5" s="1">
        <v>13915</v>
      </c>
      <c r="B5" s="909" t="s">
        <v>81</v>
      </c>
      <c r="C5" s="909"/>
      <c r="D5" s="909"/>
      <c r="E5" s="909"/>
      <c r="F5" s="909"/>
      <c r="G5" s="909"/>
    </row>
    <row r="6" spans="1:7" hidden="1">
      <c r="A6" s="1">
        <v>14827</v>
      </c>
      <c r="B6" s="909" t="s">
        <v>82</v>
      </c>
      <c r="C6" s="909"/>
      <c r="D6" s="909"/>
      <c r="E6" s="909"/>
      <c r="F6" s="909"/>
      <c r="G6" s="909"/>
    </row>
    <row r="7" spans="1:7" hidden="1">
      <c r="A7" s="1">
        <v>6252</v>
      </c>
      <c r="B7" s="909" t="s">
        <v>83</v>
      </c>
      <c r="C7" s="909"/>
      <c r="D7" s="909"/>
      <c r="E7" s="909"/>
      <c r="F7" s="909"/>
      <c r="G7" s="909"/>
    </row>
    <row r="8" spans="1:7" hidden="1">
      <c r="A8" s="1">
        <v>14828</v>
      </c>
      <c r="B8" s="909" t="s">
        <v>84</v>
      </c>
      <c r="C8" s="909"/>
      <c r="D8" s="909"/>
      <c r="E8" s="909"/>
      <c r="F8" s="909"/>
      <c r="G8" s="909"/>
    </row>
    <row r="9" spans="1:7" hidden="1">
      <c r="A9" s="1">
        <v>3609</v>
      </c>
      <c r="B9" s="909" t="s">
        <v>85</v>
      </c>
      <c r="C9" s="909"/>
      <c r="D9" s="909"/>
      <c r="E9" s="909"/>
      <c r="F9" s="909"/>
      <c r="G9" s="909"/>
    </row>
    <row r="10" spans="1:7" hidden="1">
      <c r="A10" s="1">
        <v>12721</v>
      </c>
      <c r="B10" s="909" t="s">
        <v>86</v>
      </c>
      <c r="C10" s="909"/>
      <c r="D10" s="909"/>
      <c r="E10" s="909"/>
      <c r="F10" s="909"/>
      <c r="G10" s="909"/>
    </row>
    <row r="11" spans="1:7" hidden="1">
      <c r="A11" s="1">
        <v>3610</v>
      </c>
      <c r="B11" s="909" t="s">
        <v>87</v>
      </c>
      <c r="C11" s="909"/>
      <c r="D11" s="909"/>
      <c r="E11" s="909"/>
      <c r="F11" s="909"/>
      <c r="G11" s="909"/>
    </row>
    <row r="12" spans="1:7" hidden="1">
      <c r="A12" s="1">
        <v>12837</v>
      </c>
      <c r="B12" s="909" t="s">
        <v>88</v>
      </c>
      <c r="C12" s="909"/>
      <c r="D12" s="909"/>
      <c r="E12" s="909"/>
      <c r="F12" s="909"/>
      <c r="G12" s="909"/>
    </row>
    <row r="13" spans="1:7" hidden="1">
      <c r="A13" s="1">
        <v>4722</v>
      </c>
      <c r="B13" s="909" t="s">
        <v>89</v>
      </c>
      <c r="C13" s="909"/>
      <c r="D13" s="909"/>
      <c r="E13" s="909"/>
      <c r="F13" s="909"/>
      <c r="G13" s="909"/>
    </row>
    <row r="14" spans="1:7" hidden="1">
      <c r="A14" s="1">
        <v>13196</v>
      </c>
      <c r="B14" s="909" t="s">
        <v>90</v>
      </c>
      <c r="C14" s="909"/>
      <c r="D14" s="909"/>
      <c r="E14" s="909"/>
      <c r="F14" s="909"/>
      <c r="G14" s="909"/>
    </row>
    <row r="15" spans="1:7" hidden="1">
      <c r="A15" s="1">
        <v>15503</v>
      </c>
      <c r="B15" s="909" t="s">
        <v>91</v>
      </c>
      <c r="C15" s="909"/>
      <c r="D15" s="909"/>
      <c r="E15" s="909"/>
      <c r="F15" s="909"/>
      <c r="G15" s="909"/>
    </row>
    <row r="16" spans="1:7" hidden="1">
      <c r="A16" s="1">
        <v>13914</v>
      </c>
      <c r="B16" s="909" t="s">
        <v>92</v>
      </c>
      <c r="C16" s="909"/>
      <c r="D16" s="909"/>
      <c r="E16" s="909"/>
      <c r="F16" s="909"/>
      <c r="G16" s="909"/>
    </row>
    <row r="17" spans="1:7" hidden="1">
      <c r="A17" s="1">
        <v>4097</v>
      </c>
      <c r="B17" s="909" t="s">
        <v>93</v>
      </c>
      <c r="C17" s="909"/>
      <c r="D17" s="909"/>
      <c r="E17" s="909"/>
      <c r="F17" s="909"/>
      <c r="G17" s="909"/>
    </row>
    <row r="18" spans="1:7">
      <c r="A18" s="1">
        <v>1735</v>
      </c>
      <c r="B18" s="15" t="s">
        <v>94</v>
      </c>
      <c r="C18" s="2112" t="s">
        <v>556</v>
      </c>
      <c r="D18" s="909"/>
      <c r="E18" s="909"/>
      <c r="F18" s="909"/>
      <c r="G18" s="909"/>
    </row>
    <row r="19" spans="1:7" hidden="1">
      <c r="A19" s="1">
        <v>2136</v>
      </c>
      <c r="B19" s="15" t="s">
        <v>95</v>
      </c>
      <c r="C19" s="2112"/>
      <c r="D19" s="909"/>
      <c r="E19" s="909"/>
      <c r="F19" s="909"/>
      <c r="G19" s="909"/>
    </row>
    <row r="20" spans="1:7">
      <c r="A20" s="1">
        <v>1945</v>
      </c>
      <c r="B20" s="15" t="s">
        <v>3730</v>
      </c>
      <c r="C20" s="2112" t="s">
        <v>244</v>
      </c>
      <c r="D20" s="909"/>
      <c r="E20" s="909" t="s">
        <v>556</v>
      </c>
      <c r="F20" s="909"/>
      <c r="G20" s="909"/>
    </row>
    <row r="21" spans="1:7">
      <c r="A21" s="1">
        <v>1755</v>
      </c>
      <c r="B21" s="15" t="s">
        <v>96</v>
      </c>
      <c r="C21" s="2112" t="s">
        <v>268</v>
      </c>
      <c r="D21" s="1"/>
      <c r="E21" s="1"/>
      <c r="F21" s="909"/>
      <c r="G21" s="909"/>
    </row>
  </sheetData>
  <sortState ref="A5:B21">
    <sortCondition ref="B5:B21"/>
  </sortState>
  <pageMargins left="0.7" right="0.7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O15"/>
  <sheetViews>
    <sheetView workbookViewId="0">
      <selection activeCell="A2" sqref="A2:O15"/>
    </sheetView>
  </sheetViews>
  <sheetFormatPr baseColWidth="10" defaultRowHeight="15"/>
  <cols>
    <col min="3" max="3" width="51.5703125" customWidth="1"/>
    <col min="4" max="4" width="17.5703125" customWidth="1"/>
    <col min="5" max="6" width="0" hidden="1" customWidth="1"/>
    <col min="7" max="7" width="14.42578125" customWidth="1"/>
    <col min="8" max="9" width="0" hidden="1" customWidth="1"/>
    <col min="11" max="13" width="0" hidden="1" customWidth="1"/>
  </cols>
  <sheetData>
    <row r="2" spans="1:15">
      <c r="A2" s="25"/>
      <c r="B2" s="25"/>
      <c r="C2" s="101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>
      <c r="A3" s="25"/>
      <c r="B3" s="25"/>
      <c r="C3" s="101" t="s">
        <v>1340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ht="45">
      <c r="A4" s="297" t="s">
        <v>109</v>
      </c>
      <c r="B4" s="296" t="s">
        <v>108</v>
      </c>
      <c r="C4" s="297" t="s">
        <v>107</v>
      </c>
      <c r="D4" s="296" t="s">
        <v>19</v>
      </c>
      <c r="E4" s="296" t="s">
        <v>110</v>
      </c>
      <c r="F4" s="296" t="s">
        <v>111</v>
      </c>
      <c r="G4" s="296" t="s">
        <v>20</v>
      </c>
      <c r="H4" s="296" t="s">
        <v>110</v>
      </c>
      <c r="I4" s="296" t="s">
        <v>111</v>
      </c>
      <c r="J4" s="296" t="s">
        <v>21</v>
      </c>
      <c r="K4" s="296" t="s">
        <v>110</v>
      </c>
      <c r="L4" s="296" t="s">
        <v>111</v>
      </c>
      <c r="M4" s="296" t="s">
        <v>22</v>
      </c>
      <c r="N4" s="296" t="s">
        <v>23</v>
      </c>
      <c r="O4" s="296" t="s">
        <v>24</v>
      </c>
    </row>
    <row r="5" spans="1:15">
      <c r="A5" s="22">
        <v>14310</v>
      </c>
      <c r="B5" s="22">
        <v>180</v>
      </c>
      <c r="C5" s="347" t="s">
        <v>97</v>
      </c>
      <c r="D5" s="22" t="s">
        <v>697</v>
      </c>
      <c r="E5" s="22">
        <v>444</v>
      </c>
      <c r="F5" s="22">
        <v>60</v>
      </c>
      <c r="G5" s="22" t="s">
        <v>243</v>
      </c>
      <c r="H5" s="22">
        <v>33</v>
      </c>
      <c r="I5" s="22">
        <v>36</v>
      </c>
      <c r="J5" s="22" t="s">
        <v>244</v>
      </c>
      <c r="K5" s="22"/>
      <c r="L5" s="22"/>
      <c r="M5" s="22"/>
      <c r="N5" s="22" t="s">
        <v>244</v>
      </c>
      <c r="O5" s="22" t="s">
        <v>244</v>
      </c>
    </row>
    <row r="6" spans="1:15" hidden="1">
      <c r="A6" s="22">
        <v>15002</v>
      </c>
      <c r="B6" s="22">
        <v>12</v>
      </c>
      <c r="C6" s="347" t="s">
        <v>98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>
      <c r="A7" s="22">
        <v>14311</v>
      </c>
      <c r="B7" s="22">
        <v>144</v>
      </c>
      <c r="C7" s="347" t="s">
        <v>99</v>
      </c>
      <c r="D7" s="22" t="s">
        <v>1321</v>
      </c>
      <c r="E7" s="22"/>
      <c r="F7" s="22"/>
      <c r="G7" s="22" t="s">
        <v>268</v>
      </c>
      <c r="H7" s="22" t="s">
        <v>113</v>
      </c>
      <c r="I7" s="22"/>
      <c r="J7" s="22" t="s">
        <v>268</v>
      </c>
      <c r="K7" s="22"/>
      <c r="L7" s="22"/>
      <c r="M7" s="22"/>
      <c r="N7" s="22" t="s">
        <v>556</v>
      </c>
      <c r="O7" s="22" t="s">
        <v>244</v>
      </c>
    </row>
    <row r="8" spans="1:15">
      <c r="A8" s="22">
        <v>15676</v>
      </c>
      <c r="B8" s="22">
        <v>60</v>
      </c>
      <c r="C8" s="347" t="s">
        <v>100</v>
      </c>
      <c r="D8" s="22" t="s">
        <v>1321</v>
      </c>
      <c r="E8" s="22">
        <v>50</v>
      </c>
      <c r="F8" s="22">
        <v>23</v>
      </c>
      <c r="G8" s="22" t="s">
        <v>244</v>
      </c>
      <c r="H8" s="22">
        <v>17</v>
      </c>
      <c r="I8" s="22">
        <v>0</v>
      </c>
      <c r="J8" s="22" t="s">
        <v>244</v>
      </c>
      <c r="K8" s="22"/>
      <c r="L8" s="22"/>
      <c r="M8" s="22"/>
      <c r="N8" s="22" t="s">
        <v>556</v>
      </c>
      <c r="O8" s="22" t="s">
        <v>244</v>
      </c>
    </row>
    <row r="9" spans="1:15" hidden="1">
      <c r="A9" s="22">
        <v>15547</v>
      </c>
      <c r="B9" s="22">
        <v>36</v>
      </c>
      <c r="C9" s="347" t="s">
        <v>101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hidden="1">
      <c r="A10" s="22">
        <v>14313</v>
      </c>
      <c r="B10" s="22">
        <v>72</v>
      </c>
      <c r="C10" s="347" t="s">
        <v>102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15" hidden="1">
      <c r="A11" s="22">
        <v>14312</v>
      </c>
      <c r="B11" s="22">
        <v>72</v>
      </c>
      <c r="C11" s="347" t="s">
        <v>103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5" hidden="1">
      <c r="A12" s="22">
        <v>15003</v>
      </c>
      <c r="B12" s="22">
        <v>60</v>
      </c>
      <c r="C12" s="347" t="s">
        <v>104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5" hidden="1">
      <c r="A13" s="22">
        <v>15546</v>
      </c>
      <c r="B13" s="22">
        <v>12</v>
      </c>
      <c r="C13" s="347" t="s">
        <v>105</v>
      </c>
      <c r="D13" s="22" t="s">
        <v>112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>
      <c r="A14" s="22">
        <v>15001</v>
      </c>
      <c r="B14" s="22">
        <v>12</v>
      </c>
      <c r="C14" s="347" t="s">
        <v>106</v>
      </c>
      <c r="D14" s="22" t="s">
        <v>1318</v>
      </c>
      <c r="E14" s="22"/>
      <c r="F14" s="22"/>
      <c r="G14" s="22" t="s">
        <v>591</v>
      </c>
      <c r="H14" s="22"/>
      <c r="I14" s="22"/>
      <c r="J14" s="22" t="s">
        <v>591</v>
      </c>
      <c r="K14" s="22"/>
      <c r="L14" s="22"/>
      <c r="M14" s="22"/>
      <c r="N14" s="22" t="s">
        <v>591</v>
      </c>
      <c r="O14" s="22" t="s">
        <v>591</v>
      </c>
    </row>
    <row r="15" spans="1:15">
      <c r="A15" s="25"/>
      <c r="B15" s="25"/>
      <c r="C15" s="25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</row>
  </sheetData>
  <pageMargins left="0.7" right="0.7" top="0.75" bottom="0.75" header="0.3" footer="0.3"/>
  <pageSetup paperSize="11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0"/>
  <sheetViews>
    <sheetView topLeftCell="A8" workbookViewId="0">
      <selection activeCell="M27" sqref="M27"/>
    </sheetView>
  </sheetViews>
  <sheetFormatPr baseColWidth="10" defaultRowHeight="15"/>
  <cols>
    <col min="1" max="1" width="11.28515625" customWidth="1"/>
    <col min="3" max="3" width="9.28515625" customWidth="1"/>
    <col min="4" max="4" width="20.28515625" customWidth="1"/>
    <col min="5" max="5" width="12.5703125" customWidth="1"/>
    <col min="6" max="6" width="9.85546875" customWidth="1"/>
    <col min="7" max="7" width="9" customWidth="1"/>
    <col min="9" max="9" width="8.85546875" customWidth="1"/>
    <col min="10" max="10" width="15.42578125" customWidth="1"/>
  </cols>
  <sheetData>
    <row r="3" spans="1:12" ht="15" customHeight="1">
      <c r="A3" s="827"/>
      <c r="B3" s="2384" t="s">
        <v>3322</v>
      </c>
      <c r="C3" s="2384"/>
      <c r="D3" s="2384"/>
      <c r="E3" s="2384"/>
      <c r="F3" s="2384"/>
      <c r="G3" s="2384"/>
      <c r="H3" s="2384"/>
      <c r="I3" s="2384"/>
      <c r="J3" s="868"/>
      <c r="K3" s="868"/>
    </row>
    <row r="4" spans="1:12" ht="45" customHeight="1">
      <c r="B4" s="728" t="s">
        <v>116</v>
      </c>
      <c r="C4" s="867"/>
      <c r="D4" s="19" t="s">
        <v>19</v>
      </c>
      <c r="E4" s="19" t="s">
        <v>20</v>
      </c>
      <c r="F4" s="19" t="s">
        <v>21</v>
      </c>
      <c r="G4" s="19" t="s">
        <v>648</v>
      </c>
      <c r="H4" s="19" t="s">
        <v>118</v>
      </c>
      <c r="I4" s="732">
        <v>7.0000000000000007E-2</v>
      </c>
    </row>
    <row r="5" spans="1:12">
      <c r="B5" s="725">
        <v>3064</v>
      </c>
      <c r="C5" s="866"/>
      <c r="D5" s="726">
        <f>+F9+F10+F12+F13+F14+F16+F17</f>
        <v>48708</v>
      </c>
      <c r="E5" s="726">
        <f>+F21+F22</f>
        <v>5400</v>
      </c>
      <c r="F5" s="726">
        <f>+F26</f>
        <v>1440</v>
      </c>
      <c r="G5" s="726">
        <f>D5+E5+F5</f>
        <v>55548</v>
      </c>
      <c r="H5" s="733">
        <f>G5/36</f>
        <v>1543</v>
      </c>
      <c r="I5" s="734">
        <f>H5*7%</f>
        <v>108.01</v>
      </c>
      <c r="L5" s="448"/>
    </row>
    <row r="7" spans="1:12">
      <c r="E7" s="853" t="s">
        <v>121</v>
      </c>
    </row>
    <row r="8" spans="1:12">
      <c r="A8" s="853" t="s">
        <v>3658</v>
      </c>
      <c r="B8" s="857" t="s">
        <v>254</v>
      </c>
      <c r="C8" s="857" t="s">
        <v>1627</v>
      </c>
      <c r="D8" s="857" t="s">
        <v>2314</v>
      </c>
      <c r="E8" s="857" t="s">
        <v>3318</v>
      </c>
      <c r="F8" s="857" t="s">
        <v>122</v>
      </c>
      <c r="G8" s="857" t="s">
        <v>547</v>
      </c>
    </row>
    <row r="9" spans="1:12">
      <c r="A9" s="853"/>
      <c r="B9" s="857" t="s">
        <v>3436</v>
      </c>
      <c r="C9" s="857" t="s">
        <v>3437</v>
      </c>
      <c r="D9" s="857" t="s">
        <v>3657</v>
      </c>
      <c r="E9" s="857">
        <v>3064</v>
      </c>
      <c r="F9" s="857">
        <v>12168</v>
      </c>
      <c r="G9" s="6">
        <v>0.4</v>
      </c>
    </row>
    <row r="10" spans="1:12">
      <c r="A10" s="853"/>
      <c r="B10" s="857" t="s">
        <v>3436</v>
      </c>
      <c r="C10" s="857" t="s">
        <v>3438</v>
      </c>
      <c r="D10" s="857" t="s">
        <v>3657</v>
      </c>
      <c r="E10" s="857">
        <v>3064</v>
      </c>
      <c r="F10" s="857">
        <v>3312</v>
      </c>
      <c r="G10" s="6">
        <v>0.4</v>
      </c>
    </row>
    <row r="11" spans="1:12">
      <c r="A11" s="853">
        <f>F11/36</f>
        <v>9</v>
      </c>
      <c r="B11" s="16" t="s">
        <v>3436</v>
      </c>
      <c r="C11" s="16" t="s">
        <v>3438</v>
      </c>
      <c r="D11" s="857" t="s">
        <v>3657</v>
      </c>
      <c r="E11" s="16">
        <v>3064</v>
      </c>
      <c r="F11" s="16">
        <v>324</v>
      </c>
      <c r="G11" s="11">
        <v>0</v>
      </c>
    </row>
    <row r="12" spans="1:12">
      <c r="A12" s="853"/>
      <c r="B12" s="857" t="s">
        <v>3439</v>
      </c>
      <c r="C12" s="857" t="s">
        <v>3440</v>
      </c>
      <c r="D12" s="857" t="s">
        <v>3657</v>
      </c>
      <c r="E12" s="857">
        <v>3064</v>
      </c>
      <c r="F12" s="857">
        <v>9000</v>
      </c>
      <c r="G12" s="6">
        <v>0.4</v>
      </c>
    </row>
    <row r="13" spans="1:12">
      <c r="A13" s="853">
        <f>F13/36</f>
        <v>12</v>
      </c>
      <c r="B13" s="857" t="s">
        <v>3439</v>
      </c>
      <c r="C13" s="857" t="s">
        <v>3441</v>
      </c>
      <c r="D13" s="857" t="s">
        <v>3657</v>
      </c>
      <c r="E13" s="857">
        <v>3064</v>
      </c>
      <c r="F13" s="857">
        <v>432</v>
      </c>
      <c r="G13" s="6">
        <v>0.4</v>
      </c>
    </row>
    <row r="14" spans="1:12">
      <c r="A14" s="853"/>
      <c r="B14" s="857" t="s">
        <v>3655</v>
      </c>
      <c r="C14" s="857" t="s">
        <v>3654</v>
      </c>
      <c r="D14" s="857" t="s">
        <v>3657</v>
      </c>
      <c r="E14" s="857">
        <v>3064</v>
      </c>
      <c r="F14" s="857">
        <v>8244</v>
      </c>
      <c r="G14" s="6">
        <v>0.4</v>
      </c>
      <c r="J14" s="853"/>
    </row>
    <row r="15" spans="1:12">
      <c r="A15" s="853">
        <f>F15/36</f>
        <v>121</v>
      </c>
      <c r="B15" s="16" t="s">
        <v>3655</v>
      </c>
      <c r="C15" s="16" t="s">
        <v>3654</v>
      </c>
      <c r="D15" s="857" t="s">
        <v>3657</v>
      </c>
      <c r="E15" s="16">
        <v>3064</v>
      </c>
      <c r="F15" s="16">
        <v>4356</v>
      </c>
      <c r="G15" s="11">
        <v>0</v>
      </c>
      <c r="J15" s="853"/>
    </row>
    <row r="16" spans="1:12">
      <c r="A16" s="853"/>
      <c r="B16" s="857" t="s">
        <v>3653</v>
      </c>
      <c r="C16" s="857" t="s">
        <v>3652</v>
      </c>
      <c r="D16" s="857" t="s">
        <v>3657</v>
      </c>
      <c r="E16" s="857">
        <v>3064</v>
      </c>
      <c r="F16" s="857">
        <v>10368</v>
      </c>
      <c r="G16" s="6">
        <v>0.4</v>
      </c>
      <c r="J16" s="336"/>
    </row>
    <row r="17" spans="1:15" s="692" customFormat="1">
      <c r="A17" s="853"/>
      <c r="B17" s="857" t="s">
        <v>3651</v>
      </c>
      <c r="C17" s="857" t="s">
        <v>3650</v>
      </c>
      <c r="D17" s="857" t="s">
        <v>3657</v>
      </c>
      <c r="E17" s="857">
        <v>3064</v>
      </c>
      <c r="F17" s="857">
        <v>5184</v>
      </c>
      <c r="G17" s="6">
        <v>0.4</v>
      </c>
      <c r="M17" s="692" t="s">
        <v>3659</v>
      </c>
    </row>
    <row r="18" spans="1:15" s="692" customFormat="1">
      <c r="A18" s="12">
        <f>SUM(A11:A17)</f>
        <v>142</v>
      </c>
      <c r="B18" s="864"/>
      <c r="C18" s="864"/>
      <c r="D18" s="864"/>
      <c r="E18" s="853"/>
      <c r="F18" s="853"/>
      <c r="G18" s="853"/>
      <c r="M18" s="692">
        <v>14.4</v>
      </c>
      <c r="O18" s="692">
        <v>4.5999999999999996</v>
      </c>
    </row>
    <row r="19" spans="1:15" s="692" customFormat="1">
      <c r="B19" s="864"/>
      <c r="C19" s="864"/>
      <c r="D19" s="864" t="s">
        <v>20</v>
      </c>
      <c r="E19" s="853"/>
      <c r="F19" s="853"/>
      <c r="G19" s="853"/>
      <c r="M19" s="388">
        <v>0.15</v>
      </c>
      <c r="O19" s="692">
        <v>4.96</v>
      </c>
    </row>
    <row r="20" spans="1:15" s="692" customFormat="1">
      <c r="B20" s="857" t="s">
        <v>254</v>
      </c>
      <c r="C20" s="857" t="s">
        <v>1627</v>
      </c>
      <c r="D20" s="857" t="s">
        <v>2314</v>
      </c>
      <c r="E20" s="857" t="s">
        <v>3318</v>
      </c>
      <c r="F20" s="857" t="s">
        <v>122</v>
      </c>
      <c r="G20" s="857" t="s">
        <v>547</v>
      </c>
      <c r="M20" s="692">
        <f>+M18*M19</f>
        <v>2.16</v>
      </c>
      <c r="O20" s="57">
        <f>+O19/O18</f>
        <v>1.0782608695652174</v>
      </c>
    </row>
    <row r="21" spans="1:15">
      <c r="B21" s="857" t="s">
        <v>3436</v>
      </c>
      <c r="C21" s="857" t="s">
        <v>3442</v>
      </c>
      <c r="D21" s="857" t="s">
        <v>3657</v>
      </c>
      <c r="E21" s="857">
        <v>3064</v>
      </c>
      <c r="F21" s="857">
        <v>1800</v>
      </c>
      <c r="G21" s="6">
        <v>0.4</v>
      </c>
      <c r="M21">
        <f>+M18+M20</f>
        <v>16.560000000000002</v>
      </c>
    </row>
    <row r="22" spans="1:15" ht="32.25" customHeight="1">
      <c r="B22" s="857" t="s">
        <v>3655</v>
      </c>
      <c r="C22" s="857" t="s">
        <v>3656</v>
      </c>
      <c r="D22" s="857" t="s">
        <v>3657</v>
      </c>
      <c r="E22" s="857">
        <v>3064</v>
      </c>
      <c r="F22" s="857">
        <v>3600</v>
      </c>
      <c r="G22" s="6">
        <v>0.4</v>
      </c>
    </row>
    <row r="23" spans="1:15">
      <c r="B23" s="864"/>
      <c r="C23" s="864"/>
      <c r="D23" s="864"/>
      <c r="E23" s="853"/>
      <c r="F23" s="853"/>
      <c r="G23" s="853"/>
    </row>
    <row r="24" spans="1:15" s="692" customFormat="1">
      <c r="B24" s="864"/>
      <c r="C24" s="864"/>
      <c r="D24" s="864" t="s">
        <v>21</v>
      </c>
      <c r="E24" s="853"/>
      <c r="F24" s="853"/>
      <c r="G24" s="853"/>
    </row>
    <row r="25" spans="1:15" s="692" customFormat="1">
      <c r="B25" s="522" t="s">
        <v>254</v>
      </c>
      <c r="C25" s="522" t="s">
        <v>1627</v>
      </c>
      <c r="D25" s="522" t="s">
        <v>2314</v>
      </c>
      <c r="E25" s="857" t="s">
        <v>3318</v>
      </c>
      <c r="F25" s="857" t="s">
        <v>122</v>
      </c>
      <c r="G25" s="857" t="s">
        <v>547</v>
      </c>
    </row>
    <row r="26" spans="1:15" s="692" customFormat="1">
      <c r="B26" s="522" t="s">
        <v>3443</v>
      </c>
      <c r="C26" s="522" t="s">
        <v>3444</v>
      </c>
      <c r="D26" s="857" t="s">
        <v>3657</v>
      </c>
      <c r="E26" s="857">
        <v>3064</v>
      </c>
      <c r="F26" s="857">
        <v>1440</v>
      </c>
      <c r="G26" s="336">
        <v>0.4</v>
      </c>
    </row>
    <row r="27" spans="1:15" s="692" customFormat="1">
      <c r="B27" s="521"/>
      <c r="C27" s="521"/>
      <c r="D27" s="521"/>
      <c r="E27" s="853"/>
      <c r="H27" s="521"/>
    </row>
    <row r="28" spans="1:15">
      <c r="B28" s="692"/>
      <c r="C28" s="692"/>
      <c r="D28" s="692"/>
      <c r="E28" s="853"/>
      <c r="F28" s="692"/>
      <c r="G28" s="692"/>
      <c r="H28" s="692"/>
    </row>
    <row r="29" spans="1:15">
      <c r="B29" s="692"/>
      <c r="C29" s="692"/>
      <c r="D29" s="692"/>
      <c r="E29" s="853"/>
      <c r="F29" s="692"/>
      <c r="G29" s="692"/>
      <c r="H29" s="692"/>
    </row>
    <row r="30" spans="1:15">
      <c r="B30" s="521"/>
      <c r="C30" s="521"/>
      <c r="D30" s="521"/>
      <c r="E30" s="853"/>
      <c r="F30" s="692"/>
      <c r="G30" s="692"/>
      <c r="H30" s="521"/>
    </row>
  </sheetData>
  <mergeCells count="1">
    <mergeCell ref="B3:I3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2"/>
  <sheetViews>
    <sheetView workbookViewId="0">
      <selection activeCell="T11" sqref="T11"/>
    </sheetView>
  </sheetViews>
  <sheetFormatPr baseColWidth="10" defaultRowHeight="15"/>
  <sheetData>
    <row r="2" spans="1:18" ht="15.75" thickBot="1">
      <c r="A2" s="25" t="s">
        <v>5440</v>
      </c>
      <c r="B2" s="1594"/>
      <c r="C2" s="1594"/>
      <c r="D2" s="1704"/>
      <c r="E2" s="1815" t="s">
        <v>5288</v>
      </c>
      <c r="F2" s="1733"/>
      <c r="G2" s="1738">
        <v>100000</v>
      </c>
      <c r="H2" s="1738"/>
      <c r="I2" s="1739"/>
      <c r="J2" s="1740" t="s">
        <v>5289</v>
      </c>
      <c r="K2" s="1737"/>
      <c r="L2" s="1737"/>
      <c r="M2" s="1737"/>
      <c r="N2" s="1737"/>
      <c r="O2" s="1737"/>
      <c r="P2" s="1737"/>
      <c r="Q2" s="1594"/>
      <c r="R2" s="1594"/>
    </row>
    <row r="3" spans="1:18" ht="15.75">
      <c r="A3" s="2266" t="s">
        <v>5290</v>
      </c>
      <c r="B3" s="2266"/>
      <c r="C3" s="2266"/>
      <c r="D3" s="2266"/>
      <c r="E3" s="2266"/>
      <c r="F3" s="2266"/>
      <c r="G3" s="2266"/>
      <c r="H3" s="1743"/>
      <c r="I3" s="1739"/>
      <c r="J3" s="1740"/>
      <c r="K3" s="1737"/>
      <c r="L3" s="2267" t="s">
        <v>5441</v>
      </c>
      <c r="M3" s="2268"/>
      <c r="N3" s="2269"/>
      <c r="O3" s="2269"/>
      <c r="P3" s="2269"/>
      <c r="Q3" s="2270"/>
      <c r="R3" s="1594"/>
    </row>
    <row r="4" spans="1:18" ht="16.5" thickBot="1">
      <c r="A4" s="1743"/>
      <c r="B4" s="1744"/>
      <c r="C4" s="1744"/>
      <c r="D4" s="1816"/>
      <c r="E4" s="1743"/>
      <c r="F4" s="1743"/>
      <c r="G4" s="1743"/>
      <c r="H4" s="1743"/>
      <c r="I4" s="1739"/>
      <c r="J4" s="1740"/>
      <c r="K4" s="1737"/>
      <c r="L4" s="2271"/>
      <c r="M4" s="2272"/>
      <c r="N4" s="2273"/>
      <c r="O4" s="2273"/>
      <c r="P4" s="2273"/>
      <c r="Q4" s="2274"/>
      <c r="R4" s="1594"/>
    </row>
    <row r="5" spans="1:18" ht="18.75">
      <c r="A5" s="2275" t="s">
        <v>5442</v>
      </c>
      <c r="B5" s="2275"/>
      <c r="C5" s="2275"/>
      <c r="D5" s="2275"/>
      <c r="E5" s="2275"/>
      <c r="F5" s="2275"/>
      <c r="G5" s="2275"/>
      <c r="H5" s="1745"/>
      <c r="I5" s="1739"/>
      <c r="J5" s="1740"/>
      <c r="K5" s="1737"/>
      <c r="L5" s="1737"/>
      <c r="M5" s="1737"/>
      <c r="N5" s="1737"/>
      <c r="O5" s="1737"/>
      <c r="P5" s="1741"/>
      <c r="Q5" s="1746"/>
      <c r="R5" s="1594"/>
    </row>
    <row r="6" spans="1:18">
      <c r="A6" s="1594"/>
      <c r="B6" s="1594"/>
      <c r="C6" s="1594"/>
      <c r="D6" s="1704"/>
      <c r="E6" s="1747"/>
      <c r="F6" s="1748"/>
      <c r="G6" s="1748"/>
      <c r="H6" s="1748"/>
      <c r="I6" s="1735"/>
      <c r="J6" s="1735"/>
      <c r="K6" s="1737"/>
      <c r="L6" s="1737"/>
      <c r="M6" s="1737"/>
      <c r="N6" s="1737"/>
      <c r="O6" s="1737"/>
      <c r="P6" s="1737"/>
      <c r="Q6" s="1594"/>
      <c r="R6" s="1594"/>
    </row>
    <row r="7" spans="1:18" ht="15.75" thickBot="1">
      <c r="A7" s="1817"/>
      <c r="B7" s="2276" t="s">
        <v>5443</v>
      </c>
      <c r="C7" s="2276"/>
      <c r="D7" s="2276"/>
      <c r="E7" s="2276"/>
      <c r="F7" s="2276"/>
      <c r="G7" s="2276"/>
      <c r="H7" s="2276"/>
      <c r="I7" s="2276"/>
      <c r="J7" s="2277"/>
      <c r="K7" s="2277"/>
      <c r="L7" s="2277"/>
      <c r="M7" s="1750" t="s">
        <v>3952</v>
      </c>
      <c r="N7" s="1751"/>
      <c r="O7" s="1818"/>
      <c r="P7" s="1753"/>
      <c r="Q7" s="1818"/>
      <c r="R7" s="1819"/>
    </row>
    <row r="8" spans="1:18" ht="19.5" thickBot="1">
      <c r="A8" s="1820"/>
      <c r="B8" s="2278" t="s">
        <v>5294</v>
      </c>
      <c r="C8" s="2279"/>
      <c r="D8" s="2279"/>
      <c r="E8" s="2279"/>
      <c r="F8" s="2279"/>
      <c r="G8" s="2279"/>
      <c r="H8" s="2279"/>
      <c r="I8" s="2280"/>
      <c r="J8" s="2278" t="s">
        <v>5444</v>
      </c>
      <c r="K8" s="2279"/>
      <c r="L8" s="2280"/>
      <c r="M8" s="1755">
        <v>452306.13</v>
      </c>
      <c r="N8" s="2281" t="s">
        <v>5296</v>
      </c>
      <c r="O8" s="2282"/>
      <c r="P8" s="2282"/>
      <c r="Q8" s="1821">
        <f>++IFERROR(Q19/N19,0)</f>
        <v>0</v>
      </c>
      <c r="R8" s="1819"/>
    </row>
    <row r="9" spans="1:18" ht="60.75" thickBot="1">
      <c r="A9" s="1822"/>
      <c r="B9" s="1757" t="s">
        <v>5298</v>
      </c>
      <c r="C9" s="1757" t="s">
        <v>5297</v>
      </c>
      <c r="D9" s="1823" t="s">
        <v>793</v>
      </c>
      <c r="E9" s="1758" t="s">
        <v>4497</v>
      </c>
      <c r="F9" s="1758" t="s">
        <v>5299</v>
      </c>
      <c r="G9" s="1824" t="s">
        <v>5300</v>
      </c>
      <c r="H9" s="1825" t="s">
        <v>5301</v>
      </c>
      <c r="I9" s="1826" t="s">
        <v>5302</v>
      </c>
      <c r="J9" s="1827" t="s">
        <v>5303</v>
      </c>
      <c r="K9" s="1824" t="s">
        <v>61</v>
      </c>
      <c r="L9" s="1826" t="s">
        <v>74</v>
      </c>
      <c r="M9" s="1828" t="s">
        <v>5304</v>
      </c>
      <c r="N9" s="1764" t="s">
        <v>5305</v>
      </c>
      <c r="O9" s="1765" t="s">
        <v>5306</v>
      </c>
      <c r="P9" s="1766" t="s">
        <v>5307</v>
      </c>
      <c r="Q9" s="1767" t="s">
        <v>5308</v>
      </c>
      <c r="R9" s="1829"/>
    </row>
    <row r="10" spans="1:18" ht="75">
      <c r="A10" s="1830"/>
      <c r="B10" s="1787" t="s">
        <v>5445</v>
      </c>
      <c r="C10" s="1831"/>
      <c r="D10" s="1832" t="s">
        <v>5446</v>
      </c>
      <c r="E10" s="1833" t="s">
        <v>5447</v>
      </c>
      <c r="F10" s="1834">
        <v>12</v>
      </c>
      <c r="G10" s="1835">
        <v>17.739999999999998</v>
      </c>
      <c r="H10" s="1775">
        <f t="shared" ref="H10:H16" si="0">+G10/F10</f>
        <v>1.4783333333333333</v>
      </c>
      <c r="I10" s="1779">
        <f>+H10*1.16</f>
        <v>1.7148666666666665</v>
      </c>
      <c r="J10" s="1777">
        <f t="shared" ref="J10:J18" si="1">+H10*1.2</f>
        <v>1.7739999999999998</v>
      </c>
      <c r="K10" s="1778">
        <f>+J10*16%</f>
        <v>0.28383999999999998</v>
      </c>
      <c r="L10" s="1779">
        <f t="shared" ref="L10:L18" si="2">+J10+K10</f>
        <v>2.0578399999999997</v>
      </c>
      <c r="M10" s="1795" t="e">
        <f t="shared" ref="M10:M15" si="3">+L10*$M$9</f>
        <v>#VALUE!</v>
      </c>
      <c r="N10" s="1781"/>
      <c r="O10" s="1836"/>
      <c r="P10" s="1783">
        <f t="shared" ref="P10:P15" si="4">+N10*O10</f>
        <v>0</v>
      </c>
      <c r="Q10" s="1837">
        <f t="shared" ref="Q10:Q18" si="5">+N10*G10</f>
        <v>0</v>
      </c>
      <c r="R10" s="1838"/>
    </row>
    <row r="11" spans="1:18" ht="45">
      <c r="A11" s="1830"/>
      <c r="B11" s="1787" t="s">
        <v>5448</v>
      </c>
      <c r="C11" s="1831"/>
      <c r="D11" s="1832" t="s">
        <v>5449</v>
      </c>
      <c r="E11" s="1833" t="s">
        <v>5450</v>
      </c>
      <c r="F11" s="1834">
        <v>24</v>
      </c>
      <c r="G11" s="1835">
        <v>64.28</v>
      </c>
      <c r="H11" s="1775">
        <f t="shared" si="0"/>
        <v>2.6783333333333332</v>
      </c>
      <c r="I11" s="1779">
        <f>+H11*1.16</f>
        <v>3.1068666666666664</v>
      </c>
      <c r="J11" s="1777">
        <f t="shared" si="1"/>
        <v>3.214</v>
      </c>
      <c r="K11" s="1778">
        <f>+J11*16%</f>
        <v>0.51424000000000003</v>
      </c>
      <c r="L11" s="1779">
        <f t="shared" si="2"/>
        <v>3.72824</v>
      </c>
      <c r="M11" s="1780" t="e">
        <f t="shared" si="3"/>
        <v>#VALUE!</v>
      </c>
      <c r="N11" s="1781"/>
      <c r="O11" s="1836"/>
      <c r="P11" s="1783">
        <f t="shared" si="4"/>
        <v>0</v>
      </c>
      <c r="Q11" s="1837">
        <f t="shared" si="5"/>
        <v>0</v>
      </c>
      <c r="R11" s="1838"/>
    </row>
    <row r="12" spans="1:18" ht="60">
      <c r="A12" s="1839"/>
      <c r="B12" s="1787" t="s">
        <v>5451</v>
      </c>
      <c r="C12" s="1831"/>
      <c r="D12" s="1832" t="s">
        <v>5452</v>
      </c>
      <c r="E12" s="1833" t="s">
        <v>5453</v>
      </c>
      <c r="F12" s="1834">
        <v>20</v>
      </c>
      <c r="G12" s="1835">
        <v>9.5</v>
      </c>
      <c r="H12" s="1775">
        <f t="shared" si="0"/>
        <v>0.47499999999999998</v>
      </c>
      <c r="I12" s="1779">
        <f>+H12</f>
        <v>0.47499999999999998</v>
      </c>
      <c r="J12" s="1777">
        <f t="shared" si="1"/>
        <v>0.56999999999999995</v>
      </c>
      <c r="K12" s="1778">
        <v>0</v>
      </c>
      <c r="L12" s="1779">
        <f t="shared" si="2"/>
        <v>0.56999999999999995</v>
      </c>
      <c r="M12" s="1780" t="e">
        <f t="shared" si="3"/>
        <v>#VALUE!</v>
      </c>
      <c r="N12" s="1781"/>
      <c r="O12" s="1836">
        <v>10</v>
      </c>
      <c r="P12" s="1783">
        <f t="shared" si="4"/>
        <v>0</v>
      </c>
      <c r="Q12" s="1837">
        <f t="shared" si="5"/>
        <v>0</v>
      </c>
      <c r="R12" s="1838"/>
    </row>
    <row r="13" spans="1:18" ht="75">
      <c r="A13" s="1839"/>
      <c r="B13" s="1787" t="s">
        <v>5454</v>
      </c>
      <c r="C13" s="1831"/>
      <c r="D13" s="1832" t="s">
        <v>5455</v>
      </c>
      <c r="E13" s="1833" t="s">
        <v>5453</v>
      </c>
      <c r="F13" s="1834">
        <v>12</v>
      </c>
      <c r="G13" s="1835">
        <v>71.34</v>
      </c>
      <c r="H13" s="1775">
        <f t="shared" si="0"/>
        <v>5.9450000000000003</v>
      </c>
      <c r="I13" s="1779">
        <f>+H13*1.16</f>
        <v>6.8961999999999994</v>
      </c>
      <c r="J13" s="1777">
        <f t="shared" si="1"/>
        <v>7.1340000000000003</v>
      </c>
      <c r="K13" s="1778">
        <f>+J13*16%</f>
        <v>1.14144</v>
      </c>
      <c r="L13" s="1779">
        <f t="shared" si="2"/>
        <v>8.2754399999999997</v>
      </c>
      <c r="M13" s="1780" t="e">
        <f t="shared" si="3"/>
        <v>#VALUE!</v>
      </c>
      <c r="N13" s="1781"/>
      <c r="O13" s="1836">
        <v>12</v>
      </c>
      <c r="P13" s="1783">
        <f t="shared" si="4"/>
        <v>0</v>
      </c>
      <c r="Q13" s="1837">
        <f t="shared" si="5"/>
        <v>0</v>
      </c>
      <c r="R13" s="1838"/>
    </row>
    <row r="14" spans="1:18" ht="75">
      <c r="A14" s="1839"/>
      <c r="B14" s="1787" t="s">
        <v>5456</v>
      </c>
      <c r="C14" s="1831"/>
      <c r="D14" s="1832" t="s">
        <v>5457</v>
      </c>
      <c r="E14" s="1833" t="s">
        <v>990</v>
      </c>
      <c r="F14" s="1834">
        <v>10</v>
      </c>
      <c r="G14" s="1835">
        <v>8.8000000000000007</v>
      </c>
      <c r="H14" s="1775">
        <f t="shared" si="0"/>
        <v>0.88000000000000012</v>
      </c>
      <c r="I14" s="1779">
        <f>+H14</f>
        <v>0.88000000000000012</v>
      </c>
      <c r="J14" s="1777">
        <f t="shared" si="1"/>
        <v>1.056</v>
      </c>
      <c r="K14" s="1778">
        <v>0</v>
      </c>
      <c r="L14" s="1779">
        <f t="shared" si="2"/>
        <v>1.056</v>
      </c>
      <c r="M14" s="1780" t="e">
        <f t="shared" si="3"/>
        <v>#VALUE!</v>
      </c>
      <c r="N14" s="1781"/>
      <c r="O14" s="1836">
        <v>10</v>
      </c>
      <c r="P14" s="1783">
        <f t="shared" si="4"/>
        <v>0</v>
      </c>
      <c r="Q14" s="1837">
        <f t="shared" si="5"/>
        <v>0</v>
      </c>
      <c r="R14" s="1838"/>
    </row>
    <row r="15" spans="1:18" ht="45">
      <c r="A15" s="1839"/>
      <c r="B15" s="1787" t="s">
        <v>5458</v>
      </c>
      <c r="C15" s="1831"/>
      <c r="D15" s="1832" t="s">
        <v>5459</v>
      </c>
      <c r="E15" s="1833" t="s">
        <v>990</v>
      </c>
      <c r="F15" s="1834">
        <v>20</v>
      </c>
      <c r="G15" s="1835">
        <v>15.9</v>
      </c>
      <c r="H15" s="1775">
        <f t="shared" si="0"/>
        <v>0.79500000000000004</v>
      </c>
      <c r="I15" s="1779">
        <f>+H15</f>
        <v>0.79500000000000004</v>
      </c>
      <c r="J15" s="1777">
        <f t="shared" si="1"/>
        <v>0.95399999999999996</v>
      </c>
      <c r="K15" s="1778">
        <v>0</v>
      </c>
      <c r="L15" s="1779">
        <f t="shared" si="2"/>
        <v>0.95399999999999996</v>
      </c>
      <c r="M15" s="1795" t="e">
        <f t="shared" si="3"/>
        <v>#VALUE!</v>
      </c>
      <c r="N15" s="1781"/>
      <c r="O15" s="1836">
        <v>10</v>
      </c>
      <c r="P15" s="1783">
        <f t="shared" si="4"/>
        <v>0</v>
      </c>
      <c r="Q15" s="1837">
        <f t="shared" si="5"/>
        <v>0</v>
      </c>
      <c r="R15" s="1838"/>
    </row>
    <row r="16" spans="1:18" ht="75">
      <c r="A16" s="1840"/>
      <c r="B16" s="1841" t="s">
        <v>5460</v>
      </c>
      <c r="C16" s="1842"/>
      <c r="D16" s="1832" t="s">
        <v>5461</v>
      </c>
      <c r="E16" s="1833" t="s">
        <v>990</v>
      </c>
      <c r="F16" s="1834">
        <v>24</v>
      </c>
      <c r="G16" s="1835">
        <v>22.32</v>
      </c>
      <c r="H16" s="1775">
        <f t="shared" si="0"/>
        <v>0.93</v>
      </c>
      <c r="I16" s="1779">
        <f>+H16</f>
        <v>0.93</v>
      </c>
      <c r="J16" s="1777">
        <f t="shared" si="1"/>
        <v>1.1160000000000001</v>
      </c>
      <c r="K16" s="1778">
        <v>0</v>
      </c>
      <c r="L16" s="1779">
        <f t="shared" si="2"/>
        <v>1.1160000000000001</v>
      </c>
      <c r="M16" s="1795"/>
      <c r="N16" s="1781"/>
      <c r="O16" s="1836"/>
      <c r="P16" s="1783"/>
      <c r="Q16" s="1837">
        <f t="shared" si="5"/>
        <v>0</v>
      </c>
      <c r="R16" s="1838"/>
    </row>
    <row r="17" spans="1:18" ht="60">
      <c r="A17" s="1840"/>
      <c r="B17" s="1787" t="s">
        <v>5462</v>
      </c>
      <c r="C17" s="1831"/>
      <c r="D17" s="1832" t="s">
        <v>5463</v>
      </c>
      <c r="E17" s="1833" t="s">
        <v>5464</v>
      </c>
      <c r="F17" s="1838"/>
      <c r="G17" s="1835">
        <v>9.36</v>
      </c>
      <c r="H17" s="1775">
        <f>+G17/F18</f>
        <v>0.46799999999999997</v>
      </c>
      <c r="I17" s="1779">
        <f>+H17*1.16</f>
        <v>0.54287999999999992</v>
      </c>
      <c r="J17" s="1777">
        <f t="shared" si="1"/>
        <v>0.56159999999999999</v>
      </c>
      <c r="K17" s="1778">
        <f>+J17*1.16</f>
        <v>0.65145599999999992</v>
      </c>
      <c r="L17" s="1779">
        <f t="shared" si="2"/>
        <v>1.2130559999999999</v>
      </c>
      <c r="M17" s="1795"/>
      <c r="N17" s="1781"/>
      <c r="O17" s="1836">
        <v>9</v>
      </c>
      <c r="P17" s="1783">
        <f>+N17*O17</f>
        <v>0</v>
      </c>
      <c r="Q17" s="1837">
        <f t="shared" si="5"/>
        <v>0</v>
      </c>
      <c r="R17" s="1838"/>
    </row>
    <row r="18" spans="1:18" ht="60.75" thickBot="1">
      <c r="A18" s="1840"/>
      <c r="B18" s="1787" t="s">
        <v>5465</v>
      </c>
      <c r="C18" s="1831"/>
      <c r="D18" s="1832" t="s">
        <v>5466</v>
      </c>
      <c r="E18" s="1833" t="s">
        <v>5464</v>
      </c>
      <c r="F18" s="1834">
        <v>20</v>
      </c>
      <c r="G18" s="1835">
        <v>9.36</v>
      </c>
      <c r="H18" s="1775">
        <f>+G18/F18</f>
        <v>0.46799999999999997</v>
      </c>
      <c r="I18" s="1779">
        <f>+H18*1.16</f>
        <v>0.54287999999999992</v>
      </c>
      <c r="J18" s="1777">
        <f t="shared" si="1"/>
        <v>0.56159999999999999</v>
      </c>
      <c r="K18" s="1778">
        <f>+J18*1.16</f>
        <v>0.65145599999999992</v>
      </c>
      <c r="L18" s="1779">
        <f t="shared" si="2"/>
        <v>1.2130559999999999</v>
      </c>
      <c r="M18" s="1795"/>
      <c r="N18" s="1781"/>
      <c r="O18" s="1836">
        <v>9</v>
      </c>
      <c r="P18" s="1783">
        <f>+N18*O18</f>
        <v>0</v>
      </c>
      <c r="Q18" s="1837">
        <f t="shared" si="5"/>
        <v>0</v>
      </c>
      <c r="R18" s="1838"/>
    </row>
    <row r="19" spans="1:18" ht="15.75">
      <c r="A19" s="1843"/>
      <c r="B19" s="1699"/>
      <c r="C19" s="1699"/>
      <c r="D19" s="1704"/>
      <c r="E19" s="1699"/>
      <c r="F19" s="1594"/>
      <c r="G19" s="1844"/>
      <c r="H19" s="1844"/>
      <c r="I19" s="1845"/>
      <c r="J19" s="1845"/>
      <c r="K19" s="1845"/>
      <c r="L19" s="1845"/>
      <c r="M19" s="1812"/>
      <c r="N19" s="1805">
        <f>SUM(N10:N18)</f>
        <v>0</v>
      </c>
      <c r="O19" s="1806">
        <f>SUM(P10:P15)</f>
        <v>0</v>
      </c>
      <c r="P19" s="1806"/>
      <c r="Q19" s="1846">
        <f>+SUBTOTAL(9,Q10:Q18)</f>
        <v>0</v>
      </c>
      <c r="R19" s="1838"/>
    </row>
    <row r="20" spans="1:18">
      <c r="A20" s="1843"/>
      <c r="B20" s="1699"/>
      <c r="C20" s="1699"/>
      <c r="D20" s="1704"/>
      <c r="E20" s="1699"/>
      <c r="F20" s="1594"/>
      <c r="G20" s="1844"/>
      <c r="H20" s="1844"/>
      <c r="I20" s="1845"/>
      <c r="J20" s="1845"/>
      <c r="K20" s="1845"/>
      <c r="L20" s="1845"/>
      <c r="M20" s="1812"/>
      <c r="N20" s="1807" t="s">
        <v>5437</v>
      </c>
      <c r="O20" s="1808" t="s">
        <v>5438</v>
      </c>
      <c r="P20" s="1808" t="s">
        <v>5285</v>
      </c>
      <c r="Q20" s="1847" t="e">
        <f>+(Q19-(+#REF!+Q10+#REF!+#REF!+Q12+#REF!+#REF!+#REF!+Q14+#REF!+#REF!+#REF!+#REF!+#REF!+#REF!+#REF!+#REF!+#REF!+Q15+#REF!+#REF!+#REF!+Q16+#REF!+#REF!+#REF!++#REF!+#REF!+#REF!+#REF!+#REF!+#REF!+#REF!))*16%</f>
        <v>#REF!</v>
      </c>
      <c r="R20" s="1848"/>
    </row>
    <row r="21" spans="1:18" ht="15.75" thickBot="1">
      <c r="A21" s="1843"/>
      <c r="B21" s="1699"/>
      <c r="C21" s="1699"/>
      <c r="D21" s="1704"/>
      <c r="E21" s="1699"/>
      <c r="F21" s="1594"/>
      <c r="G21" s="1844"/>
      <c r="H21" s="1844"/>
      <c r="I21" s="1845"/>
      <c r="J21" s="1845"/>
      <c r="K21" s="1845"/>
      <c r="L21" s="1845"/>
      <c r="M21" s="1812"/>
      <c r="N21" s="2263" t="s">
        <v>5439</v>
      </c>
      <c r="O21" s="2264"/>
      <c r="P21" s="2265"/>
      <c r="Q21" s="1849" t="e">
        <f>+Q19+Q20</f>
        <v>#REF!</v>
      </c>
      <c r="R21" s="1850"/>
    </row>
    <row r="22" spans="1:18">
      <c r="A22" s="1851"/>
      <c r="B22" s="1852"/>
      <c r="C22" s="1852"/>
      <c r="D22" s="1853"/>
      <c r="E22" s="1852"/>
      <c r="F22" s="1854"/>
      <c r="G22" s="1855"/>
      <c r="H22" s="1855"/>
      <c r="I22" s="1856"/>
      <c r="J22" s="1856"/>
      <c r="K22" s="1856"/>
      <c r="L22" s="1856"/>
      <c r="M22" s="1812"/>
      <c r="N22" s="1813"/>
      <c r="O22" s="1852"/>
      <c r="P22" s="1814"/>
      <c r="Q22" s="1852"/>
      <c r="R22" s="1854"/>
    </row>
  </sheetData>
  <mergeCells count="8">
    <mergeCell ref="N21:P21"/>
    <mergeCell ref="A3:G3"/>
    <mergeCell ref="L3:Q4"/>
    <mergeCell ref="A5:G5"/>
    <mergeCell ref="B7:L7"/>
    <mergeCell ref="B8:I8"/>
    <mergeCell ref="J8:L8"/>
    <mergeCell ref="N8:P8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"/>
  <sheetViews>
    <sheetView topLeftCell="A2" workbookViewId="0">
      <selection activeCell="F5" sqref="F5"/>
    </sheetView>
  </sheetViews>
  <sheetFormatPr baseColWidth="10" defaultRowHeight="15"/>
  <cols>
    <col min="2" max="2" width="19.7109375" customWidth="1"/>
    <col min="3" max="3" width="15.140625" customWidth="1"/>
    <col min="5" max="5" width="13.85546875" customWidth="1"/>
    <col min="7" max="7" width="11.85546875" customWidth="1"/>
    <col min="8" max="8" width="16.28515625" customWidth="1"/>
  </cols>
  <sheetData>
    <row r="2" spans="1:9">
      <c r="B2" s="2385" t="s">
        <v>3278</v>
      </c>
      <c r="C2" s="2385"/>
      <c r="D2" s="2385"/>
      <c r="E2" s="2385"/>
      <c r="F2" s="2385"/>
      <c r="G2" s="2385"/>
      <c r="H2" s="2385"/>
    </row>
    <row r="3" spans="1:9" ht="45">
      <c r="B3" s="697" t="s">
        <v>1677</v>
      </c>
      <c r="C3" s="697" t="s">
        <v>20</v>
      </c>
      <c r="D3" s="697" t="s">
        <v>21</v>
      </c>
      <c r="E3" s="698" t="s">
        <v>1678</v>
      </c>
      <c r="F3" s="698" t="s">
        <v>1679</v>
      </c>
      <c r="G3" s="550">
        <v>0.08</v>
      </c>
      <c r="H3" s="699" t="s">
        <v>2434</v>
      </c>
    </row>
    <row r="4" spans="1:9">
      <c r="B4" s="695" t="s">
        <v>110</v>
      </c>
      <c r="C4" s="695" t="s">
        <v>110</v>
      </c>
      <c r="D4" s="695" t="s">
        <v>110</v>
      </c>
      <c r="E4" s="21"/>
      <c r="F4" s="21"/>
      <c r="G4" s="26"/>
      <c r="H4" s="700">
        <v>77</v>
      </c>
      <c r="I4" s="603" t="s">
        <v>3284</v>
      </c>
    </row>
    <row r="5" spans="1:9">
      <c r="B5" s="652" t="s">
        <v>3281</v>
      </c>
      <c r="C5" s="695">
        <f>E22</f>
        <v>10800</v>
      </c>
      <c r="D5" s="695">
        <v>1440</v>
      </c>
      <c r="E5" s="695">
        <f>B5+C5+D5</f>
        <v>43848</v>
      </c>
      <c r="F5" s="23">
        <f>E5/36</f>
        <v>1218</v>
      </c>
      <c r="G5" s="470">
        <f>F5*8%</f>
        <v>97.44</v>
      </c>
      <c r="H5" s="700">
        <v>62</v>
      </c>
      <c r="I5" t="s">
        <v>3283</v>
      </c>
    </row>
    <row r="6" spans="1:9">
      <c r="B6" s="692"/>
      <c r="C6" s="692"/>
      <c r="D6" s="692"/>
      <c r="E6" s="692"/>
      <c r="F6" s="696"/>
      <c r="G6" s="692"/>
      <c r="H6" s="700"/>
    </row>
    <row r="7" spans="1:9">
      <c r="B7" s="692"/>
      <c r="C7" s="692"/>
      <c r="D7" s="692"/>
      <c r="E7" s="692"/>
      <c r="F7" s="692"/>
      <c r="G7" s="692"/>
      <c r="H7" s="700"/>
    </row>
    <row r="8" spans="1:9">
      <c r="B8" s="692"/>
      <c r="C8" s="692"/>
      <c r="D8" s="692"/>
      <c r="E8" s="692"/>
      <c r="F8" s="692"/>
      <c r="G8" s="692"/>
      <c r="H8" s="700"/>
    </row>
    <row r="9" spans="1:9">
      <c r="H9" s="696"/>
    </row>
    <row r="10" spans="1:9" s="692" customFormat="1">
      <c r="B10" s="2385" t="s">
        <v>714</v>
      </c>
      <c r="C10" s="2385"/>
      <c r="D10" s="2385"/>
      <c r="E10" s="2385"/>
      <c r="F10" s="2385"/>
      <c r="G10" s="2385"/>
      <c r="H10" s="2385"/>
    </row>
    <row r="11" spans="1:9">
      <c r="B11" s="338" t="s">
        <v>254</v>
      </c>
      <c r="C11" s="395" t="s">
        <v>1627</v>
      </c>
      <c r="D11" s="338" t="s">
        <v>0</v>
      </c>
      <c r="E11" s="338" t="s">
        <v>122</v>
      </c>
      <c r="F11" s="338" t="s">
        <v>547</v>
      </c>
      <c r="G11" s="2313" t="s">
        <v>2314</v>
      </c>
      <c r="H11" s="2314"/>
    </row>
    <row r="12" spans="1:9">
      <c r="B12" s="693" t="s">
        <v>3277</v>
      </c>
      <c r="C12" s="693">
        <v>5901</v>
      </c>
      <c r="D12" s="693">
        <v>3064</v>
      </c>
      <c r="E12" s="693">
        <v>5400</v>
      </c>
      <c r="F12" s="693">
        <v>0.38</v>
      </c>
      <c r="G12" s="693" t="s">
        <v>3273</v>
      </c>
    </row>
    <row r="13" spans="1:9">
      <c r="B13" s="693" t="s">
        <v>3277</v>
      </c>
      <c r="C13" s="693">
        <v>5900</v>
      </c>
      <c r="D13" s="693">
        <v>3064</v>
      </c>
      <c r="E13" s="693">
        <v>10800</v>
      </c>
      <c r="F13" s="693">
        <v>0.38</v>
      </c>
      <c r="G13" s="693" t="s">
        <v>3273</v>
      </c>
    </row>
    <row r="14" spans="1:9">
      <c r="B14" s="693" t="s">
        <v>3275</v>
      </c>
      <c r="C14" s="693">
        <v>5930</v>
      </c>
      <c r="D14" s="693">
        <v>3064</v>
      </c>
      <c r="E14" s="693">
        <v>5400</v>
      </c>
      <c r="F14" s="693">
        <v>0.4</v>
      </c>
      <c r="G14" s="693" t="s">
        <v>3273</v>
      </c>
    </row>
    <row r="15" spans="1:9">
      <c r="B15" s="693" t="s">
        <v>3274</v>
      </c>
      <c r="C15" s="693">
        <v>5934</v>
      </c>
      <c r="D15" s="693">
        <v>3064</v>
      </c>
      <c r="E15" s="693">
        <v>10008</v>
      </c>
      <c r="F15" s="693">
        <v>0.4</v>
      </c>
      <c r="G15" s="693" t="s">
        <v>3273</v>
      </c>
    </row>
    <row r="16" spans="1:9">
      <c r="A16" t="s">
        <v>65</v>
      </c>
      <c r="B16" s="693" t="s">
        <v>3276</v>
      </c>
      <c r="C16" s="693">
        <v>5926</v>
      </c>
      <c r="D16" s="693">
        <v>3064</v>
      </c>
      <c r="E16" s="693">
        <v>4896</v>
      </c>
      <c r="F16" s="693">
        <v>0</v>
      </c>
      <c r="G16" s="693" t="s">
        <v>3273</v>
      </c>
    </row>
    <row r="17" spans="2:12">
      <c r="B17" s="692"/>
      <c r="D17" s="692"/>
      <c r="E17" s="521"/>
      <c r="F17" s="692"/>
      <c r="G17" s="521"/>
    </row>
    <row r="18" spans="2:12">
      <c r="B18" s="2385" t="s">
        <v>2445</v>
      </c>
      <c r="C18" s="2385"/>
      <c r="D18" s="2385"/>
      <c r="E18" s="2385"/>
      <c r="F18" s="2385"/>
      <c r="G18" s="2385"/>
    </row>
    <row r="19" spans="2:12">
      <c r="B19" s="693" t="s">
        <v>254</v>
      </c>
      <c r="C19" s="693" t="s">
        <v>1627</v>
      </c>
      <c r="D19" s="693" t="s">
        <v>0</v>
      </c>
      <c r="E19" s="693" t="s">
        <v>122</v>
      </c>
      <c r="F19" s="693" t="s">
        <v>547</v>
      </c>
      <c r="G19" s="2313" t="s">
        <v>2314</v>
      </c>
      <c r="H19" s="2314"/>
      <c r="L19" t="s">
        <v>2314</v>
      </c>
    </row>
    <row r="20" spans="2:12">
      <c r="B20" s="693" t="s">
        <v>3277</v>
      </c>
      <c r="C20" s="693" t="s">
        <v>3279</v>
      </c>
      <c r="D20" s="693">
        <v>3064</v>
      </c>
      <c r="E20" s="693">
        <v>5400</v>
      </c>
      <c r="F20" s="693">
        <v>0.38</v>
      </c>
      <c r="G20" s="693" t="s">
        <v>3273</v>
      </c>
    </row>
    <row r="21" spans="2:12">
      <c r="B21" s="693" t="s">
        <v>3275</v>
      </c>
      <c r="C21" s="693" t="s">
        <v>3280</v>
      </c>
      <c r="D21" s="693">
        <v>3064</v>
      </c>
      <c r="E21" s="693">
        <v>5400</v>
      </c>
      <c r="F21" s="693">
        <v>0.4</v>
      </c>
      <c r="G21" s="693" t="s">
        <v>3273</v>
      </c>
    </row>
    <row r="22" spans="2:12">
      <c r="E22">
        <f>E20+E21</f>
        <v>10800</v>
      </c>
    </row>
    <row r="23" spans="2:12">
      <c r="B23" s="2365" t="s">
        <v>21</v>
      </c>
      <c r="C23" s="2365"/>
      <c r="D23" s="2365"/>
      <c r="E23" s="2365"/>
      <c r="F23" s="2365"/>
      <c r="G23" s="2365"/>
      <c r="H23" s="2365"/>
    </row>
    <row r="24" spans="2:12">
      <c r="B24" s="693" t="s">
        <v>254</v>
      </c>
      <c r="C24" s="693" t="s">
        <v>1627</v>
      </c>
      <c r="D24" s="693" t="s">
        <v>0</v>
      </c>
      <c r="E24" s="693" t="s">
        <v>122</v>
      </c>
      <c r="F24" s="693" t="s">
        <v>547</v>
      </c>
      <c r="G24" s="693" t="s">
        <v>2314</v>
      </c>
      <c r="H24" s="693"/>
    </row>
    <row r="25" spans="2:12">
      <c r="B25" s="693" t="s">
        <v>3277</v>
      </c>
      <c r="C25" s="693" t="s">
        <v>3282</v>
      </c>
      <c r="D25" s="693">
        <v>3064</v>
      </c>
      <c r="E25" s="693">
        <v>1440</v>
      </c>
      <c r="F25" s="693">
        <v>0.38</v>
      </c>
      <c r="G25" s="693" t="s">
        <v>3273</v>
      </c>
      <c r="H25" s="693"/>
    </row>
    <row r="26" spans="2:12">
      <c r="B26" s="693"/>
      <c r="C26" s="693"/>
      <c r="D26" s="693"/>
      <c r="E26" s="693">
        <v>1440</v>
      </c>
      <c r="F26" s="693"/>
      <c r="G26" s="693"/>
      <c r="H26" s="693"/>
    </row>
  </sheetData>
  <mergeCells count="6">
    <mergeCell ref="B23:H23"/>
    <mergeCell ref="B2:H2"/>
    <mergeCell ref="B10:H10"/>
    <mergeCell ref="B18:G18"/>
    <mergeCell ref="G11:H11"/>
    <mergeCell ref="G19:H19"/>
  </mergeCells>
  <pageMargins left="0.7" right="0.7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K15" sqref="K15"/>
    </sheetView>
  </sheetViews>
  <sheetFormatPr baseColWidth="10" defaultRowHeight="15"/>
  <cols>
    <col min="7" max="7" width="31.7109375" customWidth="1"/>
    <col min="8" max="8" width="14" customWidth="1"/>
  </cols>
  <sheetData>
    <row r="1" spans="1:9" s="404" customFormat="1"/>
    <row r="2" spans="1:9">
      <c r="B2" s="2365" t="s">
        <v>65</v>
      </c>
      <c r="C2" s="2365"/>
      <c r="D2" s="2365"/>
      <c r="E2" s="2365"/>
      <c r="F2" s="2365"/>
      <c r="G2" s="2365"/>
      <c r="H2" s="2365"/>
    </row>
    <row r="4" spans="1:9" s="404" customFormat="1">
      <c r="A4" s="404" t="s">
        <v>1695</v>
      </c>
      <c r="B4" s="2385" t="s">
        <v>2432</v>
      </c>
      <c r="C4" s="2385"/>
      <c r="D4" s="2385"/>
      <c r="E4" s="2385"/>
      <c r="F4" s="2385"/>
      <c r="G4" s="2385"/>
      <c r="H4" s="2385"/>
    </row>
    <row r="5" spans="1:9" s="404" customFormat="1" ht="60">
      <c r="B5" s="546" t="s">
        <v>1677</v>
      </c>
      <c r="C5" s="546" t="s">
        <v>20</v>
      </c>
      <c r="D5" s="546" t="s">
        <v>21</v>
      </c>
      <c r="E5" s="547" t="s">
        <v>1678</v>
      </c>
      <c r="F5" s="547" t="s">
        <v>1679</v>
      </c>
      <c r="G5" s="550">
        <v>0.08</v>
      </c>
      <c r="H5" s="548" t="s">
        <v>2434</v>
      </c>
    </row>
    <row r="6" spans="1:9" s="404" customFormat="1">
      <c r="B6" s="544" t="s">
        <v>110</v>
      </c>
      <c r="C6" s="544" t="s">
        <v>110</v>
      </c>
      <c r="D6" s="544" t="s">
        <v>110</v>
      </c>
      <c r="E6" s="21"/>
      <c r="F6" s="21"/>
      <c r="G6" s="26"/>
      <c r="H6" s="549">
        <v>136</v>
      </c>
    </row>
    <row r="7" spans="1:9" s="404" customFormat="1">
      <c r="B7" s="544">
        <f>E19</f>
        <v>42156</v>
      </c>
      <c r="C7" s="544">
        <f>E24</f>
        <v>10008</v>
      </c>
      <c r="D7" s="544">
        <f>E28</f>
        <v>1080</v>
      </c>
      <c r="E7" s="544">
        <f>B7+C7+D7</f>
        <v>53244</v>
      </c>
      <c r="F7" s="23">
        <f>E7/36</f>
        <v>1479</v>
      </c>
      <c r="G7" s="470">
        <f>F7*8%</f>
        <v>118.32000000000001</v>
      </c>
      <c r="H7" s="549">
        <v>0</v>
      </c>
    </row>
    <row r="8" spans="1:9" s="404" customFormat="1">
      <c r="F8" s="545"/>
      <c r="H8" s="549">
        <v>0</v>
      </c>
    </row>
    <row r="9" spans="1:9" s="404" customFormat="1">
      <c r="H9" s="549">
        <v>0</v>
      </c>
    </row>
    <row r="10" spans="1:9" s="404" customFormat="1">
      <c r="H10" s="549">
        <v>0</v>
      </c>
    </row>
    <row r="11" spans="1:9" s="404" customFormat="1">
      <c r="B11" s="2385" t="s">
        <v>714</v>
      </c>
      <c r="C11" s="2385"/>
      <c r="D11" s="2385"/>
      <c r="E11" s="2385"/>
      <c r="F11" s="2385"/>
      <c r="G11" s="2385"/>
      <c r="H11" s="545">
        <f>SUM(H6:H10)</f>
        <v>136</v>
      </c>
    </row>
    <row r="12" spans="1:9" ht="36" customHeight="1">
      <c r="B12" s="405" t="s">
        <v>254</v>
      </c>
      <c r="C12" s="538" t="s">
        <v>1627</v>
      </c>
      <c r="D12" s="405" t="s">
        <v>0</v>
      </c>
      <c r="E12" s="405" t="s">
        <v>122</v>
      </c>
      <c r="F12" s="405" t="s">
        <v>547</v>
      </c>
      <c r="G12" s="405" t="s">
        <v>1</v>
      </c>
      <c r="H12" s="135">
        <v>77</v>
      </c>
      <c r="I12" t="s">
        <v>3148</v>
      </c>
    </row>
    <row r="13" spans="1:9">
      <c r="B13" s="349" t="s">
        <v>2368</v>
      </c>
      <c r="C13" s="538">
        <v>5866</v>
      </c>
      <c r="D13" s="538">
        <v>3064</v>
      </c>
      <c r="E13" s="538">
        <v>4176</v>
      </c>
      <c r="F13" s="538">
        <v>0.37</v>
      </c>
      <c r="G13" s="349" t="s">
        <v>1629</v>
      </c>
      <c r="H13">
        <f>SUM(H11:H12)</f>
        <v>213</v>
      </c>
    </row>
    <row r="14" spans="1:9">
      <c r="A14" t="s">
        <v>2428</v>
      </c>
      <c r="B14" s="551" t="s">
        <v>2368</v>
      </c>
      <c r="C14" s="536">
        <v>5866</v>
      </c>
      <c r="D14" s="536">
        <v>3064</v>
      </c>
      <c r="E14" s="536">
        <v>2952</v>
      </c>
      <c r="F14" s="536">
        <v>0</v>
      </c>
      <c r="G14" s="349" t="s">
        <v>1629</v>
      </c>
      <c r="H14" s="448">
        <f>H13-G7</f>
        <v>94.679999999999993</v>
      </c>
      <c r="I14" s="692" t="s">
        <v>3148</v>
      </c>
    </row>
    <row r="15" spans="1:9">
      <c r="B15" s="349" t="s">
        <v>2426</v>
      </c>
      <c r="C15" s="538">
        <v>5870</v>
      </c>
      <c r="D15" s="538">
        <v>3064</v>
      </c>
      <c r="E15" s="538">
        <v>21600</v>
      </c>
      <c r="F15" s="538">
        <v>0.37</v>
      </c>
      <c r="G15" s="349" t="s">
        <v>1629</v>
      </c>
    </row>
    <row r="16" spans="1:9">
      <c r="B16" s="349" t="s">
        <v>2427</v>
      </c>
      <c r="C16" s="538">
        <v>5890</v>
      </c>
      <c r="D16" s="538">
        <v>3064</v>
      </c>
      <c r="E16" s="538">
        <v>5580</v>
      </c>
      <c r="F16" s="538">
        <v>0.37</v>
      </c>
      <c r="G16" s="349" t="s">
        <v>1629</v>
      </c>
    </row>
    <row r="17" spans="1:11">
      <c r="B17" s="349" t="s">
        <v>2427</v>
      </c>
      <c r="C17" s="538">
        <v>5889</v>
      </c>
      <c r="D17" s="538">
        <v>3064</v>
      </c>
      <c r="E17" s="538">
        <v>10800</v>
      </c>
      <c r="F17" s="538">
        <v>0.37</v>
      </c>
      <c r="G17" s="349" t="s">
        <v>1629</v>
      </c>
    </row>
    <row r="18" spans="1:11">
      <c r="A18" t="s">
        <v>2429</v>
      </c>
      <c r="B18" s="551" t="s">
        <v>2427</v>
      </c>
      <c r="C18" s="536">
        <v>5889</v>
      </c>
      <c r="D18" s="536">
        <v>3064</v>
      </c>
      <c r="E18" s="536">
        <v>3420</v>
      </c>
      <c r="F18" s="536">
        <v>0</v>
      </c>
      <c r="G18" s="349" t="s">
        <v>1629</v>
      </c>
    </row>
    <row r="19" spans="1:11">
      <c r="B19" s="404"/>
      <c r="C19" s="535"/>
      <c r="D19" s="404"/>
      <c r="E19" s="404">
        <f>E13+E15+E16+E17</f>
        <v>42156</v>
      </c>
      <c r="F19" s="404"/>
      <c r="G19" s="404"/>
    </row>
    <row r="20" spans="1:11">
      <c r="B20" s="2385" t="s">
        <v>20</v>
      </c>
      <c r="C20" s="2385"/>
      <c r="D20" s="2385"/>
      <c r="E20" s="2385"/>
      <c r="F20" s="2385"/>
      <c r="G20" s="2385"/>
    </row>
    <row r="21" spans="1:11">
      <c r="B21" s="405" t="s">
        <v>254</v>
      </c>
      <c r="C21" s="405" t="s">
        <v>1627</v>
      </c>
      <c r="D21" s="405" t="s">
        <v>0</v>
      </c>
      <c r="E21" s="405" t="s">
        <v>122</v>
      </c>
      <c r="F21" s="405" t="s">
        <v>547</v>
      </c>
      <c r="G21" s="405" t="s">
        <v>1</v>
      </c>
      <c r="K21" s="535" t="s">
        <v>65</v>
      </c>
    </row>
    <row r="22" spans="1:11">
      <c r="B22" s="405" t="s">
        <v>2368</v>
      </c>
      <c r="C22" s="405" t="s">
        <v>2430</v>
      </c>
      <c r="D22" s="405">
        <v>3064</v>
      </c>
      <c r="E22" s="405">
        <v>4608</v>
      </c>
      <c r="F22" s="405">
        <v>0.37</v>
      </c>
      <c r="G22" s="405" t="s">
        <v>1629</v>
      </c>
      <c r="K22" s="535" t="s">
        <v>65</v>
      </c>
    </row>
    <row r="23" spans="1:11">
      <c r="B23" s="405" t="s">
        <v>2427</v>
      </c>
      <c r="C23" s="405" t="s">
        <v>2431</v>
      </c>
      <c r="D23" s="405">
        <v>3064</v>
      </c>
      <c r="E23" s="405">
        <v>5400</v>
      </c>
      <c r="F23" s="405">
        <v>0.38</v>
      </c>
      <c r="G23" s="405" t="s">
        <v>1629</v>
      </c>
    </row>
    <row r="24" spans="1:11">
      <c r="E24">
        <f>SUM(E22:E23)</f>
        <v>10008</v>
      </c>
    </row>
    <row r="25" spans="1:11">
      <c r="B25" s="2385" t="s">
        <v>21</v>
      </c>
      <c r="C25" s="2385"/>
      <c r="D25" s="2385"/>
      <c r="E25" s="2385"/>
      <c r="F25" s="2385"/>
      <c r="G25" s="2385"/>
    </row>
    <row r="26" spans="1:11">
      <c r="B26" s="405" t="s">
        <v>254</v>
      </c>
      <c r="C26" s="405" t="s">
        <v>1627</v>
      </c>
      <c r="D26" s="405" t="s">
        <v>0</v>
      </c>
      <c r="E26" s="405" t="s">
        <v>122</v>
      </c>
      <c r="F26" s="405" t="s">
        <v>547</v>
      </c>
      <c r="G26" s="405" t="s">
        <v>1</v>
      </c>
    </row>
    <row r="27" spans="1:11">
      <c r="B27" s="405" t="s">
        <v>2427</v>
      </c>
      <c r="C27" s="405" t="s">
        <v>2433</v>
      </c>
      <c r="D27" s="405">
        <v>3064</v>
      </c>
      <c r="E27" s="405">
        <v>1080</v>
      </c>
      <c r="F27" s="405">
        <v>0.38</v>
      </c>
      <c r="G27" s="405" t="s">
        <v>1629</v>
      </c>
    </row>
    <row r="28" spans="1:11">
      <c r="E28">
        <f>SUM(E27)</f>
        <v>1080</v>
      </c>
    </row>
  </sheetData>
  <mergeCells count="5">
    <mergeCell ref="B20:G20"/>
    <mergeCell ref="B11:G11"/>
    <mergeCell ref="B2:H2"/>
    <mergeCell ref="B25:G25"/>
    <mergeCell ref="B4:H4"/>
  </mergeCells>
  <pageMargins left="0.7" right="0.7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B3:P32"/>
  <sheetViews>
    <sheetView workbookViewId="0">
      <selection activeCell="B3" sqref="B3:L5"/>
    </sheetView>
  </sheetViews>
  <sheetFormatPr baseColWidth="10" defaultRowHeight="15"/>
  <cols>
    <col min="5" max="5" width="8.85546875" customWidth="1"/>
    <col min="6" max="6" width="0" hidden="1" customWidth="1"/>
    <col min="7" max="7" width="14.7109375" customWidth="1"/>
    <col min="8" max="8" width="13.85546875" customWidth="1"/>
    <col min="10" max="10" width="8.42578125" customWidth="1"/>
    <col min="11" max="11" width="12" customWidth="1"/>
    <col min="12" max="12" width="8.140625" customWidth="1"/>
    <col min="13" max="13" width="13.85546875" customWidth="1"/>
    <col min="14" max="14" width="5.85546875" customWidth="1"/>
    <col min="16" max="16" width="15" customWidth="1"/>
  </cols>
  <sheetData>
    <row r="3" spans="2:16" ht="19.5" customHeight="1">
      <c r="C3" s="2384" t="s">
        <v>2436</v>
      </c>
      <c r="D3" s="2384"/>
      <c r="E3" s="2384"/>
      <c r="F3" s="2384"/>
      <c r="G3" s="2384"/>
      <c r="H3" s="2384"/>
      <c r="I3" s="2384"/>
      <c r="J3" s="2384"/>
      <c r="K3" s="2384"/>
      <c r="L3" s="2384"/>
    </row>
    <row r="4" spans="2:16" ht="60">
      <c r="B4" s="94" t="s">
        <v>116</v>
      </c>
      <c r="C4" s="2388" t="s">
        <v>107</v>
      </c>
      <c r="D4" s="2388"/>
      <c r="E4" s="2388"/>
      <c r="F4" s="2388"/>
      <c r="G4" s="19" t="s">
        <v>19</v>
      </c>
      <c r="H4" s="19" t="s">
        <v>20</v>
      </c>
      <c r="I4" s="19" t="s">
        <v>21</v>
      </c>
      <c r="J4" s="19" t="s">
        <v>648</v>
      </c>
      <c r="K4" s="19" t="s">
        <v>118</v>
      </c>
      <c r="L4" s="552">
        <v>0.08</v>
      </c>
      <c r="M4" s="548" t="s">
        <v>2434</v>
      </c>
      <c r="N4" s="549"/>
      <c r="O4" s="362"/>
      <c r="P4" s="362"/>
    </row>
    <row r="5" spans="2:16">
      <c r="B5" s="21">
        <v>3064</v>
      </c>
      <c r="C5" s="21" t="s">
        <v>59</v>
      </c>
      <c r="D5" s="22"/>
      <c r="E5" s="22"/>
      <c r="F5" s="22"/>
      <c r="G5" s="22">
        <f>E10+E11+E13+E14+E15+E16</f>
        <v>51556</v>
      </c>
      <c r="H5" s="22">
        <f>E21+E22+E23+E24+E25</f>
        <v>22572</v>
      </c>
      <c r="I5" s="22">
        <f>E31</f>
        <v>6192</v>
      </c>
      <c r="J5" s="21">
        <f>G5+H5+I5</f>
        <v>80320</v>
      </c>
      <c r="K5" s="23">
        <f>J5/36</f>
        <v>2231.1111111111113</v>
      </c>
      <c r="L5" s="553">
        <f>K5*8%</f>
        <v>178.48888888888891</v>
      </c>
      <c r="M5" s="549">
        <v>82</v>
      </c>
      <c r="N5" s="549" t="s">
        <v>554</v>
      </c>
      <c r="P5" s="406"/>
    </row>
    <row r="6" spans="2:16">
      <c r="M6" s="549">
        <v>48</v>
      </c>
      <c r="N6" s="549" t="s">
        <v>554</v>
      </c>
      <c r="P6" s="406"/>
    </row>
    <row r="7" spans="2:16">
      <c r="M7" s="549">
        <v>34</v>
      </c>
      <c r="N7" s="549" t="s">
        <v>554</v>
      </c>
      <c r="P7" s="406"/>
    </row>
    <row r="8" spans="2:16">
      <c r="B8" s="2385" t="s">
        <v>714</v>
      </c>
      <c r="C8" s="2385"/>
      <c r="D8" s="2385"/>
      <c r="E8" s="2385"/>
      <c r="F8" s="2385"/>
      <c r="G8" s="2385"/>
      <c r="H8" s="2385"/>
      <c r="M8" s="305">
        <v>3</v>
      </c>
      <c r="N8" s="549" t="s">
        <v>554</v>
      </c>
    </row>
    <row r="9" spans="2:16">
      <c r="B9" s="356" t="s">
        <v>254</v>
      </c>
      <c r="C9" s="356" t="s">
        <v>1627</v>
      </c>
      <c r="D9" s="356" t="s">
        <v>0</v>
      </c>
      <c r="E9" s="356" t="s">
        <v>122</v>
      </c>
      <c r="F9" s="356" t="s">
        <v>547</v>
      </c>
      <c r="G9" s="2391" t="s">
        <v>1</v>
      </c>
      <c r="H9" s="2392"/>
      <c r="M9" s="305">
        <v>0</v>
      </c>
      <c r="N9" s="549" t="s">
        <v>554</v>
      </c>
    </row>
    <row r="10" spans="2:16">
      <c r="B10" s="538" t="s">
        <v>1666</v>
      </c>
      <c r="C10" s="538">
        <v>5838</v>
      </c>
      <c r="D10" s="538">
        <v>3064</v>
      </c>
      <c r="E10" s="538">
        <v>7236</v>
      </c>
      <c r="F10" s="538">
        <v>0.37</v>
      </c>
      <c r="G10" s="2386" t="s">
        <v>1629</v>
      </c>
      <c r="H10" s="2387"/>
      <c r="M10" s="549">
        <f>SUM(M5:M9)</f>
        <v>167</v>
      </c>
      <c r="N10" s="549" t="s">
        <v>1636</v>
      </c>
    </row>
    <row r="11" spans="2:16">
      <c r="B11" s="538" t="s">
        <v>1667</v>
      </c>
      <c r="C11" s="538">
        <v>5843</v>
      </c>
      <c r="D11" s="538">
        <v>3064</v>
      </c>
      <c r="E11" s="538">
        <v>7816</v>
      </c>
      <c r="F11" s="538">
        <v>0.37</v>
      </c>
      <c r="G11" s="2386" t="s">
        <v>1629</v>
      </c>
      <c r="H11" s="2387"/>
      <c r="M11" s="14">
        <v>90</v>
      </c>
      <c r="N11" s="2389" t="s">
        <v>2435</v>
      </c>
      <c r="O11" s="2365"/>
    </row>
    <row r="12" spans="2:16">
      <c r="B12" s="536" t="s">
        <v>1667</v>
      </c>
      <c r="C12" s="536">
        <v>5843</v>
      </c>
      <c r="D12" s="536">
        <v>3064</v>
      </c>
      <c r="E12" s="536">
        <v>0</v>
      </c>
      <c r="F12" s="536">
        <v>0</v>
      </c>
      <c r="G12" s="536" t="s">
        <v>1629</v>
      </c>
      <c r="H12" s="536"/>
      <c r="J12" t="s">
        <v>65</v>
      </c>
      <c r="M12">
        <f>M10-M11</f>
        <v>77</v>
      </c>
      <c r="N12" s="535" t="s">
        <v>65</v>
      </c>
    </row>
    <row r="13" spans="2:16">
      <c r="B13" s="538" t="s">
        <v>1668</v>
      </c>
      <c r="C13" s="538">
        <v>399</v>
      </c>
      <c r="D13" s="538">
        <v>3064</v>
      </c>
      <c r="E13" s="538">
        <v>9900</v>
      </c>
      <c r="F13" s="538">
        <v>0.37</v>
      </c>
      <c r="G13" s="2386" t="s">
        <v>1629</v>
      </c>
      <c r="H13" s="2387"/>
    </row>
    <row r="14" spans="2:16">
      <c r="B14" s="538" t="s">
        <v>1669</v>
      </c>
      <c r="C14" s="538">
        <v>5857</v>
      </c>
      <c r="D14" s="538">
        <v>3064</v>
      </c>
      <c r="E14" s="538">
        <v>13392</v>
      </c>
      <c r="F14" s="538">
        <v>0.37</v>
      </c>
      <c r="G14" s="2386" t="s">
        <v>1629</v>
      </c>
      <c r="H14" s="2387"/>
    </row>
    <row r="15" spans="2:16">
      <c r="B15" s="538" t="s">
        <v>1659</v>
      </c>
      <c r="C15" s="538">
        <v>5860</v>
      </c>
      <c r="D15" s="538">
        <v>3064</v>
      </c>
      <c r="E15" s="538">
        <v>7200</v>
      </c>
      <c r="F15" s="538">
        <v>0.37</v>
      </c>
      <c r="G15" s="2386" t="s">
        <v>1629</v>
      </c>
      <c r="H15" s="2387"/>
    </row>
    <row r="16" spans="2:16">
      <c r="B16" s="538" t="s">
        <v>1670</v>
      </c>
      <c r="C16" s="538">
        <v>5862</v>
      </c>
      <c r="D16" s="538">
        <v>3064</v>
      </c>
      <c r="E16" s="538">
        <v>6012</v>
      </c>
      <c r="F16" s="538">
        <v>0.37</v>
      </c>
      <c r="G16" s="2386" t="s">
        <v>1629</v>
      </c>
      <c r="H16" s="2387"/>
    </row>
    <row r="17" spans="2:9">
      <c r="B17" s="536" t="s">
        <v>1670</v>
      </c>
      <c r="C17" s="536">
        <v>5862</v>
      </c>
      <c r="D17" s="536">
        <v>3064</v>
      </c>
      <c r="E17" s="536">
        <v>3060</v>
      </c>
      <c r="F17" s="536">
        <v>0</v>
      </c>
      <c r="G17" s="2393" t="s">
        <v>1629</v>
      </c>
      <c r="H17" s="2394"/>
    </row>
    <row r="18" spans="2:9">
      <c r="B18" s="535"/>
      <c r="C18" s="535"/>
      <c r="D18" s="535"/>
      <c r="E18" s="535"/>
      <c r="F18" s="401">
        <f>E10+E11+E13+E14+E15+E16</f>
        <v>51556</v>
      </c>
      <c r="G18" s="404"/>
      <c r="H18" s="404"/>
    </row>
    <row r="19" spans="2:9">
      <c r="B19" s="2385" t="s">
        <v>20</v>
      </c>
      <c r="C19" s="2385"/>
      <c r="D19" s="2385"/>
      <c r="E19" s="2385"/>
      <c r="F19" s="2385"/>
      <c r="G19" s="2385"/>
      <c r="H19" s="2385"/>
    </row>
    <row r="20" spans="2:9">
      <c r="B20" s="538" t="s">
        <v>254</v>
      </c>
      <c r="C20" s="538" t="s">
        <v>1627</v>
      </c>
      <c r="D20" s="538" t="s">
        <v>0</v>
      </c>
      <c r="E20" s="538" t="s">
        <v>122</v>
      </c>
      <c r="F20" s="538" t="s">
        <v>547</v>
      </c>
      <c r="G20" s="2386" t="s">
        <v>1</v>
      </c>
      <c r="H20" s="2387"/>
    </row>
    <row r="21" spans="2:9">
      <c r="B21" s="538" t="s">
        <v>1666</v>
      </c>
      <c r="C21" s="538" t="s">
        <v>1671</v>
      </c>
      <c r="D21" s="538">
        <v>3064</v>
      </c>
      <c r="E21" s="538">
        <v>2592</v>
      </c>
      <c r="F21" s="538">
        <v>0.37</v>
      </c>
      <c r="G21" s="2386" t="s">
        <v>1629</v>
      </c>
      <c r="H21" s="2387"/>
    </row>
    <row r="22" spans="2:9">
      <c r="B22" s="538" t="s">
        <v>1667</v>
      </c>
      <c r="C22" s="538" t="s">
        <v>1672</v>
      </c>
      <c r="D22" s="538">
        <v>3064</v>
      </c>
      <c r="E22" s="538">
        <v>2808</v>
      </c>
      <c r="F22" s="538">
        <v>0.37</v>
      </c>
      <c r="G22" s="2386" t="s">
        <v>1629</v>
      </c>
      <c r="H22" s="2387"/>
    </row>
    <row r="23" spans="2:9">
      <c r="B23" s="538" t="s">
        <v>1673</v>
      </c>
      <c r="C23" s="538" t="s">
        <v>1674</v>
      </c>
      <c r="D23" s="538">
        <v>3064</v>
      </c>
      <c r="E23" s="538">
        <v>2592</v>
      </c>
      <c r="F23" s="538">
        <v>0.37</v>
      </c>
      <c r="G23" s="2386" t="s">
        <v>1629</v>
      </c>
      <c r="H23" s="2387"/>
    </row>
    <row r="24" spans="2:9">
      <c r="B24" s="538" t="s">
        <v>1669</v>
      </c>
      <c r="C24" s="538" t="s">
        <v>1675</v>
      </c>
      <c r="D24" s="538">
        <v>3064</v>
      </c>
      <c r="E24" s="538">
        <v>5508</v>
      </c>
      <c r="F24" s="538">
        <v>0.37</v>
      </c>
      <c r="G24" s="2386" t="s">
        <v>1629</v>
      </c>
      <c r="H24" s="2387"/>
    </row>
    <row r="25" spans="2:9">
      <c r="B25" s="549" t="s">
        <v>1670</v>
      </c>
      <c r="C25" s="549" t="s">
        <v>1676</v>
      </c>
      <c r="D25" s="549">
        <v>3064</v>
      </c>
      <c r="E25" s="549">
        <v>9072</v>
      </c>
      <c r="F25" s="549">
        <v>0.37</v>
      </c>
      <c r="G25" s="554" t="s">
        <v>1629</v>
      </c>
      <c r="H25" s="555"/>
    </row>
    <row r="26" spans="2:9">
      <c r="B26" s="404"/>
      <c r="C26" s="404"/>
      <c r="D26" s="404"/>
      <c r="E26" s="404">
        <f>SUM(E21:E25)</f>
        <v>22572</v>
      </c>
      <c r="F26" s="404"/>
      <c r="G26" s="404"/>
      <c r="H26" s="404"/>
      <c r="I26" s="404"/>
    </row>
    <row r="27" spans="2:9">
      <c r="B27" s="2385" t="s">
        <v>1632</v>
      </c>
      <c r="C27" s="2385"/>
      <c r="D27" s="2385"/>
      <c r="E27" s="2385"/>
      <c r="F27" s="2385"/>
      <c r="G27" s="2385"/>
      <c r="H27" s="2385"/>
      <c r="I27" s="404"/>
    </row>
    <row r="28" spans="2:9">
      <c r="B28" s="538" t="s">
        <v>254</v>
      </c>
      <c r="C28" s="538" t="s">
        <v>1627</v>
      </c>
      <c r="D28" s="538" t="s">
        <v>0</v>
      </c>
      <c r="E28" s="538" t="s">
        <v>122</v>
      </c>
      <c r="F28" s="538" t="s">
        <v>547</v>
      </c>
      <c r="G28" s="2390" t="s">
        <v>1</v>
      </c>
      <c r="H28" s="2390"/>
      <c r="I28" s="404"/>
    </row>
    <row r="29" spans="2:9">
      <c r="B29" s="538" t="s">
        <v>1631</v>
      </c>
      <c r="C29" s="538" t="s">
        <v>1680</v>
      </c>
      <c r="D29" s="538">
        <v>3064</v>
      </c>
      <c r="E29" s="538">
        <v>3132</v>
      </c>
      <c r="F29" s="538">
        <v>0.37</v>
      </c>
      <c r="G29" s="2390" t="s">
        <v>1629</v>
      </c>
      <c r="H29" s="2390"/>
      <c r="I29" s="404"/>
    </row>
    <row r="30" spans="2:9">
      <c r="B30" s="538" t="s">
        <v>1668</v>
      </c>
      <c r="C30" s="538" t="s">
        <v>1681</v>
      </c>
      <c r="D30" s="538">
        <v>3064</v>
      </c>
      <c r="E30" s="538">
        <v>3060</v>
      </c>
      <c r="F30" s="538">
        <v>0.37</v>
      </c>
      <c r="G30" s="2390" t="s">
        <v>1629</v>
      </c>
      <c r="H30" s="2390"/>
      <c r="I30" s="404"/>
    </row>
    <row r="31" spans="2:9">
      <c r="B31" s="404"/>
      <c r="C31" s="404"/>
      <c r="D31" s="404"/>
      <c r="E31" s="404">
        <f>SUM(E29:E30)</f>
        <v>6192</v>
      </c>
      <c r="F31" s="404"/>
      <c r="G31" s="404"/>
      <c r="H31" s="404"/>
      <c r="I31" s="404"/>
    </row>
    <row r="32" spans="2:9">
      <c r="B32" s="404"/>
      <c r="C32" s="404"/>
      <c r="D32" s="404"/>
      <c r="E32" s="404"/>
      <c r="F32" s="404"/>
      <c r="G32" s="404"/>
      <c r="H32" s="404"/>
      <c r="I32" s="404"/>
    </row>
  </sheetData>
  <mergeCells count="22">
    <mergeCell ref="N11:O11"/>
    <mergeCell ref="G30:H30"/>
    <mergeCell ref="G28:H28"/>
    <mergeCell ref="G20:H20"/>
    <mergeCell ref="G9:H9"/>
    <mergeCell ref="B19:H19"/>
    <mergeCell ref="B27:H27"/>
    <mergeCell ref="G22:H22"/>
    <mergeCell ref="G23:H23"/>
    <mergeCell ref="G24:H24"/>
    <mergeCell ref="G29:H29"/>
    <mergeCell ref="G14:H14"/>
    <mergeCell ref="G15:H15"/>
    <mergeCell ref="G16:H16"/>
    <mergeCell ref="G17:H17"/>
    <mergeCell ref="G21:H21"/>
    <mergeCell ref="G10:H10"/>
    <mergeCell ref="G11:H11"/>
    <mergeCell ref="G13:H13"/>
    <mergeCell ref="C4:F4"/>
    <mergeCell ref="C3:L3"/>
    <mergeCell ref="B8:H8"/>
  </mergeCells>
  <pageMargins left="0.7" right="0.7" top="0.75" bottom="0.75" header="0.3" footer="0.3"/>
  <pageSetup paperSize="9" orientation="landscape" r:id="rId1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4:L31"/>
  <sheetViews>
    <sheetView topLeftCell="A7" workbookViewId="0">
      <selection activeCell="F22" sqref="F22:H22"/>
    </sheetView>
  </sheetViews>
  <sheetFormatPr baseColWidth="10" defaultRowHeight="15"/>
  <cols>
    <col min="3" max="3" width="11.42578125" customWidth="1"/>
    <col min="4" max="4" width="11.42578125" style="379"/>
    <col min="5" max="5" width="11.28515625" customWidth="1"/>
    <col min="11" max="11" width="14.7109375" customWidth="1"/>
  </cols>
  <sheetData>
    <row r="4" spans="1:12">
      <c r="B4" s="2385" t="s">
        <v>2439</v>
      </c>
      <c r="C4" s="2385"/>
      <c r="D4" s="2385"/>
      <c r="E4" s="2385"/>
      <c r="F4" s="2385"/>
      <c r="G4" s="2385"/>
      <c r="H4" s="2385"/>
      <c r="I4" s="2385"/>
      <c r="J4" s="2385"/>
    </row>
    <row r="5" spans="1:12" ht="75">
      <c r="A5" s="18" t="s">
        <v>65</v>
      </c>
      <c r="B5" s="380" t="s">
        <v>116</v>
      </c>
      <c r="C5" s="389" t="s">
        <v>107</v>
      </c>
      <c r="D5" s="19" t="s">
        <v>19</v>
      </c>
      <c r="E5" s="19" t="s">
        <v>20</v>
      </c>
      <c r="F5" s="19" t="s">
        <v>21</v>
      </c>
      <c r="G5" s="19" t="s">
        <v>117</v>
      </c>
      <c r="H5" s="19" t="s">
        <v>118</v>
      </c>
      <c r="I5" s="20">
        <v>0.09</v>
      </c>
      <c r="J5" s="537" t="s">
        <v>2434</v>
      </c>
    </row>
    <row r="6" spans="1:12" ht="60">
      <c r="B6" s="21">
        <v>3064</v>
      </c>
      <c r="C6" s="40" t="s">
        <v>59</v>
      </c>
      <c r="D6" s="22">
        <v>61200</v>
      </c>
      <c r="E6" s="22">
        <v>6120</v>
      </c>
      <c r="F6" s="22">
        <v>7092</v>
      </c>
      <c r="G6" s="21">
        <f>D6+E6+F6</f>
        <v>74412</v>
      </c>
      <c r="H6" s="23">
        <f>G6/36</f>
        <v>2067</v>
      </c>
      <c r="I6" s="24">
        <f>H6*9%</f>
        <v>186.03</v>
      </c>
      <c r="J6" s="538">
        <v>0</v>
      </c>
    </row>
    <row r="7" spans="1:12">
      <c r="A7" s="25"/>
      <c r="B7" s="101"/>
      <c r="C7" s="25"/>
      <c r="D7" s="25"/>
      <c r="E7" s="25"/>
      <c r="F7" s="25"/>
      <c r="G7" s="25"/>
      <c r="H7" s="25"/>
      <c r="I7" s="25"/>
      <c r="J7" s="538">
        <v>71</v>
      </c>
    </row>
    <row r="8" spans="1:12">
      <c r="B8" s="379"/>
      <c r="D8"/>
      <c r="J8" s="538">
        <v>100</v>
      </c>
    </row>
    <row r="9" spans="1:12">
      <c r="B9" s="379"/>
      <c r="D9"/>
      <c r="J9" s="538">
        <v>11</v>
      </c>
    </row>
    <row r="10" spans="1:12">
      <c r="B10" s="379"/>
      <c r="D10"/>
      <c r="J10" s="538">
        <f>SUM(J6:J9)</f>
        <v>182</v>
      </c>
    </row>
    <row r="13" spans="1:12" ht="30">
      <c r="D13"/>
      <c r="E13" s="379"/>
      <c r="F13" s="379" t="s">
        <v>1632</v>
      </c>
      <c r="K13" s="548" t="s">
        <v>2437</v>
      </c>
      <c r="L13" s="549">
        <v>24</v>
      </c>
    </row>
    <row r="14" spans="1:12" ht="30">
      <c r="B14" s="356" t="s">
        <v>254</v>
      </c>
      <c r="C14" s="356" t="s">
        <v>1627</v>
      </c>
      <c r="D14" s="356" t="s">
        <v>0</v>
      </c>
      <c r="E14" s="87" t="s">
        <v>122</v>
      </c>
      <c r="F14" s="2390" t="s">
        <v>1</v>
      </c>
      <c r="G14" s="2390"/>
      <c r="H14" s="2390"/>
      <c r="I14" s="2390"/>
      <c r="K14" s="548" t="s">
        <v>2438</v>
      </c>
      <c r="L14" s="549">
        <v>29</v>
      </c>
    </row>
    <row r="15" spans="1:12" s="357" customFormat="1">
      <c r="B15" s="356" t="s">
        <v>1628</v>
      </c>
      <c r="C15" s="356">
        <v>5825</v>
      </c>
      <c r="D15" s="356">
        <v>3064</v>
      </c>
      <c r="E15" s="87">
        <v>2592</v>
      </c>
      <c r="F15" s="2386" t="s">
        <v>1629</v>
      </c>
      <c r="G15" s="2396"/>
      <c r="H15" s="2387"/>
      <c r="I15" s="332"/>
    </row>
    <row r="16" spans="1:12" s="357" customFormat="1" ht="21.75" customHeight="1">
      <c r="B16" s="356" t="s">
        <v>1630</v>
      </c>
      <c r="C16" s="356">
        <v>5831</v>
      </c>
      <c r="D16" s="356">
        <v>3064</v>
      </c>
      <c r="E16" s="87">
        <v>1368</v>
      </c>
      <c r="F16" s="2386" t="s">
        <v>1629</v>
      </c>
      <c r="G16" s="2396"/>
      <c r="H16" s="2387"/>
      <c r="I16" s="332"/>
    </row>
    <row r="17" spans="2:9" ht="24" customHeight="1">
      <c r="B17" s="405" t="s">
        <v>1631</v>
      </c>
      <c r="C17" s="405">
        <v>6840</v>
      </c>
      <c r="D17" s="405">
        <v>3064</v>
      </c>
      <c r="E17" s="549">
        <v>3132</v>
      </c>
      <c r="F17" s="2386" t="s">
        <v>1629</v>
      </c>
      <c r="G17" s="2396"/>
      <c r="H17" s="2396"/>
      <c r="I17" s="555"/>
    </row>
    <row r="18" spans="2:9">
      <c r="B18" s="405"/>
      <c r="C18" s="405"/>
      <c r="D18" s="260"/>
      <c r="E18" s="393">
        <f>SUM(E15:E17)</f>
        <v>7092</v>
      </c>
      <c r="F18" s="394" t="s">
        <v>1636</v>
      </c>
      <c r="G18" s="404"/>
      <c r="H18" s="404"/>
      <c r="I18" s="404"/>
    </row>
    <row r="19" spans="2:9">
      <c r="B19" s="2389" t="s">
        <v>714</v>
      </c>
      <c r="C19" s="2395"/>
      <c r="D19" s="2395"/>
      <c r="E19" s="2395"/>
      <c r="F19" s="2395"/>
      <c r="G19" s="2395"/>
      <c r="H19" s="2395"/>
      <c r="I19" s="2395"/>
    </row>
    <row r="20" spans="2:9">
      <c r="B20" s="549" t="s">
        <v>254</v>
      </c>
      <c r="C20" s="549" t="s">
        <v>1627</v>
      </c>
      <c r="D20" s="549" t="s">
        <v>0</v>
      </c>
      <c r="E20" s="395" t="s">
        <v>65</v>
      </c>
      <c r="F20" s="2397" t="s">
        <v>1</v>
      </c>
      <c r="G20" s="2385"/>
      <c r="H20" s="2385"/>
      <c r="I20" s="404"/>
    </row>
    <row r="21" spans="2:9">
      <c r="B21" s="549" t="s">
        <v>1633</v>
      </c>
      <c r="C21" s="549">
        <v>5814</v>
      </c>
      <c r="D21" s="549">
        <v>3064</v>
      </c>
      <c r="E21" s="549">
        <v>15552</v>
      </c>
      <c r="F21" s="2386" t="s">
        <v>1629</v>
      </c>
      <c r="G21" s="2396"/>
      <c r="H21" s="2387"/>
      <c r="I21" s="549"/>
    </row>
    <row r="22" spans="2:9">
      <c r="B22" s="549" t="s">
        <v>1634</v>
      </c>
      <c r="C22" s="549">
        <v>5817</v>
      </c>
      <c r="D22" s="549">
        <v>3064</v>
      </c>
      <c r="E22" s="549">
        <v>24048</v>
      </c>
      <c r="F22" s="2386" t="s">
        <v>1629</v>
      </c>
      <c r="G22" s="2396"/>
      <c r="H22" s="2387"/>
      <c r="I22" s="549"/>
    </row>
    <row r="23" spans="2:9">
      <c r="B23" s="549" t="s">
        <v>1628</v>
      </c>
      <c r="C23" s="549">
        <v>6827</v>
      </c>
      <c r="D23" s="549">
        <v>3064</v>
      </c>
      <c r="E23" s="549">
        <v>12960</v>
      </c>
      <c r="F23" s="2386" t="s">
        <v>1629</v>
      </c>
      <c r="G23" s="2396"/>
      <c r="H23" s="2387"/>
      <c r="I23" s="549"/>
    </row>
    <row r="24" spans="2:9">
      <c r="B24" s="549" t="s">
        <v>1630</v>
      </c>
      <c r="C24" s="549">
        <v>5829</v>
      </c>
      <c r="D24" s="549">
        <v>3064</v>
      </c>
      <c r="E24" s="549">
        <v>3636</v>
      </c>
      <c r="F24" s="2386" t="s">
        <v>1629</v>
      </c>
      <c r="G24" s="2396"/>
      <c r="H24" s="2387"/>
      <c r="I24" s="549"/>
    </row>
    <row r="25" spans="2:9">
      <c r="B25" s="549" t="s">
        <v>1630</v>
      </c>
      <c r="C25" s="549">
        <v>5829</v>
      </c>
      <c r="D25" s="549">
        <v>3064</v>
      </c>
      <c r="E25" s="549">
        <v>5004</v>
      </c>
      <c r="F25" s="2386" t="s">
        <v>1629</v>
      </c>
      <c r="G25" s="2396"/>
      <c r="H25" s="2387"/>
      <c r="I25" s="549"/>
    </row>
    <row r="26" spans="2:9">
      <c r="B26" s="404"/>
      <c r="C26" s="404"/>
      <c r="D26" s="404"/>
      <c r="E26" s="392">
        <f>SUM(E21:E25)</f>
        <v>61200</v>
      </c>
      <c r="F26" s="545" t="s">
        <v>1636</v>
      </c>
      <c r="G26" s="404"/>
      <c r="H26" s="404"/>
      <c r="I26" s="404"/>
    </row>
    <row r="27" spans="2:9">
      <c r="B27" s="404"/>
      <c r="C27" s="404"/>
      <c r="D27" s="404"/>
      <c r="E27" s="545"/>
      <c r="F27" s="135" t="s">
        <v>20</v>
      </c>
      <c r="G27" s="404"/>
      <c r="H27" s="404"/>
      <c r="I27" s="404"/>
    </row>
    <row r="28" spans="2:9">
      <c r="B28" s="405" t="s">
        <v>254</v>
      </c>
      <c r="C28" s="405" t="s">
        <v>1627</v>
      </c>
      <c r="D28" s="405" t="s">
        <v>0</v>
      </c>
      <c r="E28" s="549" t="s">
        <v>65</v>
      </c>
      <c r="F28" s="2386" t="s">
        <v>1</v>
      </c>
      <c r="G28" s="2396"/>
      <c r="H28" s="2387"/>
      <c r="I28" s="549"/>
    </row>
    <row r="29" spans="2:9">
      <c r="B29" s="405" t="s">
        <v>1628</v>
      </c>
      <c r="C29" s="405">
        <v>5828</v>
      </c>
      <c r="D29" s="405">
        <v>3064</v>
      </c>
      <c r="E29" s="549">
        <v>2592</v>
      </c>
      <c r="F29" s="2386" t="s">
        <v>1629</v>
      </c>
      <c r="G29" s="2396"/>
      <c r="H29" s="2387"/>
      <c r="I29" s="549"/>
    </row>
    <row r="30" spans="2:9">
      <c r="B30" s="405" t="s">
        <v>1630</v>
      </c>
      <c r="C30" s="405">
        <v>5830</v>
      </c>
      <c r="D30" s="405">
        <v>3064</v>
      </c>
      <c r="E30" s="549">
        <v>3528</v>
      </c>
      <c r="F30" s="2386" t="s">
        <v>1629</v>
      </c>
      <c r="G30" s="2396"/>
      <c r="H30" s="2387"/>
      <c r="I30" s="549"/>
    </row>
    <row r="31" spans="2:9">
      <c r="B31" s="404"/>
      <c r="C31" s="404"/>
      <c r="D31" s="545"/>
      <c r="E31" s="404">
        <f>SUM(E29:E30)</f>
        <v>6120</v>
      </c>
      <c r="F31" s="404" t="s">
        <v>1636</v>
      </c>
      <c r="G31" s="404"/>
      <c r="H31" s="404"/>
      <c r="I31" s="404"/>
    </row>
  </sheetData>
  <mergeCells count="15">
    <mergeCell ref="F25:H25"/>
    <mergeCell ref="F29:H29"/>
    <mergeCell ref="F30:H30"/>
    <mergeCell ref="F28:H28"/>
    <mergeCell ref="F20:H20"/>
    <mergeCell ref="F21:H21"/>
    <mergeCell ref="F22:H22"/>
    <mergeCell ref="F23:H23"/>
    <mergeCell ref="F24:H24"/>
    <mergeCell ref="B4:J4"/>
    <mergeCell ref="F14:I14"/>
    <mergeCell ref="B19:I19"/>
    <mergeCell ref="F15:H15"/>
    <mergeCell ref="F16:H16"/>
    <mergeCell ref="F17:H17"/>
  </mergeCells>
  <pageMargins left="0" right="0" top="0" bottom="0" header="0" footer="0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8:L53"/>
  <sheetViews>
    <sheetView topLeftCell="A21" workbookViewId="0">
      <selection activeCell="E54" sqref="E54"/>
    </sheetView>
  </sheetViews>
  <sheetFormatPr baseColWidth="10" defaultRowHeight="15"/>
  <cols>
    <col min="1" max="1" width="11.42578125" style="357"/>
    <col min="6" max="6" width="25.28515625" customWidth="1"/>
    <col min="8" max="8" width="9.140625" customWidth="1"/>
    <col min="9" max="9" width="8.140625" customWidth="1"/>
  </cols>
  <sheetData>
    <row r="28" spans="2:12">
      <c r="B28" s="2385" t="s">
        <v>1641</v>
      </c>
      <c r="C28" s="2385"/>
      <c r="D28" s="2385"/>
      <c r="E28" s="2385"/>
      <c r="F28" s="2385"/>
      <c r="G28" s="2385"/>
      <c r="H28" s="2385"/>
      <c r="I28" s="2385"/>
      <c r="J28" s="2385"/>
      <c r="K28" s="2385"/>
    </row>
    <row r="29" spans="2:12" ht="45">
      <c r="B29" s="357"/>
      <c r="C29" s="357"/>
      <c r="D29" s="380" t="s">
        <v>116</v>
      </c>
      <c r="E29" s="389" t="s">
        <v>107</v>
      </c>
      <c r="F29" s="19" t="s">
        <v>19</v>
      </c>
      <c r="G29" s="19" t="s">
        <v>20</v>
      </c>
      <c r="H29" s="19" t="s">
        <v>21</v>
      </c>
      <c r="I29" s="19" t="s">
        <v>648</v>
      </c>
      <c r="J29" s="19" t="s">
        <v>118</v>
      </c>
      <c r="K29" s="20">
        <v>0.09</v>
      </c>
      <c r="L29" s="537" t="s">
        <v>1635</v>
      </c>
    </row>
    <row r="30" spans="2:12" ht="60">
      <c r="B30" s="357"/>
      <c r="C30" s="357"/>
      <c r="D30" s="21">
        <v>3064</v>
      </c>
      <c r="E30" s="40" t="s">
        <v>59</v>
      </c>
      <c r="F30" s="22">
        <v>22356</v>
      </c>
      <c r="G30" s="357">
        <v>13680</v>
      </c>
      <c r="H30" s="356">
        <v>7920</v>
      </c>
      <c r="I30" s="21">
        <f>F30+G30+H30</f>
        <v>43956</v>
      </c>
      <c r="J30" s="23">
        <f>I30/36</f>
        <v>1221</v>
      </c>
      <c r="K30" s="24">
        <f>J30*9%</f>
        <v>109.89</v>
      </c>
      <c r="L30" s="538">
        <v>139</v>
      </c>
    </row>
    <row r="31" spans="2:12">
      <c r="B31" s="25"/>
      <c r="C31" s="25"/>
      <c r="D31" s="101"/>
      <c r="E31" s="25"/>
      <c r="F31" s="25" t="s">
        <v>940</v>
      </c>
      <c r="G31" s="25"/>
      <c r="H31" s="25"/>
      <c r="I31" s="25"/>
      <c r="J31" s="25"/>
      <c r="K31" s="25"/>
      <c r="L31" s="538">
        <v>0</v>
      </c>
    </row>
    <row r="32" spans="2:12">
      <c r="B32" s="357"/>
      <c r="C32" s="357"/>
      <c r="D32" s="357"/>
      <c r="E32" s="379"/>
      <c r="F32" s="396" t="s">
        <v>1632</v>
      </c>
      <c r="G32" s="357"/>
      <c r="H32" s="357"/>
      <c r="I32" s="357"/>
      <c r="J32" s="357"/>
      <c r="K32" s="357"/>
      <c r="L32" s="538">
        <v>0</v>
      </c>
    </row>
    <row r="33" spans="2:12">
      <c r="B33" s="356" t="s">
        <v>254</v>
      </c>
      <c r="C33" s="356" t="s">
        <v>1627</v>
      </c>
      <c r="D33" s="356" t="s">
        <v>0</v>
      </c>
      <c r="E33" s="26" t="s">
        <v>122</v>
      </c>
      <c r="F33" s="356" t="s">
        <v>1</v>
      </c>
      <c r="G33" s="9"/>
      <c r="H33" s="9"/>
      <c r="I33" s="9"/>
      <c r="J33" s="357"/>
      <c r="L33" s="538">
        <v>0</v>
      </c>
    </row>
    <row r="34" spans="2:12">
      <c r="B34" s="356" t="s">
        <v>1637</v>
      </c>
      <c r="C34" s="356" t="s">
        <v>1642</v>
      </c>
      <c r="D34" s="356">
        <v>3064</v>
      </c>
      <c r="E34" s="26">
        <v>2592</v>
      </c>
      <c r="F34" s="356" t="s">
        <v>1629</v>
      </c>
      <c r="G34" s="9"/>
      <c r="H34" s="9"/>
      <c r="I34" s="9"/>
      <c r="J34" s="357"/>
      <c r="L34" s="538">
        <v>0</v>
      </c>
    </row>
    <row r="35" spans="2:12">
      <c r="B35" s="356" t="s">
        <v>1638</v>
      </c>
      <c r="C35" s="356" t="s">
        <v>1643</v>
      </c>
      <c r="D35" s="356">
        <v>3064</v>
      </c>
      <c r="E35" s="26">
        <v>1728</v>
      </c>
      <c r="F35" s="356" t="s">
        <v>1629</v>
      </c>
      <c r="G35" s="9"/>
      <c r="H35" s="9"/>
      <c r="I35" s="9"/>
      <c r="J35" s="357"/>
      <c r="L35" s="535">
        <f>SUM(L30:L34)</f>
        <v>139</v>
      </c>
    </row>
    <row r="36" spans="2:12">
      <c r="B36" s="356" t="s">
        <v>1639</v>
      </c>
      <c r="C36" s="356" t="s">
        <v>1644</v>
      </c>
      <c r="D36" s="356">
        <v>3064</v>
      </c>
      <c r="E36" s="26">
        <v>3600</v>
      </c>
      <c r="F36" s="356" t="s">
        <v>1629</v>
      </c>
      <c r="G36" s="9"/>
      <c r="H36" s="9"/>
      <c r="I36" s="9"/>
      <c r="J36" s="357"/>
    </row>
    <row r="37" spans="2:12">
      <c r="B37" s="356"/>
      <c r="C37" s="356"/>
      <c r="D37" s="356"/>
      <c r="E37" s="26">
        <f>SUM(E34:E36)</f>
        <v>7920</v>
      </c>
      <c r="F37" s="356"/>
      <c r="G37" s="105"/>
      <c r="H37" s="105"/>
      <c r="I37" s="105"/>
      <c r="J37" s="357"/>
      <c r="L37" t="s">
        <v>2424</v>
      </c>
    </row>
    <row r="38" spans="2:12">
      <c r="B38" s="356"/>
      <c r="C38" s="356"/>
      <c r="D38" s="356"/>
      <c r="E38" s="27"/>
      <c r="F38" s="396" t="s">
        <v>714</v>
      </c>
      <c r="G38" s="105"/>
      <c r="H38" s="105"/>
      <c r="I38" s="105"/>
      <c r="J38" s="357"/>
      <c r="K38" s="357"/>
    </row>
    <row r="39" spans="2:12">
      <c r="B39" s="356" t="s">
        <v>254</v>
      </c>
      <c r="C39" s="356" t="s">
        <v>1627</v>
      </c>
      <c r="D39" s="356" t="s">
        <v>0</v>
      </c>
      <c r="E39" s="26" t="s">
        <v>122</v>
      </c>
      <c r="F39" s="356" t="s">
        <v>1</v>
      </c>
      <c r="G39" s="391"/>
      <c r="H39" s="391"/>
      <c r="I39" s="105"/>
    </row>
    <row r="40" spans="2:12">
      <c r="B40" s="356" t="s">
        <v>1637</v>
      </c>
      <c r="C40" s="356">
        <v>5771</v>
      </c>
      <c r="D40" s="356">
        <v>3064</v>
      </c>
      <c r="E40" s="26">
        <v>2700</v>
      </c>
      <c r="F40" s="356" t="s">
        <v>1629</v>
      </c>
      <c r="G40" s="391"/>
      <c r="H40" s="391"/>
      <c r="I40" s="391"/>
    </row>
    <row r="41" spans="2:12">
      <c r="B41" s="356" t="s">
        <v>1638</v>
      </c>
      <c r="C41" s="356">
        <v>5784</v>
      </c>
      <c r="D41" s="356">
        <v>3064</v>
      </c>
      <c r="E41" s="26">
        <v>7056</v>
      </c>
      <c r="F41" s="356" t="s">
        <v>1629</v>
      </c>
      <c r="G41" s="391"/>
      <c r="H41" s="391"/>
      <c r="I41" s="391"/>
    </row>
    <row r="42" spans="2:12">
      <c r="B42" s="356" t="s">
        <v>1639</v>
      </c>
      <c r="C42" s="356">
        <v>5794</v>
      </c>
      <c r="D42" s="356">
        <v>3064</v>
      </c>
      <c r="E42" s="26">
        <v>5184</v>
      </c>
      <c r="F42" s="356" t="s">
        <v>1629</v>
      </c>
      <c r="G42" s="391"/>
      <c r="H42" s="391"/>
      <c r="I42" s="391"/>
    </row>
    <row r="43" spans="2:12">
      <c r="B43" s="356" t="s">
        <v>1640</v>
      </c>
      <c r="C43" s="356">
        <v>5800</v>
      </c>
      <c r="D43" s="356">
        <v>3064</v>
      </c>
      <c r="E43" s="26">
        <v>2520</v>
      </c>
      <c r="F43" s="356" t="s">
        <v>1629</v>
      </c>
      <c r="G43" s="391"/>
      <c r="H43" s="391"/>
      <c r="I43" s="391"/>
    </row>
    <row r="44" spans="2:12">
      <c r="B44" s="356" t="s">
        <v>1640</v>
      </c>
      <c r="C44" s="356">
        <v>5800</v>
      </c>
      <c r="D44" s="356">
        <v>3064</v>
      </c>
      <c r="E44" s="26">
        <v>4896</v>
      </c>
      <c r="F44" s="356" t="s">
        <v>1629</v>
      </c>
      <c r="G44" s="391"/>
      <c r="H44" s="391"/>
      <c r="I44" s="391"/>
    </row>
    <row r="45" spans="2:12">
      <c r="B45" s="357"/>
      <c r="C45" s="357"/>
      <c r="D45" s="357"/>
      <c r="E45" s="392" t="s">
        <v>65</v>
      </c>
      <c r="F45" s="87" t="s">
        <v>1636</v>
      </c>
      <c r="G45" s="105"/>
      <c r="H45" s="105"/>
      <c r="I45" s="105"/>
      <c r="J45" s="357"/>
      <c r="K45" s="357"/>
    </row>
    <row r="46" spans="2:12" s="357" customFormat="1">
      <c r="E46" s="392">
        <f>SUM(E40:E45)</f>
        <v>22356</v>
      </c>
      <c r="F46" s="87"/>
      <c r="G46" s="105"/>
      <c r="H46" s="105"/>
      <c r="I46" s="105"/>
    </row>
    <row r="47" spans="2:12">
      <c r="B47" s="357"/>
      <c r="C47" s="357"/>
      <c r="D47" s="357"/>
      <c r="E47" s="379"/>
      <c r="F47" s="396" t="s">
        <v>20</v>
      </c>
      <c r="G47" s="105"/>
      <c r="H47" s="105"/>
      <c r="I47" s="105"/>
      <c r="J47" s="357"/>
      <c r="K47" s="357"/>
    </row>
    <row r="48" spans="2:12">
      <c r="B48" s="356" t="s">
        <v>254</v>
      </c>
      <c r="C48" s="356" t="s">
        <v>1627</v>
      </c>
      <c r="D48" s="356" t="s">
        <v>0</v>
      </c>
      <c r="E48" s="26" t="s">
        <v>122</v>
      </c>
      <c r="F48" s="356" t="s">
        <v>1</v>
      </c>
      <c r="G48" s="105"/>
      <c r="H48" s="105"/>
      <c r="I48" s="9"/>
      <c r="J48" s="357"/>
      <c r="K48" s="357"/>
    </row>
    <row r="49" spans="2:11">
      <c r="B49" s="356" t="s">
        <v>1637</v>
      </c>
      <c r="C49" s="356">
        <v>5772</v>
      </c>
      <c r="D49" s="356">
        <v>3064</v>
      </c>
      <c r="E49" s="26">
        <v>2592</v>
      </c>
      <c r="F49" s="356" t="s">
        <v>1629</v>
      </c>
      <c r="G49" s="105"/>
      <c r="H49" s="105"/>
      <c r="I49" s="9"/>
      <c r="J49" s="357"/>
      <c r="K49" s="357"/>
    </row>
    <row r="50" spans="2:11">
      <c r="B50" s="356" t="s">
        <v>1638</v>
      </c>
      <c r="C50" s="356">
        <v>5785</v>
      </c>
      <c r="D50" s="356">
        <v>3064</v>
      </c>
      <c r="E50" s="26">
        <v>3888</v>
      </c>
      <c r="F50" s="356" t="s">
        <v>1629</v>
      </c>
      <c r="G50" s="105"/>
      <c r="H50" s="105"/>
      <c r="I50" s="9"/>
      <c r="J50" s="357"/>
      <c r="K50" s="357"/>
    </row>
    <row r="51" spans="2:11">
      <c r="B51" s="356" t="s">
        <v>1639</v>
      </c>
      <c r="C51" s="356">
        <v>5795</v>
      </c>
      <c r="D51" s="356">
        <v>3064</v>
      </c>
      <c r="E51" s="26">
        <v>3600</v>
      </c>
      <c r="F51" s="356" t="s">
        <v>1629</v>
      </c>
      <c r="G51" s="105"/>
      <c r="H51" s="105"/>
      <c r="I51" s="105"/>
      <c r="J51" s="357"/>
      <c r="K51" s="357"/>
    </row>
    <row r="52" spans="2:11">
      <c r="B52" s="356" t="s">
        <v>1640</v>
      </c>
      <c r="C52" s="356">
        <v>5798</v>
      </c>
      <c r="D52" s="356">
        <v>3064</v>
      </c>
      <c r="E52" s="26">
        <v>3600</v>
      </c>
      <c r="F52" s="356" t="s">
        <v>1629</v>
      </c>
      <c r="I52" s="357"/>
    </row>
    <row r="53" spans="2:11">
      <c r="E53">
        <f>SUM(E49:E52)</f>
        <v>13680</v>
      </c>
    </row>
  </sheetData>
  <mergeCells count="1">
    <mergeCell ref="B28:K28"/>
  </mergeCells>
  <pageMargins left="0" right="0" top="0" bottom="0" header="0" footer="0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34"/>
  <sheetViews>
    <sheetView workbookViewId="0">
      <selection activeCell="F5" sqref="F5:J5"/>
    </sheetView>
  </sheetViews>
  <sheetFormatPr baseColWidth="10" defaultRowHeight="15"/>
  <cols>
    <col min="1" max="1" width="7" customWidth="1"/>
  </cols>
  <sheetData>
    <row r="4" spans="2:14">
      <c r="B4" s="2385" t="s">
        <v>1645</v>
      </c>
      <c r="C4" s="2385"/>
      <c r="D4" s="2385"/>
      <c r="E4" s="2385"/>
      <c r="F4" s="2385"/>
      <c r="G4" s="2385"/>
      <c r="H4" s="2385"/>
      <c r="I4" s="2385"/>
      <c r="J4" s="2385"/>
      <c r="K4" s="2385"/>
    </row>
    <row r="5" spans="2:14" ht="75">
      <c r="B5" s="357"/>
      <c r="C5" s="357"/>
      <c r="D5" s="380" t="s">
        <v>116</v>
      </c>
      <c r="E5" s="389" t="s">
        <v>107</v>
      </c>
      <c r="F5" s="19" t="s">
        <v>19</v>
      </c>
      <c r="G5" s="19" t="s">
        <v>20</v>
      </c>
      <c r="H5" s="19" t="s">
        <v>21</v>
      </c>
      <c r="I5" s="19" t="s">
        <v>648</v>
      </c>
      <c r="J5" s="19" t="s">
        <v>118</v>
      </c>
      <c r="K5" s="20">
        <v>0.09</v>
      </c>
      <c r="L5" s="537" t="s">
        <v>1635</v>
      </c>
    </row>
    <row r="6" spans="2:14" ht="60">
      <c r="B6" s="357"/>
      <c r="C6" s="357"/>
      <c r="D6" s="21">
        <v>3064</v>
      </c>
      <c r="E6" s="40" t="s">
        <v>59</v>
      </c>
      <c r="F6" s="22">
        <v>25020</v>
      </c>
      <c r="G6" s="357">
        <v>13320</v>
      </c>
      <c r="H6" s="356">
        <v>6444</v>
      </c>
      <c r="I6" s="21">
        <f>F6+G6+H6</f>
        <v>44784</v>
      </c>
      <c r="J6" s="23">
        <f>I6/36</f>
        <v>1244</v>
      </c>
      <c r="K6" s="24">
        <f>J6*9%</f>
        <v>111.96</v>
      </c>
      <c r="L6">
        <v>136</v>
      </c>
    </row>
    <row r="7" spans="2:14" hidden="1">
      <c r="B7" s="25"/>
      <c r="C7" s="25"/>
      <c r="D7" s="101"/>
      <c r="E7" s="25"/>
      <c r="F7" s="25" t="s">
        <v>940</v>
      </c>
      <c r="G7" s="25"/>
      <c r="H7" s="25"/>
      <c r="I7" s="25"/>
      <c r="J7" s="25"/>
      <c r="K7" s="25"/>
    </row>
    <row r="8" spans="2:14">
      <c r="B8" s="357"/>
      <c r="C8" s="357"/>
      <c r="D8" s="357"/>
      <c r="E8" s="379"/>
      <c r="F8" s="396" t="s">
        <v>1632</v>
      </c>
      <c r="G8" s="357"/>
      <c r="H8" s="357"/>
      <c r="I8" s="357"/>
      <c r="J8" s="357"/>
      <c r="K8" s="357"/>
    </row>
    <row r="9" spans="2:14">
      <c r="B9" s="356" t="s">
        <v>254</v>
      </c>
      <c r="C9" s="356" t="s">
        <v>1627</v>
      </c>
      <c r="D9" s="356" t="s">
        <v>0</v>
      </c>
      <c r="E9" s="356" t="s">
        <v>122</v>
      </c>
      <c r="F9" s="356" t="s">
        <v>1</v>
      </c>
      <c r="G9" s="9"/>
      <c r="H9" s="9"/>
      <c r="I9" s="9"/>
    </row>
    <row r="10" spans="2:14">
      <c r="B10" s="356" t="s">
        <v>1646</v>
      </c>
      <c r="C10" s="87" t="s">
        <v>1652</v>
      </c>
      <c r="D10" s="87">
        <v>3064</v>
      </c>
      <c r="E10" s="87">
        <v>432</v>
      </c>
      <c r="F10" s="356" t="s">
        <v>1629</v>
      </c>
      <c r="G10" s="9"/>
      <c r="H10" s="9"/>
      <c r="I10" s="9"/>
    </row>
    <row r="11" spans="2:14">
      <c r="B11" s="356" t="s">
        <v>1646</v>
      </c>
      <c r="C11" s="87" t="s">
        <v>1653</v>
      </c>
      <c r="D11" s="87">
        <v>3064</v>
      </c>
      <c r="E11" s="87">
        <v>432</v>
      </c>
      <c r="F11" s="356" t="s">
        <v>1629</v>
      </c>
      <c r="G11" s="9"/>
      <c r="H11" s="9"/>
      <c r="I11" s="9"/>
    </row>
    <row r="12" spans="2:14">
      <c r="B12" s="356" t="s">
        <v>1649</v>
      </c>
      <c r="C12" s="87" t="s">
        <v>1654</v>
      </c>
      <c r="D12" s="87">
        <v>3064</v>
      </c>
      <c r="E12" s="87">
        <v>1260</v>
      </c>
      <c r="F12" s="356" t="s">
        <v>1629</v>
      </c>
      <c r="G12" s="105"/>
      <c r="H12" s="105"/>
      <c r="I12" s="105"/>
      <c r="L12" t="s">
        <v>2425</v>
      </c>
    </row>
    <row r="13" spans="2:14" s="357" customFormat="1">
      <c r="B13" s="356" t="s">
        <v>1650</v>
      </c>
      <c r="C13" s="87" t="s">
        <v>1655</v>
      </c>
      <c r="D13" s="87">
        <v>3064</v>
      </c>
      <c r="E13" s="87">
        <v>2592</v>
      </c>
      <c r="F13" s="356" t="s">
        <v>1629</v>
      </c>
      <c r="G13" s="105"/>
      <c r="H13" s="105"/>
      <c r="I13" s="105"/>
    </row>
    <row r="14" spans="2:14" s="357" customFormat="1">
      <c r="B14" s="356" t="s">
        <v>1651</v>
      </c>
      <c r="C14" s="87" t="s">
        <v>1656</v>
      </c>
      <c r="D14" s="87">
        <v>3064</v>
      </c>
      <c r="E14" s="87">
        <v>1728</v>
      </c>
      <c r="F14" s="356" t="s">
        <v>1629</v>
      </c>
      <c r="G14" s="105"/>
      <c r="H14" s="105"/>
      <c r="I14" s="105"/>
      <c r="J14" s="356"/>
      <c r="K14" s="356"/>
      <c r="L14" s="356"/>
      <c r="M14" s="356"/>
      <c r="N14" s="356"/>
    </row>
    <row r="15" spans="2:14" s="357" customFormat="1">
      <c r="B15" s="356"/>
      <c r="C15" s="87"/>
      <c r="D15" s="87"/>
      <c r="E15" s="27">
        <f>SUM(E10:E14)</f>
        <v>6444</v>
      </c>
      <c r="F15" s="356"/>
      <c r="G15" s="105"/>
      <c r="H15" s="105"/>
      <c r="I15" s="105"/>
      <c r="J15" s="105"/>
      <c r="K15" s="105"/>
      <c r="L15" s="105"/>
      <c r="M15" s="105"/>
      <c r="N15" s="105"/>
    </row>
    <row r="16" spans="2:14" s="357" customFormat="1" hidden="1">
      <c r="B16" s="356"/>
      <c r="C16" s="87"/>
      <c r="D16" s="87"/>
      <c r="E16" s="27"/>
      <c r="F16" s="356"/>
      <c r="G16" s="105"/>
      <c r="H16" s="105"/>
      <c r="I16" s="105"/>
      <c r="J16" s="105"/>
      <c r="K16" s="105"/>
      <c r="L16" s="105"/>
      <c r="M16" s="105"/>
      <c r="N16" s="105"/>
    </row>
    <row r="17" spans="2:11">
      <c r="B17" s="356"/>
      <c r="C17" s="87"/>
      <c r="D17" s="87"/>
      <c r="E17" s="27"/>
      <c r="F17" s="396" t="s">
        <v>714</v>
      </c>
      <c r="G17" s="105"/>
      <c r="H17" s="105"/>
      <c r="I17" s="105"/>
      <c r="J17" s="357"/>
      <c r="K17" s="357"/>
    </row>
    <row r="18" spans="2:11">
      <c r="B18" s="356" t="s">
        <v>254</v>
      </c>
      <c r="C18" s="87" t="s">
        <v>1627</v>
      </c>
      <c r="D18" s="87" t="s">
        <v>0</v>
      </c>
      <c r="E18" s="87" t="s">
        <v>122</v>
      </c>
      <c r="F18" s="356" t="s">
        <v>1</v>
      </c>
      <c r="G18" s="356"/>
      <c r="H18" s="391"/>
      <c r="I18" s="105"/>
    </row>
    <row r="19" spans="2:11">
      <c r="B19" s="356" t="s">
        <v>1646</v>
      </c>
      <c r="C19" s="87">
        <v>5728</v>
      </c>
      <c r="D19" s="87">
        <v>3064</v>
      </c>
      <c r="E19" s="87">
        <v>4320</v>
      </c>
      <c r="F19" s="356" t="s">
        <v>1629</v>
      </c>
      <c r="G19" s="356"/>
      <c r="H19" s="391"/>
      <c r="I19" s="391"/>
    </row>
    <row r="20" spans="2:11">
      <c r="B20" s="356" t="s">
        <v>1647</v>
      </c>
      <c r="C20" s="87">
        <v>5724</v>
      </c>
      <c r="D20" s="87">
        <v>3064</v>
      </c>
      <c r="E20" s="87">
        <v>4680</v>
      </c>
      <c r="F20" s="356" t="s">
        <v>1629</v>
      </c>
      <c r="G20" s="356"/>
      <c r="H20" s="391"/>
      <c r="I20" s="391"/>
    </row>
    <row r="21" spans="2:11">
      <c r="B21" s="356" t="s">
        <v>1648</v>
      </c>
      <c r="C21" s="87">
        <v>5734</v>
      </c>
      <c r="D21" s="87">
        <v>3064</v>
      </c>
      <c r="E21" s="87">
        <v>2340</v>
      </c>
      <c r="F21" s="356" t="s">
        <v>1629</v>
      </c>
      <c r="G21" s="356"/>
      <c r="H21" s="391"/>
      <c r="I21" s="391"/>
    </row>
    <row r="22" spans="2:11">
      <c r="B22" s="356" t="s">
        <v>1649</v>
      </c>
      <c r="C22" s="87">
        <v>5741</v>
      </c>
      <c r="D22" s="87">
        <v>3064</v>
      </c>
      <c r="E22" s="87">
        <v>2880</v>
      </c>
      <c r="F22" s="356" t="s">
        <v>1629</v>
      </c>
      <c r="G22" s="356"/>
      <c r="H22" s="391"/>
      <c r="I22" s="391"/>
    </row>
    <row r="23" spans="2:11">
      <c r="B23" s="356" t="s">
        <v>1650</v>
      </c>
      <c r="C23" s="87">
        <v>5754</v>
      </c>
      <c r="D23" s="87">
        <v>3064</v>
      </c>
      <c r="E23" s="87">
        <v>5184</v>
      </c>
      <c r="F23" s="356" t="s">
        <v>1629</v>
      </c>
      <c r="G23" s="356"/>
      <c r="H23" s="391"/>
      <c r="I23" s="391"/>
    </row>
    <row r="24" spans="2:11">
      <c r="B24" s="356" t="s">
        <v>1651</v>
      </c>
      <c r="C24" s="87">
        <v>5756</v>
      </c>
      <c r="D24" s="87">
        <v>3064</v>
      </c>
      <c r="E24" s="87">
        <v>5616</v>
      </c>
      <c r="F24" s="356" t="s">
        <v>1629</v>
      </c>
      <c r="G24" s="87"/>
      <c r="H24" s="105"/>
      <c r="I24" s="105"/>
    </row>
    <row r="25" spans="2:11">
      <c r="C25" s="379"/>
      <c r="D25" s="379"/>
      <c r="E25" s="379">
        <f>SUM(E19:E24)</f>
        <v>25020</v>
      </c>
      <c r="F25" s="392"/>
      <c r="G25" s="87"/>
      <c r="H25" s="105"/>
      <c r="I25" s="105"/>
      <c r="J25" s="357"/>
      <c r="K25" s="357"/>
    </row>
    <row r="26" spans="2:11" s="357" customFormat="1" hidden="1">
      <c r="C26" s="379"/>
      <c r="D26" s="379"/>
      <c r="E26" s="379"/>
      <c r="F26" s="87"/>
      <c r="G26" s="105"/>
      <c r="H26" s="105"/>
      <c r="I26" s="105"/>
    </row>
    <row r="27" spans="2:11">
      <c r="B27" s="357"/>
      <c r="C27" s="379"/>
      <c r="D27" s="379"/>
      <c r="E27" s="379"/>
      <c r="F27" s="397" t="s">
        <v>20</v>
      </c>
      <c r="G27" s="105"/>
      <c r="H27" s="105"/>
      <c r="I27" s="105"/>
      <c r="J27" s="357"/>
      <c r="K27" s="357"/>
    </row>
    <row r="28" spans="2:11">
      <c r="B28" s="356" t="s">
        <v>254</v>
      </c>
      <c r="C28" s="87" t="s">
        <v>1627</v>
      </c>
      <c r="D28" s="87" t="s">
        <v>0</v>
      </c>
      <c r="E28" s="87" t="s">
        <v>122</v>
      </c>
      <c r="F28" s="356" t="s">
        <v>1</v>
      </c>
      <c r="G28" s="105"/>
      <c r="H28" s="9"/>
    </row>
    <row r="29" spans="2:11">
      <c r="B29" s="356" t="s">
        <v>1647</v>
      </c>
      <c r="C29" s="87">
        <v>5725</v>
      </c>
      <c r="D29" s="87">
        <v>3064</v>
      </c>
      <c r="E29" s="87">
        <v>1080</v>
      </c>
      <c r="F29" s="356" t="s">
        <v>1629</v>
      </c>
      <c r="G29" s="105"/>
      <c r="H29" s="9"/>
    </row>
    <row r="30" spans="2:11">
      <c r="B30" s="356" t="s">
        <v>1646</v>
      </c>
      <c r="C30" s="87">
        <v>5730</v>
      </c>
      <c r="D30" s="87">
        <v>3064</v>
      </c>
      <c r="E30" s="87">
        <v>3240</v>
      </c>
      <c r="F30" s="356" t="s">
        <v>1629</v>
      </c>
      <c r="G30" s="105"/>
      <c r="H30" s="9"/>
    </row>
    <row r="31" spans="2:11">
      <c r="B31" s="356" t="s">
        <v>1648</v>
      </c>
      <c r="C31" s="87">
        <v>5735</v>
      </c>
      <c r="D31" s="87">
        <v>3064</v>
      </c>
      <c r="E31" s="87">
        <v>2880</v>
      </c>
      <c r="F31" s="356" t="s">
        <v>1629</v>
      </c>
      <c r="G31" s="105"/>
      <c r="H31" s="105"/>
    </row>
    <row r="32" spans="2:11">
      <c r="B32" s="356" t="s">
        <v>1650</v>
      </c>
      <c r="C32" s="87">
        <v>5753</v>
      </c>
      <c r="D32" s="87">
        <v>3064</v>
      </c>
      <c r="E32" s="87">
        <v>2592</v>
      </c>
      <c r="F32" s="356" t="s">
        <v>1629</v>
      </c>
      <c r="G32" s="357"/>
      <c r="H32" s="357"/>
    </row>
    <row r="33" spans="2:11">
      <c r="B33" s="356" t="s">
        <v>1651</v>
      </c>
      <c r="C33" s="87">
        <v>5758</v>
      </c>
      <c r="D33" s="87">
        <v>3064</v>
      </c>
      <c r="E33" s="87">
        <v>3528</v>
      </c>
      <c r="F33" s="356" t="s">
        <v>1629</v>
      </c>
      <c r="G33" s="357"/>
      <c r="H33" s="357"/>
    </row>
    <row r="34" spans="2:11">
      <c r="B34" s="357"/>
      <c r="C34" s="357"/>
      <c r="D34" s="357"/>
      <c r="E34" s="357">
        <f>SUM(E29:E33)</f>
        <v>13320</v>
      </c>
      <c r="F34" s="357"/>
      <c r="G34" s="357"/>
      <c r="H34" s="357"/>
      <c r="I34" s="357"/>
      <c r="J34" s="357"/>
      <c r="K34" s="357"/>
    </row>
  </sheetData>
  <mergeCells count="1">
    <mergeCell ref="B4:K4"/>
  </mergeCells>
  <pageMargins left="0" right="0" top="0.15748031496062992" bottom="0" header="0.31496062992125984" footer="0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3:O64"/>
  <sheetViews>
    <sheetView workbookViewId="0">
      <selection activeCell="A29" sqref="A29:I29"/>
    </sheetView>
  </sheetViews>
  <sheetFormatPr baseColWidth="10" defaultRowHeight="15"/>
  <cols>
    <col min="1" max="1" width="24.5703125" customWidth="1"/>
    <col min="2" max="2" width="16" customWidth="1"/>
    <col min="3" max="3" width="39.5703125" customWidth="1"/>
    <col min="4" max="4" width="20.28515625" customWidth="1"/>
    <col min="5" max="5" width="20.28515625" style="827" hidden="1" customWidth="1"/>
    <col min="6" max="6" width="11.42578125" hidden="1" customWidth="1"/>
    <col min="7" max="7" width="35.42578125" hidden="1" customWidth="1"/>
    <col min="8" max="8" width="11.42578125" hidden="1" customWidth="1"/>
    <col min="9" max="9" width="11.42578125" style="88"/>
    <col min="10" max="10" width="11.42578125" hidden="1" customWidth="1"/>
    <col min="11" max="11" width="11.42578125" style="735"/>
  </cols>
  <sheetData>
    <row r="3" spans="1:12">
      <c r="A3" s="110"/>
      <c r="B3" s="110"/>
      <c r="C3" s="110"/>
      <c r="D3" s="110"/>
      <c r="F3" s="110"/>
      <c r="G3" s="110"/>
      <c r="H3" s="110"/>
    </row>
    <row r="4" spans="1:12">
      <c r="A4" s="110"/>
      <c r="B4" s="110"/>
      <c r="C4" s="110"/>
      <c r="D4" s="110"/>
      <c r="F4" s="110"/>
      <c r="G4" s="110"/>
      <c r="H4" s="110"/>
    </row>
    <row r="5" spans="1:12">
      <c r="A5" s="110"/>
      <c r="B5" s="110"/>
      <c r="C5" s="110"/>
      <c r="D5" s="110"/>
      <c r="F5" s="110"/>
      <c r="G5" s="110"/>
      <c r="H5" s="110"/>
    </row>
    <row r="6" spans="1:12">
      <c r="A6" s="110"/>
      <c r="B6" s="110"/>
      <c r="C6" s="110"/>
      <c r="D6" s="110"/>
      <c r="F6" s="110"/>
      <c r="G6" s="110"/>
      <c r="H6" s="110"/>
    </row>
    <row r="7" spans="1:12">
      <c r="A7" s="110"/>
      <c r="B7" s="110"/>
      <c r="C7" s="110"/>
      <c r="D7" s="110"/>
      <c r="F7" s="110"/>
      <c r="G7" s="110"/>
      <c r="H7" s="110"/>
    </row>
    <row r="8" spans="1:12">
      <c r="A8" s="110"/>
      <c r="B8" s="110"/>
      <c r="C8" s="110"/>
      <c r="D8" s="110"/>
      <c r="F8" s="110"/>
      <c r="G8" s="110"/>
      <c r="H8" s="110"/>
    </row>
    <row r="9" spans="1:12" s="110" customFormat="1">
      <c r="E9" s="827"/>
      <c r="I9" s="88"/>
      <c r="K9" s="735"/>
    </row>
    <row r="10" spans="1:12" s="110" customFormat="1">
      <c r="E10" s="827"/>
      <c r="I10" s="88"/>
      <c r="K10" s="735"/>
    </row>
    <row r="11" spans="1:12" s="110" customFormat="1">
      <c r="E11" s="827"/>
      <c r="I11" s="88"/>
      <c r="K11" s="735"/>
    </row>
    <row r="12" spans="1:12" s="110" customFormat="1">
      <c r="E12" s="827"/>
      <c r="I12" s="88"/>
      <c r="K12" s="735"/>
    </row>
    <row r="13" spans="1:12" s="110" customFormat="1">
      <c r="E13" s="827"/>
      <c r="I13" s="88"/>
      <c r="K13" s="735"/>
    </row>
    <row r="14" spans="1:12" ht="15.75" thickBot="1">
      <c r="A14" s="110"/>
      <c r="B14" s="110"/>
      <c r="C14" s="110"/>
      <c r="D14" s="74" t="s">
        <v>715</v>
      </c>
      <c r="E14" s="74"/>
      <c r="F14" s="74"/>
      <c r="G14" s="110"/>
      <c r="H14" s="110"/>
    </row>
    <row r="15" spans="1:12" ht="55.5" customHeight="1">
      <c r="A15" s="1024" t="s">
        <v>565</v>
      </c>
      <c r="B15" s="1025" t="s">
        <v>716</v>
      </c>
      <c r="C15" s="1025" t="s">
        <v>717</v>
      </c>
      <c r="D15" s="1025" t="s">
        <v>718</v>
      </c>
      <c r="E15" s="1025" t="s">
        <v>2647</v>
      </c>
      <c r="F15" s="1025" t="s">
        <v>719</v>
      </c>
      <c r="G15" s="1025" t="s">
        <v>720</v>
      </c>
      <c r="H15" s="136" t="s">
        <v>3846</v>
      </c>
      <c r="I15" s="1026" t="s">
        <v>68</v>
      </c>
      <c r="J15" s="1026" t="s">
        <v>74</v>
      </c>
      <c r="K15" s="738"/>
      <c r="L15" t="s">
        <v>1881</v>
      </c>
    </row>
    <row r="16" spans="1:12" ht="18.75">
      <c r="A16" s="1027" t="s">
        <v>721</v>
      </c>
      <c r="B16" s="1028">
        <v>100026</v>
      </c>
      <c r="C16" s="1028" t="s">
        <v>722</v>
      </c>
      <c r="D16" s="1028" t="s">
        <v>723</v>
      </c>
      <c r="E16" s="1028">
        <v>24</v>
      </c>
      <c r="F16" s="112" t="s">
        <v>724</v>
      </c>
      <c r="G16" s="112" t="s">
        <v>725</v>
      </c>
      <c r="H16" s="1029">
        <v>0</v>
      </c>
      <c r="I16" s="137"/>
      <c r="J16" s="138"/>
      <c r="K16" s="738"/>
      <c r="L16" s="373">
        <f>+H16/E16</f>
        <v>0</v>
      </c>
    </row>
    <row r="17" spans="1:15" ht="18.75">
      <c r="A17" s="1030" t="s">
        <v>726</v>
      </c>
      <c r="B17" s="134">
        <v>100027</v>
      </c>
      <c r="C17" s="134" t="s">
        <v>722</v>
      </c>
      <c r="D17" s="134" t="s">
        <v>727</v>
      </c>
      <c r="E17" s="134">
        <v>12</v>
      </c>
      <c r="F17" s="134" t="s">
        <v>728</v>
      </c>
      <c r="G17" s="1031" t="s">
        <v>729</v>
      </c>
      <c r="H17" s="1029">
        <v>22.9</v>
      </c>
      <c r="I17" s="137">
        <v>20</v>
      </c>
      <c r="J17" s="137">
        <f t="shared" ref="J17:J35" si="0">H17*I17</f>
        <v>458</v>
      </c>
      <c r="K17" s="738" t="s">
        <v>554</v>
      </c>
      <c r="L17" s="373">
        <f t="shared" ref="L17:L35" si="1">+H17/E17</f>
        <v>1.9083333333333332</v>
      </c>
    </row>
    <row r="18" spans="1:15" ht="18.75">
      <c r="A18" s="1224" t="s">
        <v>730</v>
      </c>
      <c r="B18" s="1225">
        <v>100033</v>
      </c>
      <c r="C18" s="1225" t="s">
        <v>731</v>
      </c>
      <c r="D18" s="1225" t="s">
        <v>732</v>
      </c>
      <c r="E18" s="1225">
        <v>24</v>
      </c>
      <c r="F18" s="1225" t="s">
        <v>733</v>
      </c>
      <c r="G18" s="1225" t="s">
        <v>734</v>
      </c>
      <c r="H18" s="1226">
        <v>20.420000000000002</v>
      </c>
      <c r="I18" s="1223">
        <v>20</v>
      </c>
      <c r="J18" s="137">
        <f t="shared" si="0"/>
        <v>408.40000000000003</v>
      </c>
      <c r="K18" s="738" t="s">
        <v>554</v>
      </c>
      <c r="L18" s="373">
        <f t="shared" si="1"/>
        <v>0.85083333333333344</v>
      </c>
      <c r="N18" s="739" t="s">
        <v>3328</v>
      </c>
      <c r="O18" s="739"/>
    </row>
    <row r="19" spans="1:15" ht="18.75">
      <c r="A19" s="1224" t="s">
        <v>735</v>
      </c>
      <c r="B19" s="1225">
        <v>100030</v>
      </c>
      <c r="C19" s="1225" t="s">
        <v>736</v>
      </c>
      <c r="D19" s="1225" t="s">
        <v>737</v>
      </c>
      <c r="E19" s="1225">
        <v>24</v>
      </c>
      <c r="F19" s="1225" t="s">
        <v>738</v>
      </c>
      <c r="G19" s="1225" t="s">
        <v>739</v>
      </c>
      <c r="H19" s="1225">
        <v>14.41</v>
      </c>
      <c r="I19" s="1223">
        <v>20</v>
      </c>
      <c r="J19" s="137">
        <f t="shared" si="0"/>
        <v>288.2</v>
      </c>
      <c r="K19" s="738" t="s">
        <v>554</v>
      </c>
      <c r="L19" s="373">
        <f t="shared" si="1"/>
        <v>0.60041666666666671</v>
      </c>
    </row>
    <row r="20" spans="1:15" ht="18.75">
      <c r="A20" s="1030" t="s">
        <v>726</v>
      </c>
      <c r="B20" s="134">
        <v>100031</v>
      </c>
      <c r="C20" s="134" t="s">
        <v>736</v>
      </c>
      <c r="D20" s="134" t="s">
        <v>740</v>
      </c>
      <c r="E20" s="134">
        <v>12</v>
      </c>
      <c r="F20" s="134" t="s">
        <v>741</v>
      </c>
      <c r="G20" s="1031" t="s">
        <v>742</v>
      </c>
      <c r="H20" s="112">
        <v>10.17</v>
      </c>
      <c r="I20" s="137">
        <v>30</v>
      </c>
      <c r="J20" s="137">
        <f t="shared" si="0"/>
        <v>305.10000000000002</v>
      </c>
      <c r="K20" s="738" t="s">
        <v>554</v>
      </c>
      <c r="L20" s="373">
        <f t="shared" si="1"/>
        <v>0.84750000000000003</v>
      </c>
    </row>
    <row r="21" spans="1:15" ht="18.75" hidden="1">
      <c r="A21" s="1027" t="s">
        <v>743</v>
      </c>
      <c r="B21" s="112">
        <v>100140</v>
      </c>
      <c r="C21" s="112" t="s">
        <v>736</v>
      </c>
      <c r="D21" s="112" t="s">
        <v>744</v>
      </c>
      <c r="E21" s="112"/>
      <c r="F21" s="112" t="s">
        <v>745</v>
      </c>
      <c r="G21" s="112" t="s">
        <v>746</v>
      </c>
      <c r="H21" s="112">
        <v>10.17</v>
      </c>
      <c r="I21" s="137" t="e">
        <f>SUM(#REF!)</f>
        <v>#REF!</v>
      </c>
      <c r="J21" s="137" t="e">
        <f t="shared" si="0"/>
        <v>#REF!</v>
      </c>
      <c r="K21" s="738"/>
      <c r="L21" s="373" t="e">
        <f t="shared" si="1"/>
        <v>#DIV/0!</v>
      </c>
    </row>
    <row r="22" spans="1:15" ht="18.75" hidden="1">
      <c r="A22" s="1027" t="s">
        <v>747</v>
      </c>
      <c r="B22" s="112">
        <v>100036</v>
      </c>
      <c r="C22" s="112" t="s">
        <v>748</v>
      </c>
      <c r="D22" s="112" t="s">
        <v>749</v>
      </c>
      <c r="E22" s="112"/>
      <c r="F22" s="112" t="s">
        <v>750</v>
      </c>
      <c r="G22" s="112" t="s">
        <v>725</v>
      </c>
      <c r="H22" s="112">
        <v>12.74</v>
      </c>
      <c r="I22" s="137" t="e">
        <f>SUM(#REF!)</f>
        <v>#REF!</v>
      </c>
      <c r="J22" s="137" t="e">
        <f t="shared" si="0"/>
        <v>#REF!</v>
      </c>
      <c r="K22" s="738"/>
      <c r="L22" s="373" t="e">
        <f t="shared" si="1"/>
        <v>#DIV/0!</v>
      </c>
    </row>
    <row r="23" spans="1:15" ht="18.75">
      <c r="A23" s="1030" t="s">
        <v>751</v>
      </c>
      <c r="B23" s="134">
        <v>100037</v>
      </c>
      <c r="C23" s="134" t="s">
        <v>752</v>
      </c>
      <c r="D23" s="134" t="s">
        <v>753</v>
      </c>
      <c r="E23" s="134">
        <v>24</v>
      </c>
      <c r="F23" s="134" t="s">
        <v>754</v>
      </c>
      <c r="G23" s="1031" t="s">
        <v>755</v>
      </c>
      <c r="H23" s="112">
        <v>15.82</v>
      </c>
      <c r="I23" s="137">
        <v>30</v>
      </c>
      <c r="J23" s="137">
        <f t="shared" si="0"/>
        <v>474.6</v>
      </c>
      <c r="K23" s="738" t="s">
        <v>554</v>
      </c>
      <c r="L23" s="373">
        <f t="shared" si="1"/>
        <v>0.65916666666666668</v>
      </c>
    </row>
    <row r="24" spans="1:15" ht="18.75" hidden="1">
      <c r="A24" s="1027" t="s">
        <v>756</v>
      </c>
      <c r="B24" s="112">
        <v>100038</v>
      </c>
      <c r="C24" s="112" t="s">
        <v>748</v>
      </c>
      <c r="D24" s="112" t="s">
        <v>757</v>
      </c>
      <c r="E24" s="112"/>
      <c r="F24" s="112" t="s">
        <v>728</v>
      </c>
      <c r="G24" s="1032" t="s">
        <v>729</v>
      </c>
      <c r="H24" s="112">
        <v>15.82</v>
      </c>
      <c r="I24" s="137">
        <v>0</v>
      </c>
      <c r="J24" s="137">
        <f t="shared" si="0"/>
        <v>0</v>
      </c>
      <c r="K24" s="738" t="s">
        <v>554</v>
      </c>
      <c r="L24" s="373" t="e">
        <f t="shared" si="1"/>
        <v>#DIV/0!</v>
      </c>
    </row>
    <row r="25" spans="1:15" ht="18.75" hidden="1">
      <c r="A25" s="1027" t="s">
        <v>758</v>
      </c>
      <c r="B25" s="112">
        <v>600003</v>
      </c>
      <c r="C25" s="112" t="s">
        <v>759</v>
      </c>
      <c r="D25" s="112" t="s">
        <v>760</v>
      </c>
      <c r="E25" s="112"/>
      <c r="F25" s="112" t="s">
        <v>761</v>
      </c>
      <c r="G25" s="112" t="s">
        <v>762</v>
      </c>
      <c r="H25" s="112">
        <v>0</v>
      </c>
      <c r="I25" s="137">
        <v>0</v>
      </c>
      <c r="J25" s="137">
        <f t="shared" si="0"/>
        <v>0</v>
      </c>
      <c r="K25" s="738" t="s">
        <v>554</v>
      </c>
      <c r="L25" s="373" t="e">
        <f t="shared" si="1"/>
        <v>#DIV/0!</v>
      </c>
    </row>
    <row r="26" spans="1:15" ht="18.75" hidden="1">
      <c r="A26" s="1027" t="s">
        <v>763</v>
      </c>
      <c r="B26" s="112">
        <v>600007</v>
      </c>
      <c r="C26" s="112" t="s">
        <v>764</v>
      </c>
      <c r="D26" s="112" t="s">
        <v>760</v>
      </c>
      <c r="E26" s="112"/>
      <c r="F26" s="112" t="s">
        <v>761</v>
      </c>
      <c r="G26" s="112" t="s">
        <v>762</v>
      </c>
      <c r="H26" s="112">
        <v>12.69</v>
      </c>
      <c r="I26" s="137">
        <v>0</v>
      </c>
      <c r="J26" s="137">
        <f t="shared" si="0"/>
        <v>0</v>
      </c>
      <c r="K26" s="738" t="s">
        <v>554</v>
      </c>
      <c r="L26" s="373" t="e">
        <f t="shared" si="1"/>
        <v>#DIV/0!</v>
      </c>
    </row>
    <row r="27" spans="1:15" ht="18.75" hidden="1">
      <c r="A27" s="1027" t="s">
        <v>765</v>
      </c>
      <c r="B27" s="112">
        <v>600005</v>
      </c>
      <c r="C27" s="112" t="s">
        <v>766</v>
      </c>
      <c r="D27" s="112" t="s">
        <v>760</v>
      </c>
      <c r="E27" s="112"/>
      <c r="F27" s="112" t="s">
        <v>761</v>
      </c>
      <c r="G27" s="112" t="s">
        <v>762</v>
      </c>
      <c r="H27" s="112">
        <v>13.81</v>
      </c>
      <c r="I27" s="137">
        <v>0</v>
      </c>
      <c r="J27" s="137">
        <f t="shared" si="0"/>
        <v>0</v>
      </c>
      <c r="K27" s="738" t="s">
        <v>554</v>
      </c>
      <c r="L27" s="373" t="e">
        <f t="shared" si="1"/>
        <v>#DIV/0!</v>
      </c>
    </row>
    <row r="28" spans="1:15" ht="18.75" hidden="1">
      <c r="A28" s="1027" t="s">
        <v>767</v>
      </c>
      <c r="B28" s="112">
        <v>600002</v>
      </c>
      <c r="C28" s="112" t="s">
        <v>768</v>
      </c>
      <c r="D28" s="112" t="s">
        <v>760</v>
      </c>
      <c r="E28" s="112"/>
      <c r="F28" s="112" t="s">
        <v>761</v>
      </c>
      <c r="G28" s="112" t="s">
        <v>762</v>
      </c>
      <c r="H28" s="112">
        <v>12.14</v>
      </c>
      <c r="I28" s="137" t="e">
        <f>SUM(#REF!)</f>
        <v>#REF!</v>
      </c>
      <c r="J28" s="137" t="e">
        <f t="shared" si="0"/>
        <v>#REF!</v>
      </c>
      <c r="K28" s="738" t="s">
        <v>554</v>
      </c>
      <c r="L28" s="373" t="e">
        <f t="shared" si="1"/>
        <v>#DIV/0!</v>
      </c>
    </row>
    <row r="29" spans="1:15" ht="18.75">
      <c r="A29" s="1224" t="s">
        <v>769</v>
      </c>
      <c r="B29" s="1225">
        <v>600000</v>
      </c>
      <c r="C29" s="1225" t="s">
        <v>770</v>
      </c>
      <c r="D29" s="1225" t="s">
        <v>749</v>
      </c>
      <c r="E29" s="1225">
        <v>24</v>
      </c>
      <c r="F29" s="1225" t="s">
        <v>771</v>
      </c>
      <c r="G29" s="1225" t="s">
        <v>772</v>
      </c>
      <c r="H29" s="1225">
        <v>15.72</v>
      </c>
      <c r="I29" s="1223">
        <v>10</v>
      </c>
      <c r="J29" s="137">
        <f t="shared" si="0"/>
        <v>157.20000000000002</v>
      </c>
      <c r="K29" s="738" t="s">
        <v>554</v>
      </c>
      <c r="L29" s="373">
        <f t="shared" si="1"/>
        <v>0.65500000000000003</v>
      </c>
    </row>
    <row r="30" spans="1:15" ht="16.5" hidden="1" customHeight="1">
      <c r="A30" s="1027" t="s">
        <v>773</v>
      </c>
      <c r="B30" s="112">
        <v>100008</v>
      </c>
      <c r="C30" s="134" t="s">
        <v>770</v>
      </c>
      <c r="D30" s="112" t="s">
        <v>727</v>
      </c>
      <c r="E30" s="112"/>
      <c r="F30" s="112" t="s">
        <v>728</v>
      </c>
      <c r="G30" s="112" t="s">
        <v>729</v>
      </c>
      <c r="H30" s="112">
        <v>15.72</v>
      </c>
      <c r="I30" s="137">
        <v>10</v>
      </c>
      <c r="J30" s="1013">
        <f t="shared" si="0"/>
        <v>157.20000000000002</v>
      </c>
      <c r="K30" s="738" t="s">
        <v>554</v>
      </c>
      <c r="L30" s="373" t="e">
        <f t="shared" si="1"/>
        <v>#DIV/0!</v>
      </c>
    </row>
    <row r="31" spans="1:15" ht="18.75" hidden="1">
      <c r="A31" s="1027" t="s">
        <v>774</v>
      </c>
      <c r="B31" s="112">
        <v>100009</v>
      </c>
      <c r="C31" s="134" t="s">
        <v>770</v>
      </c>
      <c r="D31" s="112" t="s">
        <v>775</v>
      </c>
      <c r="E31" s="112"/>
      <c r="F31" s="112" t="s">
        <v>776</v>
      </c>
      <c r="G31" s="112"/>
      <c r="H31" s="112">
        <v>23.53</v>
      </c>
      <c r="I31" s="137">
        <v>10</v>
      </c>
      <c r="J31" s="1013">
        <f t="shared" si="0"/>
        <v>235.3</v>
      </c>
      <c r="K31" s="738" t="s">
        <v>554</v>
      </c>
      <c r="L31" s="373" t="e">
        <f t="shared" si="1"/>
        <v>#DIV/0!</v>
      </c>
    </row>
    <row r="32" spans="1:15" ht="18.75" hidden="1">
      <c r="A32" s="1027" t="s">
        <v>777</v>
      </c>
      <c r="B32" s="112">
        <v>100010</v>
      </c>
      <c r="C32" s="134" t="s">
        <v>770</v>
      </c>
      <c r="D32" s="112" t="s">
        <v>778</v>
      </c>
      <c r="E32" s="112"/>
      <c r="F32" s="112" t="s">
        <v>779</v>
      </c>
      <c r="G32" s="112" t="s">
        <v>746</v>
      </c>
      <c r="H32" s="112">
        <v>0</v>
      </c>
      <c r="I32" s="137">
        <v>10</v>
      </c>
      <c r="J32" s="1013">
        <f t="shared" si="0"/>
        <v>0</v>
      </c>
      <c r="K32" s="738" t="s">
        <v>554</v>
      </c>
      <c r="L32" s="373" t="e">
        <f t="shared" si="1"/>
        <v>#DIV/0!</v>
      </c>
    </row>
    <row r="33" spans="1:12" ht="18.75" hidden="1">
      <c r="A33" s="1027" t="s">
        <v>780</v>
      </c>
      <c r="B33" s="112">
        <v>100013</v>
      </c>
      <c r="C33" s="134" t="s">
        <v>770</v>
      </c>
      <c r="D33" s="112" t="s">
        <v>727</v>
      </c>
      <c r="E33" s="112"/>
      <c r="F33" s="112" t="s">
        <v>728</v>
      </c>
      <c r="G33" s="112" t="s">
        <v>729</v>
      </c>
      <c r="H33" s="112">
        <v>49.18</v>
      </c>
      <c r="I33" s="137">
        <v>10</v>
      </c>
      <c r="J33" s="1013">
        <f t="shared" si="0"/>
        <v>491.8</v>
      </c>
      <c r="K33" s="738" t="s">
        <v>554</v>
      </c>
      <c r="L33" s="373" t="e">
        <f t="shared" si="1"/>
        <v>#DIV/0!</v>
      </c>
    </row>
    <row r="34" spans="1:12" ht="18.75" hidden="1">
      <c r="A34" s="1027" t="s">
        <v>781</v>
      </c>
      <c r="B34" s="112">
        <v>100018</v>
      </c>
      <c r="C34" s="134" t="s">
        <v>770</v>
      </c>
      <c r="D34" s="112" t="s">
        <v>727</v>
      </c>
      <c r="E34" s="112"/>
      <c r="F34" s="112" t="s">
        <v>782</v>
      </c>
      <c r="G34" s="112" t="s">
        <v>729</v>
      </c>
      <c r="H34" s="112">
        <v>28.08</v>
      </c>
      <c r="I34" s="137">
        <v>10</v>
      </c>
      <c r="J34" s="1013">
        <f t="shared" si="0"/>
        <v>280.79999999999995</v>
      </c>
      <c r="K34" s="738" t="s">
        <v>554</v>
      </c>
      <c r="L34" s="373" t="e">
        <f t="shared" si="1"/>
        <v>#DIV/0!</v>
      </c>
    </row>
    <row r="35" spans="1:12" ht="18.75" hidden="1">
      <c r="A35" s="1027" t="s">
        <v>783</v>
      </c>
      <c r="B35" s="112">
        <v>100023</v>
      </c>
      <c r="C35" s="134" t="s">
        <v>770</v>
      </c>
      <c r="D35" s="112" t="s">
        <v>727</v>
      </c>
      <c r="E35" s="112"/>
      <c r="F35" s="112" t="s">
        <v>728</v>
      </c>
      <c r="G35" s="112" t="s">
        <v>729</v>
      </c>
      <c r="H35" s="112">
        <v>0</v>
      </c>
      <c r="I35" s="137">
        <v>10</v>
      </c>
      <c r="J35" s="1013">
        <f t="shared" si="0"/>
        <v>0</v>
      </c>
      <c r="K35" s="738" t="s">
        <v>554</v>
      </c>
      <c r="L35" s="373" t="e">
        <f t="shared" si="1"/>
        <v>#DIV/0!</v>
      </c>
    </row>
    <row r="36" spans="1:12" s="827" customFormat="1" ht="18.75">
      <c r="A36" s="1027"/>
      <c r="B36" s="112"/>
      <c r="C36" s="134" t="s">
        <v>3914</v>
      </c>
      <c r="D36" s="112" t="s">
        <v>3915</v>
      </c>
      <c r="E36" s="112"/>
      <c r="F36" s="112"/>
      <c r="G36" s="112"/>
      <c r="H36" s="112"/>
      <c r="I36" s="137">
        <v>3</v>
      </c>
      <c r="J36" s="1013"/>
      <c r="K36" s="738" t="s">
        <v>554</v>
      </c>
      <c r="L36" s="373"/>
    </row>
    <row r="37" spans="1:12" ht="21">
      <c r="A37" s="110"/>
      <c r="B37" s="110"/>
      <c r="C37" s="113" t="s">
        <v>940</v>
      </c>
      <c r="J37" s="88">
        <f>+J16+J17+J18+J19+J20+J23+J29</f>
        <v>2091.5</v>
      </c>
    </row>
    <row r="38" spans="1:12">
      <c r="A38" s="110"/>
      <c r="B38" s="110"/>
      <c r="C38" s="110"/>
      <c r="D38" s="110"/>
      <c r="F38" s="110"/>
      <c r="G38" s="110"/>
      <c r="H38" s="110"/>
      <c r="I38" s="88" t="s">
        <v>61</v>
      </c>
      <c r="J38" s="135"/>
    </row>
    <row r="39" spans="1:12" ht="16.5" thickBot="1">
      <c r="A39" s="115"/>
      <c r="B39" s="116"/>
      <c r="C39" s="116"/>
      <c r="D39" s="117"/>
      <c r="E39" s="117"/>
      <c r="F39" s="110"/>
      <c r="G39" s="110"/>
      <c r="H39" s="110"/>
    </row>
    <row r="40" spans="1:12" ht="15.75" customHeight="1" thickBot="1">
      <c r="A40" s="110"/>
      <c r="B40" s="119"/>
      <c r="C40" s="120" t="s">
        <v>784</v>
      </c>
      <c r="D40" s="121"/>
      <c r="E40" s="121"/>
      <c r="F40" s="122"/>
      <c r="G40" s="7"/>
      <c r="H40" s="123"/>
    </row>
    <row r="41" spans="1:12" ht="15.75">
      <c r="A41" s="110"/>
      <c r="B41" s="119"/>
      <c r="C41" s="124"/>
      <c r="D41" s="124"/>
      <c r="E41" s="124"/>
      <c r="F41" s="7"/>
      <c r="G41" s="7"/>
      <c r="H41" s="123"/>
    </row>
    <row r="42" spans="1:12" ht="15.75">
      <c r="A42" s="110"/>
      <c r="B42" s="119"/>
      <c r="C42" s="124"/>
      <c r="D42" s="124"/>
      <c r="E42" s="124"/>
      <c r="F42" s="7"/>
      <c r="G42" s="7"/>
      <c r="H42" s="123"/>
    </row>
    <row r="43" spans="1:12" ht="15.75">
      <c r="A43" s="115" t="s">
        <v>785</v>
      </c>
      <c r="B43" s="119"/>
      <c r="C43" s="125"/>
      <c r="D43" s="110"/>
      <c r="F43" s="110"/>
      <c r="G43" s="110"/>
      <c r="H43" s="110"/>
    </row>
    <row r="44" spans="1:12" ht="21">
      <c r="A44" s="115"/>
      <c r="B44" s="116"/>
      <c r="C44" s="116"/>
      <c r="D44" s="114"/>
      <c r="E44" s="114"/>
      <c r="F44" s="110"/>
      <c r="G44" s="110"/>
      <c r="H44" s="110"/>
    </row>
    <row r="45" spans="1:12" ht="15.75">
      <c r="A45" s="115"/>
      <c r="B45" s="126"/>
      <c r="C45" s="126"/>
      <c r="D45" s="126"/>
      <c r="E45" s="126"/>
      <c r="F45" s="110"/>
      <c r="G45" s="110"/>
      <c r="H45" s="110"/>
    </row>
    <row r="46" spans="1:12" ht="15.75">
      <c r="A46" s="115" t="s">
        <v>786</v>
      </c>
      <c r="B46" s="126"/>
      <c r="C46" s="126"/>
      <c r="D46" s="126"/>
      <c r="E46" s="126"/>
      <c r="F46" s="110"/>
      <c r="G46" s="110"/>
      <c r="H46" s="110"/>
    </row>
    <row r="47" spans="1:12" ht="15.75">
      <c r="A47" s="115"/>
      <c r="B47" s="126"/>
      <c r="C47" s="126"/>
      <c r="D47" s="126"/>
      <c r="E47" s="126"/>
      <c r="F47" s="110"/>
      <c r="G47" s="110"/>
      <c r="H47" s="110"/>
    </row>
    <row r="48" spans="1:12" ht="15.75">
      <c r="A48" s="110"/>
      <c r="B48" s="117"/>
      <c r="C48" s="74"/>
      <c r="D48" s="74"/>
      <c r="E48" s="74"/>
      <c r="F48" s="110"/>
      <c r="G48" s="127"/>
      <c r="H48" s="110"/>
    </row>
    <row r="49" spans="1:12" ht="15.75">
      <c r="A49" s="128"/>
      <c r="B49" s="129"/>
      <c r="C49" s="129"/>
      <c r="D49" s="129"/>
      <c r="E49" s="129"/>
      <c r="F49" s="130"/>
      <c r="G49" s="130"/>
      <c r="H49" s="128"/>
    </row>
    <row r="50" spans="1:12">
      <c r="A50" s="110"/>
      <c r="B50" s="131" t="s">
        <v>787</v>
      </c>
      <c r="C50" s="132"/>
      <c r="D50" s="132"/>
      <c r="E50" s="132"/>
      <c r="F50" s="110"/>
      <c r="G50" s="110"/>
      <c r="H50" s="110"/>
    </row>
    <row r="51" spans="1:12">
      <c r="A51" s="110"/>
      <c r="B51" s="131" t="s">
        <v>788</v>
      </c>
      <c r="C51" s="132"/>
      <c r="D51" s="132"/>
      <c r="E51" s="132"/>
      <c r="F51" s="110"/>
      <c r="G51" s="110"/>
      <c r="H51" s="110"/>
    </row>
    <row r="52" spans="1:12">
      <c r="A52" s="110"/>
      <c r="B52" s="131" t="s">
        <v>789</v>
      </c>
      <c r="C52" s="132"/>
      <c r="D52" s="132"/>
      <c r="E52" s="132"/>
      <c r="F52" s="110"/>
      <c r="G52" s="110"/>
      <c r="H52" s="110"/>
    </row>
    <row r="53" spans="1:12">
      <c r="A53" s="110"/>
      <c r="B53" s="132"/>
      <c r="C53" s="133" t="s">
        <v>790</v>
      </c>
      <c r="D53" s="133"/>
      <c r="E53" s="133"/>
      <c r="F53" s="110"/>
      <c r="G53" s="110"/>
      <c r="H53" s="110"/>
    </row>
    <row r="54" spans="1:12">
      <c r="A54" s="110"/>
      <c r="B54" s="110"/>
      <c r="C54" s="110"/>
      <c r="D54" s="110"/>
      <c r="F54" s="110"/>
      <c r="G54" s="110"/>
      <c r="H54" s="110"/>
    </row>
    <row r="56" spans="1:12" ht="36.75" customHeight="1">
      <c r="A56" s="736" t="s">
        <v>0</v>
      </c>
      <c r="B56" s="736" t="s">
        <v>547</v>
      </c>
      <c r="G56" s="736" t="s">
        <v>1</v>
      </c>
      <c r="I56" s="736" t="s">
        <v>2573</v>
      </c>
      <c r="J56" s="736" t="s">
        <v>3320</v>
      </c>
      <c r="K56" s="736" t="s">
        <v>2572</v>
      </c>
      <c r="L56" s="736" t="s">
        <v>3321</v>
      </c>
    </row>
    <row r="57" spans="1:12" ht="36.75" customHeight="1">
      <c r="A57" s="736">
        <v>1312</v>
      </c>
      <c r="B57" s="736">
        <v>0.78</v>
      </c>
      <c r="G57" s="736" t="s">
        <v>3324</v>
      </c>
      <c r="I57" s="736">
        <v>143</v>
      </c>
      <c r="J57" s="737">
        <f>I57/12</f>
        <v>11.916666666666666</v>
      </c>
      <c r="K57" s="736">
        <v>43</v>
      </c>
      <c r="L57" s="733">
        <f>K57/12</f>
        <v>3.5833333333333335</v>
      </c>
    </row>
    <row r="58" spans="1:12" ht="36.75" customHeight="1">
      <c r="A58" s="736">
        <v>3867</v>
      </c>
      <c r="B58" s="736">
        <v>0.64</v>
      </c>
      <c r="G58" s="736" t="s">
        <v>3325</v>
      </c>
      <c r="I58" s="736">
        <v>699</v>
      </c>
      <c r="J58" s="737">
        <f>I58/24</f>
        <v>29.125</v>
      </c>
      <c r="K58" s="736">
        <v>261</v>
      </c>
      <c r="L58" s="733">
        <f>K58/24</f>
        <v>10.875</v>
      </c>
    </row>
    <row r="59" spans="1:12" ht="36.75" customHeight="1">
      <c r="A59" s="736">
        <v>9085</v>
      </c>
      <c r="B59" s="736">
        <v>1.53</v>
      </c>
      <c r="G59" s="736" t="s">
        <v>3326</v>
      </c>
      <c r="I59" s="736">
        <v>187</v>
      </c>
      <c r="J59" s="737">
        <f>I59/12</f>
        <v>15.583333333333334</v>
      </c>
      <c r="K59" s="736">
        <v>0</v>
      </c>
      <c r="L59" s="733">
        <f>K59/12</f>
        <v>0</v>
      </c>
    </row>
    <row r="60" spans="1:12" ht="36.75" customHeight="1">
      <c r="A60" s="736">
        <v>9526</v>
      </c>
      <c r="B60" s="736">
        <v>0.81</v>
      </c>
      <c r="G60" s="736" t="s">
        <v>1394</v>
      </c>
      <c r="I60" s="736">
        <v>349</v>
      </c>
      <c r="J60" s="737">
        <f>I60/24</f>
        <v>14.541666666666666</v>
      </c>
      <c r="K60" s="736">
        <v>584</v>
      </c>
      <c r="L60" s="733">
        <f>K60/24</f>
        <v>24.333333333333332</v>
      </c>
    </row>
    <row r="61" spans="1:12" ht="36.75" customHeight="1">
      <c r="A61" s="736">
        <v>10665</v>
      </c>
      <c r="B61" s="736">
        <v>0.54</v>
      </c>
      <c r="G61" s="736" t="s">
        <v>3327</v>
      </c>
      <c r="I61" s="736">
        <v>56</v>
      </c>
      <c r="J61" s="737">
        <f>I61/24</f>
        <v>2.3333333333333335</v>
      </c>
      <c r="K61" s="736">
        <v>20</v>
      </c>
      <c r="L61" s="733">
        <f>K61/24</f>
        <v>0.83333333333333337</v>
      </c>
    </row>
    <row r="62" spans="1:12" ht="36.75" customHeight="1">
      <c r="I62"/>
      <c r="K62"/>
      <c r="L62" s="733">
        <f>K62/24</f>
        <v>0</v>
      </c>
    </row>
    <row r="63" spans="1:12">
      <c r="I63"/>
      <c r="K63"/>
      <c r="L63" s="733">
        <f>K63/24</f>
        <v>0</v>
      </c>
    </row>
    <row r="64" spans="1:12">
      <c r="I64"/>
      <c r="K64"/>
      <c r="L64" s="733">
        <f>K64/24</f>
        <v>0</v>
      </c>
    </row>
  </sheetData>
  <pageMargins left="0.7" right="0.7" top="0.75" bottom="0.75" header="0.3" footer="0.3"/>
  <pageSetup paperSize="119" orientation="landscape" r:id="rId1"/>
  <drawing r:id="rId2"/>
  <legacyDrawing r:id="rId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3:F20"/>
  <sheetViews>
    <sheetView workbookViewId="0">
      <selection activeCell="F22" sqref="F22"/>
    </sheetView>
  </sheetViews>
  <sheetFormatPr baseColWidth="10" defaultRowHeight="15"/>
  <cols>
    <col min="3" max="3" width="57.85546875" customWidth="1"/>
  </cols>
  <sheetData>
    <row r="3" spans="1:6" ht="75">
      <c r="A3" s="28" t="s">
        <v>0</v>
      </c>
      <c r="B3" s="28" t="s">
        <v>122</v>
      </c>
      <c r="C3" s="29" t="s">
        <v>1</v>
      </c>
      <c r="D3" s="30" t="s">
        <v>19</v>
      </c>
      <c r="E3" s="30" t="s">
        <v>110</v>
      </c>
      <c r="F3" s="30" t="s">
        <v>111</v>
      </c>
    </row>
    <row r="4" spans="1:6">
      <c r="A4" s="22">
        <v>15516</v>
      </c>
      <c r="B4" s="22">
        <v>400</v>
      </c>
      <c r="C4" s="21" t="s">
        <v>123</v>
      </c>
      <c r="D4" s="21"/>
      <c r="E4" s="21"/>
      <c r="F4" s="21"/>
    </row>
    <row r="5" spans="1:6">
      <c r="A5" s="22">
        <v>15242</v>
      </c>
      <c r="B5" s="22">
        <v>240</v>
      </c>
      <c r="C5" s="21" t="s">
        <v>124</v>
      </c>
      <c r="D5" s="21"/>
      <c r="E5" s="21"/>
      <c r="F5" s="21"/>
    </row>
    <row r="6" spans="1:6">
      <c r="A6" s="22">
        <v>15250</v>
      </c>
      <c r="B6" s="22">
        <v>720</v>
      </c>
      <c r="C6" s="21" t="s">
        <v>125</v>
      </c>
      <c r="D6" s="21"/>
      <c r="E6" s="21"/>
      <c r="F6" s="21"/>
    </row>
    <row r="7" spans="1:6">
      <c r="A7" s="22">
        <v>15249</v>
      </c>
      <c r="B7" s="22">
        <v>240</v>
      </c>
      <c r="C7" s="21" t="s">
        <v>126</v>
      </c>
      <c r="D7" s="21"/>
      <c r="E7" s="21"/>
      <c r="F7" s="21"/>
    </row>
    <row r="8" spans="1:6">
      <c r="A8" s="22">
        <v>15517</v>
      </c>
      <c r="B8" s="22">
        <v>60</v>
      </c>
      <c r="C8" s="21" t="s">
        <v>127</v>
      </c>
      <c r="D8" s="21"/>
      <c r="E8" s="21"/>
      <c r="F8" s="21"/>
    </row>
    <row r="9" spans="1:6">
      <c r="A9" s="22">
        <v>1411</v>
      </c>
      <c r="B9" s="22">
        <v>240</v>
      </c>
      <c r="C9" s="21" t="s">
        <v>128</v>
      </c>
      <c r="D9" s="21"/>
      <c r="E9" s="21"/>
      <c r="F9" s="21"/>
    </row>
    <row r="10" spans="1:6">
      <c r="A10" s="22">
        <v>15247</v>
      </c>
      <c r="B10" s="22">
        <v>960</v>
      </c>
      <c r="C10" s="21" t="s">
        <v>129</v>
      </c>
      <c r="D10" s="21"/>
      <c r="E10" s="21"/>
      <c r="F10" s="21"/>
    </row>
    <row r="11" spans="1:6">
      <c r="A11" s="22">
        <v>15248</v>
      </c>
      <c r="B11" s="22">
        <v>720</v>
      </c>
      <c r="C11" s="21" t="s">
        <v>130</v>
      </c>
      <c r="D11" s="21"/>
      <c r="E11" s="21"/>
      <c r="F11" s="21"/>
    </row>
    <row r="12" spans="1:6">
      <c r="A12" s="22">
        <v>15244</v>
      </c>
      <c r="B12" s="22">
        <v>960</v>
      </c>
      <c r="C12" s="21" t="s">
        <v>131</v>
      </c>
      <c r="D12" s="21"/>
      <c r="E12" s="21"/>
      <c r="F12" s="21"/>
    </row>
    <row r="13" spans="1:6">
      <c r="A13" s="22">
        <v>15514</v>
      </c>
      <c r="B13" s="22">
        <v>240</v>
      </c>
      <c r="C13" s="21" t="s">
        <v>132</v>
      </c>
      <c r="D13" s="21"/>
      <c r="E13" s="21"/>
      <c r="F13" s="21"/>
    </row>
    <row r="14" spans="1:6">
      <c r="A14" s="22">
        <v>15515</v>
      </c>
      <c r="B14" s="22">
        <v>240</v>
      </c>
      <c r="C14" s="21" t="s">
        <v>133</v>
      </c>
      <c r="D14" s="21"/>
      <c r="E14" s="21"/>
      <c r="F14" s="21"/>
    </row>
    <row r="15" spans="1:6">
      <c r="A15" s="22">
        <v>15513</v>
      </c>
      <c r="B15" s="22">
        <v>240</v>
      </c>
      <c r="C15" s="21" t="s">
        <v>134</v>
      </c>
      <c r="D15" s="21"/>
      <c r="E15" s="21"/>
      <c r="F15" s="21"/>
    </row>
    <row r="16" spans="1:6">
      <c r="A16" s="22">
        <v>15512</v>
      </c>
      <c r="B16" s="22">
        <v>108</v>
      </c>
      <c r="C16" s="21" t="s">
        <v>135</v>
      </c>
      <c r="D16" s="21"/>
      <c r="E16" s="21"/>
      <c r="F16" s="21"/>
    </row>
    <row r="17" spans="1:6">
      <c r="A17" s="22">
        <v>16163</v>
      </c>
      <c r="B17" s="22">
        <v>60</v>
      </c>
      <c r="C17" s="21" t="s">
        <v>136</v>
      </c>
      <c r="D17" s="21"/>
      <c r="E17" s="21"/>
      <c r="F17" s="21"/>
    </row>
    <row r="18" spans="1:6">
      <c r="A18" s="22">
        <v>15240</v>
      </c>
      <c r="B18" s="22">
        <v>240</v>
      </c>
      <c r="C18" s="21" t="s">
        <v>137</v>
      </c>
      <c r="D18" s="21"/>
      <c r="E18" s="21"/>
      <c r="F18" s="21"/>
    </row>
    <row r="19" spans="1:6">
      <c r="A19" s="22">
        <v>15243</v>
      </c>
      <c r="B19" s="22">
        <v>80</v>
      </c>
      <c r="C19" s="21" t="s">
        <v>138</v>
      </c>
      <c r="D19" s="21"/>
      <c r="E19" s="21"/>
      <c r="F19" s="21"/>
    </row>
    <row r="20" spans="1:6">
      <c r="A20" s="22">
        <v>15241</v>
      </c>
      <c r="B20" s="22">
        <v>240</v>
      </c>
      <c r="C20" s="21" t="s">
        <v>139</v>
      </c>
      <c r="D20" s="21"/>
      <c r="E20" s="21"/>
      <c r="F20" s="21"/>
    </row>
  </sheetData>
  <pageMargins left="0.7" right="0.7" top="0.75" bottom="0.75" header="0.3" footer="0.3"/>
  <pageSetup paperSize="11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J33"/>
  <sheetViews>
    <sheetView topLeftCell="B1" workbookViewId="0">
      <selection activeCell="C25" sqref="C25"/>
    </sheetView>
  </sheetViews>
  <sheetFormatPr baseColWidth="10" defaultRowHeight="15"/>
  <cols>
    <col min="1" max="1" width="0" hidden="1" customWidth="1"/>
    <col min="3" max="3" width="42.28515625" customWidth="1"/>
    <col min="4" max="4" width="9.5703125" style="88" customWidth="1"/>
    <col min="5" max="5" width="11.42578125" style="364" customWidth="1"/>
    <col min="6" max="9" width="11.42578125" customWidth="1"/>
  </cols>
  <sheetData>
    <row r="2" spans="2:10" ht="41.25" customHeight="1">
      <c r="C2" t="s">
        <v>3137</v>
      </c>
    </row>
    <row r="4" spans="2:10">
      <c r="C4" s="2398" t="s">
        <v>19</v>
      </c>
      <c r="D4" s="2399"/>
      <c r="E4" s="2399"/>
      <c r="F4" s="2399"/>
      <c r="G4" s="2399"/>
      <c r="H4" s="2399"/>
      <c r="I4" s="2399"/>
      <c r="J4" s="2399"/>
    </row>
    <row r="5" spans="2:10" ht="30">
      <c r="B5" s="348" t="s">
        <v>119</v>
      </c>
      <c r="C5" s="641" t="s">
        <v>714</v>
      </c>
      <c r="D5" s="342" t="s">
        <v>68</v>
      </c>
      <c r="E5" s="3" t="s">
        <v>1558</v>
      </c>
      <c r="F5" s="3" t="s">
        <v>1556</v>
      </c>
      <c r="G5" s="504" t="s">
        <v>1557</v>
      </c>
      <c r="H5" s="17" t="s">
        <v>1663</v>
      </c>
      <c r="I5" s="17" t="s">
        <v>1664</v>
      </c>
    </row>
    <row r="6" spans="2:10" hidden="1">
      <c r="B6" s="348">
        <v>5591</v>
      </c>
      <c r="C6" s="348" t="s">
        <v>698</v>
      </c>
      <c r="D6" s="342"/>
      <c r="E6" s="3">
        <f>D6*F6</f>
        <v>0</v>
      </c>
      <c r="F6" s="3"/>
      <c r="G6" s="504"/>
      <c r="H6" s="405"/>
      <c r="I6" s="405"/>
    </row>
    <row r="7" spans="2:10" hidden="1">
      <c r="B7" s="348">
        <v>2389</v>
      </c>
      <c r="C7" s="348" t="s">
        <v>699</v>
      </c>
      <c r="D7" s="342"/>
      <c r="E7" s="3">
        <f t="shared" ref="E7:E22" si="0">D7*F7</f>
        <v>0</v>
      </c>
      <c r="F7" s="3"/>
      <c r="G7" s="504"/>
      <c r="H7" s="405"/>
      <c r="I7" s="405"/>
    </row>
    <row r="8" spans="2:10" hidden="1">
      <c r="B8" s="348">
        <v>787</v>
      </c>
      <c r="C8" s="348" t="s">
        <v>700</v>
      </c>
      <c r="D8" s="342"/>
      <c r="E8" s="3">
        <f t="shared" si="0"/>
        <v>0</v>
      </c>
      <c r="F8" s="3"/>
      <c r="G8" s="504"/>
      <c r="H8" s="405"/>
      <c r="I8" s="405"/>
    </row>
    <row r="9" spans="2:10" hidden="1">
      <c r="B9" s="348">
        <v>6367</v>
      </c>
      <c r="C9" s="348" t="s">
        <v>701</v>
      </c>
      <c r="D9" s="342"/>
      <c r="E9" s="3">
        <f t="shared" si="0"/>
        <v>0</v>
      </c>
      <c r="F9" s="3"/>
      <c r="G9" s="504"/>
      <c r="H9" s="405"/>
      <c r="I9" s="405"/>
    </row>
    <row r="10" spans="2:10" hidden="1">
      <c r="B10" s="348">
        <v>15650</v>
      </c>
      <c r="C10" s="348" t="s">
        <v>702</v>
      </c>
      <c r="D10" s="342">
        <v>0</v>
      </c>
      <c r="E10" s="3">
        <f t="shared" si="0"/>
        <v>0</v>
      </c>
      <c r="F10" s="3"/>
      <c r="G10" s="504"/>
      <c r="H10" s="405"/>
      <c r="I10" s="405"/>
    </row>
    <row r="11" spans="2:10">
      <c r="B11" s="348">
        <v>14209</v>
      </c>
      <c r="C11" s="348" t="s">
        <v>703</v>
      </c>
      <c r="D11" s="342">
        <v>100</v>
      </c>
      <c r="E11" s="3">
        <f t="shared" si="0"/>
        <v>2260</v>
      </c>
      <c r="F11" s="3">
        <v>22.6</v>
      </c>
      <c r="G11" s="504"/>
      <c r="H11" s="405"/>
      <c r="I11" s="405"/>
      <c r="J11" t="s">
        <v>554</v>
      </c>
    </row>
    <row r="12" spans="2:10" hidden="1">
      <c r="B12" s="348">
        <v>14204</v>
      </c>
      <c r="C12" s="348" t="s">
        <v>704</v>
      </c>
      <c r="D12" s="342">
        <v>0</v>
      </c>
      <c r="E12" s="41">
        <f t="shared" si="0"/>
        <v>0</v>
      </c>
      <c r="F12" s="41">
        <v>21.2</v>
      </c>
      <c r="G12" s="505">
        <f>F12/12</f>
        <v>1.7666666666666666</v>
      </c>
      <c r="H12" s="405">
        <v>0</v>
      </c>
      <c r="I12" s="405"/>
    </row>
    <row r="13" spans="2:10">
      <c r="B13" s="348">
        <v>2076</v>
      </c>
      <c r="C13" s="348" t="s">
        <v>705</v>
      </c>
      <c r="D13" s="342">
        <v>20</v>
      </c>
      <c r="E13" s="41">
        <f t="shared" si="0"/>
        <v>720</v>
      </c>
      <c r="F13" s="41">
        <v>36</v>
      </c>
      <c r="G13" s="504">
        <v>36</v>
      </c>
      <c r="H13" s="405"/>
      <c r="I13" s="405"/>
      <c r="J13" t="s">
        <v>554</v>
      </c>
    </row>
    <row r="14" spans="2:10" hidden="1">
      <c r="B14" s="367">
        <v>6014</v>
      </c>
      <c r="C14" s="367" t="s">
        <v>706</v>
      </c>
      <c r="D14" s="342"/>
      <c r="E14" s="41">
        <f t="shared" si="0"/>
        <v>0</v>
      </c>
      <c r="F14" s="41"/>
      <c r="G14" s="504"/>
      <c r="H14" s="405"/>
      <c r="I14" s="405"/>
    </row>
    <row r="15" spans="2:10" hidden="1">
      <c r="B15" s="367">
        <v>2529</v>
      </c>
      <c r="C15" s="367" t="s">
        <v>707</v>
      </c>
      <c r="D15" s="342"/>
      <c r="E15" s="41">
        <f t="shared" si="0"/>
        <v>0</v>
      </c>
      <c r="F15" s="41"/>
      <c r="G15" s="504"/>
      <c r="H15" s="405"/>
      <c r="I15" s="405"/>
    </row>
    <row r="16" spans="2:10" hidden="1">
      <c r="B16" s="367">
        <v>9071</v>
      </c>
      <c r="C16" s="367" t="s">
        <v>708</v>
      </c>
      <c r="D16" s="342"/>
      <c r="E16" s="41">
        <f t="shared" si="0"/>
        <v>0</v>
      </c>
      <c r="F16" s="41"/>
      <c r="G16" s="504"/>
      <c r="H16" s="405"/>
      <c r="I16" s="405"/>
    </row>
    <row r="17" spans="2:10">
      <c r="B17" s="348">
        <v>13370</v>
      </c>
      <c r="C17" s="348" t="s">
        <v>709</v>
      </c>
      <c r="D17" s="342">
        <v>50</v>
      </c>
      <c r="E17" s="41">
        <f>+F17*D17</f>
        <v>732</v>
      </c>
      <c r="F17" s="41">
        <v>14.64</v>
      </c>
      <c r="G17" s="505">
        <v>1.22</v>
      </c>
      <c r="H17" s="405" t="s">
        <v>65</v>
      </c>
      <c r="I17" s="405">
        <v>74</v>
      </c>
      <c r="J17" t="s">
        <v>554</v>
      </c>
    </row>
    <row r="18" spans="2:10" hidden="1">
      <c r="B18" s="348">
        <v>5649</v>
      </c>
      <c r="C18" s="348" t="s">
        <v>710</v>
      </c>
      <c r="D18" s="342"/>
      <c r="E18" s="41">
        <f t="shared" si="0"/>
        <v>0</v>
      </c>
      <c r="F18" s="41"/>
      <c r="G18" s="504"/>
      <c r="H18" s="405"/>
      <c r="I18" s="405"/>
    </row>
    <row r="19" spans="2:10" hidden="1">
      <c r="B19" s="348">
        <v>4341</v>
      </c>
      <c r="C19" s="348" t="s">
        <v>711</v>
      </c>
      <c r="D19" s="342"/>
      <c r="E19" s="41">
        <f t="shared" si="0"/>
        <v>0</v>
      </c>
      <c r="F19" s="41"/>
      <c r="G19" s="504"/>
      <c r="H19" s="405"/>
      <c r="I19" s="405"/>
    </row>
    <row r="20" spans="2:10">
      <c r="B20" s="348">
        <v>14765</v>
      </c>
      <c r="C20" s="348" t="s">
        <v>712</v>
      </c>
      <c r="D20" s="342">
        <v>30</v>
      </c>
      <c r="E20" s="41">
        <f t="shared" si="0"/>
        <v>468</v>
      </c>
      <c r="F20" s="41">
        <v>15.6</v>
      </c>
      <c r="G20" s="504">
        <f>F20/24</f>
        <v>0.65</v>
      </c>
      <c r="H20" s="405"/>
      <c r="I20" s="405"/>
    </row>
    <row r="21" spans="2:10">
      <c r="B21" s="348">
        <v>5583</v>
      </c>
      <c r="C21" s="348" t="s">
        <v>1559</v>
      </c>
      <c r="D21" s="342">
        <v>50</v>
      </c>
      <c r="E21" s="41">
        <f t="shared" si="0"/>
        <v>575</v>
      </c>
      <c r="F21" s="41">
        <v>11.5</v>
      </c>
      <c r="G21" s="504">
        <v>11.5</v>
      </c>
      <c r="H21" s="405"/>
      <c r="I21" s="405"/>
      <c r="J21" t="s">
        <v>554</v>
      </c>
    </row>
    <row r="22" spans="2:10" hidden="1">
      <c r="B22" s="324">
        <v>4726</v>
      </c>
      <c r="C22" s="367" t="s">
        <v>713</v>
      </c>
      <c r="D22" s="3"/>
      <c r="E22" s="41">
        <f t="shared" si="0"/>
        <v>0</v>
      </c>
      <c r="F22" s="3"/>
      <c r="G22" s="504"/>
      <c r="H22" s="405"/>
      <c r="I22" s="405"/>
    </row>
    <row r="23" spans="2:10">
      <c r="C23" s="123"/>
      <c r="E23" s="41" t="s">
        <v>65</v>
      </c>
      <c r="H23" s="405"/>
      <c r="I23" s="405"/>
    </row>
    <row r="24" spans="2:10">
      <c r="C24" s="123"/>
      <c r="E24" s="336">
        <f>SUM(E6:E23)</f>
        <v>4755</v>
      </c>
    </row>
    <row r="29" spans="2:10">
      <c r="C29" s="98">
        <v>4032128.57</v>
      </c>
      <c r="D29" s="306"/>
      <c r="E29" s="306"/>
    </row>
    <row r="30" spans="2:10">
      <c r="C30" s="98">
        <v>5241767</v>
      </c>
      <c r="D30" s="306"/>
      <c r="E30" s="306"/>
    </row>
    <row r="31" spans="2:10">
      <c r="C31" s="98">
        <f>C30/C29</f>
        <v>1.2999999650308771</v>
      </c>
      <c r="D31" s="306" t="s">
        <v>65</v>
      </c>
      <c r="E31" s="306"/>
      <c r="F31" s="370">
        <v>2120</v>
      </c>
    </row>
    <row r="32" spans="2:10">
      <c r="C32" s="98"/>
      <c r="D32" s="306"/>
      <c r="E32" s="306"/>
      <c r="F32" s="370">
        <v>701.1</v>
      </c>
    </row>
    <row r="33" spans="6:6">
      <c r="F33">
        <f>SUM(F31:F32)</f>
        <v>2821.1</v>
      </c>
    </row>
  </sheetData>
  <mergeCells count="1">
    <mergeCell ref="C4:J4"/>
  </mergeCells>
  <pageMargins left="0.7" right="0.7" top="0.75" bottom="0.75" header="0.3" footer="0.3"/>
  <pageSetup paperSize="11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5:Q88"/>
  <sheetViews>
    <sheetView topLeftCell="A42" workbookViewId="0">
      <selection activeCell="A62" sqref="A62"/>
    </sheetView>
  </sheetViews>
  <sheetFormatPr baseColWidth="10" defaultRowHeight="15"/>
  <cols>
    <col min="1" max="1" width="18.85546875" customWidth="1"/>
    <col min="2" max="2" width="51.5703125" customWidth="1"/>
    <col min="3" max="3" width="15.140625" style="572" customWidth="1"/>
    <col min="4" max="4" width="10.140625" style="572" customWidth="1"/>
    <col min="5" max="5" width="15.42578125" style="1382" customWidth="1"/>
    <col min="6" max="6" width="11.42578125" style="1382" customWidth="1"/>
    <col min="7" max="9" width="11.42578125" customWidth="1"/>
    <col min="10" max="10" width="18.28515625" customWidth="1"/>
    <col min="11" max="11" width="11.42578125" style="1382"/>
    <col min="13" max="13" width="11.42578125" style="101" customWidth="1"/>
    <col min="14" max="16" width="11.42578125" customWidth="1"/>
  </cols>
  <sheetData>
    <row r="5" spans="1:17">
      <c r="B5" s="571"/>
    </row>
    <row r="6" spans="1:17" ht="45" hidden="1">
      <c r="A6" s="19" t="s">
        <v>119</v>
      </c>
      <c r="B6" s="1386" t="s">
        <v>3835</v>
      </c>
      <c r="C6" s="19" t="s">
        <v>1562</v>
      </c>
      <c r="D6" s="19" t="s">
        <v>2564</v>
      </c>
      <c r="E6" s="19" t="s">
        <v>19</v>
      </c>
      <c r="F6" s="19" t="s">
        <v>110</v>
      </c>
      <c r="G6" s="19" t="s">
        <v>2567</v>
      </c>
      <c r="H6" s="19" t="s">
        <v>111</v>
      </c>
      <c r="I6" s="19" t="s">
        <v>2568</v>
      </c>
      <c r="J6" s="19" t="s">
        <v>4706</v>
      </c>
      <c r="K6" s="1413"/>
      <c r="L6" s="19" t="s">
        <v>2569</v>
      </c>
      <c r="M6" s="19" t="s">
        <v>2570</v>
      </c>
      <c r="N6" s="1100"/>
      <c r="O6" s="1100"/>
      <c r="P6" s="1100"/>
      <c r="Q6" s="1100"/>
    </row>
    <row r="7" spans="1:17" hidden="1">
      <c r="A7" s="1414">
        <v>7476</v>
      </c>
      <c r="B7" s="1414" t="s">
        <v>140</v>
      </c>
      <c r="C7" s="19">
        <v>12</v>
      </c>
      <c r="D7" s="19">
        <v>1.27</v>
      </c>
      <c r="E7" s="1386">
        <v>10</v>
      </c>
      <c r="F7" s="1386"/>
      <c r="G7" s="1415">
        <f>F7/C7</f>
        <v>0</v>
      </c>
      <c r="H7" s="1386"/>
      <c r="I7" s="1415">
        <f>H7/C7</f>
        <v>0</v>
      </c>
      <c r="J7" s="1386">
        <f>C7*E7</f>
        <v>120</v>
      </c>
      <c r="K7" s="1416" t="s">
        <v>554</v>
      </c>
      <c r="L7" s="1386">
        <f>D7*C7</f>
        <v>15.24</v>
      </c>
      <c r="M7" s="1386">
        <f>E7*L7</f>
        <v>152.4</v>
      </c>
      <c r="N7" s="1100"/>
      <c r="O7" s="1100"/>
      <c r="P7" s="1100"/>
      <c r="Q7" s="1100"/>
    </row>
    <row r="8" spans="1:17" hidden="1">
      <c r="A8" s="1414">
        <v>7478</v>
      </c>
      <c r="B8" s="1414" t="s">
        <v>141</v>
      </c>
      <c r="C8" s="19">
        <v>12</v>
      </c>
      <c r="D8" s="19">
        <v>1.31</v>
      </c>
      <c r="E8" s="1386">
        <v>10</v>
      </c>
      <c r="F8" s="1386"/>
      <c r="G8" s="1415">
        <f t="shared" ref="G8:G23" si="0">F8/C8</f>
        <v>0</v>
      </c>
      <c r="H8" s="1386"/>
      <c r="I8" s="1415">
        <f t="shared" ref="I8:I25" si="1">H8/C8</f>
        <v>0</v>
      </c>
      <c r="J8" s="1386">
        <f t="shared" ref="J8:J23" si="2">C8*E8</f>
        <v>120</v>
      </c>
      <c r="K8" s="1416" t="s">
        <v>554</v>
      </c>
      <c r="L8" s="1386">
        <f t="shared" ref="L8:L23" si="3">D8*C8</f>
        <v>15.72</v>
      </c>
      <c r="M8" s="1386">
        <f t="shared" ref="M8:M23" si="4">E8*L8</f>
        <v>157.20000000000002</v>
      </c>
      <c r="N8" s="1100"/>
      <c r="O8" s="1100"/>
      <c r="P8" s="1100"/>
      <c r="Q8" s="1100"/>
    </row>
    <row r="9" spans="1:17" hidden="1">
      <c r="A9" s="1414">
        <v>7480</v>
      </c>
      <c r="B9" s="1414" t="s">
        <v>142</v>
      </c>
      <c r="C9" s="19">
        <v>12</v>
      </c>
      <c r="D9" s="19">
        <v>0.7</v>
      </c>
      <c r="E9" s="1386">
        <v>10</v>
      </c>
      <c r="F9" s="1386">
        <v>106</v>
      </c>
      <c r="G9" s="1415">
        <f t="shared" si="0"/>
        <v>8.8333333333333339</v>
      </c>
      <c r="H9" s="1386"/>
      <c r="I9" s="1415">
        <f t="shared" si="1"/>
        <v>0</v>
      </c>
      <c r="J9" s="1386">
        <f t="shared" si="2"/>
        <v>120</v>
      </c>
      <c r="K9" s="1416" t="s">
        <v>554</v>
      </c>
      <c r="L9" s="1386">
        <f t="shared" si="3"/>
        <v>8.3999999999999986</v>
      </c>
      <c r="M9" s="1386">
        <f t="shared" si="4"/>
        <v>83.999999999999986</v>
      </c>
      <c r="N9" s="1100"/>
      <c r="O9" s="1100"/>
      <c r="P9" s="1100"/>
      <c r="Q9" s="1100"/>
    </row>
    <row r="10" spans="1:17" hidden="1">
      <c r="A10" s="1414">
        <v>7481</v>
      </c>
      <c r="B10" s="1414" t="s">
        <v>143</v>
      </c>
      <c r="C10" s="19">
        <v>12</v>
      </c>
      <c r="D10" s="19">
        <v>0.7</v>
      </c>
      <c r="E10" s="1386">
        <v>10</v>
      </c>
      <c r="F10" s="1386"/>
      <c r="G10" s="1415">
        <f t="shared" si="0"/>
        <v>0</v>
      </c>
      <c r="H10" s="1386"/>
      <c r="I10" s="1415">
        <f t="shared" si="1"/>
        <v>0</v>
      </c>
      <c r="J10" s="1386">
        <f t="shared" si="2"/>
        <v>120</v>
      </c>
      <c r="K10" s="1416" t="s">
        <v>554</v>
      </c>
      <c r="L10" s="1386">
        <f t="shared" si="3"/>
        <v>8.3999999999999986</v>
      </c>
      <c r="M10" s="1386">
        <f t="shared" si="4"/>
        <v>83.999999999999986</v>
      </c>
      <c r="N10" s="1100"/>
      <c r="O10" s="1100"/>
      <c r="P10" s="1100"/>
      <c r="Q10" s="1100"/>
    </row>
    <row r="11" spans="1:17" hidden="1">
      <c r="A11" s="1414">
        <v>7801</v>
      </c>
      <c r="B11" s="1414" t="s">
        <v>144</v>
      </c>
      <c r="C11" s="19">
        <v>12</v>
      </c>
      <c r="D11" s="19">
        <v>1.44</v>
      </c>
      <c r="E11" s="1386">
        <v>10</v>
      </c>
      <c r="F11" s="1386"/>
      <c r="G11" s="1415">
        <f t="shared" si="0"/>
        <v>0</v>
      </c>
      <c r="H11" s="1386"/>
      <c r="I11" s="1415">
        <f t="shared" si="1"/>
        <v>0</v>
      </c>
      <c r="J11" s="1386">
        <f t="shared" si="2"/>
        <v>120</v>
      </c>
      <c r="K11" s="1416" t="s">
        <v>554</v>
      </c>
      <c r="L11" s="1386">
        <f t="shared" si="3"/>
        <v>17.28</v>
      </c>
      <c r="M11" s="1386">
        <f t="shared" si="4"/>
        <v>172.8</v>
      </c>
      <c r="N11" s="1100"/>
      <c r="O11" s="1100"/>
      <c r="P11" s="1100"/>
      <c r="Q11" s="1100"/>
    </row>
    <row r="12" spans="1:17" hidden="1">
      <c r="A12" s="1414">
        <v>8703</v>
      </c>
      <c r="B12" s="1414" t="s">
        <v>145</v>
      </c>
      <c r="C12" s="19">
        <v>12</v>
      </c>
      <c r="D12" s="19">
        <v>0.93</v>
      </c>
      <c r="E12" s="1386">
        <v>10</v>
      </c>
      <c r="F12" s="1386"/>
      <c r="G12" s="1415">
        <f t="shared" si="0"/>
        <v>0</v>
      </c>
      <c r="H12" s="1386"/>
      <c r="I12" s="1415">
        <f t="shared" si="1"/>
        <v>0</v>
      </c>
      <c r="J12" s="1386">
        <f t="shared" si="2"/>
        <v>120</v>
      </c>
      <c r="K12" s="1416" t="s">
        <v>554</v>
      </c>
      <c r="L12" s="1386">
        <f t="shared" si="3"/>
        <v>11.16</v>
      </c>
      <c r="M12" s="1386">
        <f t="shared" si="4"/>
        <v>111.6</v>
      </c>
      <c r="N12" s="1100"/>
      <c r="O12" s="1100"/>
      <c r="P12" s="1100"/>
      <c r="Q12" s="1100"/>
    </row>
    <row r="13" spans="1:17" hidden="1">
      <c r="A13" s="1414">
        <v>9260</v>
      </c>
      <c r="B13" s="1414" t="s">
        <v>146</v>
      </c>
      <c r="C13" s="19">
        <v>12</v>
      </c>
      <c r="D13" s="19">
        <v>0.67</v>
      </c>
      <c r="E13" s="1386">
        <v>70</v>
      </c>
      <c r="F13" s="1386"/>
      <c r="G13" s="1415">
        <f t="shared" si="0"/>
        <v>0</v>
      </c>
      <c r="H13" s="1386"/>
      <c r="I13" s="1415">
        <f t="shared" si="1"/>
        <v>0</v>
      </c>
      <c r="J13" s="1386">
        <f t="shared" si="2"/>
        <v>840</v>
      </c>
      <c r="K13" s="1416" t="s">
        <v>554</v>
      </c>
      <c r="L13" s="1386">
        <f t="shared" si="3"/>
        <v>8.0400000000000009</v>
      </c>
      <c r="M13" s="1386">
        <f t="shared" si="4"/>
        <v>562.80000000000007</v>
      </c>
      <c r="N13" s="1100"/>
      <c r="O13" s="1100" t="s">
        <v>4741</v>
      </c>
      <c r="P13" s="1100"/>
      <c r="Q13" s="1100"/>
    </row>
    <row r="14" spans="1:17" hidden="1">
      <c r="A14" s="1414">
        <v>9261</v>
      </c>
      <c r="B14" s="1414" t="s">
        <v>147</v>
      </c>
      <c r="C14" s="19">
        <v>12</v>
      </c>
      <c r="D14" s="19">
        <v>1.34</v>
      </c>
      <c r="E14" s="1386">
        <v>10</v>
      </c>
      <c r="F14" s="1386"/>
      <c r="G14" s="1415">
        <f t="shared" si="0"/>
        <v>0</v>
      </c>
      <c r="H14" s="1386"/>
      <c r="I14" s="1415">
        <f t="shared" si="1"/>
        <v>0</v>
      </c>
      <c r="J14" s="1386">
        <f t="shared" si="2"/>
        <v>120</v>
      </c>
      <c r="K14" s="1416" t="s">
        <v>554</v>
      </c>
      <c r="L14" s="1386">
        <f t="shared" si="3"/>
        <v>16.080000000000002</v>
      </c>
      <c r="M14" s="1386">
        <f t="shared" si="4"/>
        <v>160.80000000000001</v>
      </c>
      <c r="N14" s="1100"/>
      <c r="O14" s="1100"/>
      <c r="P14" s="1100"/>
      <c r="Q14" s="1100"/>
    </row>
    <row r="15" spans="1:17" hidden="1">
      <c r="A15" s="1414">
        <v>9858</v>
      </c>
      <c r="B15" s="1414" t="s">
        <v>148</v>
      </c>
      <c r="C15" s="19">
        <v>24</v>
      </c>
      <c r="D15" s="19">
        <v>0.38</v>
      </c>
      <c r="E15" s="1386">
        <v>20</v>
      </c>
      <c r="F15" s="1386"/>
      <c r="G15" s="1415">
        <f t="shared" si="0"/>
        <v>0</v>
      </c>
      <c r="H15" s="1386"/>
      <c r="I15" s="1415">
        <f t="shared" si="1"/>
        <v>0</v>
      </c>
      <c r="J15" s="1386">
        <f t="shared" si="2"/>
        <v>480</v>
      </c>
      <c r="K15" s="1416" t="s">
        <v>554</v>
      </c>
      <c r="L15" s="1386">
        <f t="shared" si="3"/>
        <v>9.120000000000001</v>
      </c>
      <c r="M15" s="1386">
        <f t="shared" si="4"/>
        <v>182.40000000000003</v>
      </c>
      <c r="N15" s="1100"/>
      <c r="O15" s="1100"/>
      <c r="P15" s="1100"/>
      <c r="Q15" s="1100"/>
    </row>
    <row r="16" spans="1:17" hidden="1">
      <c r="A16" s="1414">
        <v>9861</v>
      </c>
      <c r="B16" s="1414" t="s">
        <v>149</v>
      </c>
      <c r="C16" s="19">
        <v>12</v>
      </c>
      <c r="D16" s="19">
        <v>0</v>
      </c>
      <c r="E16" s="1386">
        <v>0</v>
      </c>
      <c r="F16" s="1386"/>
      <c r="G16" s="1415">
        <f t="shared" si="0"/>
        <v>0</v>
      </c>
      <c r="H16" s="1386"/>
      <c r="I16" s="1415">
        <f t="shared" si="1"/>
        <v>0</v>
      </c>
      <c r="J16" s="1386">
        <f t="shared" si="2"/>
        <v>0</v>
      </c>
      <c r="K16" s="1416" t="s">
        <v>554</v>
      </c>
      <c r="L16" s="1386">
        <f t="shared" si="3"/>
        <v>0</v>
      </c>
      <c r="M16" s="1386">
        <f t="shared" si="4"/>
        <v>0</v>
      </c>
      <c r="N16" s="1100"/>
      <c r="O16" s="1100"/>
      <c r="P16" s="1100"/>
      <c r="Q16" s="1100"/>
    </row>
    <row r="17" spans="1:17" hidden="1">
      <c r="A17" s="1414">
        <v>9862</v>
      </c>
      <c r="B17" s="1414" t="s">
        <v>150</v>
      </c>
      <c r="C17" s="19">
        <v>12</v>
      </c>
      <c r="D17" s="19">
        <v>0</v>
      </c>
      <c r="E17" s="1386">
        <v>0</v>
      </c>
      <c r="F17" s="1386"/>
      <c r="G17" s="1415">
        <f t="shared" si="0"/>
        <v>0</v>
      </c>
      <c r="H17" s="1386"/>
      <c r="I17" s="1415">
        <f t="shared" si="1"/>
        <v>0</v>
      </c>
      <c r="J17" s="1386">
        <f t="shared" si="2"/>
        <v>0</v>
      </c>
      <c r="K17" s="1416" t="s">
        <v>554</v>
      </c>
      <c r="L17" s="1386">
        <f t="shared" si="3"/>
        <v>0</v>
      </c>
      <c r="M17" s="1386">
        <f t="shared" si="4"/>
        <v>0</v>
      </c>
      <c r="N17" s="1100"/>
      <c r="O17" s="1100"/>
      <c r="P17" s="1100"/>
      <c r="Q17" s="1100"/>
    </row>
    <row r="18" spans="1:17" hidden="1">
      <c r="A18" s="1414">
        <v>9863</v>
      </c>
      <c r="B18" s="1414" t="s">
        <v>151</v>
      </c>
      <c r="C18" s="19">
        <v>12</v>
      </c>
      <c r="D18" s="19">
        <v>1.84</v>
      </c>
      <c r="E18" s="1386">
        <v>20</v>
      </c>
      <c r="F18" s="1386"/>
      <c r="G18" s="1415">
        <f t="shared" si="0"/>
        <v>0</v>
      </c>
      <c r="H18" s="1386"/>
      <c r="I18" s="1415">
        <f t="shared" si="1"/>
        <v>0</v>
      </c>
      <c r="J18" s="1386">
        <f t="shared" si="2"/>
        <v>240</v>
      </c>
      <c r="K18" s="1416" t="s">
        <v>554</v>
      </c>
      <c r="L18" s="1386">
        <f t="shared" si="3"/>
        <v>22.080000000000002</v>
      </c>
      <c r="M18" s="1386">
        <f t="shared" si="4"/>
        <v>441.6</v>
      </c>
      <c r="N18" s="1100"/>
      <c r="O18" s="1100"/>
      <c r="P18" s="1100"/>
      <c r="Q18" s="1100"/>
    </row>
    <row r="19" spans="1:17" hidden="1">
      <c r="A19" s="1417">
        <v>9859</v>
      </c>
      <c r="B19" s="1417" t="s">
        <v>152</v>
      </c>
      <c r="C19" s="1418">
        <v>24</v>
      </c>
      <c r="D19" s="1418">
        <v>1.04</v>
      </c>
      <c r="E19" s="1419">
        <v>10</v>
      </c>
      <c r="F19" s="1419"/>
      <c r="G19" s="1415">
        <f t="shared" si="0"/>
        <v>0</v>
      </c>
      <c r="H19" s="1419"/>
      <c r="I19" s="1415">
        <f t="shared" si="1"/>
        <v>0</v>
      </c>
      <c r="J19" s="1419">
        <f t="shared" si="2"/>
        <v>240</v>
      </c>
      <c r="K19" s="1416" t="s">
        <v>554</v>
      </c>
      <c r="L19" s="1419">
        <f t="shared" si="3"/>
        <v>24.96</v>
      </c>
      <c r="M19" s="1419">
        <f t="shared" si="4"/>
        <v>249.60000000000002</v>
      </c>
      <c r="N19" s="1100"/>
      <c r="O19" s="1100"/>
      <c r="P19" s="1100"/>
      <c r="Q19" s="1100"/>
    </row>
    <row r="20" spans="1:17" hidden="1">
      <c r="A20" s="1414">
        <v>20828</v>
      </c>
      <c r="B20" s="1414" t="s">
        <v>2565</v>
      </c>
      <c r="C20" s="19">
        <v>30</v>
      </c>
      <c r="D20" s="19">
        <v>0.65</v>
      </c>
      <c r="E20" s="1386">
        <v>0</v>
      </c>
      <c r="F20" s="1386"/>
      <c r="G20" s="1415">
        <f t="shared" si="0"/>
        <v>0</v>
      </c>
      <c r="H20" s="1386"/>
      <c r="I20" s="1415">
        <f t="shared" si="1"/>
        <v>0</v>
      </c>
      <c r="J20" s="1386">
        <f t="shared" si="2"/>
        <v>0</v>
      </c>
      <c r="K20" s="1416" t="s">
        <v>554</v>
      </c>
      <c r="L20" s="1386">
        <f t="shared" si="3"/>
        <v>19.5</v>
      </c>
      <c r="M20" s="1386">
        <f t="shared" si="4"/>
        <v>0</v>
      </c>
      <c r="N20" s="1420"/>
      <c r="O20" s="1100"/>
      <c r="P20" s="1100"/>
      <c r="Q20" s="1100"/>
    </row>
    <row r="21" spans="1:17" hidden="1">
      <c r="A21" s="1414">
        <v>20829</v>
      </c>
      <c r="B21" s="1414" t="s">
        <v>2566</v>
      </c>
      <c r="C21" s="19">
        <v>20</v>
      </c>
      <c r="D21" s="19">
        <v>1.28</v>
      </c>
      <c r="E21" s="1386">
        <v>0</v>
      </c>
      <c r="F21" s="1386"/>
      <c r="G21" s="1415">
        <f t="shared" si="0"/>
        <v>0</v>
      </c>
      <c r="H21" s="1386"/>
      <c r="I21" s="1415">
        <f t="shared" si="1"/>
        <v>0</v>
      </c>
      <c r="J21" s="1386">
        <f t="shared" si="2"/>
        <v>0</v>
      </c>
      <c r="K21" s="1416" t="s">
        <v>554</v>
      </c>
      <c r="L21" s="1386">
        <f t="shared" si="3"/>
        <v>25.6</v>
      </c>
      <c r="M21" s="1386">
        <f t="shared" si="4"/>
        <v>0</v>
      </c>
      <c r="N21" s="1420"/>
      <c r="O21" s="1100"/>
      <c r="P21" s="1100"/>
      <c r="Q21" s="1100"/>
    </row>
    <row r="22" spans="1:17" s="404" customFormat="1" hidden="1">
      <c r="A22" s="1414">
        <v>20926</v>
      </c>
      <c r="B22" s="19" t="s">
        <v>3149</v>
      </c>
      <c r="C22" s="19">
        <v>30</v>
      </c>
      <c r="D22" s="19">
        <v>0.65</v>
      </c>
      <c r="E22" s="1386">
        <v>50</v>
      </c>
      <c r="F22" s="1386"/>
      <c r="G22" s="1415">
        <f t="shared" si="0"/>
        <v>0</v>
      </c>
      <c r="H22" s="1386"/>
      <c r="I22" s="1415">
        <f t="shared" si="1"/>
        <v>0</v>
      </c>
      <c r="J22" s="1386">
        <f t="shared" si="2"/>
        <v>1500</v>
      </c>
      <c r="K22" s="1416" t="s">
        <v>554</v>
      </c>
      <c r="L22" s="1386">
        <f t="shared" si="3"/>
        <v>19.5</v>
      </c>
      <c r="M22" s="1386">
        <f t="shared" si="4"/>
        <v>975</v>
      </c>
      <c r="N22" s="1420"/>
      <c r="O22" s="1100"/>
      <c r="P22" s="1100"/>
      <c r="Q22" s="1100"/>
    </row>
    <row r="23" spans="1:17" s="404" customFormat="1" ht="17.25" hidden="1" customHeight="1">
      <c r="A23" s="1414">
        <v>20928</v>
      </c>
      <c r="B23" s="19" t="s">
        <v>3150</v>
      </c>
      <c r="C23" s="19">
        <v>20</v>
      </c>
      <c r="D23" s="19">
        <v>1.28</v>
      </c>
      <c r="E23" s="1386">
        <v>50</v>
      </c>
      <c r="F23" s="1386"/>
      <c r="G23" s="1415">
        <f t="shared" si="0"/>
        <v>0</v>
      </c>
      <c r="H23" s="1386"/>
      <c r="I23" s="1415">
        <f t="shared" si="1"/>
        <v>0</v>
      </c>
      <c r="J23" s="1386">
        <f t="shared" si="2"/>
        <v>1000</v>
      </c>
      <c r="K23" s="1416" t="s">
        <v>554</v>
      </c>
      <c r="L23" s="1386">
        <f t="shared" si="3"/>
        <v>25.6</v>
      </c>
      <c r="M23" s="1386">
        <f t="shared" si="4"/>
        <v>1280</v>
      </c>
      <c r="N23" s="1420"/>
      <c r="O23" s="1100"/>
      <c r="P23" s="1100"/>
      <c r="Q23" s="1100"/>
    </row>
    <row r="24" spans="1:17" ht="30.75" hidden="1" thickBot="1">
      <c r="A24" s="1421" t="s">
        <v>65</v>
      </c>
      <c r="B24" s="1420" t="s">
        <v>4707</v>
      </c>
      <c r="C24" s="1422">
        <v>12</v>
      </c>
      <c r="D24" s="1422">
        <v>1.98</v>
      </c>
      <c r="E24" s="1416"/>
      <c r="F24" s="1416"/>
      <c r="G24" s="1423" t="s">
        <v>65</v>
      </c>
      <c r="H24" s="1420"/>
      <c r="I24" s="1420">
        <f t="shared" si="1"/>
        <v>0</v>
      </c>
      <c r="J24" s="1420"/>
      <c r="K24" s="1416"/>
      <c r="L24" s="1424" t="s">
        <v>2570</v>
      </c>
      <c r="M24" s="1425">
        <f>+M7+M8+M9+M10+M11+M12+M13+M14+M15+M16+M17+M18+M19+M20+M21+M22+M23</f>
        <v>4614.2000000000007</v>
      </c>
      <c r="N24" s="1420" t="s">
        <v>1389</v>
      </c>
      <c r="O24" s="1100">
        <v>4.5999999999999996</v>
      </c>
      <c r="P24" s="1100">
        <f>M24*O24</f>
        <v>21225.320000000003</v>
      </c>
      <c r="Q24" s="1100"/>
    </row>
    <row r="25" spans="1:17" hidden="1">
      <c r="B25" s="1399" t="s">
        <v>4708</v>
      </c>
      <c r="C25" s="572">
        <v>6</v>
      </c>
      <c r="D25" s="572">
        <v>3.8</v>
      </c>
      <c r="I25" s="291">
        <f t="shared" si="1"/>
        <v>0</v>
      </c>
    </row>
    <row r="26" spans="1:17" hidden="1"/>
    <row r="30" spans="1:17" ht="99.75" customHeight="1">
      <c r="A30" s="93" t="s">
        <v>119</v>
      </c>
      <c r="B30" s="92" t="s">
        <v>4702</v>
      </c>
      <c r="C30" s="93" t="s">
        <v>718</v>
      </c>
      <c r="D30" s="93" t="s">
        <v>1562</v>
      </c>
      <c r="E30" s="92" t="s">
        <v>4709</v>
      </c>
      <c r="F30" s="93" t="s">
        <v>2564</v>
      </c>
      <c r="G30" s="93" t="s">
        <v>110</v>
      </c>
      <c r="H30" s="93" t="s">
        <v>2567</v>
      </c>
      <c r="I30" s="93" t="s">
        <v>111</v>
      </c>
      <c r="J30" s="93" t="s">
        <v>2568</v>
      </c>
      <c r="K30" s="92" t="s">
        <v>68</v>
      </c>
      <c r="L30" s="92"/>
      <c r="M30" s="19" t="s">
        <v>2570</v>
      </c>
      <c r="N30" s="101"/>
      <c r="O30" s="101"/>
    </row>
    <row r="31" spans="1:17" ht="22.5" customHeight="1">
      <c r="A31" s="1402">
        <v>7592632959311</v>
      </c>
      <c r="B31" s="1404" t="s">
        <v>4720</v>
      </c>
      <c r="C31" s="1406" t="s">
        <v>4710</v>
      </c>
      <c r="D31" s="1383">
        <v>12</v>
      </c>
      <c r="E31" s="1407">
        <f>+D31*F31</f>
        <v>22.919999999999998</v>
      </c>
      <c r="F31" s="1407">
        <v>1.91</v>
      </c>
      <c r="G31" s="1381"/>
      <c r="H31" s="1381">
        <f>+G31/D31</f>
        <v>0</v>
      </c>
      <c r="I31" s="1381"/>
      <c r="J31" s="1381">
        <f>+I31/D31</f>
        <v>0</v>
      </c>
      <c r="K31" s="1381">
        <v>10</v>
      </c>
      <c r="L31" s="1381" t="s">
        <v>554</v>
      </c>
      <c r="M31" s="1381">
        <f>+K31*E31</f>
        <v>229.2</v>
      </c>
      <c r="N31" s="1381"/>
      <c r="O31" s="101"/>
    </row>
    <row r="32" spans="1:17" ht="22.5" customHeight="1">
      <c r="A32" s="1402">
        <v>7592632962595</v>
      </c>
      <c r="B32" s="1404" t="s">
        <v>4720</v>
      </c>
      <c r="C32" s="1406" t="s">
        <v>4711</v>
      </c>
      <c r="D32" s="1383">
        <v>24</v>
      </c>
      <c r="E32" s="1407">
        <f t="shared" ref="E32:E60" si="5">+D32*F32</f>
        <v>25.44</v>
      </c>
      <c r="F32" s="1407">
        <v>1.06</v>
      </c>
      <c r="G32" s="1381"/>
      <c r="H32" s="1381">
        <f t="shared" ref="H32:H60" si="6">+G32/D32</f>
        <v>0</v>
      </c>
      <c r="I32" s="1381"/>
      <c r="J32" s="1381">
        <f t="shared" ref="J32:J60" si="7">+I32/D32</f>
        <v>0</v>
      </c>
      <c r="K32" s="1381">
        <v>0</v>
      </c>
      <c r="L32" s="1381" t="s">
        <v>554</v>
      </c>
      <c r="M32" s="1381">
        <f t="shared" ref="M32:M60" si="8">+K32*E32</f>
        <v>0</v>
      </c>
      <c r="N32" s="1381"/>
      <c r="O32" s="101"/>
    </row>
    <row r="33" spans="1:15" ht="22.5" customHeight="1">
      <c r="A33" s="1402">
        <v>7592632871941</v>
      </c>
      <c r="B33" s="1404" t="s">
        <v>4721</v>
      </c>
      <c r="C33" s="1408" t="s">
        <v>4710</v>
      </c>
      <c r="D33" s="1383">
        <v>12</v>
      </c>
      <c r="E33" s="1407">
        <f t="shared" si="5"/>
        <v>18.600000000000001</v>
      </c>
      <c r="F33" s="1407">
        <v>1.55</v>
      </c>
      <c r="G33" s="1381"/>
      <c r="H33" s="1381">
        <f t="shared" si="6"/>
        <v>0</v>
      </c>
      <c r="I33" s="1381"/>
      <c r="J33" s="1381">
        <f t="shared" si="7"/>
        <v>0</v>
      </c>
      <c r="K33" s="1381">
        <v>10</v>
      </c>
      <c r="L33" s="1381" t="s">
        <v>554</v>
      </c>
      <c r="M33" s="1381">
        <f t="shared" si="8"/>
        <v>186</v>
      </c>
      <c r="N33" s="1381"/>
      <c r="O33" s="101"/>
    </row>
    <row r="34" spans="1:15" ht="22.5" customHeight="1">
      <c r="A34" s="1402">
        <v>7592632962571</v>
      </c>
      <c r="B34" s="1404" t="s">
        <v>4722</v>
      </c>
      <c r="C34" s="1408" t="s">
        <v>4711</v>
      </c>
      <c r="D34" s="1383">
        <v>24</v>
      </c>
      <c r="E34" s="1407">
        <f t="shared" si="5"/>
        <v>26.880000000000003</v>
      </c>
      <c r="F34" s="1407">
        <v>1.1200000000000001</v>
      </c>
      <c r="G34" s="1381"/>
      <c r="H34" s="1381">
        <f t="shared" si="6"/>
        <v>0</v>
      </c>
      <c r="I34" s="1381"/>
      <c r="J34" s="1381">
        <f t="shared" si="7"/>
        <v>0</v>
      </c>
      <c r="K34" s="1381">
        <v>0</v>
      </c>
      <c r="L34" s="1381" t="s">
        <v>554</v>
      </c>
      <c r="M34" s="1381">
        <f t="shared" si="8"/>
        <v>0</v>
      </c>
      <c r="N34" s="1381"/>
      <c r="O34" s="101"/>
    </row>
    <row r="35" spans="1:15" ht="22.5" customHeight="1">
      <c r="A35" s="1402">
        <v>7592632870739</v>
      </c>
      <c r="B35" s="1404" t="s">
        <v>4722</v>
      </c>
      <c r="C35" s="1408" t="s">
        <v>4710</v>
      </c>
      <c r="D35" s="1383">
        <v>12</v>
      </c>
      <c r="E35" s="1407">
        <f t="shared" si="5"/>
        <v>24.48</v>
      </c>
      <c r="F35" s="1407">
        <v>2.04</v>
      </c>
      <c r="G35" s="1381"/>
      <c r="H35" s="1381">
        <f t="shared" si="6"/>
        <v>0</v>
      </c>
      <c r="I35" s="1381"/>
      <c r="J35" s="1381">
        <f t="shared" si="7"/>
        <v>0</v>
      </c>
      <c r="K35" s="1381">
        <v>0</v>
      </c>
      <c r="L35" s="1381" t="s">
        <v>554</v>
      </c>
      <c r="M35" s="1381">
        <f t="shared" si="8"/>
        <v>0</v>
      </c>
      <c r="N35" s="1381"/>
      <c r="O35" s="101"/>
    </row>
    <row r="36" spans="1:15" ht="22.5" customHeight="1">
      <c r="A36" s="1402">
        <v>7592632961352</v>
      </c>
      <c r="B36" s="1404" t="s">
        <v>4723</v>
      </c>
      <c r="C36" s="1408" t="s">
        <v>4712</v>
      </c>
      <c r="D36" s="1383">
        <v>6</v>
      </c>
      <c r="E36" s="1407">
        <f t="shared" si="5"/>
        <v>19.740000000000002</v>
      </c>
      <c r="F36" s="1407">
        <v>3.29</v>
      </c>
      <c r="G36" s="1381"/>
      <c r="H36" s="1381">
        <f t="shared" si="6"/>
        <v>0</v>
      </c>
      <c r="I36" s="1381"/>
      <c r="J36" s="1381">
        <f t="shared" si="7"/>
        <v>0</v>
      </c>
      <c r="K36" s="1381">
        <v>5</v>
      </c>
      <c r="L36" s="1381" t="s">
        <v>554</v>
      </c>
      <c r="M36" s="1381">
        <f t="shared" si="8"/>
        <v>98.700000000000017</v>
      </c>
      <c r="N36" s="1381"/>
      <c r="O36" s="101"/>
    </row>
    <row r="37" spans="1:15" ht="22.5" customHeight="1">
      <c r="A37" s="1402">
        <v>7592632961376</v>
      </c>
      <c r="B37" s="1404" t="s">
        <v>4724</v>
      </c>
      <c r="C37" s="1408" t="s">
        <v>4712</v>
      </c>
      <c r="D37" s="1383">
        <v>6</v>
      </c>
      <c r="E37" s="1407">
        <f t="shared" si="5"/>
        <v>17.52</v>
      </c>
      <c r="F37" s="1407">
        <v>2.92</v>
      </c>
      <c r="G37" s="1381"/>
      <c r="H37" s="1381">
        <f t="shared" si="6"/>
        <v>0</v>
      </c>
      <c r="I37" s="1381"/>
      <c r="J37" s="1381">
        <f t="shared" si="7"/>
        <v>0</v>
      </c>
      <c r="K37" s="1381">
        <v>5</v>
      </c>
      <c r="L37" s="1381" t="s">
        <v>554</v>
      </c>
      <c r="M37" s="1381">
        <f t="shared" si="8"/>
        <v>87.6</v>
      </c>
      <c r="N37" s="1381"/>
      <c r="O37" s="101"/>
    </row>
    <row r="38" spans="1:15" ht="22.5" customHeight="1">
      <c r="A38" s="1402">
        <v>7592632871972</v>
      </c>
      <c r="B38" s="1404" t="s">
        <v>4725</v>
      </c>
      <c r="C38" s="1408" t="s">
        <v>4712</v>
      </c>
      <c r="D38" s="1383">
        <v>6</v>
      </c>
      <c r="E38" s="1407">
        <f t="shared" si="5"/>
        <v>14.580000000000002</v>
      </c>
      <c r="F38" s="1407">
        <v>2.4300000000000002</v>
      </c>
      <c r="G38" s="1381"/>
      <c r="H38" s="1381">
        <f t="shared" si="6"/>
        <v>0</v>
      </c>
      <c r="I38" s="1381"/>
      <c r="J38" s="1381">
        <f t="shared" si="7"/>
        <v>0</v>
      </c>
      <c r="K38" s="1381">
        <v>10</v>
      </c>
      <c r="L38" s="1381" t="s">
        <v>554</v>
      </c>
      <c r="M38" s="1381">
        <f t="shared" si="8"/>
        <v>145.80000000000001</v>
      </c>
      <c r="N38" s="1381"/>
      <c r="O38" s="101"/>
    </row>
    <row r="39" spans="1:15" ht="22.5" customHeight="1">
      <c r="A39" s="1402">
        <v>7592632417422</v>
      </c>
      <c r="B39" s="1404" t="s">
        <v>4726</v>
      </c>
      <c r="C39" s="1408" t="s">
        <v>4713</v>
      </c>
      <c r="D39" s="1383">
        <v>20</v>
      </c>
      <c r="E39" s="1407">
        <f t="shared" si="5"/>
        <v>23.4</v>
      </c>
      <c r="F39" s="1407">
        <v>1.17</v>
      </c>
      <c r="G39" s="1381"/>
      <c r="H39" s="1381">
        <f t="shared" si="6"/>
        <v>0</v>
      </c>
      <c r="I39" s="1381"/>
      <c r="J39" s="1381">
        <f t="shared" si="7"/>
        <v>0</v>
      </c>
      <c r="K39" s="1381">
        <v>40</v>
      </c>
      <c r="L39" s="1381" t="s">
        <v>554</v>
      </c>
      <c r="M39" s="1381">
        <f t="shared" si="8"/>
        <v>936</v>
      </c>
      <c r="N39" s="1381"/>
      <c r="O39" s="101"/>
    </row>
    <row r="40" spans="1:15" ht="22.5" customHeight="1">
      <c r="A40" s="1402">
        <v>7592632417248</v>
      </c>
      <c r="B40" s="1404" t="s">
        <v>4726</v>
      </c>
      <c r="C40" s="1408" t="s">
        <v>4714</v>
      </c>
      <c r="D40" s="1383">
        <v>30</v>
      </c>
      <c r="E40" s="1407">
        <f t="shared" si="5"/>
        <v>22.2</v>
      </c>
      <c r="F40" s="1407">
        <v>0.74</v>
      </c>
      <c r="G40" s="1381"/>
      <c r="H40" s="1381">
        <f t="shared" si="6"/>
        <v>0</v>
      </c>
      <c r="I40" s="1381"/>
      <c r="J40" s="1381">
        <f t="shared" si="7"/>
        <v>0</v>
      </c>
      <c r="K40" s="1381">
        <v>40</v>
      </c>
      <c r="L40" s="1381" t="s">
        <v>554</v>
      </c>
      <c r="M40" s="1381">
        <f t="shared" si="8"/>
        <v>888</v>
      </c>
      <c r="N40" s="1381"/>
      <c r="O40" s="101"/>
    </row>
    <row r="41" spans="1:15" ht="22.5" customHeight="1">
      <c r="A41" s="1402">
        <v>7592632960119</v>
      </c>
      <c r="B41" s="1404" t="s">
        <v>4727</v>
      </c>
      <c r="C41" s="1408" t="s">
        <v>4715</v>
      </c>
      <c r="D41" s="1383">
        <v>12</v>
      </c>
      <c r="E41" s="1407">
        <f t="shared" si="5"/>
        <v>15.48</v>
      </c>
      <c r="F41" s="1407">
        <v>1.29</v>
      </c>
      <c r="G41" s="1381"/>
      <c r="H41" s="1381">
        <f t="shared" si="6"/>
        <v>0</v>
      </c>
      <c r="I41" s="1381"/>
      <c r="J41" s="1381">
        <f t="shared" si="7"/>
        <v>0</v>
      </c>
      <c r="K41" s="1381">
        <v>10</v>
      </c>
      <c r="L41" s="1381" t="s">
        <v>554</v>
      </c>
      <c r="M41" s="1381">
        <f t="shared" si="8"/>
        <v>154.80000000000001</v>
      </c>
      <c r="N41" s="1381"/>
      <c r="O41" s="101"/>
    </row>
    <row r="42" spans="1:15" s="1401" customFormat="1" ht="22.5" customHeight="1">
      <c r="A42" s="1403">
        <v>7592632000754</v>
      </c>
      <c r="B42" s="1405" t="s">
        <v>4727</v>
      </c>
      <c r="C42" s="1409" t="s">
        <v>4711</v>
      </c>
      <c r="D42" s="1410">
        <v>24</v>
      </c>
      <c r="E42" s="1407">
        <f t="shared" si="5"/>
        <v>17.52</v>
      </c>
      <c r="F42" s="1411">
        <v>0.73</v>
      </c>
      <c r="G42" s="1400"/>
      <c r="H42" s="1381">
        <f t="shared" si="6"/>
        <v>0</v>
      </c>
      <c r="I42" s="1400"/>
      <c r="J42" s="1381">
        <f t="shared" si="7"/>
        <v>0</v>
      </c>
      <c r="K42" s="1400">
        <v>0</v>
      </c>
      <c r="L42" s="1400" t="s">
        <v>554</v>
      </c>
      <c r="M42" s="1400">
        <f t="shared" si="8"/>
        <v>0</v>
      </c>
      <c r="N42" s="1400"/>
      <c r="O42" s="1412"/>
    </row>
    <row r="43" spans="1:15" ht="22.5" customHeight="1">
      <c r="A43" s="1402">
        <v>7592632960102</v>
      </c>
      <c r="B43" s="1404" t="s">
        <v>4728</v>
      </c>
      <c r="C43" s="1408" t="s">
        <v>4716</v>
      </c>
      <c r="D43" s="1383">
        <v>12</v>
      </c>
      <c r="E43" s="1407">
        <f t="shared" si="5"/>
        <v>15.48</v>
      </c>
      <c r="F43" s="1407">
        <v>1.29</v>
      </c>
      <c r="G43" s="1381"/>
      <c r="H43" s="1381">
        <f t="shared" si="6"/>
        <v>0</v>
      </c>
      <c r="I43" s="1381"/>
      <c r="J43" s="1381">
        <f t="shared" si="7"/>
        <v>0</v>
      </c>
      <c r="K43" s="1381">
        <v>0</v>
      </c>
      <c r="L43" s="1381" t="s">
        <v>554</v>
      </c>
      <c r="M43" s="1381">
        <f t="shared" si="8"/>
        <v>0</v>
      </c>
      <c r="N43" s="1381"/>
      <c r="O43" s="101"/>
    </row>
    <row r="44" spans="1:15" s="1401" customFormat="1" ht="22.5" customHeight="1">
      <c r="A44" s="1403">
        <v>7592632000747</v>
      </c>
      <c r="B44" s="1405" t="s">
        <v>4728</v>
      </c>
      <c r="C44" s="1409" t="s">
        <v>4711</v>
      </c>
      <c r="D44" s="1410">
        <v>24</v>
      </c>
      <c r="E44" s="1407">
        <f t="shared" si="5"/>
        <v>17.52</v>
      </c>
      <c r="F44" s="1411">
        <v>0.73</v>
      </c>
      <c r="G44" s="1400"/>
      <c r="H44" s="1381">
        <f t="shared" si="6"/>
        <v>0</v>
      </c>
      <c r="I44" s="1400"/>
      <c r="J44" s="1381">
        <f t="shared" si="7"/>
        <v>0</v>
      </c>
      <c r="K44" s="1400">
        <v>0</v>
      </c>
      <c r="L44" s="1400" t="s">
        <v>554</v>
      </c>
      <c r="M44" s="1400">
        <f t="shared" si="8"/>
        <v>0</v>
      </c>
      <c r="N44" s="1400"/>
      <c r="O44" s="1412"/>
    </row>
    <row r="45" spans="1:15" ht="22.5" customHeight="1">
      <c r="A45" s="1402">
        <v>7592632111450</v>
      </c>
      <c r="B45" s="1404" t="s">
        <v>4729</v>
      </c>
      <c r="C45" s="1408" t="s">
        <v>4717</v>
      </c>
      <c r="D45" s="1383">
        <v>12</v>
      </c>
      <c r="E45" s="1407">
        <f t="shared" si="5"/>
        <v>18.84</v>
      </c>
      <c r="F45" s="1407">
        <v>1.57</v>
      </c>
      <c r="G45" s="1381"/>
      <c r="H45" s="1381">
        <f t="shared" si="6"/>
        <v>0</v>
      </c>
      <c r="I45" s="1381"/>
      <c r="J45" s="1381">
        <f t="shared" si="7"/>
        <v>0</v>
      </c>
      <c r="K45" s="1381">
        <v>10</v>
      </c>
      <c r="L45" s="1381" t="s">
        <v>554</v>
      </c>
      <c r="M45" s="1381">
        <f t="shared" si="8"/>
        <v>188.4</v>
      </c>
      <c r="N45" s="1381"/>
      <c r="O45" s="101"/>
    </row>
    <row r="46" spans="1:15" s="1401" customFormat="1" ht="22.5" customHeight="1">
      <c r="A46" s="1403">
        <v>7592632111306</v>
      </c>
      <c r="B46" s="1405" t="s">
        <v>4729</v>
      </c>
      <c r="C46" s="1409" t="s">
        <v>4711</v>
      </c>
      <c r="D46" s="1410">
        <v>24</v>
      </c>
      <c r="E46" s="1407">
        <f t="shared" si="5"/>
        <v>19.919999999999998</v>
      </c>
      <c r="F46" s="1411">
        <v>0.83</v>
      </c>
      <c r="G46" s="1400"/>
      <c r="H46" s="1381">
        <f t="shared" si="6"/>
        <v>0</v>
      </c>
      <c r="I46" s="1400"/>
      <c r="J46" s="1381">
        <f t="shared" si="7"/>
        <v>0</v>
      </c>
      <c r="K46" s="1400"/>
      <c r="L46" s="1381" t="s">
        <v>554</v>
      </c>
      <c r="M46" s="1400">
        <f t="shared" si="8"/>
        <v>0</v>
      </c>
      <c r="N46" s="1400"/>
      <c r="O46" s="1412"/>
    </row>
    <row r="47" spans="1:15" s="1401" customFormat="1" ht="22.5" customHeight="1">
      <c r="A47" s="1403">
        <v>7592632872023</v>
      </c>
      <c r="B47" s="1405" t="s">
        <v>4730</v>
      </c>
      <c r="C47" s="1409" t="s">
        <v>4718</v>
      </c>
      <c r="D47" s="1410">
        <v>18</v>
      </c>
      <c r="E47" s="1407">
        <f t="shared" si="5"/>
        <v>14.76</v>
      </c>
      <c r="F47" s="1411">
        <v>0.82</v>
      </c>
      <c r="G47" s="1400"/>
      <c r="H47" s="1381">
        <f t="shared" si="6"/>
        <v>0</v>
      </c>
      <c r="I47" s="1400"/>
      <c r="J47" s="1381">
        <f t="shared" si="7"/>
        <v>0</v>
      </c>
      <c r="K47" s="1400"/>
      <c r="L47" s="1381" t="s">
        <v>554</v>
      </c>
      <c r="M47" s="1400">
        <f t="shared" si="8"/>
        <v>0</v>
      </c>
      <c r="N47" s="1400"/>
      <c r="O47" s="1412"/>
    </row>
    <row r="48" spans="1:15" s="1401" customFormat="1" ht="22.5" customHeight="1">
      <c r="A48" s="1403">
        <v>7592632811503</v>
      </c>
      <c r="B48" s="1405" t="s">
        <v>4731</v>
      </c>
      <c r="C48" s="1409" t="s">
        <v>4717</v>
      </c>
      <c r="D48" s="1410">
        <v>12</v>
      </c>
      <c r="E48" s="1407">
        <f t="shared" si="5"/>
        <v>35.880000000000003</v>
      </c>
      <c r="F48" s="1411">
        <v>2.99</v>
      </c>
      <c r="G48" s="1400"/>
      <c r="H48" s="1381">
        <f t="shared" si="6"/>
        <v>0</v>
      </c>
      <c r="I48" s="1400"/>
      <c r="J48" s="1381">
        <f t="shared" si="7"/>
        <v>0</v>
      </c>
      <c r="K48" s="1400"/>
      <c r="L48" s="1381" t="s">
        <v>554</v>
      </c>
      <c r="M48" s="1400">
        <f t="shared" si="8"/>
        <v>0</v>
      </c>
      <c r="N48" s="1400"/>
      <c r="O48" s="1412"/>
    </row>
    <row r="49" spans="1:15" s="1401" customFormat="1" ht="22.5" customHeight="1">
      <c r="A49" s="1403">
        <v>7592632811305</v>
      </c>
      <c r="B49" s="1405" t="s">
        <v>4731</v>
      </c>
      <c r="C49" s="1409" t="s">
        <v>4711</v>
      </c>
      <c r="D49" s="1410">
        <v>24</v>
      </c>
      <c r="E49" s="1407">
        <f t="shared" si="5"/>
        <v>38.160000000000004</v>
      </c>
      <c r="F49" s="1411">
        <v>1.59</v>
      </c>
      <c r="G49" s="1400"/>
      <c r="H49" s="1381">
        <f t="shared" si="6"/>
        <v>0</v>
      </c>
      <c r="I49" s="1400"/>
      <c r="J49" s="1381">
        <f t="shared" si="7"/>
        <v>0</v>
      </c>
      <c r="K49" s="1400"/>
      <c r="L49" s="1381" t="s">
        <v>554</v>
      </c>
      <c r="M49" s="1400">
        <f t="shared" si="8"/>
        <v>0</v>
      </c>
      <c r="N49" s="1400"/>
      <c r="O49" s="1412"/>
    </row>
    <row r="50" spans="1:15" ht="30.75" customHeight="1">
      <c r="A50" s="1402">
        <v>7592632961246</v>
      </c>
      <c r="B50" s="1404" t="s">
        <v>4732</v>
      </c>
      <c r="C50" s="1408" t="s">
        <v>4717</v>
      </c>
      <c r="D50" s="1383">
        <v>12</v>
      </c>
      <c r="E50" s="1407">
        <f t="shared" si="5"/>
        <v>13.200000000000001</v>
      </c>
      <c r="F50" s="1407">
        <v>1.1000000000000001</v>
      </c>
      <c r="G50" s="1381"/>
      <c r="H50" s="1381">
        <f t="shared" si="6"/>
        <v>0</v>
      </c>
      <c r="I50" s="1381"/>
      <c r="J50" s="1381">
        <f t="shared" si="7"/>
        <v>0</v>
      </c>
      <c r="K50" s="1381">
        <v>10</v>
      </c>
      <c r="L50" s="1381" t="s">
        <v>554</v>
      </c>
      <c r="M50" s="1381">
        <f t="shared" si="8"/>
        <v>132</v>
      </c>
      <c r="N50" s="1381"/>
      <c r="O50" s="101"/>
    </row>
    <row r="51" spans="1:15" ht="24.75" customHeight="1">
      <c r="A51" s="1402">
        <v>7592632961253</v>
      </c>
      <c r="B51" s="1404" t="s">
        <v>4733</v>
      </c>
      <c r="C51" s="1408" t="s">
        <v>4717</v>
      </c>
      <c r="D51" s="1383">
        <v>12</v>
      </c>
      <c r="E51" s="1407">
        <f t="shared" si="5"/>
        <v>13.200000000000001</v>
      </c>
      <c r="F51" s="1407">
        <v>1.1000000000000001</v>
      </c>
      <c r="G51" s="1381"/>
      <c r="H51" s="1381">
        <f t="shared" si="6"/>
        <v>0</v>
      </c>
      <c r="I51" s="1381"/>
      <c r="J51" s="1381">
        <f t="shared" si="7"/>
        <v>0</v>
      </c>
      <c r="K51" s="1381">
        <v>10</v>
      </c>
      <c r="L51" s="1381" t="s">
        <v>554</v>
      </c>
      <c r="M51" s="1381">
        <f t="shared" si="8"/>
        <v>132</v>
      </c>
      <c r="N51" s="1381"/>
      <c r="O51" s="101"/>
    </row>
    <row r="52" spans="1:15" ht="27" customHeight="1">
      <c r="A52" s="1402">
        <v>7592632831501</v>
      </c>
      <c r="B52" s="1404" t="s">
        <v>4734</v>
      </c>
      <c r="C52" s="1408" t="s">
        <v>4717</v>
      </c>
      <c r="D52" s="1383">
        <v>12</v>
      </c>
      <c r="E52" s="1407">
        <f t="shared" si="5"/>
        <v>25.08</v>
      </c>
      <c r="F52" s="1407">
        <v>2.09</v>
      </c>
      <c r="G52" s="1381"/>
      <c r="H52" s="1381">
        <f t="shared" si="6"/>
        <v>0</v>
      </c>
      <c r="I52" s="1381"/>
      <c r="J52" s="1381">
        <f t="shared" si="7"/>
        <v>0</v>
      </c>
      <c r="K52" s="1381">
        <v>10</v>
      </c>
      <c r="L52" s="1381" t="s">
        <v>554</v>
      </c>
      <c r="M52" s="1381">
        <f t="shared" si="8"/>
        <v>250.79999999999998</v>
      </c>
      <c r="N52" s="1381"/>
      <c r="O52" s="101"/>
    </row>
    <row r="53" spans="1:15" ht="22.5" customHeight="1">
      <c r="A53" s="1402">
        <v>7592632959274</v>
      </c>
      <c r="B53" s="1404" t="s">
        <v>4735</v>
      </c>
      <c r="C53" s="1408" t="s">
        <v>4717</v>
      </c>
      <c r="D53" s="1383">
        <v>12</v>
      </c>
      <c r="E53" s="1407">
        <f t="shared" si="5"/>
        <v>24.48</v>
      </c>
      <c r="F53" s="1407">
        <v>2.04</v>
      </c>
      <c r="G53" s="1381"/>
      <c r="H53" s="1381">
        <f t="shared" si="6"/>
        <v>0</v>
      </c>
      <c r="I53" s="1381"/>
      <c r="J53" s="1381">
        <f t="shared" si="7"/>
        <v>0</v>
      </c>
      <c r="K53" s="1381">
        <v>10</v>
      </c>
      <c r="L53" s="1381" t="s">
        <v>554</v>
      </c>
      <c r="M53" s="1381">
        <f t="shared" si="8"/>
        <v>244.8</v>
      </c>
      <c r="N53" s="1381"/>
      <c r="O53" s="101"/>
    </row>
    <row r="54" spans="1:15" ht="22.5" customHeight="1">
      <c r="A54" s="1402">
        <v>7592632511502</v>
      </c>
      <c r="B54" s="1404" t="s">
        <v>4736</v>
      </c>
      <c r="C54" s="1408" t="s">
        <v>4710</v>
      </c>
      <c r="D54" s="1383">
        <v>12</v>
      </c>
      <c r="E54" s="1407">
        <f t="shared" si="5"/>
        <v>23.88</v>
      </c>
      <c r="F54" s="1407">
        <v>1.99</v>
      </c>
      <c r="G54" s="1381"/>
      <c r="H54" s="1381">
        <f t="shared" si="6"/>
        <v>0</v>
      </c>
      <c r="I54" s="1381"/>
      <c r="J54" s="1381">
        <f t="shared" si="7"/>
        <v>0</v>
      </c>
      <c r="K54" s="1381">
        <v>10</v>
      </c>
      <c r="L54" s="1381" t="s">
        <v>554</v>
      </c>
      <c r="M54" s="1381">
        <f t="shared" si="8"/>
        <v>238.79999999999998</v>
      </c>
      <c r="N54" s="1381"/>
      <c r="O54" s="101"/>
    </row>
    <row r="55" spans="1:15" ht="22.5" customHeight="1">
      <c r="A55" s="1402">
        <v>7592632962588</v>
      </c>
      <c r="B55" s="1404" t="s">
        <v>4736</v>
      </c>
      <c r="C55" s="1408" t="s">
        <v>4711</v>
      </c>
      <c r="D55" s="1383">
        <v>24</v>
      </c>
      <c r="E55" s="1407">
        <f t="shared" si="5"/>
        <v>24.72</v>
      </c>
      <c r="F55" s="1407">
        <v>1.03</v>
      </c>
      <c r="G55" s="1381"/>
      <c r="H55" s="1381">
        <f t="shared" si="6"/>
        <v>0</v>
      </c>
      <c r="I55" s="1381"/>
      <c r="J55" s="1381">
        <f t="shared" si="7"/>
        <v>0</v>
      </c>
      <c r="K55" s="1381">
        <v>10</v>
      </c>
      <c r="L55" s="1381" t="s">
        <v>554</v>
      </c>
      <c r="M55" s="1381">
        <f t="shared" si="8"/>
        <v>247.2</v>
      </c>
      <c r="N55" s="1381"/>
      <c r="O55" s="101"/>
    </row>
    <row r="56" spans="1:15" ht="22.5" customHeight="1">
      <c r="A56" s="1402">
        <v>7592632105527</v>
      </c>
      <c r="B56" s="1404" t="s">
        <v>4737</v>
      </c>
      <c r="C56" s="1408" t="s">
        <v>4719</v>
      </c>
      <c r="D56" s="1383">
        <v>36</v>
      </c>
      <c r="E56" s="1407">
        <f t="shared" si="5"/>
        <v>43.56</v>
      </c>
      <c r="F56" s="1407">
        <v>1.21</v>
      </c>
      <c r="G56" s="1381"/>
      <c r="H56" s="1381">
        <f t="shared" si="6"/>
        <v>0</v>
      </c>
      <c r="I56" s="1381"/>
      <c r="J56" s="1381">
        <f t="shared" si="7"/>
        <v>0</v>
      </c>
      <c r="K56" s="1381">
        <v>0</v>
      </c>
      <c r="L56" s="1381" t="s">
        <v>554</v>
      </c>
      <c r="M56" s="1381">
        <f t="shared" si="8"/>
        <v>0</v>
      </c>
      <c r="N56" s="1381"/>
      <c r="O56" s="101"/>
    </row>
    <row r="57" spans="1:15" ht="22.5" customHeight="1">
      <c r="A57" s="1402">
        <v>7592632960201</v>
      </c>
      <c r="B57" s="1404" t="s">
        <v>4738</v>
      </c>
      <c r="C57" s="1408" t="s">
        <v>4711</v>
      </c>
      <c r="D57" s="1383">
        <v>12</v>
      </c>
      <c r="E57" s="1407">
        <f t="shared" si="5"/>
        <v>23.52</v>
      </c>
      <c r="F57" s="1407">
        <v>1.96</v>
      </c>
      <c r="G57" s="1381"/>
      <c r="H57" s="1381">
        <f t="shared" si="6"/>
        <v>0</v>
      </c>
      <c r="I57" s="1381"/>
      <c r="J57" s="1381">
        <f t="shared" si="7"/>
        <v>0</v>
      </c>
      <c r="K57" s="1381">
        <v>0</v>
      </c>
      <c r="L57" s="1381" t="s">
        <v>554</v>
      </c>
      <c r="M57" s="1381">
        <f t="shared" si="8"/>
        <v>0</v>
      </c>
      <c r="N57" s="1381"/>
      <c r="O57" s="101"/>
    </row>
    <row r="58" spans="1:15" ht="22.5" customHeight="1">
      <c r="A58" s="1402">
        <v>7592632311508</v>
      </c>
      <c r="B58" s="1404" t="s">
        <v>4739</v>
      </c>
      <c r="C58" s="1408" t="s">
        <v>4710</v>
      </c>
      <c r="D58" s="1383">
        <v>12</v>
      </c>
      <c r="E58" s="1407">
        <f t="shared" si="5"/>
        <v>13.32</v>
      </c>
      <c r="F58" s="1407">
        <v>1.1100000000000001</v>
      </c>
      <c r="G58" s="1381"/>
      <c r="H58" s="1381">
        <f t="shared" si="6"/>
        <v>0</v>
      </c>
      <c r="I58" s="1381"/>
      <c r="J58" s="1381">
        <f t="shared" si="7"/>
        <v>0</v>
      </c>
      <c r="K58" s="1381">
        <v>70</v>
      </c>
      <c r="L58" s="1381" t="s">
        <v>554</v>
      </c>
      <c r="M58" s="1381">
        <f t="shared" si="8"/>
        <v>932.4</v>
      </c>
      <c r="N58" s="1381"/>
      <c r="O58" s="101"/>
    </row>
    <row r="59" spans="1:15" ht="22.5" customHeight="1">
      <c r="A59" s="1402">
        <v>7592632311300</v>
      </c>
      <c r="B59" s="1404" t="s">
        <v>4739</v>
      </c>
      <c r="C59" s="1408" t="s">
        <v>4711</v>
      </c>
      <c r="D59" s="1383">
        <v>24</v>
      </c>
      <c r="E59" s="1407">
        <f t="shared" si="5"/>
        <v>15.120000000000001</v>
      </c>
      <c r="F59" s="1407">
        <v>0.63</v>
      </c>
      <c r="G59" s="1381"/>
      <c r="H59" s="1381">
        <f t="shared" si="6"/>
        <v>0</v>
      </c>
      <c r="I59" s="1381"/>
      <c r="J59" s="1381">
        <f t="shared" si="7"/>
        <v>0</v>
      </c>
      <c r="K59" s="1381">
        <v>20</v>
      </c>
      <c r="L59" s="1381" t="s">
        <v>554</v>
      </c>
      <c r="M59" s="1381">
        <f t="shared" si="8"/>
        <v>302.40000000000003</v>
      </c>
      <c r="N59" s="1381"/>
      <c r="O59" s="101"/>
    </row>
    <row r="60" spans="1:15" ht="22.5" customHeight="1">
      <c r="A60" s="1402">
        <v>7592632871941</v>
      </c>
      <c r="B60" s="1404" t="s">
        <v>4740</v>
      </c>
      <c r="C60" s="1408" t="s">
        <v>4717</v>
      </c>
      <c r="D60" s="1383">
        <v>12</v>
      </c>
      <c r="E60" s="1407">
        <f t="shared" si="5"/>
        <v>14.16</v>
      </c>
      <c r="F60" s="1407">
        <v>1.18</v>
      </c>
      <c r="G60" s="1381"/>
      <c r="H60" s="1381">
        <f t="shared" si="6"/>
        <v>0</v>
      </c>
      <c r="I60" s="1381"/>
      <c r="J60" s="1381">
        <f t="shared" si="7"/>
        <v>0</v>
      </c>
      <c r="K60" s="1381">
        <v>30</v>
      </c>
      <c r="L60" s="1381" t="s">
        <v>554</v>
      </c>
      <c r="M60" s="1381">
        <f t="shared" si="8"/>
        <v>424.8</v>
      </c>
      <c r="N60" s="1381" t="s">
        <v>3520</v>
      </c>
      <c r="O60" s="101"/>
    </row>
    <row r="61" spans="1:15" ht="39.75" customHeight="1" thickBot="1">
      <c r="A61" s="1201"/>
      <c r="B61" s="1201"/>
      <c r="C61" s="1387"/>
      <c r="D61" s="1387"/>
      <c r="E61" s="101"/>
      <c r="F61" s="101"/>
      <c r="G61" s="101"/>
      <c r="H61" s="101"/>
      <c r="I61" s="101"/>
      <c r="J61" s="101"/>
      <c r="K61" s="101"/>
      <c r="L61" s="657" t="s">
        <v>2570</v>
      </c>
      <c r="M61" s="1381">
        <f>SUM(M31:M60)</f>
        <v>5819.7000000000007</v>
      </c>
      <c r="N61" s="1381">
        <v>4.4000000000000004</v>
      </c>
      <c r="O61" s="1381">
        <f>+M61*N61</f>
        <v>25606.680000000004</v>
      </c>
    </row>
    <row r="62" spans="1:15" ht="22.5" customHeight="1">
      <c r="C62" s="1387"/>
      <c r="D62" s="1387"/>
      <c r="E62" s="101"/>
      <c r="F62" s="101"/>
      <c r="G62" s="101"/>
      <c r="H62" s="101"/>
      <c r="I62" s="101"/>
      <c r="J62" s="101"/>
      <c r="K62" s="101"/>
      <c r="L62" s="101"/>
      <c r="N62" s="101"/>
      <c r="O62" s="101"/>
    </row>
    <row r="63" spans="1:15" ht="22.5" customHeight="1">
      <c r="C63" s="1387"/>
      <c r="D63" s="1387"/>
      <c r="E63" s="101"/>
      <c r="F63" s="101"/>
      <c r="G63" s="101"/>
      <c r="H63" s="101"/>
      <c r="I63" s="101"/>
      <c r="J63" s="101"/>
      <c r="K63" s="101"/>
      <c r="L63" s="101"/>
      <c r="N63" s="101"/>
      <c r="O63" s="101"/>
    </row>
    <row r="64" spans="1:15" ht="22.5" customHeight="1">
      <c r="C64" s="1387"/>
      <c r="D64" s="1387"/>
      <c r="E64" s="101"/>
      <c r="F64" s="101"/>
      <c r="G64" s="101"/>
      <c r="H64" s="101"/>
      <c r="I64" s="101"/>
      <c r="J64" s="101"/>
      <c r="K64" s="101"/>
      <c r="L64" s="101"/>
      <c r="N64" s="101"/>
      <c r="O64" s="101"/>
    </row>
    <row r="65" spans="3:15" ht="22.5" customHeight="1">
      <c r="C65" s="1387"/>
      <c r="D65" s="1387"/>
      <c r="E65" s="101"/>
      <c r="F65" s="101"/>
      <c r="G65" s="101"/>
      <c r="H65" s="101"/>
      <c r="I65" s="101"/>
      <c r="J65" s="101"/>
      <c r="K65" s="101"/>
      <c r="L65" s="101"/>
      <c r="N65" s="101"/>
      <c r="O65" s="101"/>
    </row>
    <row r="66" spans="3:15" ht="22.5" customHeight="1">
      <c r="C66" s="1387"/>
      <c r="D66" s="1387"/>
      <c r="E66" s="101"/>
      <c r="F66" s="101"/>
      <c r="G66" s="101"/>
      <c r="H66" s="101"/>
      <c r="I66" s="101"/>
      <c r="J66" s="101"/>
      <c r="K66" s="101"/>
      <c r="L66" s="101"/>
      <c r="N66" s="101"/>
      <c r="O66" s="101"/>
    </row>
    <row r="67" spans="3:15" ht="22.5" customHeight="1">
      <c r="C67" s="1387"/>
      <c r="D67" s="1387"/>
      <c r="E67" s="101"/>
      <c r="F67" s="101"/>
      <c r="G67" s="101"/>
      <c r="H67" s="101"/>
      <c r="I67" s="101"/>
      <c r="J67" s="101"/>
      <c r="K67" s="101"/>
      <c r="L67" s="101"/>
      <c r="N67" s="101"/>
      <c r="O67" s="101"/>
    </row>
    <row r="68" spans="3:15" ht="22.5" customHeight="1">
      <c r="C68" s="1387"/>
      <c r="D68" s="1387"/>
      <c r="E68" s="101"/>
      <c r="F68" s="101"/>
      <c r="G68" s="101"/>
      <c r="H68" s="101"/>
      <c r="I68" s="101"/>
      <c r="J68" s="101"/>
      <c r="K68" s="101"/>
      <c r="L68" s="101"/>
      <c r="N68" s="101"/>
      <c r="O68" s="101"/>
    </row>
    <row r="69" spans="3:15" ht="22.5" customHeight="1">
      <c r="C69" s="1387"/>
      <c r="D69" s="1387"/>
      <c r="E69" s="101"/>
      <c r="F69" s="101"/>
      <c r="G69" s="101"/>
      <c r="H69" s="101"/>
      <c r="I69" s="101"/>
      <c r="J69" s="101"/>
      <c r="K69" s="101"/>
      <c r="L69" s="101"/>
      <c r="N69" s="101"/>
      <c r="O69" s="101"/>
    </row>
    <row r="70" spans="3:15" ht="22.5" customHeight="1">
      <c r="C70" s="1387"/>
      <c r="D70" s="1387"/>
      <c r="E70" s="101"/>
      <c r="F70" s="101"/>
      <c r="G70" s="101"/>
      <c r="H70" s="101"/>
      <c r="I70" s="101"/>
      <c r="J70" s="101"/>
      <c r="K70" s="101"/>
      <c r="L70" s="101"/>
      <c r="N70" s="101"/>
      <c r="O70" s="101"/>
    </row>
    <row r="71" spans="3:15" ht="22.5" customHeight="1">
      <c r="C71" s="1387"/>
      <c r="D71" s="1387"/>
      <c r="E71" s="101"/>
      <c r="F71" s="101"/>
      <c r="G71" s="101"/>
      <c r="H71" s="101"/>
      <c r="I71" s="101"/>
      <c r="J71" s="101"/>
      <c r="K71" s="101"/>
      <c r="L71" s="101"/>
      <c r="N71" s="101"/>
      <c r="O71" s="101"/>
    </row>
    <row r="72" spans="3:15" ht="22.5" customHeight="1">
      <c r="C72" s="1387"/>
      <c r="D72" s="1387"/>
      <c r="E72" s="101"/>
      <c r="F72" s="101"/>
      <c r="G72" s="101"/>
      <c r="H72" s="101"/>
      <c r="I72" s="101"/>
      <c r="J72" s="101"/>
      <c r="K72" s="101"/>
      <c r="L72" s="101"/>
      <c r="N72" s="101"/>
      <c r="O72" s="101"/>
    </row>
    <row r="73" spans="3:15" ht="22.5" customHeight="1">
      <c r="C73" s="1387"/>
      <c r="D73" s="1387"/>
      <c r="E73" s="101"/>
      <c r="F73" s="101"/>
      <c r="G73" s="101"/>
      <c r="H73" s="101"/>
      <c r="I73" s="101"/>
      <c r="J73" s="101"/>
      <c r="K73" s="101"/>
      <c r="L73" s="101"/>
      <c r="N73" s="101"/>
      <c r="O73" s="101"/>
    </row>
    <row r="74" spans="3:15" ht="22.5" customHeight="1">
      <c r="C74" s="1387"/>
      <c r="D74" s="1387"/>
      <c r="E74" s="101"/>
      <c r="F74" s="101"/>
      <c r="G74" s="101"/>
      <c r="H74" s="101"/>
      <c r="I74" s="101"/>
      <c r="J74" s="101"/>
      <c r="K74" s="101"/>
      <c r="L74" s="101"/>
      <c r="N74" s="101"/>
      <c r="O74" s="101"/>
    </row>
    <row r="75" spans="3:15" ht="22.5" customHeight="1">
      <c r="C75" s="1387"/>
      <c r="D75" s="1387"/>
      <c r="E75" s="101"/>
      <c r="F75" s="101"/>
      <c r="G75" s="101"/>
      <c r="H75" s="101"/>
      <c r="I75" s="101"/>
      <c r="J75" s="101"/>
      <c r="K75" s="101"/>
      <c r="L75" s="101"/>
      <c r="N75" s="101"/>
      <c r="O75" s="101"/>
    </row>
    <row r="76" spans="3:15" ht="22.5" customHeight="1">
      <c r="C76" s="1387"/>
      <c r="D76" s="1387"/>
      <c r="E76" s="101"/>
      <c r="F76" s="101"/>
      <c r="G76" s="101"/>
      <c r="H76" s="101"/>
      <c r="I76" s="101"/>
      <c r="J76" s="101"/>
      <c r="K76" s="101"/>
      <c r="L76" s="101"/>
      <c r="N76" s="101"/>
      <c r="O76" s="101"/>
    </row>
    <row r="77" spans="3:15" ht="22.5" customHeight="1">
      <c r="C77" s="1387"/>
      <c r="D77" s="1387"/>
      <c r="E77" s="101"/>
      <c r="F77" s="101"/>
      <c r="G77" s="101"/>
      <c r="H77" s="101"/>
      <c r="I77" s="101"/>
      <c r="J77" s="101"/>
      <c r="K77" s="101"/>
      <c r="L77" s="101"/>
      <c r="N77" s="101"/>
      <c r="O77" s="101"/>
    </row>
    <row r="78" spans="3:15" ht="22.5" customHeight="1">
      <c r="C78" s="1387"/>
      <c r="D78" s="1387"/>
      <c r="E78" s="101"/>
      <c r="F78" s="101"/>
      <c r="G78" s="101"/>
      <c r="H78" s="101"/>
      <c r="I78" s="101"/>
      <c r="J78" s="101"/>
      <c r="K78" s="101"/>
      <c r="L78" s="101"/>
      <c r="N78" s="101"/>
      <c r="O78" s="101"/>
    </row>
    <row r="79" spans="3:15">
      <c r="C79" s="1387"/>
      <c r="D79" s="1387"/>
      <c r="E79" s="101"/>
      <c r="F79" s="101"/>
      <c r="G79" s="101"/>
      <c r="H79" s="101"/>
      <c r="I79" s="101"/>
      <c r="J79" s="101"/>
      <c r="K79" s="101"/>
      <c r="L79" s="101"/>
      <c r="N79" s="101"/>
      <c r="O79" s="101"/>
    </row>
    <row r="80" spans="3:15">
      <c r="C80" s="1387"/>
      <c r="D80" s="1387"/>
      <c r="E80" s="101"/>
      <c r="F80" s="101"/>
      <c r="G80" s="101"/>
      <c r="H80" s="101"/>
      <c r="I80" s="101"/>
      <c r="J80" s="101"/>
      <c r="K80" s="101"/>
      <c r="L80" s="101"/>
      <c r="N80" s="101"/>
      <c r="O80" s="101"/>
    </row>
    <row r="81" spans="3:15">
      <c r="C81" s="1387"/>
      <c r="D81" s="1387"/>
      <c r="E81" s="101"/>
      <c r="F81" s="101"/>
      <c r="G81" s="101"/>
      <c r="H81" s="101"/>
      <c r="I81" s="101"/>
      <c r="J81" s="101"/>
      <c r="K81" s="101"/>
      <c r="L81" s="101"/>
      <c r="N81" s="101"/>
      <c r="O81" s="101"/>
    </row>
    <row r="82" spans="3:15">
      <c r="C82" s="1387"/>
      <c r="D82" s="1387"/>
      <c r="E82" s="101"/>
      <c r="F82" s="101"/>
      <c r="G82" s="101"/>
      <c r="H82" s="101"/>
      <c r="I82" s="101"/>
      <c r="J82" s="101"/>
      <c r="K82" s="101"/>
      <c r="L82" s="101"/>
      <c r="N82" s="101"/>
      <c r="O82" s="101"/>
    </row>
    <row r="83" spans="3:15">
      <c r="C83" s="1387"/>
      <c r="D83" s="1387"/>
      <c r="E83" s="101"/>
      <c r="F83" s="101"/>
      <c r="G83" s="101"/>
      <c r="H83" s="101"/>
      <c r="I83" s="101"/>
      <c r="J83" s="101"/>
      <c r="K83" s="101"/>
      <c r="L83" s="101"/>
      <c r="N83" s="101"/>
      <c r="O83" s="101"/>
    </row>
    <row r="84" spans="3:15">
      <c r="C84" s="1387"/>
      <c r="D84" s="1387"/>
      <c r="E84" s="101"/>
      <c r="F84" s="101"/>
      <c r="G84" s="101"/>
      <c r="H84" s="101"/>
      <c r="I84" s="101"/>
      <c r="J84" s="101"/>
      <c r="K84" s="101"/>
      <c r="L84" s="101"/>
      <c r="N84" s="101"/>
      <c r="O84" s="101"/>
    </row>
    <row r="85" spans="3:15">
      <c r="C85" s="1387"/>
      <c r="D85" s="1387"/>
      <c r="E85" s="101"/>
      <c r="F85" s="101"/>
      <c r="G85" s="101"/>
      <c r="H85" s="101"/>
      <c r="I85" s="101"/>
      <c r="J85" s="101"/>
      <c r="K85" s="101"/>
      <c r="L85" s="101"/>
      <c r="N85" s="101"/>
      <c r="O85" s="101"/>
    </row>
    <row r="86" spans="3:15">
      <c r="C86" s="1387"/>
      <c r="D86" s="1387"/>
      <c r="E86" s="101"/>
      <c r="F86" s="101"/>
      <c r="G86" s="101"/>
      <c r="H86" s="101"/>
      <c r="I86" s="101"/>
      <c r="J86" s="101"/>
      <c r="K86" s="101"/>
      <c r="L86" s="101"/>
      <c r="N86" s="101"/>
      <c r="O86" s="101"/>
    </row>
    <row r="87" spans="3:15">
      <c r="C87" s="1387"/>
      <c r="D87" s="1387"/>
      <c r="E87" s="101"/>
      <c r="F87" s="101"/>
      <c r="G87" s="101"/>
      <c r="H87" s="101"/>
      <c r="I87" s="101"/>
      <c r="J87" s="101"/>
      <c r="K87" s="101"/>
      <c r="L87" s="101"/>
      <c r="N87" s="101"/>
      <c r="O87" s="101"/>
    </row>
    <row r="88" spans="3:15">
      <c r="C88" s="1387"/>
      <c r="D88" s="1387"/>
      <c r="E88" s="101"/>
      <c r="F88" s="101"/>
      <c r="G88" s="101"/>
      <c r="H88" s="101"/>
      <c r="I88" s="101"/>
      <c r="J88" s="101"/>
      <c r="K88" s="101"/>
      <c r="L88" s="101"/>
      <c r="N88" s="101"/>
      <c r="O88" s="101"/>
    </row>
  </sheetData>
  <pageMargins left="0.70866141732283472" right="0.70866141732283472" top="0.15748031496062992" bottom="0.15748031496062992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38"/>
  <sheetViews>
    <sheetView topLeftCell="A16" workbookViewId="0">
      <selection activeCell="M26" sqref="M26"/>
    </sheetView>
  </sheetViews>
  <sheetFormatPr baseColWidth="10" defaultRowHeight="15"/>
  <cols>
    <col min="1" max="1" width="15.5703125" customWidth="1"/>
    <col min="3" max="3" width="18.42578125" customWidth="1"/>
    <col min="7" max="7" width="11.42578125" style="982"/>
    <col min="12" max="12" width="14.42578125" style="1699" customWidth="1"/>
    <col min="13" max="18" width="11.42578125" style="1699"/>
  </cols>
  <sheetData>
    <row r="1" spans="1:19">
      <c r="A1" s="1594"/>
      <c r="B1" s="1594"/>
      <c r="C1" s="1594"/>
      <c r="D1" s="1732"/>
      <c r="E1" s="1733"/>
      <c r="F1" s="1734">
        <v>0.16</v>
      </c>
      <c r="G1" s="1857"/>
      <c r="H1" s="1735"/>
      <c r="I1" s="1736" t="s">
        <v>5285</v>
      </c>
      <c r="J1" s="1737"/>
      <c r="K1" s="1737"/>
      <c r="L1" s="1867"/>
      <c r="M1" s="1867"/>
      <c r="N1" s="1867"/>
      <c r="O1" s="1867"/>
      <c r="S1" s="1594"/>
    </row>
    <row r="2" spans="1:19">
      <c r="A2" s="1594"/>
      <c r="B2" s="1594"/>
      <c r="C2" s="1594"/>
      <c r="D2" s="1732"/>
      <c r="E2" s="1733"/>
      <c r="F2" s="1738">
        <v>100000</v>
      </c>
      <c r="G2" s="1858"/>
      <c r="H2" s="1739"/>
      <c r="I2" s="1740" t="s">
        <v>5286</v>
      </c>
      <c r="J2" s="1737"/>
      <c r="K2" s="1741"/>
      <c r="L2" s="1867"/>
      <c r="M2" s="1867"/>
      <c r="N2" s="1867"/>
      <c r="O2" s="1867"/>
      <c r="S2" s="1594"/>
    </row>
    <row r="3" spans="1:19" ht="15.75" thickBot="1">
      <c r="A3" s="25" t="s">
        <v>5287</v>
      </c>
      <c r="B3" s="1594"/>
      <c r="C3" s="1594"/>
      <c r="D3" s="1742" t="s">
        <v>5288</v>
      </c>
      <c r="E3" s="1733"/>
      <c r="F3" s="1738">
        <v>100000</v>
      </c>
      <c r="G3" s="1858"/>
      <c r="H3" s="1739"/>
      <c r="I3" s="1740" t="s">
        <v>5289</v>
      </c>
      <c r="J3" s="1737"/>
      <c r="K3" s="1737"/>
      <c r="L3" s="1867"/>
      <c r="M3" s="1867"/>
      <c r="N3" s="1867"/>
      <c r="O3" s="1867"/>
      <c r="S3" s="1594"/>
    </row>
    <row r="4" spans="1:19" ht="15.75">
      <c r="A4" s="2266" t="s">
        <v>5290</v>
      </c>
      <c r="B4" s="2266"/>
      <c r="C4" s="2266"/>
      <c r="D4" s="2266"/>
      <c r="E4" s="2266"/>
      <c r="F4" s="2266"/>
      <c r="G4" s="1859"/>
      <c r="H4" s="1739"/>
      <c r="I4" s="1740"/>
      <c r="J4" s="1737"/>
      <c r="K4" s="2283"/>
      <c r="L4" s="2268"/>
      <c r="M4" s="2268"/>
      <c r="N4" s="2268"/>
      <c r="O4" s="2268"/>
      <c r="P4" s="2284"/>
      <c r="S4" s="1594"/>
    </row>
    <row r="5" spans="1:19" ht="16.5" thickBot="1">
      <c r="A5" s="1743" t="s">
        <v>5291</v>
      </c>
      <c r="B5" s="1744">
        <f>+AVERAGE(F11:F41)</f>
        <v>14.967951527225807</v>
      </c>
      <c r="C5" s="1743"/>
      <c r="D5" s="1743"/>
      <c r="E5" s="1743"/>
      <c r="F5" s="1743"/>
      <c r="G5" s="1859"/>
      <c r="H5" s="1739"/>
      <c r="I5" s="1740"/>
      <c r="J5" s="1737"/>
      <c r="K5" s="2285"/>
      <c r="L5" s="2272"/>
      <c r="M5" s="2272"/>
      <c r="N5" s="2272"/>
      <c r="O5" s="2272"/>
      <c r="P5" s="2286"/>
      <c r="S5" s="1594"/>
    </row>
    <row r="6" spans="1:19" ht="18.75">
      <c r="A6" s="2275" t="s">
        <v>5292</v>
      </c>
      <c r="B6" s="2275"/>
      <c r="C6" s="2275"/>
      <c r="D6" s="2275"/>
      <c r="E6" s="2275"/>
      <c r="F6" s="2275"/>
      <c r="G6" s="1860"/>
      <c r="H6" s="1739"/>
      <c r="I6" s="1740"/>
      <c r="J6" s="1737"/>
      <c r="K6" s="1737"/>
      <c r="L6" s="1867"/>
      <c r="M6" s="1867"/>
      <c r="N6" s="1867"/>
      <c r="O6" s="1812"/>
      <c r="P6" s="1812"/>
      <c r="S6" s="1594"/>
    </row>
    <row r="7" spans="1:19">
      <c r="A7" s="1594"/>
      <c r="B7" s="1594"/>
      <c r="C7" s="1594"/>
      <c r="D7" s="1747"/>
      <c r="E7" s="1748"/>
      <c r="F7" s="1748"/>
      <c r="G7" s="1861"/>
      <c r="H7" s="1735"/>
      <c r="I7" s="1735"/>
      <c r="J7" s="1737"/>
      <c r="K7" s="1737"/>
      <c r="L7" s="1867"/>
      <c r="M7" s="1867"/>
      <c r="N7" s="1867"/>
      <c r="O7" s="1867"/>
      <c r="S7" s="1594"/>
    </row>
    <row r="8" spans="1:19" ht="15.75" thickBot="1">
      <c r="A8" s="1749"/>
      <c r="B8" s="2287" t="s">
        <v>5293</v>
      </c>
      <c r="C8" s="2287"/>
      <c r="D8" s="2287"/>
      <c r="E8" s="2287"/>
      <c r="F8" s="2287"/>
      <c r="G8" s="2287"/>
      <c r="H8" s="2287"/>
      <c r="I8" s="2288"/>
      <c r="J8" s="2288"/>
      <c r="K8" s="2288"/>
      <c r="L8" s="1750" t="s">
        <v>3952</v>
      </c>
      <c r="M8" s="1868"/>
      <c r="N8" s="1752"/>
      <c r="O8" s="1753"/>
      <c r="P8" s="1752"/>
      <c r="Q8" s="1752"/>
      <c r="R8" s="1752"/>
      <c r="S8" s="1754"/>
    </row>
    <row r="9" spans="1:19" ht="19.5" thickBot="1">
      <c r="A9" s="2289" t="s">
        <v>5294</v>
      </c>
      <c r="B9" s="2290"/>
      <c r="C9" s="2290"/>
      <c r="D9" s="2290"/>
      <c r="E9" s="2290"/>
      <c r="F9" s="2290"/>
      <c r="G9" s="2290"/>
      <c r="H9" s="2290"/>
      <c r="I9" s="2289" t="s">
        <v>5295</v>
      </c>
      <c r="J9" s="2290"/>
      <c r="K9" s="2291"/>
      <c r="L9" s="1755">
        <v>4.37</v>
      </c>
      <c r="M9" s="2292" t="s">
        <v>5296</v>
      </c>
      <c r="N9" s="2293"/>
      <c r="O9" s="2293"/>
      <c r="P9" s="1756">
        <f>IFERROR(P55/M55,0)</f>
        <v>18.867150000000002</v>
      </c>
      <c r="Q9" s="1752"/>
      <c r="R9" s="1752"/>
      <c r="S9" s="1754"/>
    </row>
    <row r="10" spans="1:19" ht="60.75" thickBot="1">
      <c r="A10" s="1757" t="s">
        <v>5297</v>
      </c>
      <c r="B10" s="1758" t="s">
        <v>5298</v>
      </c>
      <c r="C10" s="1758" t="s">
        <v>793</v>
      </c>
      <c r="D10" s="1758" t="s">
        <v>4497</v>
      </c>
      <c r="E10" s="1758" t="s">
        <v>5299</v>
      </c>
      <c r="F10" s="1759" t="s">
        <v>5300</v>
      </c>
      <c r="G10" s="1862" t="s">
        <v>5301</v>
      </c>
      <c r="H10" s="1760" t="s">
        <v>5302</v>
      </c>
      <c r="I10" s="1761" t="s">
        <v>5303</v>
      </c>
      <c r="J10" s="1759" t="s">
        <v>61</v>
      </c>
      <c r="K10" s="1762" t="s">
        <v>74</v>
      </c>
      <c r="L10" s="1763" t="s">
        <v>5304</v>
      </c>
      <c r="M10" s="1764" t="s">
        <v>5305</v>
      </c>
      <c r="N10" s="1765" t="s">
        <v>5306</v>
      </c>
      <c r="O10" s="1766" t="s">
        <v>5307</v>
      </c>
      <c r="P10" s="1767" t="s">
        <v>5308</v>
      </c>
      <c r="Q10" s="1768" t="s">
        <v>5309</v>
      </c>
      <c r="R10" s="1769"/>
      <c r="S10" s="1769"/>
    </row>
    <row r="11" spans="1:19" ht="30">
      <c r="A11" s="1770">
        <v>7591015000831</v>
      </c>
      <c r="B11" s="1771" t="s">
        <v>5310</v>
      </c>
      <c r="C11" s="1772" t="s">
        <v>5311</v>
      </c>
      <c r="D11" s="1773" t="s">
        <v>5312</v>
      </c>
      <c r="E11" s="1773">
        <v>24</v>
      </c>
      <c r="F11" s="1774">
        <v>16.32</v>
      </c>
      <c r="G11" s="1863">
        <f t="shared" ref="G11:G54" si="0">+F11/E11</f>
        <v>0.68</v>
      </c>
      <c r="H11" s="1776">
        <f>+G11*1.16</f>
        <v>0.78880000000000006</v>
      </c>
      <c r="I11" s="1777">
        <f t="shared" ref="I11:I21" si="1">+G11*1.2</f>
        <v>0.81600000000000006</v>
      </c>
      <c r="J11" s="1778">
        <f>+I11*16%</f>
        <v>0.13056000000000001</v>
      </c>
      <c r="K11" s="1779">
        <f>+I11+J11</f>
        <v>0.94656000000000007</v>
      </c>
      <c r="L11" s="1780">
        <f>+K11*$L$9</f>
        <v>4.1364672000000002</v>
      </c>
      <c r="M11" s="1869"/>
      <c r="N11" s="1782">
        <v>8.1999999999999993</v>
      </c>
      <c r="O11" s="1783">
        <f>+M11*N11</f>
        <v>0</v>
      </c>
      <c r="P11" s="1784">
        <f t="shared" ref="P11:P54" si="2">+M11*F11</f>
        <v>0</v>
      </c>
      <c r="Q11" s="1785"/>
      <c r="R11" s="1870"/>
      <c r="S11" s="1786"/>
    </row>
    <row r="12" spans="1:19">
      <c r="A12" s="1787" t="s">
        <v>5313</v>
      </c>
      <c r="B12" s="1771" t="s">
        <v>5314</v>
      </c>
      <c r="C12" s="1772" t="s">
        <v>5315</v>
      </c>
      <c r="D12" s="1773" t="s">
        <v>5316</v>
      </c>
      <c r="E12" s="1773">
        <v>24</v>
      </c>
      <c r="F12" s="1774">
        <v>22.32</v>
      </c>
      <c r="G12" s="1866">
        <f t="shared" si="0"/>
        <v>0.93</v>
      </c>
      <c r="H12" s="1776">
        <f>+G12*1.16</f>
        <v>1.0788</v>
      </c>
      <c r="I12" s="1777">
        <f t="shared" si="1"/>
        <v>1.1160000000000001</v>
      </c>
      <c r="J12" s="1778">
        <f t="shared" ref="J12:J54" si="3">+I12*16%</f>
        <v>0.17856000000000002</v>
      </c>
      <c r="K12" s="1779">
        <f t="shared" ref="K12:K52" si="4">+I12+J12</f>
        <v>1.2945600000000002</v>
      </c>
      <c r="L12" s="1780">
        <f>+K12*$L$9</f>
        <v>5.6572272000000012</v>
      </c>
      <c r="M12" s="1869">
        <v>20</v>
      </c>
      <c r="N12" s="1788">
        <v>15</v>
      </c>
      <c r="O12" s="1783">
        <f t="shared" ref="O12:O54" si="5">+M12*N12</f>
        <v>300</v>
      </c>
      <c r="P12" s="1784">
        <f t="shared" si="2"/>
        <v>446.4</v>
      </c>
      <c r="Q12" s="1789"/>
      <c r="R12" s="1801"/>
      <c r="S12" s="1790"/>
    </row>
    <row r="13" spans="1:19" ht="30">
      <c r="A13" s="1787" t="s">
        <v>5317</v>
      </c>
      <c r="B13" s="1771" t="s">
        <v>5318</v>
      </c>
      <c r="C13" s="1772" t="s">
        <v>5319</v>
      </c>
      <c r="D13" s="1773" t="s">
        <v>5320</v>
      </c>
      <c r="E13" s="1773">
        <v>24</v>
      </c>
      <c r="F13" s="1774">
        <v>21.6342</v>
      </c>
      <c r="G13" s="1863">
        <f t="shared" si="0"/>
        <v>0.90142500000000003</v>
      </c>
      <c r="H13" s="1776">
        <f t="shared" ref="H13:H54" si="6">+G13*1.16</f>
        <v>1.0456529999999999</v>
      </c>
      <c r="I13" s="1777">
        <f t="shared" si="1"/>
        <v>1.0817099999999999</v>
      </c>
      <c r="J13" s="1778">
        <f t="shared" si="3"/>
        <v>0.17307359999999999</v>
      </c>
      <c r="K13" s="1779">
        <f t="shared" si="4"/>
        <v>1.2547835999999999</v>
      </c>
      <c r="L13" s="1780">
        <f t="shared" ref="L13:L52" si="7">+K13*$L$9</f>
        <v>5.4834043319999992</v>
      </c>
      <c r="M13" s="1871"/>
      <c r="N13" s="1791">
        <v>15</v>
      </c>
      <c r="O13" s="1783">
        <f t="shared" si="5"/>
        <v>0</v>
      </c>
      <c r="P13" s="1784">
        <f t="shared" si="2"/>
        <v>0</v>
      </c>
      <c r="Q13" s="1789"/>
      <c r="R13" s="1801"/>
      <c r="S13" s="1790"/>
    </row>
    <row r="14" spans="1:19" ht="30">
      <c r="A14" s="1787">
        <v>7591015162249</v>
      </c>
      <c r="B14" s="1771" t="s">
        <v>5321</v>
      </c>
      <c r="C14" s="1772" t="s">
        <v>5322</v>
      </c>
      <c r="D14" s="1773" t="s">
        <v>5320</v>
      </c>
      <c r="E14" s="1773">
        <v>24</v>
      </c>
      <c r="F14" s="1774">
        <v>19.4514</v>
      </c>
      <c r="G14" s="1863">
        <f t="shared" si="0"/>
        <v>0.81047499999999995</v>
      </c>
      <c r="H14" s="1776">
        <f t="shared" si="6"/>
        <v>0.94015099999999985</v>
      </c>
      <c r="I14" s="1777">
        <f t="shared" si="1"/>
        <v>0.97256999999999993</v>
      </c>
      <c r="J14" s="1778">
        <f t="shared" si="3"/>
        <v>0.15561120000000001</v>
      </c>
      <c r="K14" s="1779">
        <f>+I14+J14</f>
        <v>1.1281812</v>
      </c>
      <c r="L14" s="1780">
        <f t="shared" si="7"/>
        <v>4.9301518440000001</v>
      </c>
      <c r="M14" s="1872"/>
      <c r="N14" s="1791">
        <v>15</v>
      </c>
      <c r="O14" s="1783">
        <f t="shared" si="5"/>
        <v>0</v>
      </c>
      <c r="P14" s="1784">
        <f t="shared" si="2"/>
        <v>0</v>
      </c>
      <c r="Q14" s="1789"/>
      <c r="R14" s="1801"/>
      <c r="S14" s="1790"/>
    </row>
    <row r="15" spans="1:19" ht="30">
      <c r="A15" s="1787">
        <v>7591015000879</v>
      </c>
      <c r="B15" s="1771" t="s">
        <v>5323</v>
      </c>
      <c r="C15" s="1772" t="s">
        <v>5324</v>
      </c>
      <c r="D15" s="1773" t="s">
        <v>5325</v>
      </c>
      <c r="E15" s="1773">
        <v>24</v>
      </c>
      <c r="F15" s="1774">
        <v>9.8703360000000018</v>
      </c>
      <c r="G15" s="1863">
        <f t="shared" si="0"/>
        <v>0.41126400000000007</v>
      </c>
      <c r="H15" s="1776">
        <f t="shared" si="6"/>
        <v>0.47706624000000003</v>
      </c>
      <c r="I15" s="1777">
        <f t="shared" si="1"/>
        <v>0.49351680000000009</v>
      </c>
      <c r="J15" s="1778">
        <f t="shared" si="3"/>
        <v>7.8962688000000017E-2</v>
      </c>
      <c r="K15" s="1779">
        <f>+I15+J15</f>
        <v>0.57247948800000015</v>
      </c>
      <c r="L15" s="1780">
        <f t="shared" si="7"/>
        <v>2.5017353625600007</v>
      </c>
      <c r="M15" s="1873"/>
      <c r="N15" s="1788">
        <v>10.8</v>
      </c>
      <c r="O15" s="1783">
        <f t="shared" si="5"/>
        <v>0</v>
      </c>
      <c r="P15" s="1784">
        <f t="shared" si="2"/>
        <v>0</v>
      </c>
      <c r="Q15" s="1789"/>
      <c r="R15" s="1801"/>
      <c r="S15" s="1790"/>
    </row>
    <row r="16" spans="1:19" ht="30">
      <c r="A16" s="1787" t="s">
        <v>5326</v>
      </c>
      <c r="B16" s="1771" t="s">
        <v>5327</v>
      </c>
      <c r="C16" s="1772" t="s">
        <v>5328</v>
      </c>
      <c r="D16" s="1773" t="s">
        <v>5329</v>
      </c>
      <c r="E16" s="1773">
        <v>24</v>
      </c>
      <c r="F16" s="1774">
        <v>15.677399999999999</v>
      </c>
      <c r="G16" s="1863">
        <f t="shared" si="0"/>
        <v>0.65322499999999994</v>
      </c>
      <c r="H16" s="1776">
        <f>+G16*1.16</f>
        <v>0.75774099999999989</v>
      </c>
      <c r="I16" s="1777">
        <f t="shared" si="1"/>
        <v>0.78386999999999996</v>
      </c>
      <c r="J16" s="1778">
        <f t="shared" si="3"/>
        <v>0.12541920000000001</v>
      </c>
      <c r="K16" s="1779">
        <f t="shared" si="4"/>
        <v>0.90928919999999991</v>
      </c>
      <c r="L16" s="1780">
        <f t="shared" si="7"/>
        <v>3.9735938039999996</v>
      </c>
      <c r="M16" s="1873"/>
      <c r="N16" s="1791">
        <v>8.1999999999999993</v>
      </c>
      <c r="O16" s="1783">
        <f t="shared" si="5"/>
        <v>0</v>
      </c>
      <c r="P16" s="1784">
        <f t="shared" si="2"/>
        <v>0</v>
      </c>
      <c r="Q16" s="1789"/>
      <c r="R16" s="1801"/>
      <c r="S16" s="1790"/>
    </row>
    <row r="17" spans="1:19" ht="30">
      <c r="A17" s="1787" t="s">
        <v>5330</v>
      </c>
      <c r="B17" s="1771" t="s">
        <v>5331</v>
      </c>
      <c r="C17" s="1772" t="s">
        <v>5328</v>
      </c>
      <c r="D17" s="1773" t="s">
        <v>5332</v>
      </c>
      <c r="E17" s="1773">
        <v>12</v>
      </c>
      <c r="F17" s="1774">
        <v>15.724799999999998</v>
      </c>
      <c r="G17" s="1863">
        <f t="shared" si="0"/>
        <v>1.3103999999999998</v>
      </c>
      <c r="H17" s="1776">
        <f t="shared" si="6"/>
        <v>1.5200639999999996</v>
      </c>
      <c r="I17" s="1777">
        <f t="shared" si="1"/>
        <v>1.5724799999999997</v>
      </c>
      <c r="J17" s="1778">
        <f t="shared" si="3"/>
        <v>0.25159679999999995</v>
      </c>
      <c r="K17" s="1779">
        <f t="shared" si="4"/>
        <v>1.8240767999999996</v>
      </c>
      <c r="L17" s="1780">
        <f t="shared" si="7"/>
        <v>7.9712156159999985</v>
      </c>
      <c r="M17" s="1869"/>
      <c r="N17" s="1791">
        <v>9.25</v>
      </c>
      <c r="O17" s="1783">
        <f t="shared" si="5"/>
        <v>0</v>
      </c>
      <c r="P17" s="1784">
        <f t="shared" si="2"/>
        <v>0</v>
      </c>
      <c r="Q17" s="1789"/>
      <c r="R17" s="1801"/>
      <c r="S17" s="1790"/>
    </row>
    <row r="18" spans="1:19">
      <c r="A18" s="1787">
        <v>7591015002422</v>
      </c>
      <c r="B18" s="1771" t="s">
        <v>5333</v>
      </c>
      <c r="C18" s="1792" t="s">
        <v>5334</v>
      </c>
      <c r="D18" s="1793" t="s">
        <v>5335</v>
      </c>
      <c r="E18" s="1793">
        <v>24</v>
      </c>
      <c r="F18" s="1774">
        <v>16.559999999999999</v>
      </c>
      <c r="G18" s="1863">
        <f t="shared" si="0"/>
        <v>0.69</v>
      </c>
      <c r="H18" s="1776">
        <f t="shared" si="6"/>
        <v>0.80039999999999989</v>
      </c>
      <c r="I18" s="1777">
        <f t="shared" si="1"/>
        <v>0.82799999999999996</v>
      </c>
      <c r="J18" s="1778">
        <f t="shared" si="3"/>
        <v>0.13247999999999999</v>
      </c>
      <c r="K18" s="1779">
        <f t="shared" si="4"/>
        <v>0.96048</v>
      </c>
      <c r="L18" s="1780">
        <f t="shared" si="7"/>
        <v>4.1972975999999997</v>
      </c>
      <c r="M18" s="1869"/>
      <c r="N18" s="1791">
        <v>8.1999999999999993</v>
      </c>
      <c r="O18" s="1783">
        <f t="shared" si="5"/>
        <v>0</v>
      </c>
      <c r="P18" s="1784">
        <f t="shared" si="2"/>
        <v>0</v>
      </c>
      <c r="Q18" s="1789"/>
      <c r="R18" s="1801"/>
      <c r="S18" s="1790"/>
    </row>
    <row r="19" spans="1:19">
      <c r="A19" s="1787">
        <v>7591015002439</v>
      </c>
      <c r="B19" s="1771" t="s">
        <v>5336</v>
      </c>
      <c r="C19" s="1792" t="s">
        <v>5337</v>
      </c>
      <c r="D19" s="1793" t="s">
        <v>5335</v>
      </c>
      <c r="E19" s="1793">
        <v>24</v>
      </c>
      <c r="F19" s="1774">
        <v>16.295999999999999</v>
      </c>
      <c r="G19" s="1863">
        <f t="shared" si="0"/>
        <v>0.67899999999999994</v>
      </c>
      <c r="H19" s="1776">
        <f t="shared" si="6"/>
        <v>0.7876399999999999</v>
      </c>
      <c r="I19" s="1777">
        <f t="shared" si="1"/>
        <v>0.81479999999999986</v>
      </c>
      <c r="J19" s="1778">
        <f t="shared" si="3"/>
        <v>0.13036799999999998</v>
      </c>
      <c r="K19" s="1779">
        <f t="shared" si="4"/>
        <v>0.94516799999999979</v>
      </c>
      <c r="L19" s="1780">
        <f t="shared" si="7"/>
        <v>4.1303841599999993</v>
      </c>
      <c r="M19" s="1869"/>
      <c r="N19" s="1791">
        <v>8.1999999999999993</v>
      </c>
      <c r="O19" s="1783">
        <f t="shared" si="5"/>
        <v>0</v>
      </c>
      <c r="P19" s="1784">
        <f t="shared" si="2"/>
        <v>0</v>
      </c>
      <c r="Q19" s="1789"/>
      <c r="R19" s="1801"/>
      <c r="S19" s="1790"/>
    </row>
    <row r="20" spans="1:19">
      <c r="A20" s="1787">
        <v>7591015002477</v>
      </c>
      <c r="B20" s="1771" t="s">
        <v>5338</v>
      </c>
      <c r="C20" s="1792" t="s">
        <v>5334</v>
      </c>
      <c r="D20" s="1793" t="s">
        <v>5332</v>
      </c>
      <c r="E20" s="1793">
        <v>12</v>
      </c>
      <c r="F20" s="1774">
        <v>13.4436</v>
      </c>
      <c r="G20" s="1866">
        <f t="shared" si="0"/>
        <v>1.1203000000000001</v>
      </c>
      <c r="H20" s="1776">
        <f t="shared" si="6"/>
        <v>1.2995479999999999</v>
      </c>
      <c r="I20" s="1777">
        <f t="shared" si="1"/>
        <v>1.34436</v>
      </c>
      <c r="J20" s="1778">
        <f t="shared" si="3"/>
        <v>0.2150976</v>
      </c>
      <c r="K20" s="1779">
        <f t="shared" si="4"/>
        <v>1.5594576</v>
      </c>
      <c r="L20" s="1780">
        <f t="shared" si="7"/>
        <v>6.8148297119999999</v>
      </c>
      <c r="M20" s="1873">
        <v>10</v>
      </c>
      <c r="N20" s="1791">
        <v>9.25</v>
      </c>
      <c r="O20" s="1783">
        <f t="shared" si="5"/>
        <v>92.5</v>
      </c>
      <c r="P20" s="1784">
        <f t="shared" si="2"/>
        <v>134.43600000000001</v>
      </c>
      <c r="Q20" s="1789"/>
      <c r="R20" s="1801"/>
      <c r="S20" s="1790"/>
    </row>
    <row r="21" spans="1:19">
      <c r="A21" s="1787">
        <v>7591015002484</v>
      </c>
      <c r="B21" s="1771" t="s">
        <v>5339</v>
      </c>
      <c r="C21" s="1792" t="s">
        <v>5337</v>
      </c>
      <c r="D21" s="1793" t="s">
        <v>5332</v>
      </c>
      <c r="E21" s="1793">
        <v>12</v>
      </c>
      <c r="F21" s="1774">
        <v>15.667199999999999</v>
      </c>
      <c r="G21" s="1866">
        <f t="shared" si="0"/>
        <v>1.3055999999999999</v>
      </c>
      <c r="H21" s="1776">
        <f t="shared" si="6"/>
        <v>1.5144959999999998</v>
      </c>
      <c r="I21" s="1777">
        <f t="shared" si="1"/>
        <v>1.5667199999999999</v>
      </c>
      <c r="J21" s="1778">
        <f t="shared" si="3"/>
        <v>0.25067519999999999</v>
      </c>
      <c r="K21" s="1779">
        <f t="shared" si="4"/>
        <v>1.8173952</v>
      </c>
      <c r="L21" s="1780">
        <f t="shared" si="7"/>
        <v>7.9420170240000001</v>
      </c>
      <c r="M21" s="1873">
        <v>20</v>
      </c>
      <c r="N21" s="1791">
        <v>9.25</v>
      </c>
      <c r="O21" s="1783">
        <f t="shared" si="5"/>
        <v>185</v>
      </c>
      <c r="P21" s="1784">
        <f t="shared" si="2"/>
        <v>313.34399999999999</v>
      </c>
      <c r="Q21" s="1789"/>
      <c r="R21" s="1801"/>
      <c r="S21" s="1790"/>
    </row>
    <row r="22" spans="1:19">
      <c r="A22" s="1787" t="s">
        <v>5340</v>
      </c>
      <c r="B22" s="1771" t="s">
        <v>5341</v>
      </c>
      <c r="C22" s="1792" t="s">
        <v>5342</v>
      </c>
      <c r="D22" s="1793" t="s">
        <v>5343</v>
      </c>
      <c r="E22" s="1793">
        <v>12</v>
      </c>
      <c r="F22" s="1774">
        <v>25.68</v>
      </c>
      <c r="G22" s="1866">
        <f t="shared" si="0"/>
        <v>2.14</v>
      </c>
      <c r="H22" s="1776">
        <f>+G22</f>
        <v>2.14</v>
      </c>
      <c r="I22" s="1777">
        <f>+G22*1.1</f>
        <v>2.3540000000000005</v>
      </c>
      <c r="J22" s="1778">
        <v>0</v>
      </c>
      <c r="K22" s="1779">
        <f t="shared" si="4"/>
        <v>2.3540000000000005</v>
      </c>
      <c r="L22" s="1780">
        <f t="shared" si="7"/>
        <v>10.286980000000003</v>
      </c>
      <c r="M22" s="1873">
        <v>20</v>
      </c>
      <c r="N22" s="1791">
        <v>8.1999999999999993</v>
      </c>
      <c r="O22" s="1783">
        <f t="shared" si="5"/>
        <v>164</v>
      </c>
      <c r="P22" s="1784">
        <f t="shared" si="2"/>
        <v>513.6</v>
      </c>
      <c r="Q22" s="1789"/>
      <c r="R22" s="1874"/>
      <c r="S22" s="1794"/>
    </row>
    <row r="23" spans="1:19" ht="30">
      <c r="A23" s="1787">
        <v>7591015001227</v>
      </c>
      <c r="B23" s="1771" t="s">
        <v>5344</v>
      </c>
      <c r="C23" s="1772" t="s">
        <v>5345</v>
      </c>
      <c r="D23" s="1773" t="s">
        <v>5346</v>
      </c>
      <c r="E23" s="1773">
        <v>12</v>
      </c>
      <c r="F23" s="1774">
        <v>10.1592</v>
      </c>
      <c r="G23" s="1866">
        <f t="shared" si="0"/>
        <v>0.84660000000000002</v>
      </c>
      <c r="H23" s="1776">
        <f t="shared" si="6"/>
        <v>0.98205599999999993</v>
      </c>
      <c r="I23" s="1777">
        <f>+G23*1.2</f>
        <v>1.0159199999999999</v>
      </c>
      <c r="J23" s="1778">
        <f t="shared" si="3"/>
        <v>0.1625472</v>
      </c>
      <c r="K23" s="1779">
        <f t="shared" si="4"/>
        <v>1.1784672</v>
      </c>
      <c r="L23" s="1795">
        <f t="shared" si="7"/>
        <v>5.1499016640000006</v>
      </c>
      <c r="M23" s="1873">
        <v>10</v>
      </c>
      <c r="N23" s="1796">
        <v>12.6</v>
      </c>
      <c r="O23" s="1783">
        <f t="shared" si="5"/>
        <v>126</v>
      </c>
      <c r="P23" s="1784">
        <f t="shared" si="2"/>
        <v>101.592</v>
      </c>
      <c r="Q23" s="1789"/>
      <c r="R23" s="1801"/>
      <c r="S23" s="1790"/>
    </row>
    <row r="24" spans="1:19" ht="30">
      <c r="A24" s="1787" t="s">
        <v>5347</v>
      </c>
      <c r="B24" s="1771" t="s">
        <v>5348</v>
      </c>
      <c r="C24" s="1772" t="s">
        <v>5349</v>
      </c>
      <c r="D24" s="1773" t="s">
        <v>5350</v>
      </c>
      <c r="E24" s="1773">
        <v>24</v>
      </c>
      <c r="F24" s="1774">
        <v>18.115199999999998</v>
      </c>
      <c r="G24" s="1863">
        <f t="shared" si="0"/>
        <v>0.75479999999999992</v>
      </c>
      <c r="H24" s="1776">
        <f t="shared" si="6"/>
        <v>0.87556799999999979</v>
      </c>
      <c r="I24" s="1777">
        <f t="shared" ref="I24:I54" si="8">+G24*1.2</f>
        <v>0.9057599999999999</v>
      </c>
      <c r="J24" s="1778">
        <f t="shared" si="3"/>
        <v>0.14492159999999998</v>
      </c>
      <c r="K24" s="1779">
        <f t="shared" si="4"/>
        <v>1.0506815999999999</v>
      </c>
      <c r="L24" s="1780">
        <f t="shared" si="7"/>
        <v>4.5914785919999996</v>
      </c>
      <c r="M24" s="1873"/>
      <c r="N24" s="1791">
        <v>6.4</v>
      </c>
      <c r="O24" s="1783">
        <f t="shared" si="5"/>
        <v>0</v>
      </c>
      <c r="P24" s="1784">
        <f t="shared" si="2"/>
        <v>0</v>
      </c>
      <c r="Q24" s="1789"/>
      <c r="R24" s="1801"/>
      <c r="S24" s="1790"/>
    </row>
    <row r="25" spans="1:19" ht="30">
      <c r="A25" s="1787" t="s">
        <v>5351</v>
      </c>
      <c r="B25" s="1797" t="s">
        <v>5352</v>
      </c>
      <c r="C25" s="1772" t="s">
        <v>5349</v>
      </c>
      <c r="D25" s="1773" t="s">
        <v>5353</v>
      </c>
      <c r="E25" s="1773">
        <v>12</v>
      </c>
      <c r="F25" s="1774">
        <v>14.841000000000001</v>
      </c>
      <c r="G25" s="1866">
        <f t="shared" si="0"/>
        <v>1.23675</v>
      </c>
      <c r="H25" s="1776">
        <f t="shared" si="6"/>
        <v>1.4346299999999998</v>
      </c>
      <c r="I25" s="1777">
        <f t="shared" si="8"/>
        <v>1.4841</v>
      </c>
      <c r="J25" s="1778">
        <f t="shared" si="3"/>
        <v>0.237456</v>
      </c>
      <c r="K25" s="1779">
        <f t="shared" si="4"/>
        <v>1.7215560000000001</v>
      </c>
      <c r="L25" s="1780">
        <f t="shared" si="7"/>
        <v>7.5231997200000009</v>
      </c>
      <c r="M25" s="1873">
        <v>0</v>
      </c>
      <c r="N25" s="1788">
        <v>6.32</v>
      </c>
      <c r="O25" s="1783">
        <f t="shared" si="5"/>
        <v>0</v>
      </c>
      <c r="P25" s="1784">
        <f t="shared" si="2"/>
        <v>0</v>
      </c>
      <c r="Q25" s="1789"/>
      <c r="R25" s="1801"/>
      <c r="S25" s="1790"/>
    </row>
    <row r="26" spans="1:19" ht="30">
      <c r="A26" s="1787" t="s">
        <v>5354</v>
      </c>
      <c r="B26" s="1771" t="s">
        <v>5355</v>
      </c>
      <c r="C26" s="1772" t="s">
        <v>5356</v>
      </c>
      <c r="D26" s="1773" t="s">
        <v>5350</v>
      </c>
      <c r="E26" s="1773">
        <v>24</v>
      </c>
      <c r="F26" s="1774">
        <v>17.135999999999996</v>
      </c>
      <c r="G26" s="1863">
        <f t="shared" si="0"/>
        <v>0.71399999999999986</v>
      </c>
      <c r="H26" s="1776">
        <f t="shared" si="6"/>
        <v>0.82823999999999975</v>
      </c>
      <c r="I26" s="1777">
        <f t="shared" si="8"/>
        <v>0.85679999999999978</v>
      </c>
      <c r="J26" s="1778">
        <f t="shared" si="3"/>
        <v>0.13708799999999996</v>
      </c>
      <c r="K26" s="1779">
        <f t="shared" si="4"/>
        <v>0.99388799999999977</v>
      </c>
      <c r="L26" s="1780">
        <f t="shared" si="7"/>
        <v>4.3432905599999989</v>
      </c>
      <c r="M26" s="1873"/>
      <c r="N26" s="1791">
        <v>6.4</v>
      </c>
      <c r="O26" s="1783">
        <f t="shared" si="5"/>
        <v>0</v>
      </c>
      <c r="P26" s="1784">
        <f t="shared" si="2"/>
        <v>0</v>
      </c>
      <c r="Q26" s="1788"/>
      <c r="R26" s="1801"/>
      <c r="S26" s="1790"/>
    </row>
    <row r="27" spans="1:19" ht="30">
      <c r="A27" s="1787" t="s">
        <v>5357</v>
      </c>
      <c r="B27" s="1797" t="s">
        <v>5358</v>
      </c>
      <c r="C27" s="1772" t="s">
        <v>5356</v>
      </c>
      <c r="D27" s="1773" t="s">
        <v>5353</v>
      </c>
      <c r="E27" s="1773">
        <v>12</v>
      </c>
      <c r="F27" s="1774">
        <v>14.841000000000001</v>
      </c>
      <c r="G27" s="1863">
        <f t="shared" si="0"/>
        <v>1.23675</v>
      </c>
      <c r="H27" s="1776">
        <f t="shared" si="6"/>
        <v>1.4346299999999998</v>
      </c>
      <c r="I27" s="1777">
        <f t="shared" si="8"/>
        <v>1.4841</v>
      </c>
      <c r="J27" s="1778">
        <f t="shared" si="3"/>
        <v>0.237456</v>
      </c>
      <c r="K27" s="1779">
        <f t="shared" si="4"/>
        <v>1.7215560000000001</v>
      </c>
      <c r="L27" s="1780">
        <f t="shared" si="7"/>
        <v>7.5231997200000009</v>
      </c>
      <c r="M27" s="1873"/>
      <c r="N27" s="1788">
        <v>6.32</v>
      </c>
      <c r="O27" s="1783">
        <f t="shared" si="5"/>
        <v>0</v>
      </c>
      <c r="P27" s="1784">
        <f t="shared" si="2"/>
        <v>0</v>
      </c>
      <c r="Q27" s="1788"/>
      <c r="R27" s="1801"/>
      <c r="S27" s="1790"/>
    </row>
    <row r="28" spans="1:19" ht="30">
      <c r="A28" s="1787" t="s">
        <v>5359</v>
      </c>
      <c r="B28" s="1771" t="s">
        <v>5360</v>
      </c>
      <c r="C28" s="1772" t="s">
        <v>5361</v>
      </c>
      <c r="D28" s="1773" t="s">
        <v>5350</v>
      </c>
      <c r="E28" s="1773">
        <v>24</v>
      </c>
      <c r="F28" s="1774">
        <v>21.7147392</v>
      </c>
      <c r="G28" s="1866">
        <f t="shared" si="0"/>
        <v>0.90478080000000005</v>
      </c>
      <c r="H28" s="1776">
        <f t="shared" si="6"/>
        <v>1.049545728</v>
      </c>
      <c r="I28" s="1777">
        <f t="shared" si="8"/>
        <v>1.08573696</v>
      </c>
      <c r="J28" s="1778">
        <f t="shared" si="3"/>
        <v>0.1737179136</v>
      </c>
      <c r="K28" s="1779">
        <f t="shared" si="4"/>
        <v>1.2594548736</v>
      </c>
      <c r="L28" s="1780">
        <f t="shared" si="7"/>
        <v>5.5038177976320002</v>
      </c>
      <c r="M28" s="1873"/>
      <c r="N28" s="1791">
        <v>6.4</v>
      </c>
      <c r="O28" s="1783">
        <f t="shared" si="5"/>
        <v>0</v>
      </c>
      <c r="P28" s="1784">
        <f t="shared" si="2"/>
        <v>0</v>
      </c>
      <c r="Q28" s="1788"/>
      <c r="R28" s="1801"/>
      <c r="S28" s="1790"/>
    </row>
    <row r="29" spans="1:19" ht="30">
      <c r="A29" s="1787" t="s">
        <v>5362</v>
      </c>
      <c r="B29" s="1771" t="s">
        <v>5363</v>
      </c>
      <c r="C29" s="1772" t="s">
        <v>5361</v>
      </c>
      <c r="D29" s="1773" t="s">
        <v>5353</v>
      </c>
      <c r="E29" s="1773">
        <v>12</v>
      </c>
      <c r="F29" s="1774">
        <v>17.55</v>
      </c>
      <c r="G29" s="1866">
        <f t="shared" si="0"/>
        <v>1.4625000000000001</v>
      </c>
      <c r="H29" s="1776">
        <f t="shared" si="6"/>
        <v>1.6965000000000001</v>
      </c>
      <c r="I29" s="1777">
        <f t="shared" si="8"/>
        <v>1.7550000000000001</v>
      </c>
      <c r="J29" s="1778">
        <f t="shared" si="3"/>
        <v>0.28080000000000005</v>
      </c>
      <c r="K29" s="1779">
        <f t="shared" si="4"/>
        <v>2.0358000000000001</v>
      </c>
      <c r="L29" s="1780">
        <f t="shared" si="7"/>
        <v>8.896446000000001</v>
      </c>
      <c r="M29" s="1873"/>
      <c r="N29" s="1791">
        <v>6.3</v>
      </c>
      <c r="O29" s="1783">
        <f t="shared" si="5"/>
        <v>0</v>
      </c>
      <c r="P29" s="1784">
        <f t="shared" si="2"/>
        <v>0</v>
      </c>
      <c r="Q29" s="1788"/>
      <c r="R29" s="1801"/>
      <c r="S29" s="1790"/>
    </row>
    <row r="30" spans="1:19" ht="30">
      <c r="A30" s="1787">
        <v>7591015162454</v>
      </c>
      <c r="B30" s="1771" t="s">
        <v>5364</v>
      </c>
      <c r="C30" s="1772" t="s">
        <v>5365</v>
      </c>
      <c r="D30" s="1773" t="s">
        <v>5366</v>
      </c>
      <c r="E30" s="1773">
        <v>24</v>
      </c>
      <c r="F30" s="1774">
        <v>20.594044800000002</v>
      </c>
      <c r="G30" s="1863">
        <f t="shared" si="0"/>
        <v>0.8580852000000001</v>
      </c>
      <c r="H30" s="1776">
        <f t="shared" si="6"/>
        <v>0.9953788320000001</v>
      </c>
      <c r="I30" s="1777">
        <f t="shared" si="8"/>
        <v>1.02970224</v>
      </c>
      <c r="J30" s="1778">
        <f t="shared" si="3"/>
        <v>0.16475235839999999</v>
      </c>
      <c r="K30" s="1779">
        <f t="shared" si="4"/>
        <v>1.1944545983999999</v>
      </c>
      <c r="L30" s="1780">
        <f t="shared" si="7"/>
        <v>5.2197665950080001</v>
      </c>
      <c r="M30" s="1873"/>
      <c r="N30" s="1791">
        <v>8.01</v>
      </c>
      <c r="O30" s="1783">
        <f t="shared" si="5"/>
        <v>0</v>
      </c>
      <c r="P30" s="1784">
        <f t="shared" si="2"/>
        <v>0</v>
      </c>
      <c r="Q30" s="1788"/>
      <c r="R30" s="1801"/>
      <c r="S30" s="1790"/>
    </row>
    <row r="31" spans="1:19">
      <c r="A31" s="1787" t="s">
        <v>5367</v>
      </c>
      <c r="B31" s="1771" t="s">
        <v>5368</v>
      </c>
      <c r="C31" s="1772" t="s">
        <v>5369</v>
      </c>
      <c r="D31" s="1773" t="s">
        <v>5370</v>
      </c>
      <c r="E31" s="1773">
        <v>24</v>
      </c>
      <c r="F31" s="1774">
        <v>10.8</v>
      </c>
      <c r="G31" s="1866">
        <f t="shared" si="0"/>
        <v>0.45</v>
      </c>
      <c r="H31" s="1776">
        <f t="shared" si="6"/>
        <v>0.52200000000000002</v>
      </c>
      <c r="I31" s="1777">
        <f t="shared" si="8"/>
        <v>0.54</v>
      </c>
      <c r="J31" s="1778">
        <f t="shared" si="3"/>
        <v>8.6400000000000005E-2</v>
      </c>
      <c r="K31" s="1779">
        <f t="shared" si="4"/>
        <v>0.62640000000000007</v>
      </c>
      <c r="L31" s="1780">
        <f t="shared" si="7"/>
        <v>2.7373680000000005</v>
      </c>
      <c r="M31" s="1873"/>
      <c r="N31" s="1788">
        <v>7</v>
      </c>
      <c r="O31" s="1783">
        <f t="shared" si="5"/>
        <v>0</v>
      </c>
      <c r="P31" s="1784">
        <f t="shared" si="2"/>
        <v>0</v>
      </c>
      <c r="Q31" s="1788"/>
      <c r="R31" s="1801"/>
      <c r="S31" s="1790"/>
    </row>
    <row r="32" spans="1:19">
      <c r="A32" s="1787" t="s">
        <v>5371</v>
      </c>
      <c r="B32" s="1771" t="s">
        <v>5372</v>
      </c>
      <c r="C32" s="1772" t="s">
        <v>5373</v>
      </c>
      <c r="D32" s="1773" t="s">
        <v>5370</v>
      </c>
      <c r="E32" s="1773">
        <v>24</v>
      </c>
      <c r="F32" s="1774">
        <v>14.198399999999998</v>
      </c>
      <c r="G32" s="1866">
        <f t="shared" si="0"/>
        <v>0.5915999999999999</v>
      </c>
      <c r="H32" s="1776">
        <f t="shared" si="6"/>
        <v>0.68625599999999987</v>
      </c>
      <c r="I32" s="1777">
        <f t="shared" si="8"/>
        <v>0.70991999999999988</v>
      </c>
      <c r="J32" s="1778">
        <f t="shared" si="3"/>
        <v>0.11358719999999999</v>
      </c>
      <c r="K32" s="1779">
        <f t="shared" si="4"/>
        <v>0.82350719999999988</v>
      </c>
      <c r="L32" s="1780">
        <f t="shared" si="7"/>
        <v>3.5987264639999994</v>
      </c>
      <c r="M32" s="1869"/>
      <c r="N32" s="1788">
        <v>7</v>
      </c>
      <c r="O32" s="1783">
        <f t="shared" si="5"/>
        <v>0</v>
      </c>
      <c r="P32" s="1784">
        <f t="shared" si="2"/>
        <v>0</v>
      </c>
      <c r="Q32" s="1788"/>
      <c r="R32" s="1801"/>
      <c r="S32" s="1790"/>
    </row>
    <row r="33" spans="1:19">
      <c r="A33" s="1787" t="s">
        <v>5374</v>
      </c>
      <c r="B33" s="1771" t="s">
        <v>5375</v>
      </c>
      <c r="C33" s="1772" t="s">
        <v>5376</v>
      </c>
      <c r="D33" s="1773" t="s">
        <v>5370</v>
      </c>
      <c r="E33" s="1773">
        <v>24</v>
      </c>
      <c r="F33" s="1774">
        <v>14.198399999999998</v>
      </c>
      <c r="G33" s="1866">
        <f t="shared" si="0"/>
        <v>0.5915999999999999</v>
      </c>
      <c r="H33" s="1776">
        <f t="shared" si="6"/>
        <v>0.68625599999999987</v>
      </c>
      <c r="I33" s="1777">
        <f t="shared" si="8"/>
        <v>0.70991999999999988</v>
      </c>
      <c r="J33" s="1778">
        <f t="shared" si="3"/>
        <v>0.11358719999999999</v>
      </c>
      <c r="K33" s="1779">
        <f t="shared" si="4"/>
        <v>0.82350719999999988</v>
      </c>
      <c r="L33" s="1780">
        <f t="shared" si="7"/>
        <v>3.5987264639999994</v>
      </c>
      <c r="M33" s="1873"/>
      <c r="N33" s="1788">
        <v>7</v>
      </c>
      <c r="O33" s="1783">
        <f t="shared" si="5"/>
        <v>0</v>
      </c>
      <c r="P33" s="1784">
        <f t="shared" si="2"/>
        <v>0</v>
      </c>
      <c r="Q33" s="1788"/>
      <c r="R33" s="1801"/>
      <c r="S33" s="1790"/>
    </row>
    <row r="34" spans="1:19">
      <c r="A34" s="1787" t="s">
        <v>5377</v>
      </c>
      <c r="B34" s="1771" t="s">
        <v>5378</v>
      </c>
      <c r="C34" s="1772" t="s">
        <v>5379</v>
      </c>
      <c r="D34" s="1773" t="s">
        <v>5370</v>
      </c>
      <c r="E34" s="1773">
        <v>24</v>
      </c>
      <c r="F34" s="1774">
        <v>12.988800000000001</v>
      </c>
      <c r="G34" s="1863">
        <f t="shared" si="0"/>
        <v>0.54120000000000001</v>
      </c>
      <c r="H34" s="1776">
        <f t="shared" si="6"/>
        <v>0.62779200000000002</v>
      </c>
      <c r="I34" s="1777">
        <f t="shared" si="8"/>
        <v>0.64944000000000002</v>
      </c>
      <c r="J34" s="1778">
        <f t="shared" si="3"/>
        <v>0.1039104</v>
      </c>
      <c r="K34" s="1779">
        <f t="shared" si="4"/>
        <v>0.75335039999999998</v>
      </c>
      <c r="L34" s="1780">
        <f t="shared" si="7"/>
        <v>3.2921412480000001</v>
      </c>
      <c r="M34" s="1873"/>
      <c r="N34" s="1788">
        <v>7</v>
      </c>
      <c r="O34" s="1783">
        <f t="shared" si="5"/>
        <v>0</v>
      </c>
      <c r="P34" s="1784">
        <f t="shared" si="2"/>
        <v>0</v>
      </c>
      <c r="Q34" s="1788"/>
      <c r="R34" s="1801"/>
      <c r="S34" s="1790"/>
    </row>
    <row r="35" spans="1:19">
      <c r="A35" s="1787" t="s">
        <v>5380</v>
      </c>
      <c r="B35" s="1771" t="s">
        <v>5381</v>
      </c>
      <c r="C35" s="1772" t="s">
        <v>5382</v>
      </c>
      <c r="D35" s="1773" t="s">
        <v>5383</v>
      </c>
      <c r="E35" s="1773">
        <v>24</v>
      </c>
      <c r="F35" s="1774">
        <v>15.0792</v>
      </c>
      <c r="G35" s="1863">
        <f t="shared" si="0"/>
        <v>0.62829999999999997</v>
      </c>
      <c r="H35" s="1776">
        <f>+G35*1.16</f>
        <v>0.72882799999999992</v>
      </c>
      <c r="I35" s="1777">
        <f t="shared" si="8"/>
        <v>0.75395999999999996</v>
      </c>
      <c r="J35" s="1778">
        <f t="shared" si="3"/>
        <v>0.12063359999999999</v>
      </c>
      <c r="K35" s="1779">
        <f t="shared" si="4"/>
        <v>0.87459359999999997</v>
      </c>
      <c r="L35" s="1780">
        <f t="shared" si="7"/>
        <v>3.821974032</v>
      </c>
      <c r="M35" s="1873"/>
      <c r="N35" s="1788">
        <v>7.04</v>
      </c>
      <c r="O35" s="1783">
        <f t="shared" si="5"/>
        <v>0</v>
      </c>
      <c r="P35" s="1784">
        <f t="shared" si="2"/>
        <v>0</v>
      </c>
      <c r="Q35" s="1788"/>
      <c r="R35" s="1801"/>
      <c r="S35" s="1790"/>
    </row>
    <row r="36" spans="1:19">
      <c r="A36" s="1787">
        <v>7591015162461</v>
      </c>
      <c r="B36" s="1771" t="s">
        <v>5384</v>
      </c>
      <c r="C36" s="1772" t="s">
        <v>5385</v>
      </c>
      <c r="D36" s="1773" t="s">
        <v>5386</v>
      </c>
      <c r="E36" s="1773">
        <v>24</v>
      </c>
      <c r="F36" s="1774">
        <v>15.7386</v>
      </c>
      <c r="G36" s="1863">
        <f t="shared" si="0"/>
        <v>0.655775</v>
      </c>
      <c r="H36" s="1776">
        <f>+G36*1.16</f>
        <v>0.7606989999999999</v>
      </c>
      <c r="I36" s="1777">
        <f t="shared" si="8"/>
        <v>0.78693000000000002</v>
      </c>
      <c r="J36" s="1778">
        <f>+I36*16%</f>
        <v>0.12590880000000002</v>
      </c>
      <c r="K36" s="1779">
        <f>+I36+J36</f>
        <v>0.91283880000000006</v>
      </c>
      <c r="L36" s="1780">
        <f t="shared" si="7"/>
        <v>3.9891055560000002</v>
      </c>
      <c r="M36" s="1873"/>
      <c r="N36" s="1782">
        <v>8.1999999999999993</v>
      </c>
      <c r="O36" s="1783">
        <f>+M36*N36</f>
        <v>0</v>
      </c>
      <c r="P36" s="1784">
        <f t="shared" si="2"/>
        <v>0</v>
      </c>
      <c r="Q36" s="1788"/>
      <c r="R36" s="1801"/>
      <c r="S36" s="1790"/>
    </row>
    <row r="37" spans="1:19">
      <c r="A37" s="1787" t="s">
        <v>5387</v>
      </c>
      <c r="B37" s="1771" t="s">
        <v>5388</v>
      </c>
      <c r="C37" s="1772" t="s">
        <v>5389</v>
      </c>
      <c r="D37" s="1773" t="s">
        <v>5325</v>
      </c>
      <c r="E37" s="1773">
        <v>24</v>
      </c>
      <c r="F37" s="1774">
        <v>8.8302493440000003</v>
      </c>
      <c r="G37" s="1863">
        <f t="shared" si="0"/>
        <v>0.36792705600000003</v>
      </c>
      <c r="H37" s="1776">
        <f t="shared" si="6"/>
        <v>0.42679538496000002</v>
      </c>
      <c r="I37" s="1777">
        <f t="shared" si="8"/>
        <v>0.44151246720000004</v>
      </c>
      <c r="J37" s="1778">
        <f t="shared" si="3"/>
        <v>7.0641994752000004E-2</v>
      </c>
      <c r="K37" s="1779">
        <f t="shared" si="4"/>
        <v>0.51215446195199998</v>
      </c>
      <c r="L37" s="1780">
        <f t="shared" si="7"/>
        <v>2.2381149987302398</v>
      </c>
      <c r="M37" s="1873"/>
      <c r="N37" s="1791">
        <v>10.8</v>
      </c>
      <c r="O37" s="1783">
        <f t="shared" si="5"/>
        <v>0</v>
      </c>
      <c r="P37" s="1784">
        <f t="shared" si="2"/>
        <v>0</v>
      </c>
      <c r="Q37" s="1788"/>
      <c r="R37" s="1801"/>
      <c r="S37" s="1790"/>
    </row>
    <row r="38" spans="1:19" ht="30">
      <c r="A38" s="1787" t="s">
        <v>5390</v>
      </c>
      <c r="B38" s="1771" t="s">
        <v>5391</v>
      </c>
      <c r="C38" s="1772" t="s">
        <v>5392</v>
      </c>
      <c r="D38" s="1773" t="s">
        <v>5325</v>
      </c>
      <c r="E38" s="1773">
        <v>24</v>
      </c>
      <c r="F38" s="1774">
        <v>8.5337280000000018</v>
      </c>
      <c r="G38" s="1863">
        <f t="shared" si="0"/>
        <v>0.35557200000000005</v>
      </c>
      <c r="H38" s="1776">
        <f t="shared" si="6"/>
        <v>0.41246352000000003</v>
      </c>
      <c r="I38" s="1777">
        <f t="shared" si="8"/>
        <v>0.42668640000000008</v>
      </c>
      <c r="J38" s="1778">
        <f t="shared" si="3"/>
        <v>6.8269824000000021E-2</v>
      </c>
      <c r="K38" s="1779">
        <f t="shared" si="4"/>
        <v>0.49495622400000011</v>
      </c>
      <c r="L38" s="1780">
        <f t="shared" si="7"/>
        <v>2.1629586988800007</v>
      </c>
      <c r="M38" s="1873"/>
      <c r="N38" s="1791">
        <v>10.8</v>
      </c>
      <c r="O38" s="1783">
        <f t="shared" si="5"/>
        <v>0</v>
      </c>
      <c r="P38" s="1784">
        <f t="shared" si="2"/>
        <v>0</v>
      </c>
      <c r="Q38" s="1788"/>
      <c r="R38" s="1801"/>
      <c r="S38" s="1790"/>
    </row>
    <row r="39" spans="1:19">
      <c r="A39" s="1787" t="s">
        <v>5393</v>
      </c>
      <c r="B39" s="1771" t="s">
        <v>5394</v>
      </c>
      <c r="C39" s="1772" t="s">
        <v>5395</v>
      </c>
      <c r="D39" s="1773" t="s">
        <v>5325</v>
      </c>
      <c r="E39" s="1773">
        <v>24</v>
      </c>
      <c r="F39" s="1774">
        <v>6.681</v>
      </c>
      <c r="G39" s="1863">
        <f t="shared" si="0"/>
        <v>0.27837499999999998</v>
      </c>
      <c r="H39" s="1776">
        <f t="shared" si="6"/>
        <v>0.32291499999999995</v>
      </c>
      <c r="I39" s="1777">
        <f t="shared" si="8"/>
        <v>0.33404999999999996</v>
      </c>
      <c r="J39" s="1778">
        <f t="shared" si="3"/>
        <v>5.3447999999999996E-2</v>
      </c>
      <c r="K39" s="1779">
        <f t="shared" si="4"/>
        <v>0.38749799999999995</v>
      </c>
      <c r="L39" s="1780">
        <f t="shared" si="7"/>
        <v>1.6933662599999999</v>
      </c>
      <c r="M39" s="1873"/>
      <c r="N39" s="1796">
        <v>10.8</v>
      </c>
      <c r="O39" s="1783">
        <f t="shared" si="5"/>
        <v>0</v>
      </c>
      <c r="P39" s="1784">
        <f t="shared" si="2"/>
        <v>0</v>
      </c>
      <c r="Q39" s="1788"/>
      <c r="R39" s="1801"/>
      <c r="S39" s="1790"/>
    </row>
    <row r="40" spans="1:19">
      <c r="A40" s="1787" t="s">
        <v>5396</v>
      </c>
      <c r="B40" s="1771" t="s">
        <v>5397</v>
      </c>
      <c r="C40" s="1772" t="s">
        <v>5398</v>
      </c>
      <c r="D40" s="1773" t="s">
        <v>5325</v>
      </c>
      <c r="E40" s="1773">
        <v>24</v>
      </c>
      <c r="F40" s="1774">
        <v>6.681</v>
      </c>
      <c r="G40" s="1863">
        <f t="shared" si="0"/>
        <v>0.27837499999999998</v>
      </c>
      <c r="H40" s="1776">
        <f t="shared" si="6"/>
        <v>0.32291499999999995</v>
      </c>
      <c r="I40" s="1777">
        <f t="shared" si="8"/>
        <v>0.33404999999999996</v>
      </c>
      <c r="J40" s="1778">
        <f t="shared" si="3"/>
        <v>5.3447999999999996E-2</v>
      </c>
      <c r="K40" s="1779">
        <f t="shared" si="4"/>
        <v>0.38749799999999995</v>
      </c>
      <c r="L40" s="1780">
        <f t="shared" si="7"/>
        <v>1.6933662599999999</v>
      </c>
      <c r="M40" s="1873"/>
      <c r="N40" s="1796">
        <v>10.8</v>
      </c>
      <c r="O40" s="1783">
        <f t="shared" si="5"/>
        <v>0</v>
      </c>
      <c r="P40" s="1784">
        <f t="shared" si="2"/>
        <v>0</v>
      </c>
      <c r="Q40" s="1788"/>
      <c r="R40" s="1801"/>
      <c r="S40" s="1790"/>
    </row>
    <row r="41" spans="1:19">
      <c r="A41" s="1787" t="s">
        <v>5399</v>
      </c>
      <c r="B41" s="1771" t="s">
        <v>5400</v>
      </c>
      <c r="C41" s="1772" t="s">
        <v>5401</v>
      </c>
      <c r="D41" s="1773" t="s">
        <v>5325</v>
      </c>
      <c r="E41" s="1773">
        <v>24</v>
      </c>
      <c r="F41" s="1774">
        <v>6.681</v>
      </c>
      <c r="G41" s="1863">
        <f t="shared" si="0"/>
        <v>0.27837499999999998</v>
      </c>
      <c r="H41" s="1776">
        <f t="shared" si="6"/>
        <v>0.32291499999999995</v>
      </c>
      <c r="I41" s="1777">
        <f t="shared" si="8"/>
        <v>0.33404999999999996</v>
      </c>
      <c r="J41" s="1778">
        <f t="shared" si="3"/>
        <v>5.3447999999999996E-2</v>
      </c>
      <c r="K41" s="1779">
        <f t="shared" si="4"/>
        <v>0.38749799999999995</v>
      </c>
      <c r="L41" s="1780">
        <f t="shared" si="7"/>
        <v>1.6933662599999999</v>
      </c>
      <c r="M41" s="1873"/>
      <c r="N41" s="1796">
        <v>10.8</v>
      </c>
      <c r="O41" s="1783">
        <f t="shared" si="5"/>
        <v>0</v>
      </c>
      <c r="P41" s="1784">
        <f t="shared" si="2"/>
        <v>0</v>
      </c>
      <c r="Q41" s="1788"/>
      <c r="R41" s="1801"/>
      <c r="S41" s="1790"/>
    </row>
    <row r="42" spans="1:19">
      <c r="A42" s="1787" t="s">
        <v>5402</v>
      </c>
      <c r="B42" s="1771" t="s">
        <v>5403</v>
      </c>
      <c r="C42" s="1772" t="s">
        <v>5404</v>
      </c>
      <c r="D42" s="1773" t="s">
        <v>5366</v>
      </c>
      <c r="E42" s="1773">
        <v>24</v>
      </c>
      <c r="F42" s="1774">
        <v>20.4725</v>
      </c>
      <c r="G42" s="1863">
        <f t="shared" si="0"/>
        <v>0.85302083333333334</v>
      </c>
      <c r="H42" s="1776">
        <f t="shared" si="6"/>
        <v>0.98950416666666663</v>
      </c>
      <c r="I42" s="1777">
        <f t="shared" si="8"/>
        <v>1.023625</v>
      </c>
      <c r="J42" s="1778">
        <f t="shared" si="3"/>
        <v>0.16378000000000001</v>
      </c>
      <c r="K42" s="1779">
        <f t="shared" si="4"/>
        <v>1.187405</v>
      </c>
      <c r="L42" s="1780">
        <f t="shared" si="7"/>
        <v>5.1889598500000007</v>
      </c>
      <c r="M42" s="1873"/>
      <c r="N42" s="1791">
        <v>8.6</v>
      </c>
      <c r="O42" s="1783">
        <f t="shared" si="5"/>
        <v>0</v>
      </c>
      <c r="P42" s="1784">
        <f t="shared" si="2"/>
        <v>0</v>
      </c>
      <c r="Q42" s="1788"/>
      <c r="R42" s="1801"/>
      <c r="S42" s="1790"/>
    </row>
    <row r="43" spans="1:19">
      <c r="A43" s="1787" t="s">
        <v>5405</v>
      </c>
      <c r="B43" s="1771" t="s">
        <v>5406</v>
      </c>
      <c r="C43" s="1772" t="s">
        <v>5404</v>
      </c>
      <c r="D43" s="1773" t="s">
        <v>5407</v>
      </c>
      <c r="E43" s="1773">
        <v>12</v>
      </c>
      <c r="F43" s="1774">
        <v>24.272500000000001</v>
      </c>
      <c r="G43" s="1863">
        <f t="shared" si="0"/>
        <v>2.0227083333333336</v>
      </c>
      <c r="H43" s="1776">
        <f t="shared" si="6"/>
        <v>2.3463416666666665</v>
      </c>
      <c r="I43" s="1777">
        <f t="shared" si="8"/>
        <v>2.4272500000000004</v>
      </c>
      <c r="J43" s="1778">
        <f t="shared" si="3"/>
        <v>0.38836000000000004</v>
      </c>
      <c r="K43" s="1779">
        <f t="shared" si="4"/>
        <v>2.8156100000000004</v>
      </c>
      <c r="L43" s="1780">
        <f t="shared" si="7"/>
        <v>12.304215700000002</v>
      </c>
      <c r="M43" s="1873"/>
      <c r="N43" s="1791">
        <v>9</v>
      </c>
      <c r="O43" s="1783">
        <f t="shared" si="5"/>
        <v>0</v>
      </c>
      <c r="P43" s="1784">
        <f t="shared" si="2"/>
        <v>0</v>
      </c>
      <c r="Q43" s="1788"/>
      <c r="R43" s="1801"/>
      <c r="S43" s="1790"/>
    </row>
    <row r="44" spans="1:19">
      <c r="A44" s="1787" t="s">
        <v>5408</v>
      </c>
      <c r="B44" s="1771" t="s">
        <v>5409</v>
      </c>
      <c r="C44" s="1772" t="s">
        <v>5410</v>
      </c>
      <c r="D44" s="1773" t="s">
        <v>5366</v>
      </c>
      <c r="E44" s="1773">
        <v>24</v>
      </c>
      <c r="F44" s="1774">
        <v>14.820000000000002</v>
      </c>
      <c r="G44" s="1863">
        <f t="shared" si="0"/>
        <v>0.61750000000000005</v>
      </c>
      <c r="H44" s="1776">
        <f t="shared" si="6"/>
        <v>0.71630000000000005</v>
      </c>
      <c r="I44" s="1777">
        <f t="shared" si="8"/>
        <v>0.74099999999999999</v>
      </c>
      <c r="J44" s="1778">
        <f t="shared" si="3"/>
        <v>0.11856</v>
      </c>
      <c r="K44" s="1779">
        <f t="shared" si="4"/>
        <v>0.85955999999999999</v>
      </c>
      <c r="L44" s="1780">
        <f t="shared" si="7"/>
        <v>3.7562772</v>
      </c>
      <c r="M44" s="1873"/>
      <c r="N44" s="1788">
        <v>8.6</v>
      </c>
      <c r="O44" s="1783">
        <f t="shared" si="5"/>
        <v>0</v>
      </c>
      <c r="P44" s="1784">
        <f t="shared" si="2"/>
        <v>0</v>
      </c>
      <c r="Q44" s="1788"/>
      <c r="R44" s="1801"/>
      <c r="S44" s="1790"/>
    </row>
    <row r="45" spans="1:19">
      <c r="A45" s="1787" t="s">
        <v>5411</v>
      </c>
      <c r="B45" s="1771" t="s">
        <v>5412</v>
      </c>
      <c r="C45" s="1772" t="s">
        <v>5410</v>
      </c>
      <c r="D45" s="1773" t="s">
        <v>5407</v>
      </c>
      <c r="E45" s="1773">
        <v>12</v>
      </c>
      <c r="F45" s="1774">
        <v>16.672499999999999</v>
      </c>
      <c r="G45" s="1863">
        <f t="shared" si="0"/>
        <v>1.389375</v>
      </c>
      <c r="H45" s="1776">
        <f t="shared" si="6"/>
        <v>1.611675</v>
      </c>
      <c r="I45" s="1777">
        <f t="shared" si="8"/>
        <v>1.6672499999999999</v>
      </c>
      <c r="J45" s="1778">
        <f t="shared" si="3"/>
        <v>0.26676</v>
      </c>
      <c r="K45" s="1779">
        <f t="shared" si="4"/>
        <v>1.9340099999999998</v>
      </c>
      <c r="L45" s="1780">
        <f t="shared" si="7"/>
        <v>8.451623699999999</v>
      </c>
      <c r="M45" s="1873"/>
      <c r="N45" s="1791">
        <v>9</v>
      </c>
      <c r="O45" s="1783">
        <f t="shared" si="5"/>
        <v>0</v>
      </c>
      <c r="P45" s="1784">
        <f t="shared" si="2"/>
        <v>0</v>
      </c>
      <c r="Q45" s="1788"/>
      <c r="R45" s="1801"/>
      <c r="S45" s="1790"/>
    </row>
    <row r="46" spans="1:19">
      <c r="A46" s="1787" t="s">
        <v>5413</v>
      </c>
      <c r="B46" s="1771" t="s">
        <v>5414</v>
      </c>
      <c r="C46" s="1772" t="s">
        <v>5415</v>
      </c>
      <c r="D46" s="1773" t="s">
        <v>5366</v>
      </c>
      <c r="E46" s="1773">
        <v>24</v>
      </c>
      <c r="F46" s="1774">
        <v>22.372500000000002</v>
      </c>
      <c r="G46" s="1863">
        <f t="shared" si="0"/>
        <v>0.93218750000000006</v>
      </c>
      <c r="H46" s="1776">
        <f t="shared" si="6"/>
        <v>1.0813375000000001</v>
      </c>
      <c r="I46" s="1777">
        <f t="shared" si="8"/>
        <v>1.118625</v>
      </c>
      <c r="J46" s="1778">
        <f t="shared" si="3"/>
        <v>0.17898</v>
      </c>
      <c r="K46" s="1779">
        <f t="shared" si="4"/>
        <v>1.2976049999999999</v>
      </c>
      <c r="L46" s="1780">
        <f t="shared" si="7"/>
        <v>5.67053385</v>
      </c>
      <c r="M46" s="1873"/>
      <c r="N46" s="1791">
        <v>8.6</v>
      </c>
      <c r="O46" s="1783">
        <f t="shared" si="5"/>
        <v>0</v>
      </c>
      <c r="P46" s="1784">
        <f t="shared" si="2"/>
        <v>0</v>
      </c>
      <c r="Q46" s="1788"/>
      <c r="R46" s="1801"/>
      <c r="S46" s="1790"/>
    </row>
    <row r="47" spans="1:19">
      <c r="A47" s="1787" t="s">
        <v>5416</v>
      </c>
      <c r="B47" s="1771" t="s">
        <v>5417</v>
      </c>
      <c r="C47" s="1772" t="s">
        <v>5415</v>
      </c>
      <c r="D47" s="1773" t="s">
        <v>5407</v>
      </c>
      <c r="E47" s="1773">
        <v>12</v>
      </c>
      <c r="F47" s="1774">
        <v>27.474</v>
      </c>
      <c r="G47" s="1863">
        <f t="shared" si="0"/>
        <v>2.2894999999999999</v>
      </c>
      <c r="H47" s="1776">
        <f t="shared" si="6"/>
        <v>2.6558199999999998</v>
      </c>
      <c r="I47" s="1777">
        <f t="shared" si="8"/>
        <v>2.7473999999999998</v>
      </c>
      <c r="J47" s="1778">
        <f t="shared" si="3"/>
        <v>0.43958399999999997</v>
      </c>
      <c r="K47" s="1779">
        <f t="shared" si="4"/>
        <v>3.1869839999999998</v>
      </c>
      <c r="L47" s="1780">
        <f t="shared" si="7"/>
        <v>13.92712008</v>
      </c>
      <c r="M47" s="1873"/>
      <c r="N47" s="1791">
        <v>9</v>
      </c>
      <c r="O47" s="1783">
        <f t="shared" si="5"/>
        <v>0</v>
      </c>
      <c r="P47" s="1784">
        <f t="shared" si="2"/>
        <v>0</v>
      </c>
      <c r="Q47" s="1788"/>
      <c r="R47" s="1801"/>
      <c r="S47" s="1790"/>
    </row>
    <row r="48" spans="1:19">
      <c r="A48" s="1787" t="s">
        <v>5418</v>
      </c>
      <c r="B48" s="1771" t="s">
        <v>5419</v>
      </c>
      <c r="C48" s="1772" t="s">
        <v>5420</v>
      </c>
      <c r="D48" s="1773" t="s">
        <v>5366</v>
      </c>
      <c r="E48" s="1773">
        <v>24</v>
      </c>
      <c r="F48" s="1774">
        <v>15.667199999999998</v>
      </c>
      <c r="G48" s="1863">
        <f t="shared" si="0"/>
        <v>0.65279999999999994</v>
      </c>
      <c r="H48" s="1776">
        <f t="shared" si="6"/>
        <v>0.75724799999999992</v>
      </c>
      <c r="I48" s="1777">
        <f t="shared" si="8"/>
        <v>0.78335999999999995</v>
      </c>
      <c r="J48" s="1778">
        <f t="shared" si="3"/>
        <v>0.12533759999999999</v>
      </c>
      <c r="K48" s="1779">
        <f t="shared" si="4"/>
        <v>0.90869759999999999</v>
      </c>
      <c r="L48" s="1780">
        <f t="shared" si="7"/>
        <v>3.971008512</v>
      </c>
      <c r="M48" s="1873"/>
      <c r="N48" s="1788">
        <v>8.01</v>
      </c>
      <c r="O48" s="1783">
        <f t="shared" si="5"/>
        <v>0</v>
      </c>
      <c r="P48" s="1784">
        <f t="shared" si="2"/>
        <v>0</v>
      </c>
      <c r="Q48" s="1788"/>
      <c r="R48" s="1801"/>
      <c r="S48" s="1790"/>
    </row>
    <row r="49" spans="1:19">
      <c r="A49" s="1787" t="s">
        <v>5421</v>
      </c>
      <c r="B49" s="1771" t="s">
        <v>5422</v>
      </c>
      <c r="C49" s="1772" t="s">
        <v>5420</v>
      </c>
      <c r="D49" s="1773" t="s">
        <v>5407</v>
      </c>
      <c r="E49" s="1773">
        <v>12</v>
      </c>
      <c r="F49" s="1774">
        <v>19.584</v>
      </c>
      <c r="G49" s="1863">
        <f t="shared" si="0"/>
        <v>1.6319999999999999</v>
      </c>
      <c r="H49" s="1776">
        <f t="shared" si="6"/>
        <v>1.8931199999999997</v>
      </c>
      <c r="I49" s="1777">
        <f t="shared" si="8"/>
        <v>1.9583999999999997</v>
      </c>
      <c r="J49" s="1778">
        <f t="shared" si="3"/>
        <v>0.31334399999999996</v>
      </c>
      <c r="K49" s="1779">
        <f t="shared" si="4"/>
        <v>2.2717439999999995</v>
      </c>
      <c r="L49" s="1780">
        <f>+K49*$L$9</f>
        <v>9.9275212799999988</v>
      </c>
      <c r="M49" s="1873"/>
      <c r="N49" s="1791">
        <v>9</v>
      </c>
      <c r="O49" s="1783">
        <f t="shared" si="5"/>
        <v>0</v>
      </c>
      <c r="P49" s="1784">
        <f t="shared" si="2"/>
        <v>0</v>
      </c>
      <c r="Q49" s="1788"/>
      <c r="R49" s="1801"/>
      <c r="S49" s="1790"/>
    </row>
    <row r="50" spans="1:19" ht="30">
      <c r="A50" s="1787" t="s">
        <v>5423</v>
      </c>
      <c r="B50" s="1771" t="s">
        <v>5424</v>
      </c>
      <c r="C50" s="1772" t="s">
        <v>5425</v>
      </c>
      <c r="D50" s="1773" t="s">
        <v>5407</v>
      </c>
      <c r="E50" s="1773">
        <v>12</v>
      </c>
      <c r="F50" s="1774">
        <v>49.639564800000002</v>
      </c>
      <c r="G50" s="1863">
        <f t="shared" si="0"/>
        <v>4.1366304000000005</v>
      </c>
      <c r="H50" s="1776">
        <f t="shared" si="6"/>
        <v>4.7984912639999999</v>
      </c>
      <c r="I50" s="1777">
        <f t="shared" si="8"/>
        <v>4.9639564800000002</v>
      </c>
      <c r="J50" s="1778">
        <f t="shared" si="3"/>
        <v>0.79423303680000001</v>
      </c>
      <c r="K50" s="1779">
        <f t="shared" si="4"/>
        <v>5.7581895167999999</v>
      </c>
      <c r="L50" s="1780">
        <f t="shared" si="7"/>
        <v>25.163288188416001</v>
      </c>
      <c r="M50" s="1873"/>
      <c r="N50" s="1788">
        <v>9</v>
      </c>
      <c r="O50" s="1783">
        <f t="shared" si="5"/>
        <v>0</v>
      </c>
      <c r="P50" s="1784">
        <f t="shared" si="2"/>
        <v>0</v>
      </c>
      <c r="Q50" s="1788"/>
      <c r="R50" s="1801"/>
      <c r="S50" s="1790"/>
    </row>
    <row r="51" spans="1:19" ht="45">
      <c r="A51" s="1787">
        <v>7591015162393</v>
      </c>
      <c r="B51" s="1771" t="s">
        <v>5426</v>
      </c>
      <c r="C51" s="1772" t="s">
        <v>5427</v>
      </c>
      <c r="D51" s="1773" t="s">
        <v>5407</v>
      </c>
      <c r="E51" s="1773">
        <v>12</v>
      </c>
      <c r="F51" s="1774">
        <v>50.55</v>
      </c>
      <c r="G51" s="1863">
        <f t="shared" si="0"/>
        <v>4.2124999999999995</v>
      </c>
      <c r="H51" s="1776">
        <f t="shared" si="6"/>
        <v>4.886499999999999</v>
      </c>
      <c r="I51" s="1777">
        <f t="shared" si="8"/>
        <v>5.0549999999999988</v>
      </c>
      <c r="J51" s="1778">
        <f t="shared" si="3"/>
        <v>0.80879999999999985</v>
      </c>
      <c r="K51" s="1779">
        <f t="shared" si="4"/>
        <v>5.8637999999999986</v>
      </c>
      <c r="L51" s="1780">
        <f t="shared" si="7"/>
        <v>25.624805999999996</v>
      </c>
      <c r="M51" s="1873"/>
      <c r="N51" s="1788">
        <v>9</v>
      </c>
      <c r="O51" s="1783">
        <f t="shared" si="5"/>
        <v>0</v>
      </c>
      <c r="P51" s="1784">
        <f t="shared" si="2"/>
        <v>0</v>
      </c>
      <c r="Q51" s="1788"/>
      <c r="R51" s="1801"/>
      <c r="S51" s="1790"/>
    </row>
    <row r="52" spans="1:19">
      <c r="A52" s="1787" t="s">
        <v>5428</v>
      </c>
      <c r="B52" s="1798" t="s">
        <v>5429</v>
      </c>
      <c r="C52" s="1799" t="s">
        <v>5430</v>
      </c>
      <c r="D52" s="1800" t="s">
        <v>5366</v>
      </c>
      <c r="E52" s="1788">
        <v>24</v>
      </c>
      <c r="F52" s="1774">
        <v>19.689263999999998</v>
      </c>
      <c r="G52" s="1863">
        <f t="shared" si="0"/>
        <v>0.82038599999999995</v>
      </c>
      <c r="H52" s="1776">
        <f>+G52*1.16</f>
        <v>0.95164775999999984</v>
      </c>
      <c r="I52" s="1777">
        <f t="shared" si="8"/>
        <v>0.98446319999999987</v>
      </c>
      <c r="J52" s="1778">
        <f t="shared" si="3"/>
        <v>0.15751411199999998</v>
      </c>
      <c r="K52" s="1779">
        <f t="shared" si="4"/>
        <v>1.1419773119999999</v>
      </c>
      <c r="L52" s="1780">
        <f t="shared" si="7"/>
        <v>4.9904408534399991</v>
      </c>
      <c r="M52" s="1873"/>
      <c r="N52" s="1788">
        <v>7.6</v>
      </c>
      <c r="O52" s="1783">
        <f t="shared" si="5"/>
        <v>0</v>
      </c>
      <c r="P52" s="1784">
        <f t="shared" si="2"/>
        <v>0</v>
      </c>
      <c r="Q52" s="1788"/>
      <c r="R52" s="1801"/>
      <c r="S52" s="1790"/>
    </row>
    <row r="53" spans="1:19">
      <c r="A53" s="1787"/>
      <c r="B53" s="1799" t="s">
        <v>5431</v>
      </c>
      <c r="C53" s="1799" t="s">
        <v>5432</v>
      </c>
      <c r="D53" s="1800" t="s">
        <v>5433</v>
      </c>
      <c r="E53" s="1788">
        <v>12</v>
      </c>
      <c r="F53" s="1774">
        <v>17.7408</v>
      </c>
      <c r="G53" s="1863">
        <f t="shared" si="0"/>
        <v>1.4783999999999999</v>
      </c>
      <c r="H53" s="1776">
        <f>+G53</f>
        <v>1.4783999999999999</v>
      </c>
      <c r="I53" s="1777">
        <f t="shared" si="8"/>
        <v>1.7740799999999999</v>
      </c>
      <c r="J53" s="1778">
        <v>0</v>
      </c>
      <c r="K53" s="1779">
        <f>+J53+I53</f>
        <v>1.7740799999999999</v>
      </c>
      <c r="L53" s="1780">
        <f>+F53*$L$9</f>
        <v>77.527296000000007</v>
      </c>
      <c r="M53" s="1873"/>
      <c r="N53" s="1788"/>
      <c r="O53" s="1783">
        <f t="shared" si="5"/>
        <v>0</v>
      </c>
      <c r="P53" s="1784">
        <f t="shared" si="2"/>
        <v>0</v>
      </c>
      <c r="Q53" s="1788"/>
      <c r="R53" s="1801"/>
      <c r="S53" s="1790"/>
    </row>
    <row r="54" spans="1:19" ht="15.75" thickBot="1">
      <c r="A54" s="1787"/>
      <c r="B54" s="1799" t="s">
        <v>5434</v>
      </c>
      <c r="C54" s="1799" t="s">
        <v>5435</v>
      </c>
      <c r="D54" s="1800" t="s">
        <v>5436</v>
      </c>
      <c r="E54" s="1788">
        <v>24</v>
      </c>
      <c r="F54" s="1774">
        <v>52.55</v>
      </c>
      <c r="G54" s="1863">
        <f t="shared" si="0"/>
        <v>2.1895833333333332</v>
      </c>
      <c r="H54" s="1776">
        <f t="shared" si="6"/>
        <v>2.5399166666666662</v>
      </c>
      <c r="I54" s="1777">
        <f t="shared" si="8"/>
        <v>2.6274999999999999</v>
      </c>
      <c r="J54" s="1778">
        <f t="shared" si="3"/>
        <v>0.4204</v>
      </c>
      <c r="K54" s="1779">
        <f>+J54+I54</f>
        <v>3.0478999999999998</v>
      </c>
      <c r="L54" s="1780">
        <f>+F54*$L$9</f>
        <v>229.64349999999999</v>
      </c>
      <c r="M54" s="1873"/>
      <c r="N54" s="1788"/>
      <c r="O54" s="1783">
        <f t="shared" si="5"/>
        <v>0</v>
      </c>
      <c r="P54" s="1784">
        <f t="shared" si="2"/>
        <v>0</v>
      </c>
      <c r="Q54" s="1788"/>
      <c r="R54" s="1801"/>
      <c r="S54" s="1790"/>
    </row>
    <row r="55" spans="1:19" ht="15.75">
      <c r="A55" s="1749"/>
      <c r="B55" s="1801"/>
      <c r="C55" s="1790"/>
      <c r="D55" s="1801"/>
      <c r="E55" s="1790"/>
      <c r="F55" s="1802"/>
      <c r="G55" s="1864"/>
      <c r="H55" s="1803"/>
      <c r="I55" s="1803"/>
      <c r="J55" s="1803"/>
      <c r="K55" s="1803"/>
      <c r="L55" s="1804"/>
      <c r="M55" s="1805">
        <f>SUM(M11:M54)</f>
        <v>80</v>
      </c>
      <c r="N55" s="1806">
        <f>SUM(O11:O54)</f>
        <v>867.5</v>
      </c>
      <c r="O55" s="1806"/>
      <c r="P55" s="1875">
        <f>SUM(P11:P54)</f>
        <v>1509.3720000000003</v>
      </c>
      <c r="Q55" s="1801"/>
      <c r="R55" s="1801"/>
      <c r="S55" s="1790"/>
    </row>
    <row r="56" spans="1:19">
      <c r="A56" s="1749"/>
      <c r="B56" s="1801"/>
      <c r="C56" s="1790"/>
      <c r="D56" s="1801"/>
      <c r="E56" s="1790"/>
      <c r="F56" s="1802"/>
      <c r="G56" s="1864"/>
      <c r="H56" s="1803"/>
      <c r="I56" s="1803"/>
      <c r="J56" s="1803"/>
      <c r="K56" s="1803"/>
      <c r="L56" s="1804"/>
      <c r="M56" s="1807" t="s">
        <v>5437</v>
      </c>
      <c r="N56" s="1808" t="s">
        <v>5438</v>
      </c>
      <c r="O56" s="1808" t="s">
        <v>5285</v>
      </c>
      <c r="P56" s="1876">
        <f>(SUM(P11:P54)-((P22+P54)))*16%</f>
        <v>159.32352000000006</v>
      </c>
      <c r="Q56" s="1801"/>
      <c r="R56" s="1801"/>
      <c r="S56" s="1790"/>
    </row>
    <row r="57" spans="1:19" ht="15.75" thickBot="1">
      <c r="A57" s="1749"/>
      <c r="B57" s="1801"/>
      <c r="C57" s="1790"/>
      <c r="D57" s="1801"/>
      <c r="E57" s="1790"/>
      <c r="F57" s="1802"/>
      <c r="G57" s="1864"/>
      <c r="H57" s="1803"/>
      <c r="I57" s="1803"/>
      <c r="J57" s="1803"/>
      <c r="K57" s="1803"/>
      <c r="L57" s="1804"/>
      <c r="M57" s="2263" t="s">
        <v>5439</v>
      </c>
      <c r="N57" s="2264"/>
      <c r="O57" s="2265"/>
      <c r="P57" s="1877">
        <f>+P55+P56</f>
        <v>1668.6955200000004</v>
      </c>
      <c r="Q57" s="1801"/>
      <c r="R57" s="1801"/>
      <c r="S57" s="1790"/>
    </row>
    <row r="58" spans="1:19">
      <c r="A58" s="1749"/>
      <c r="B58" s="1801"/>
      <c r="C58" s="1790"/>
      <c r="D58" s="1801"/>
      <c r="E58" s="1790"/>
      <c r="F58" s="1802"/>
      <c r="G58" s="1864"/>
      <c r="H58" s="1803"/>
      <c r="I58" s="1803"/>
      <c r="J58" s="1803"/>
      <c r="K58" s="1803"/>
      <c r="L58" s="1804"/>
      <c r="M58" s="1878"/>
      <c r="N58" s="1801"/>
      <c r="O58" s="1809"/>
      <c r="P58" s="1801"/>
      <c r="Q58" s="1801"/>
      <c r="R58" s="1801"/>
      <c r="S58" s="1790"/>
    </row>
    <row r="59" spans="1:19">
      <c r="A59" s="1749"/>
      <c r="B59" s="1801"/>
      <c r="C59" s="1790"/>
      <c r="D59" s="1801"/>
      <c r="E59" s="1790"/>
      <c r="F59" s="1802"/>
      <c r="G59" s="1864"/>
      <c r="H59" s="1803"/>
      <c r="I59" s="1803"/>
      <c r="J59" s="1803"/>
      <c r="K59" s="1803"/>
      <c r="L59" s="1804"/>
      <c r="M59" s="1878"/>
      <c r="N59" s="1801"/>
      <c r="O59" s="1809"/>
      <c r="P59" s="1810"/>
      <c r="Q59" s="1801"/>
      <c r="R59" s="1801"/>
      <c r="S59" s="1790"/>
    </row>
    <row r="60" spans="1:19">
      <c r="A60" s="1749"/>
      <c r="B60" s="1801"/>
      <c r="C60" s="1790"/>
      <c r="D60" s="1801"/>
      <c r="E60" s="1790"/>
      <c r="F60" s="1802"/>
      <c r="G60" s="1864"/>
      <c r="H60" s="1803"/>
      <c r="I60" s="1803"/>
      <c r="J60" s="1803"/>
      <c r="K60" s="1803"/>
      <c r="L60" s="1804"/>
      <c r="M60" s="1878"/>
      <c r="N60" s="1801"/>
      <c r="O60" s="1809"/>
      <c r="P60" s="1801"/>
      <c r="Q60" s="1801"/>
      <c r="R60" s="1801"/>
      <c r="S60" s="1790"/>
    </row>
    <row r="61" spans="1:19">
      <c r="A61" s="1749"/>
      <c r="B61" s="1801"/>
      <c r="C61" s="1790"/>
      <c r="D61" s="1801"/>
      <c r="E61" s="1790"/>
      <c r="F61" s="1802"/>
      <c r="G61" s="1864"/>
      <c r="H61" s="1803"/>
      <c r="I61" s="1803"/>
      <c r="J61" s="1803"/>
      <c r="K61" s="1803"/>
      <c r="L61" s="1804"/>
      <c r="M61" s="1878"/>
      <c r="N61" s="1801"/>
      <c r="O61" s="1809"/>
      <c r="P61" s="1801"/>
      <c r="Q61" s="1801"/>
      <c r="R61" s="1801"/>
      <c r="S61" s="1790"/>
    </row>
    <row r="62" spans="1:19">
      <c r="A62" s="1749"/>
      <c r="B62" s="1801"/>
      <c r="C62" s="1790"/>
      <c r="D62" s="1801"/>
      <c r="E62" s="1790"/>
      <c r="F62" s="1802"/>
      <c r="G62" s="1864"/>
      <c r="H62" s="1803"/>
      <c r="I62" s="1803"/>
      <c r="J62" s="1803"/>
      <c r="K62" s="1803"/>
      <c r="L62" s="1804"/>
      <c r="M62" s="1878"/>
      <c r="N62" s="1801"/>
      <c r="O62" s="1809"/>
      <c r="P62" s="1801"/>
      <c r="Q62" s="1801"/>
      <c r="R62" s="1801"/>
      <c r="S62" s="1790"/>
    </row>
    <row r="63" spans="1:19">
      <c r="A63" s="1749"/>
      <c r="B63" s="1801"/>
      <c r="C63" s="1790"/>
      <c r="D63" s="1801"/>
      <c r="E63" s="1790"/>
      <c r="F63" s="1802"/>
      <c r="G63" s="1864"/>
      <c r="H63" s="1803"/>
      <c r="I63" s="1803"/>
      <c r="J63" s="1803"/>
      <c r="K63" s="1803"/>
      <c r="L63" s="1804"/>
      <c r="M63" s="1878"/>
      <c r="N63" s="1801"/>
      <c r="O63" s="1809"/>
      <c r="P63" s="1801"/>
      <c r="Q63" s="1801"/>
      <c r="R63" s="1801"/>
      <c r="S63" s="1790"/>
    </row>
    <row r="64" spans="1:19">
      <c r="A64" s="1749"/>
      <c r="B64" s="1801"/>
      <c r="C64" s="1790"/>
      <c r="D64" s="1801"/>
      <c r="E64" s="1790"/>
      <c r="F64" s="1802"/>
      <c r="G64" s="1864"/>
      <c r="H64" s="1803"/>
      <c r="I64" s="1803"/>
      <c r="J64" s="1803"/>
      <c r="K64" s="1803"/>
      <c r="L64" s="1804"/>
      <c r="M64" s="1878"/>
      <c r="N64" s="1801"/>
      <c r="O64" s="1809"/>
      <c r="P64" s="1801"/>
      <c r="Q64" s="1801"/>
      <c r="R64" s="1801"/>
      <c r="S64" s="1790"/>
    </row>
    <row r="65" spans="1:19">
      <c r="A65" s="1749"/>
      <c r="B65" s="1801"/>
      <c r="C65" s="1790"/>
      <c r="D65" s="1801"/>
      <c r="E65" s="1790"/>
      <c r="F65" s="1802"/>
      <c r="G65" s="1864"/>
      <c r="H65" s="1803"/>
      <c r="I65" s="1803"/>
      <c r="J65" s="1803"/>
      <c r="K65" s="1803"/>
      <c r="L65" s="1804"/>
      <c r="M65" s="1878"/>
      <c r="N65" s="1801"/>
      <c r="O65" s="1809"/>
      <c r="P65" s="1801"/>
      <c r="Q65" s="1801"/>
      <c r="R65" s="1801"/>
      <c r="S65" s="1790"/>
    </row>
    <row r="66" spans="1:19">
      <c r="A66" s="1749"/>
      <c r="B66" s="1801"/>
      <c r="C66" s="1790"/>
      <c r="D66" s="1801"/>
      <c r="E66" s="1790"/>
      <c r="F66" s="1802"/>
      <c r="G66" s="1864"/>
      <c r="H66" s="1803"/>
      <c r="I66" s="1803"/>
      <c r="J66" s="1803"/>
      <c r="K66" s="1803"/>
      <c r="L66" s="1804"/>
      <c r="M66" s="1878"/>
      <c r="N66" s="1801"/>
      <c r="O66" s="1809"/>
      <c r="P66" s="1801"/>
      <c r="Q66" s="1801"/>
      <c r="R66" s="1801"/>
      <c r="S66" s="1790"/>
    </row>
    <row r="67" spans="1:19">
      <c r="A67" s="1749"/>
      <c r="B67" s="1801"/>
      <c r="C67" s="1790"/>
      <c r="D67" s="1801"/>
      <c r="E67" s="1790"/>
      <c r="F67" s="1802"/>
      <c r="G67" s="1864"/>
      <c r="H67" s="1803"/>
      <c r="I67" s="1803"/>
      <c r="J67" s="1803"/>
      <c r="K67" s="1803"/>
      <c r="L67" s="1804"/>
      <c r="M67" s="1878"/>
      <c r="N67" s="1801"/>
      <c r="O67" s="1809"/>
      <c r="P67" s="1801"/>
      <c r="Q67" s="1801"/>
      <c r="R67" s="1801"/>
      <c r="S67" s="1790"/>
    </row>
    <row r="68" spans="1:19">
      <c r="A68" s="1749"/>
      <c r="B68" s="1801"/>
      <c r="C68" s="1790"/>
      <c r="D68" s="1801"/>
      <c r="E68" s="1790"/>
      <c r="F68" s="1802"/>
      <c r="G68" s="1864"/>
      <c r="H68" s="1803"/>
      <c r="I68" s="1803"/>
      <c r="J68" s="1803"/>
      <c r="K68" s="1803"/>
      <c r="L68" s="1804"/>
      <c r="M68" s="1878"/>
      <c r="N68" s="1801"/>
      <c r="O68" s="1809"/>
      <c r="P68" s="1801"/>
      <c r="Q68" s="1801"/>
      <c r="R68" s="1801"/>
      <c r="S68" s="1790"/>
    </row>
    <row r="69" spans="1:19">
      <c r="A69" s="1749"/>
      <c r="B69" s="1801"/>
      <c r="C69" s="1790"/>
      <c r="D69" s="1801"/>
      <c r="E69" s="1790"/>
      <c r="F69" s="1802"/>
      <c r="G69" s="1864"/>
      <c r="H69" s="1803"/>
      <c r="I69" s="1803"/>
      <c r="J69" s="1803"/>
      <c r="K69" s="1803"/>
      <c r="L69" s="1804"/>
      <c r="M69" s="1878"/>
      <c r="N69" s="1801"/>
      <c r="O69" s="1809"/>
      <c r="P69" s="1801"/>
      <c r="Q69" s="1801"/>
      <c r="R69" s="1801"/>
      <c r="S69" s="1790"/>
    </row>
    <row r="70" spans="1:19">
      <c r="A70" s="1749"/>
      <c r="B70" s="1801"/>
      <c r="C70" s="1790"/>
      <c r="D70" s="1801"/>
      <c r="E70" s="1790"/>
      <c r="F70" s="1802"/>
      <c r="G70" s="1864"/>
      <c r="H70" s="1803"/>
      <c r="I70" s="1803"/>
      <c r="J70" s="1803"/>
      <c r="K70" s="1803"/>
      <c r="L70" s="1804"/>
      <c r="M70" s="1878"/>
      <c r="N70" s="1801"/>
      <c r="O70" s="1809"/>
      <c r="P70" s="1801"/>
      <c r="Q70" s="1801"/>
      <c r="R70" s="1801"/>
      <c r="S70" s="1790"/>
    </row>
    <row r="71" spans="1:19">
      <c r="A71" s="1749"/>
      <c r="B71" s="1801"/>
      <c r="C71" s="1790"/>
      <c r="D71" s="1801"/>
      <c r="E71" s="1790"/>
      <c r="F71" s="1802"/>
      <c r="G71" s="1864"/>
      <c r="H71" s="1803"/>
      <c r="I71" s="1803"/>
      <c r="J71" s="1803"/>
      <c r="K71" s="1803"/>
      <c r="L71" s="1804"/>
      <c r="M71" s="1878"/>
      <c r="N71" s="1801"/>
      <c r="O71" s="1809"/>
      <c r="P71" s="1801"/>
      <c r="Q71" s="1801"/>
      <c r="R71" s="1801"/>
      <c r="S71" s="1790"/>
    </row>
    <row r="72" spans="1:19">
      <c r="A72" s="1749"/>
      <c r="B72" s="1801"/>
      <c r="C72" s="1790"/>
      <c r="D72" s="1801"/>
      <c r="E72" s="1790"/>
      <c r="F72" s="1802"/>
      <c r="G72" s="1864"/>
      <c r="H72" s="1803"/>
      <c r="I72" s="1803"/>
      <c r="J72" s="1803"/>
      <c r="K72" s="1803"/>
      <c r="L72" s="1804"/>
      <c r="M72" s="1878"/>
      <c r="N72" s="1801"/>
      <c r="O72" s="1809"/>
      <c r="P72" s="1801"/>
      <c r="Q72" s="1801"/>
      <c r="R72" s="1801"/>
      <c r="S72" s="1790"/>
    </row>
    <row r="73" spans="1:19">
      <c r="A73" s="1749"/>
      <c r="B73" s="1801"/>
      <c r="C73" s="1790"/>
      <c r="D73" s="1801"/>
      <c r="E73" s="1790"/>
      <c r="F73" s="1802"/>
      <c r="G73" s="1864"/>
      <c r="H73" s="1803"/>
      <c r="I73" s="1803"/>
      <c r="J73" s="1803"/>
      <c r="K73" s="1803"/>
      <c r="L73" s="1804"/>
      <c r="M73" s="1878"/>
      <c r="N73" s="1801"/>
      <c r="O73" s="1809"/>
      <c r="P73" s="1801"/>
      <c r="Q73" s="1801"/>
      <c r="R73" s="1801"/>
      <c r="S73" s="1790"/>
    </row>
    <row r="74" spans="1:19">
      <c r="A74" s="1749"/>
      <c r="B74" s="1801"/>
      <c r="C74" s="1790"/>
      <c r="D74" s="1801"/>
      <c r="E74" s="1790"/>
      <c r="F74" s="1802"/>
      <c r="G74" s="1864"/>
      <c r="H74" s="1803"/>
      <c r="I74" s="1803"/>
      <c r="J74" s="1803"/>
      <c r="K74" s="1803"/>
      <c r="L74" s="1804"/>
      <c r="M74" s="1878"/>
      <c r="N74" s="1801"/>
      <c r="O74" s="1809"/>
      <c r="P74" s="1801"/>
      <c r="Q74" s="1801"/>
      <c r="R74" s="1801"/>
      <c r="S74" s="1790"/>
    </row>
    <row r="75" spans="1:19">
      <c r="A75" s="1749"/>
      <c r="B75" s="1801"/>
      <c r="C75" s="1790"/>
      <c r="D75" s="1801"/>
      <c r="E75" s="1790"/>
      <c r="F75" s="1802"/>
      <c r="G75" s="1864"/>
      <c r="H75" s="1803"/>
      <c r="I75" s="1803"/>
      <c r="J75" s="1803"/>
      <c r="K75" s="1803"/>
      <c r="L75" s="1804"/>
      <c r="M75" s="1878"/>
      <c r="N75" s="1801"/>
      <c r="O75" s="1809"/>
      <c r="P75" s="1801"/>
      <c r="Q75" s="1801"/>
      <c r="R75" s="1801"/>
      <c r="S75" s="1790"/>
    </row>
    <row r="76" spans="1:19">
      <c r="A76" s="1749"/>
      <c r="B76" s="1801"/>
      <c r="C76" s="1790"/>
      <c r="D76" s="1801"/>
      <c r="E76" s="1790"/>
      <c r="F76" s="1802"/>
      <c r="G76" s="1864"/>
      <c r="H76" s="1803"/>
      <c r="I76" s="1803"/>
      <c r="J76" s="1803"/>
      <c r="K76" s="1803"/>
      <c r="L76" s="1804"/>
      <c r="M76" s="1878"/>
      <c r="N76" s="1801"/>
      <c r="O76" s="1809"/>
      <c r="P76" s="1801"/>
      <c r="Q76" s="1801"/>
      <c r="R76" s="1801"/>
      <c r="S76" s="1790"/>
    </row>
    <row r="77" spans="1:19">
      <c r="A77" s="1749"/>
      <c r="B77" s="1801"/>
      <c r="C77" s="1790"/>
      <c r="D77" s="1801"/>
      <c r="E77" s="1790"/>
      <c r="F77" s="1802"/>
      <c r="G77" s="1864"/>
      <c r="H77" s="1803"/>
      <c r="I77" s="1803"/>
      <c r="J77" s="1803"/>
      <c r="K77" s="1803"/>
      <c r="L77" s="1804"/>
      <c r="M77" s="1878"/>
      <c r="N77" s="1801"/>
      <c r="O77" s="1809"/>
      <c r="P77" s="1801"/>
      <c r="Q77" s="1801"/>
      <c r="R77" s="1801"/>
      <c r="S77" s="1790"/>
    </row>
    <row r="78" spans="1:19">
      <c r="A78" s="1749"/>
      <c r="B78" s="1801"/>
      <c r="C78" s="1790"/>
      <c r="D78" s="1801"/>
      <c r="E78" s="1790"/>
      <c r="F78" s="1802"/>
      <c r="G78" s="1864"/>
      <c r="H78" s="1803"/>
      <c r="I78" s="1803"/>
      <c r="J78" s="1803"/>
      <c r="K78" s="1803"/>
      <c r="L78" s="1804"/>
      <c r="M78" s="1878"/>
      <c r="N78" s="1801"/>
      <c r="O78" s="1809"/>
      <c r="P78" s="1801"/>
      <c r="Q78" s="1801"/>
      <c r="R78" s="1801"/>
      <c r="S78" s="1790"/>
    </row>
    <row r="79" spans="1:19">
      <c r="A79" s="1749"/>
      <c r="B79" s="1801"/>
      <c r="C79" s="1790"/>
      <c r="D79" s="1801"/>
      <c r="E79" s="1790"/>
      <c r="F79" s="1802"/>
      <c r="G79" s="1864"/>
      <c r="H79" s="1803"/>
      <c r="I79" s="1803"/>
      <c r="J79" s="1803"/>
      <c r="K79" s="1803"/>
      <c r="L79" s="1804"/>
      <c r="M79" s="1878"/>
      <c r="N79" s="1801"/>
      <c r="O79" s="1809"/>
      <c r="P79" s="1801"/>
      <c r="Q79" s="1801"/>
      <c r="R79" s="1801"/>
      <c r="S79" s="1790"/>
    </row>
    <row r="80" spans="1:19">
      <c r="A80" s="1749"/>
      <c r="B80" s="1801"/>
      <c r="C80" s="1790"/>
      <c r="D80" s="1801"/>
      <c r="E80" s="1790"/>
      <c r="F80" s="1802"/>
      <c r="G80" s="1864"/>
      <c r="H80" s="1803"/>
      <c r="I80" s="1803"/>
      <c r="J80" s="1803"/>
      <c r="K80" s="1803"/>
      <c r="L80" s="1804"/>
      <c r="M80" s="1878"/>
      <c r="N80" s="1801"/>
      <c r="O80" s="1809"/>
      <c r="P80" s="1801"/>
      <c r="Q80" s="1801"/>
      <c r="R80" s="1801"/>
      <c r="S80" s="1790"/>
    </row>
    <row r="81" spans="1:19">
      <c r="A81" s="1749"/>
      <c r="B81" s="1801"/>
      <c r="C81" s="1790"/>
      <c r="D81" s="1801"/>
      <c r="E81" s="1790"/>
      <c r="F81" s="1802"/>
      <c r="G81" s="1864"/>
      <c r="H81" s="1803"/>
      <c r="I81" s="1803"/>
      <c r="J81" s="1803"/>
      <c r="K81" s="1803"/>
      <c r="L81" s="1804"/>
      <c r="M81" s="1878"/>
      <c r="N81" s="1801"/>
      <c r="O81" s="1809"/>
      <c r="P81" s="1801"/>
      <c r="Q81" s="1801"/>
      <c r="R81" s="1801"/>
      <c r="S81" s="1790"/>
    </row>
    <row r="82" spans="1:19">
      <c r="A82" s="1749"/>
      <c r="B82" s="1801"/>
      <c r="C82" s="1790"/>
      <c r="D82" s="1801"/>
      <c r="E82" s="1790"/>
      <c r="F82" s="1802"/>
      <c r="G82" s="1864"/>
      <c r="H82" s="1803"/>
      <c r="I82" s="1803"/>
      <c r="J82" s="1803"/>
      <c r="K82" s="1803"/>
      <c r="L82" s="1804"/>
      <c r="M82" s="1878"/>
      <c r="N82" s="1801"/>
      <c r="O82" s="1809"/>
      <c r="P82" s="1801"/>
      <c r="Q82" s="1801"/>
      <c r="R82" s="1801"/>
      <c r="S82" s="1790"/>
    </row>
    <row r="83" spans="1:19">
      <c r="A83" s="1749"/>
      <c r="B83" s="1801"/>
      <c r="C83" s="1790"/>
      <c r="D83" s="1801"/>
      <c r="E83" s="1790"/>
      <c r="F83" s="1802"/>
      <c r="G83" s="1864"/>
      <c r="H83" s="1803"/>
      <c r="I83" s="1803"/>
      <c r="J83" s="1803"/>
      <c r="K83" s="1803"/>
      <c r="L83" s="1804"/>
      <c r="M83" s="1878"/>
      <c r="N83" s="1801"/>
      <c r="O83" s="1809"/>
      <c r="P83" s="1801"/>
      <c r="Q83" s="1801"/>
      <c r="R83" s="1801"/>
      <c r="S83" s="1790"/>
    </row>
    <row r="84" spans="1:19">
      <c r="A84" s="1749"/>
      <c r="B84" s="1801"/>
      <c r="C84" s="1790"/>
      <c r="D84" s="1801"/>
      <c r="E84" s="1790"/>
      <c r="F84" s="1802"/>
      <c r="G84" s="1864"/>
      <c r="H84" s="1803"/>
      <c r="I84" s="1803"/>
      <c r="J84" s="1803"/>
      <c r="K84" s="1803"/>
      <c r="L84" s="1804"/>
      <c r="M84" s="1878"/>
      <c r="N84" s="1801"/>
      <c r="O84" s="1809"/>
      <c r="P84" s="1801"/>
      <c r="Q84" s="1801"/>
      <c r="R84" s="1801"/>
      <c r="S84" s="1790"/>
    </row>
    <row r="85" spans="1:19">
      <c r="A85" s="1749"/>
      <c r="B85" s="1801"/>
      <c r="C85" s="1790"/>
      <c r="D85" s="1801"/>
      <c r="E85" s="1790"/>
      <c r="F85" s="1802"/>
      <c r="G85" s="1864"/>
      <c r="H85" s="1803"/>
      <c r="I85" s="1803"/>
      <c r="J85" s="1803"/>
      <c r="K85" s="1803"/>
      <c r="L85" s="1804"/>
      <c r="M85" s="1878"/>
      <c r="N85" s="1801"/>
      <c r="O85" s="1809"/>
      <c r="P85" s="1801"/>
      <c r="Q85" s="1801"/>
      <c r="R85" s="1801"/>
      <c r="S85" s="1790"/>
    </row>
    <row r="86" spans="1:19">
      <c r="A86" s="1749"/>
      <c r="B86" s="1801"/>
      <c r="C86" s="1790"/>
      <c r="D86" s="1801"/>
      <c r="E86" s="1790"/>
      <c r="F86" s="1802"/>
      <c r="G86" s="1864"/>
      <c r="H86" s="1803"/>
      <c r="I86" s="1803"/>
      <c r="J86" s="1803"/>
      <c r="K86" s="1803"/>
      <c r="L86" s="1804"/>
      <c r="M86" s="1878"/>
      <c r="N86" s="1801"/>
      <c r="O86" s="1809"/>
      <c r="P86" s="1801"/>
      <c r="Q86" s="1801"/>
      <c r="R86" s="1801"/>
      <c r="S86" s="1790"/>
    </row>
    <row r="87" spans="1:19">
      <c r="A87" s="1749"/>
      <c r="B87" s="1801"/>
      <c r="C87" s="1790"/>
      <c r="D87" s="1801"/>
      <c r="E87" s="1790"/>
      <c r="F87" s="1802"/>
      <c r="G87" s="1864"/>
      <c r="H87" s="1803"/>
      <c r="I87" s="1803"/>
      <c r="J87" s="1803"/>
      <c r="K87" s="1803"/>
      <c r="L87" s="1804"/>
      <c r="M87" s="1878"/>
      <c r="N87" s="1801"/>
      <c r="O87" s="1809"/>
      <c r="P87" s="1801"/>
      <c r="Q87" s="1801"/>
      <c r="R87" s="1801"/>
      <c r="S87" s="1790"/>
    </row>
    <row r="88" spans="1:19">
      <c r="A88" s="1749"/>
      <c r="B88" s="1801"/>
      <c r="C88" s="1790"/>
      <c r="D88" s="1801"/>
      <c r="E88" s="1790"/>
      <c r="F88" s="1802"/>
      <c r="G88" s="1864"/>
      <c r="H88" s="1803"/>
      <c r="I88" s="1803"/>
      <c r="J88" s="1803"/>
      <c r="K88" s="1803"/>
      <c r="L88" s="1804"/>
      <c r="M88" s="1878"/>
      <c r="N88" s="1801"/>
      <c r="O88" s="1809"/>
      <c r="P88" s="1801"/>
      <c r="Q88" s="1801"/>
      <c r="R88" s="1801"/>
      <c r="S88" s="1790"/>
    </row>
    <row r="89" spans="1:19">
      <c r="A89" s="1749"/>
      <c r="B89" s="1801"/>
      <c r="C89" s="1790"/>
      <c r="D89" s="1801"/>
      <c r="E89" s="1790"/>
      <c r="F89" s="1802"/>
      <c r="G89" s="1864"/>
      <c r="H89" s="1803"/>
      <c r="I89" s="1803"/>
      <c r="J89" s="1803"/>
      <c r="K89" s="1803"/>
      <c r="L89" s="1804"/>
      <c r="M89" s="1878"/>
      <c r="N89" s="1801"/>
      <c r="O89" s="1809"/>
      <c r="P89" s="1801"/>
      <c r="Q89" s="1801"/>
      <c r="R89" s="1801"/>
      <c r="S89" s="1790"/>
    </row>
    <row r="90" spans="1:19">
      <c r="A90" s="1749"/>
      <c r="B90" s="1801"/>
      <c r="C90" s="1790"/>
      <c r="D90" s="1801"/>
      <c r="E90" s="1790"/>
      <c r="F90" s="1802"/>
      <c r="G90" s="1864"/>
      <c r="H90" s="1803"/>
      <c r="I90" s="1803"/>
      <c r="J90" s="1803"/>
      <c r="K90" s="1803"/>
      <c r="L90" s="1804"/>
      <c r="M90" s="1878"/>
      <c r="N90" s="1801"/>
      <c r="O90" s="1809"/>
      <c r="P90" s="1801"/>
      <c r="Q90" s="1801"/>
      <c r="R90" s="1801"/>
      <c r="S90" s="1790"/>
    </row>
    <row r="91" spans="1:19">
      <c r="A91" s="1749"/>
      <c r="B91" s="1801"/>
      <c r="C91" s="1790"/>
      <c r="D91" s="1801"/>
      <c r="E91" s="1790"/>
      <c r="F91" s="1802"/>
      <c r="G91" s="1864"/>
      <c r="H91" s="1803"/>
      <c r="I91" s="1803"/>
      <c r="J91" s="1803"/>
      <c r="K91" s="1803"/>
      <c r="L91" s="1804"/>
      <c r="M91" s="1878"/>
      <c r="N91" s="1801"/>
      <c r="O91" s="1809"/>
      <c r="P91" s="1801"/>
      <c r="Q91" s="1801"/>
      <c r="R91" s="1801"/>
      <c r="S91" s="1790"/>
    </row>
    <row r="92" spans="1:19">
      <c r="A92" s="1749"/>
      <c r="B92" s="1801"/>
      <c r="C92" s="1790"/>
      <c r="D92" s="1801"/>
      <c r="E92" s="1790"/>
      <c r="F92" s="1802"/>
      <c r="G92" s="1864"/>
      <c r="H92" s="1803"/>
      <c r="I92" s="1803"/>
      <c r="J92" s="1803"/>
      <c r="K92" s="1803"/>
      <c r="L92" s="1804"/>
      <c r="M92" s="1878"/>
      <c r="N92" s="1801"/>
      <c r="O92" s="1809"/>
      <c r="P92" s="1801"/>
      <c r="Q92" s="1801"/>
      <c r="R92" s="1801"/>
      <c r="S92" s="1790"/>
    </row>
    <row r="93" spans="1:19">
      <c r="A93" s="1749"/>
      <c r="B93" s="1801"/>
      <c r="C93" s="1790"/>
      <c r="D93" s="1801"/>
      <c r="E93" s="1790"/>
      <c r="F93" s="1802"/>
      <c r="G93" s="1864"/>
      <c r="H93" s="1803"/>
      <c r="I93" s="1803"/>
      <c r="J93" s="1803"/>
      <c r="K93" s="1803"/>
      <c r="L93" s="1804"/>
      <c r="M93" s="1878"/>
      <c r="N93" s="1801"/>
      <c r="O93" s="1809"/>
      <c r="P93" s="1801"/>
      <c r="Q93" s="1801"/>
      <c r="R93" s="1801"/>
      <c r="S93" s="1790"/>
    </row>
    <row r="94" spans="1:19">
      <c r="A94" s="1749"/>
      <c r="B94" s="1801"/>
      <c r="C94" s="1790"/>
      <c r="D94" s="1801"/>
      <c r="E94" s="1790"/>
      <c r="F94" s="1802"/>
      <c r="G94" s="1864"/>
      <c r="H94" s="1803"/>
      <c r="I94" s="1803"/>
      <c r="J94" s="1803"/>
      <c r="K94" s="1803"/>
      <c r="L94" s="1804"/>
      <c r="M94" s="1878"/>
      <c r="N94" s="1801"/>
      <c r="O94" s="1809"/>
      <c r="P94" s="1801"/>
      <c r="Q94" s="1801"/>
      <c r="R94" s="1801"/>
      <c r="S94" s="1790"/>
    </row>
    <row r="95" spans="1:19">
      <c r="A95" s="1749"/>
      <c r="B95" s="1801"/>
      <c r="C95" s="1790"/>
      <c r="D95" s="1801"/>
      <c r="E95" s="1790"/>
      <c r="F95" s="1802"/>
      <c r="G95" s="1864"/>
      <c r="H95" s="1803"/>
      <c r="I95" s="1803"/>
      <c r="J95" s="1803"/>
      <c r="K95" s="1803"/>
      <c r="L95" s="1804"/>
      <c r="M95" s="1878"/>
      <c r="N95" s="1801"/>
      <c r="O95" s="1809"/>
      <c r="P95" s="1801"/>
      <c r="Q95" s="1801"/>
      <c r="R95" s="1801"/>
      <c r="S95" s="1790"/>
    </row>
    <row r="96" spans="1:19">
      <c r="A96" s="1749"/>
      <c r="B96" s="1801"/>
      <c r="C96" s="1790"/>
      <c r="D96" s="1801"/>
      <c r="E96" s="1790"/>
      <c r="F96" s="1802"/>
      <c r="G96" s="1864"/>
      <c r="H96" s="1803"/>
      <c r="I96" s="1803"/>
      <c r="J96" s="1803"/>
      <c r="K96" s="1803"/>
      <c r="L96" s="1804"/>
      <c r="M96" s="1878"/>
      <c r="N96" s="1801"/>
      <c r="O96" s="1809"/>
      <c r="P96" s="1801"/>
      <c r="Q96" s="1801"/>
      <c r="R96" s="1801"/>
      <c r="S96" s="1790"/>
    </row>
    <row r="97" spans="1:19">
      <c r="A97" s="1749"/>
      <c r="B97" s="1801"/>
      <c r="C97" s="1790"/>
      <c r="D97" s="1801"/>
      <c r="E97" s="1790"/>
      <c r="F97" s="1802"/>
      <c r="G97" s="1864"/>
      <c r="H97" s="1803"/>
      <c r="I97" s="1803"/>
      <c r="J97" s="1803"/>
      <c r="K97" s="1803"/>
      <c r="L97" s="1804"/>
      <c r="M97" s="1878"/>
      <c r="N97" s="1801"/>
      <c r="O97" s="1809"/>
      <c r="P97" s="1801"/>
      <c r="Q97" s="1801"/>
      <c r="R97" s="1801"/>
      <c r="S97" s="1790"/>
    </row>
    <row r="98" spans="1:19">
      <c r="A98" s="1749"/>
      <c r="B98" s="1801"/>
      <c r="C98" s="1790"/>
      <c r="D98" s="1801"/>
      <c r="E98" s="1790"/>
      <c r="F98" s="1802"/>
      <c r="G98" s="1864"/>
      <c r="H98" s="1803"/>
      <c r="I98" s="1803"/>
      <c r="J98" s="1803"/>
      <c r="K98" s="1803"/>
      <c r="L98" s="1804"/>
      <c r="M98" s="1878"/>
      <c r="N98" s="1801"/>
      <c r="O98" s="1809"/>
      <c r="P98" s="1801"/>
      <c r="Q98" s="1801"/>
      <c r="R98" s="1801"/>
      <c r="S98" s="1790"/>
    </row>
    <row r="99" spans="1:19">
      <c r="A99" s="1749"/>
      <c r="B99" s="1801"/>
      <c r="C99" s="1790"/>
      <c r="D99" s="1801"/>
      <c r="E99" s="1790"/>
      <c r="F99" s="1802"/>
      <c r="G99" s="1864"/>
      <c r="H99" s="1803"/>
      <c r="I99" s="1803"/>
      <c r="J99" s="1803"/>
      <c r="K99" s="1803"/>
      <c r="L99" s="1804"/>
      <c r="M99" s="1878"/>
      <c r="N99" s="1801"/>
      <c r="O99" s="1809"/>
      <c r="P99" s="1801"/>
      <c r="Q99" s="1801"/>
      <c r="R99" s="1801"/>
      <c r="S99" s="1790"/>
    </row>
    <row r="100" spans="1:19">
      <c r="A100" s="1749"/>
      <c r="B100" s="1801"/>
      <c r="C100" s="1790"/>
      <c r="D100" s="1801"/>
      <c r="E100" s="1790"/>
      <c r="F100" s="1802"/>
      <c r="G100" s="1864"/>
      <c r="H100" s="1803"/>
      <c r="I100" s="1803"/>
      <c r="J100" s="1803"/>
      <c r="K100" s="1803"/>
      <c r="L100" s="1804"/>
      <c r="M100" s="1878"/>
      <c r="N100" s="1801"/>
      <c r="O100" s="1809"/>
      <c r="P100" s="1801"/>
      <c r="Q100" s="1801"/>
      <c r="R100" s="1801"/>
      <c r="S100" s="1790"/>
    </row>
    <row r="101" spans="1:19">
      <c r="A101" s="1749"/>
      <c r="B101" s="1801"/>
      <c r="C101" s="1790"/>
      <c r="D101" s="1801"/>
      <c r="E101" s="1790"/>
      <c r="F101" s="1802"/>
      <c r="G101" s="1864"/>
      <c r="H101" s="1803"/>
      <c r="I101" s="1803"/>
      <c r="J101" s="1803"/>
      <c r="K101" s="1803"/>
      <c r="L101" s="1804"/>
      <c r="M101" s="1878"/>
      <c r="N101" s="1801"/>
      <c r="O101" s="1809"/>
      <c r="P101" s="1801"/>
      <c r="Q101" s="1801"/>
      <c r="R101" s="1801"/>
      <c r="S101" s="1790"/>
    </row>
    <row r="102" spans="1:19">
      <c r="A102" s="1749"/>
      <c r="B102" s="1801"/>
      <c r="C102" s="1790"/>
      <c r="D102" s="1801"/>
      <c r="E102" s="1790"/>
      <c r="F102" s="1802"/>
      <c r="G102" s="1864"/>
      <c r="H102" s="1803"/>
      <c r="I102" s="1803"/>
      <c r="J102" s="1803"/>
      <c r="K102" s="1803"/>
      <c r="L102" s="1804"/>
      <c r="M102" s="1878"/>
      <c r="N102" s="1801"/>
      <c r="O102" s="1809"/>
      <c r="P102" s="1801"/>
      <c r="Q102" s="1801"/>
      <c r="R102" s="1801"/>
      <c r="S102" s="1790"/>
    </row>
    <row r="103" spans="1:19">
      <c r="A103" s="1749"/>
      <c r="B103" s="1801"/>
      <c r="C103" s="1790"/>
      <c r="D103" s="1801"/>
      <c r="E103" s="1790"/>
      <c r="F103" s="1802"/>
      <c r="G103" s="1864"/>
      <c r="H103" s="1803"/>
      <c r="I103" s="1803"/>
      <c r="J103" s="1803"/>
      <c r="K103" s="1803"/>
      <c r="L103" s="1804"/>
      <c r="M103" s="1878"/>
      <c r="N103" s="1801"/>
      <c r="O103" s="1809"/>
      <c r="P103" s="1801"/>
      <c r="Q103" s="1801"/>
      <c r="R103" s="1801"/>
      <c r="S103" s="1790"/>
    </row>
    <row r="104" spans="1:19">
      <c r="A104" s="1749"/>
      <c r="B104" s="1801"/>
      <c r="C104" s="1790"/>
      <c r="D104" s="1801"/>
      <c r="E104" s="1790"/>
      <c r="F104" s="1802"/>
      <c r="G104" s="1864"/>
      <c r="H104" s="1803"/>
      <c r="I104" s="1803"/>
      <c r="J104" s="1803"/>
      <c r="K104" s="1803"/>
      <c r="L104" s="1804"/>
      <c r="M104" s="1878"/>
      <c r="N104" s="1801"/>
      <c r="O104" s="1809"/>
      <c r="P104" s="1801"/>
      <c r="Q104" s="1801"/>
      <c r="R104" s="1801"/>
      <c r="S104" s="1790"/>
    </row>
    <row r="105" spans="1:19">
      <c r="A105" s="1749"/>
      <c r="B105" s="1801"/>
      <c r="C105" s="1790"/>
      <c r="D105" s="1801"/>
      <c r="E105" s="1790"/>
      <c r="F105" s="1802"/>
      <c r="G105" s="1864"/>
      <c r="H105" s="1803"/>
      <c r="I105" s="1803"/>
      <c r="J105" s="1803"/>
      <c r="K105" s="1803"/>
      <c r="L105" s="1804"/>
      <c r="M105" s="1878"/>
      <c r="N105" s="1801"/>
      <c r="O105" s="1809"/>
      <c r="P105" s="1801"/>
      <c r="Q105" s="1801"/>
      <c r="R105" s="1801"/>
      <c r="S105" s="1790"/>
    </row>
    <row r="106" spans="1:19">
      <c r="A106" s="1749"/>
      <c r="B106" s="1801"/>
      <c r="C106" s="1790"/>
      <c r="D106" s="1801"/>
      <c r="E106" s="1790"/>
      <c r="F106" s="1802"/>
      <c r="G106" s="1864"/>
      <c r="H106" s="1803"/>
      <c r="I106" s="1803"/>
      <c r="J106" s="1803"/>
      <c r="K106" s="1803"/>
      <c r="L106" s="1804"/>
      <c r="M106" s="1878"/>
      <c r="N106" s="1801"/>
      <c r="O106" s="1809"/>
      <c r="P106" s="1801"/>
      <c r="Q106" s="1801"/>
      <c r="R106" s="1801"/>
      <c r="S106" s="1790"/>
    </row>
    <row r="107" spans="1:19">
      <c r="A107" s="1749"/>
      <c r="B107" s="1801"/>
      <c r="C107" s="1790"/>
      <c r="D107" s="1801"/>
      <c r="E107" s="1790"/>
      <c r="F107" s="1802"/>
      <c r="G107" s="1864"/>
      <c r="H107" s="1803"/>
      <c r="I107" s="1803"/>
      <c r="J107" s="1803"/>
      <c r="K107" s="1803"/>
      <c r="L107" s="1804"/>
      <c r="M107" s="1878"/>
      <c r="N107" s="1801"/>
      <c r="O107" s="1809"/>
      <c r="P107" s="1801"/>
      <c r="Q107" s="1801"/>
      <c r="R107" s="1801"/>
      <c r="S107" s="1790"/>
    </row>
    <row r="108" spans="1:19">
      <c r="A108" s="1749"/>
      <c r="B108" s="1801"/>
      <c r="C108" s="1790"/>
      <c r="D108" s="1801"/>
      <c r="E108" s="1790"/>
      <c r="F108" s="1802"/>
      <c r="G108" s="1864"/>
      <c r="H108" s="1803"/>
      <c r="I108" s="1803"/>
      <c r="J108" s="1803"/>
      <c r="K108" s="1803"/>
      <c r="L108" s="1804"/>
      <c r="M108" s="1878"/>
      <c r="N108" s="1801"/>
      <c r="O108" s="1809"/>
      <c r="P108" s="1801"/>
      <c r="Q108" s="1801"/>
      <c r="R108" s="1801"/>
      <c r="S108" s="1790"/>
    </row>
    <row r="109" spans="1:19">
      <c r="A109" s="1749"/>
      <c r="B109" s="1801"/>
      <c r="C109" s="1790"/>
      <c r="D109" s="1801"/>
      <c r="E109" s="1790"/>
      <c r="F109" s="1802"/>
      <c r="G109" s="1864"/>
      <c r="H109" s="1803"/>
      <c r="I109" s="1803"/>
      <c r="J109" s="1803"/>
      <c r="K109" s="1803"/>
      <c r="L109" s="1804"/>
      <c r="M109" s="1878"/>
      <c r="N109" s="1801"/>
      <c r="O109" s="1809"/>
      <c r="P109" s="1801"/>
      <c r="Q109" s="1801"/>
      <c r="R109" s="1801"/>
      <c r="S109" s="1790"/>
    </row>
    <row r="110" spans="1:19">
      <c r="A110" s="407"/>
      <c r="B110" s="1699"/>
      <c r="C110" s="1594"/>
      <c r="D110" s="1699"/>
      <c r="E110" s="1594"/>
      <c r="F110" s="1811"/>
      <c r="G110" s="1865"/>
      <c r="H110" s="1812"/>
      <c r="I110" s="1812"/>
      <c r="J110" s="1812"/>
      <c r="K110" s="1812"/>
      <c r="L110" s="1812"/>
      <c r="M110" s="1879"/>
      <c r="O110" s="1814"/>
      <c r="S110" s="1594"/>
    </row>
    <row r="111" spans="1:19">
      <c r="A111" s="407"/>
      <c r="B111" s="1699"/>
      <c r="C111" s="1594"/>
      <c r="D111" s="1699"/>
      <c r="E111" s="1594"/>
      <c r="F111" s="1811"/>
      <c r="G111" s="1865"/>
      <c r="H111" s="1812"/>
      <c r="I111" s="1812"/>
      <c r="J111" s="1812"/>
      <c r="K111" s="1812"/>
      <c r="L111" s="1812"/>
      <c r="M111" s="1879"/>
      <c r="O111" s="1814"/>
      <c r="S111" s="1594"/>
    </row>
    <row r="112" spans="1:19">
      <c r="A112" s="407"/>
      <c r="B112" s="1699"/>
      <c r="C112" s="1594"/>
      <c r="D112" s="1699"/>
      <c r="E112" s="1594"/>
      <c r="F112" s="1811"/>
      <c r="G112" s="1865"/>
      <c r="H112" s="1812"/>
      <c r="I112" s="1812"/>
      <c r="J112" s="1812"/>
      <c r="K112" s="1812"/>
      <c r="L112" s="1812"/>
      <c r="M112" s="1879"/>
      <c r="O112" s="1814"/>
      <c r="S112" s="1594"/>
    </row>
    <row r="113" spans="1:19">
      <c r="A113" s="407"/>
      <c r="B113" s="1699"/>
      <c r="C113" s="1594"/>
      <c r="D113" s="1699"/>
      <c r="E113" s="1594"/>
      <c r="F113" s="1811"/>
      <c r="G113" s="1865"/>
      <c r="H113" s="1812"/>
      <c r="I113" s="1812"/>
      <c r="J113" s="1812"/>
      <c r="K113" s="1812"/>
      <c r="L113" s="1812"/>
      <c r="M113" s="1879"/>
      <c r="O113" s="1814"/>
      <c r="S113" s="1594"/>
    </row>
    <row r="114" spans="1:19">
      <c r="A114" s="407"/>
      <c r="B114" s="1699"/>
      <c r="C114" s="1594"/>
      <c r="D114" s="1699"/>
      <c r="E114" s="1594"/>
      <c r="F114" s="1811"/>
      <c r="G114" s="1865"/>
      <c r="H114" s="1812"/>
      <c r="I114" s="1812"/>
      <c r="J114" s="1812"/>
      <c r="K114" s="1812"/>
      <c r="L114" s="1812"/>
      <c r="M114" s="1879"/>
      <c r="O114" s="1814"/>
      <c r="S114" s="1594"/>
    </row>
    <row r="115" spans="1:19">
      <c r="A115" s="407"/>
      <c r="B115" s="1699"/>
      <c r="C115" s="1594"/>
      <c r="D115" s="1699"/>
      <c r="E115" s="1594"/>
      <c r="F115" s="1811"/>
      <c r="G115" s="1865"/>
      <c r="H115" s="1812"/>
      <c r="I115" s="1812"/>
      <c r="J115" s="1812"/>
      <c r="K115" s="1812"/>
      <c r="L115" s="1812"/>
      <c r="M115" s="1879"/>
      <c r="O115" s="1814"/>
      <c r="S115" s="1594"/>
    </row>
    <row r="116" spans="1:19">
      <c r="A116" s="407"/>
      <c r="B116" s="1699"/>
      <c r="C116" s="1594"/>
      <c r="D116" s="1699"/>
      <c r="E116" s="1594"/>
      <c r="F116" s="1811"/>
      <c r="G116" s="1865"/>
      <c r="H116" s="1812"/>
      <c r="I116" s="1812"/>
      <c r="J116" s="1812"/>
      <c r="K116" s="1812"/>
      <c r="L116" s="1812"/>
      <c r="M116" s="1879"/>
      <c r="O116" s="1814"/>
      <c r="S116" s="1594"/>
    </row>
    <row r="117" spans="1:19">
      <c r="A117" s="407"/>
      <c r="B117" s="1699"/>
      <c r="C117" s="1594"/>
      <c r="D117" s="1699"/>
      <c r="E117" s="1594"/>
      <c r="F117" s="1811"/>
      <c r="G117" s="1865"/>
      <c r="H117" s="1812"/>
      <c r="I117" s="1812"/>
      <c r="J117" s="1812"/>
      <c r="K117" s="1812"/>
      <c r="L117" s="1812"/>
      <c r="M117" s="1879"/>
      <c r="O117" s="1814"/>
      <c r="S117" s="1594"/>
    </row>
    <row r="118" spans="1:19">
      <c r="A118" s="407"/>
      <c r="B118" s="1699"/>
      <c r="C118" s="1594"/>
      <c r="D118" s="1699"/>
      <c r="E118" s="1594"/>
      <c r="F118" s="1811"/>
      <c r="G118" s="1865"/>
      <c r="H118" s="1812"/>
      <c r="I118" s="1812"/>
      <c r="J118" s="1812"/>
      <c r="K118" s="1812"/>
      <c r="L118" s="1812"/>
      <c r="M118" s="1879"/>
      <c r="O118" s="1814"/>
      <c r="S118" s="1594"/>
    </row>
    <row r="119" spans="1:19">
      <c r="A119" s="407"/>
      <c r="B119" s="1699"/>
      <c r="C119" s="1594"/>
      <c r="D119" s="1699"/>
      <c r="E119" s="1594"/>
      <c r="F119" s="1811"/>
      <c r="G119" s="1865"/>
      <c r="H119" s="1812"/>
      <c r="I119" s="1812"/>
      <c r="J119" s="1812"/>
      <c r="K119" s="1812"/>
      <c r="L119" s="1812"/>
      <c r="M119" s="1879"/>
      <c r="O119" s="1814"/>
      <c r="S119" s="1594"/>
    </row>
    <row r="120" spans="1:19">
      <c r="A120" s="407"/>
      <c r="B120" s="1699"/>
      <c r="C120" s="1594"/>
      <c r="D120" s="1699"/>
      <c r="E120" s="1594"/>
      <c r="F120" s="1811"/>
      <c r="G120" s="1865"/>
      <c r="H120" s="1812"/>
      <c r="I120" s="1812"/>
      <c r="J120" s="1812"/>
      <c r="K120" s="1812"/>
      <c r="L120" s="1812"/>
      <c r="M120" s="1879"/>
      <c r="O120" s="1814"/>
      <c r="S120" s="1594"/>
    </row>
    <row r="121" spans="1:19">
      <c r="A121" s="407"/>
      <c r="B121" s="1699"/>
      <c r="C121" s="1594"/>
      <c r="D121" s="1699"/>
      <c r="E121" s="1594"/>
      <c r="F121" s="1811"/>
      <c r="G121" s="1865"/>
      <c r="H121" s="1812"/>
      <c r="I121" s="1812"/>
      <c r="J121" s="1812"/>
      <c r="K121" s="1812"/>
      <c r="L121" s="1812"/>
      <c r="M121" s="1879"/>
      <c r="O121" s="1814"/>
      <c r="S121" s="1594"/>
    </row>
    <row r="122" spans="1:19">
      <c r="A122" s="407"/>
      <c r="B122" s="1699"/>
      <c r="C122" s="1594"/>
      <c r="D122" s="1699"/>
      <c r="E122" s="1594"/>
      <c r="F122" s="1811"/>
      <c r="G122" s="1865"/>
      <c r="H122" s="1812"/>
      <c r="I122" s="1812"/>
      <c r="J122" s="1812"/>
      <c r="K122" s="1812"/>
      <c r="L122" s="1812"/>
      <c r="M122" s="1879"/>
      <c r="O122" s="1814"/>
      <c r="S122" s="1594"/>
    </row>
    <row r="123" spans="1:19">
      <c r="A123" s="407"/>
      <c r="B123" s="1699"/>
      <c r="C123" s="1594"/>
      <c r="D123" s="1699"/>
      <c r="E123" s="1594"/>
      <c r="F123" s="1811"/>
      <c r="G123" s="1865"/>
      <c r="H123" s="1812"/>
      <c r="I123" s="1812"/>
      <c r="J123" s="1812"/>
      <c r="K123" s="1812"/>
      <c r="L123" s="1812"/>
      <c r="M123" s="1879"/>
      <c r="O123" s="1814"/>
      <c r="S123" s="1594"/>
    </row>
    <row r="124" spans="1:19">
      <c r="A124" s="407"/>
      <c r="B124" s="1699"/>
      <c r="C124" s="1594"/>
      <c r="D124" s="1699"/>
      <c r="E124" s="1594"/>
      <c r="F124" s="1811"/>
      <c r="G124" s="1865"/>
      <c r="H124" s="1812"/>
      <c r="I124" s="1812"/>
      <c r="J124" s="1812"/>
      <c r="K124" s="1812"/>
      <c r="L124" s="1812"/>
      <c r="M124" s="1879"/>
      <c r="O124" s="1814"/>
      <c r="S124" s="1594"/>
    </row>
    <row r="125" spans="1:19">
      <c r="A125" s="407"/>
      <c r="B125" s="1699"/>
      <c r="C125" s="1594"/>
      <c r="D125" s="1699"/>
      <c r="E125" s="1594"/>
      <c r="F125" s="1811"/>
      <c r="G125" s="1865"/>
      <c r="H125" s="1812"/>
      <c r="I125" s="1812"/>
      <c r="J125" s="1812"/>
      <c r="K125" s="1812"/>
      <c r="L125" s="1812"/>
      <c r="M125" s="1879"/>
      <c r="O125" s="1814"/>
      <c r="S125" s="1594"/>
    </row>
    <row r="126" spans="1:19">
      <c r="A126" s="407"/>
      <c r="B126" s="1699"/>
      <c r="C126" s="1594"/>
      <c r="D126" s="1699"/>
      <c r="E126" s="1594"/>
      <c r="F126" s="1811"/>
      <c r="G126" s="1865"/>
      <c r="H126" s="1812"/>
      <c r="I126" s="1812"/>
      <c r="J126" s="1812"/>
      <c r="K126" s="1812"/>
      <c r="L126" s="1812"/>
      <c r="M126" s="1879"/>
      <c r="O126" s="1814"/>
      <c r="S126" s="1594"/>
    </row>
    <row r="127" spans="1:19">
      <c r="A127" s="407"/>
      <c r="B127" s="1699"/>
      <c r="C127" s="1594"/>
      <c r="D127" s="1699"/>
      <c r="E127" s="1594"/>
      <c r="F127" s="1811"/>
      <c r="G127" s="1865"/>
      <c r="H127" s="1812"/>
      <c r="I127" s="1812"/>
      <c r="J127" s="1812"/>
      <c r="K127" s="1812"/>
      <c r="L127" s="1812"/>
      <c r="M127" s="1879"/>
      <c r="O127" s="1814"/>
      <c r="S127" s="1594"/>
    </row>
    <row r="128" spans="1:19">
      <c r="A128" s="407"/>
      <c r="B128" s="1699"/>
      <c r="C128" s="1594"/>
      <c r="D128" s="1699"/>
      <c r="E128" s="1594"/>
      <c r="F128" s="1811"/>
      <c r="G128" s="1865"/>
      <c r="H128" s="1812"/>
      <c r="I128" s="1812"/>
      <c r="J128" s="1812"/>
      <c r="K128" s="1812"/>
      <c r="L128" s="1812"/>
      <c r="M128" s="1879"/>
      <c r="O128" s="1814"/>
      <c r="S128" s="1594"/>
    </row>
    <row r="129" spans="1:19">
      <c r="A129" s="407"/>
      <c r="B129" s="1699"/>
      <c r="C129" s="1594"/>
      <c r="D129" s="1699"/>
      <c r="E129" s="1594"/>
      <c r="F129" s="1811"/>
      <c r="G129" s="1865"/>
      <c r="H129" s="1812"/>
      <c r="I129" s="1812"/>
      <c r="J129" s="1812"/>
      <c r="K129" s="1812"/>
      <c r="L129" s="1812"/>
      <c r="M129" s="1879"/>
      <c r="O129" s="1814"/>
      <c r="S129" s="1594"/>
    </row>
    <row r="130" spans="1:19">
      <c r="A130" s="407"/>
      <c r="B130" s="1699"/>
      <c r="C130" s="1594"/>
      <c r="D130" s="1699"/>
      <c r="E130" s="1594"/>
      <c r="F130" s="1811"/>
      <c r="G130" s="1865"/>
      <c r="H130" s="1812"/>
      <c r="I130" s="1812"/>
      <c r="J130" s="1812"/>
      <c r="K130" s="1812"/>
      <c r="L130" s="1812"/>
      <c r="M130" s="1879"/>
      <c r="O130" s="1814"/>
      <c r="S130" s="1594"/>
    </row>
    <row r="131" spans="1:19">
      <c r="A131" s="407"/>
      <c r="B131" s="1699"/>
      <c r="C131" s="1594"/>
      <c r="D131" s="1699"/>
      <c r="E131" s="1594"/>
      <c r="F131" s="1811"/>
      <c r="G131" s="1865"/>
      <c r="H131" s="1812"/>
      <c r="I131" s="1812"/>
      <c r="J131" s="1812"/>
      <c r="K131" s="1812"/>
      <c r="L131" s="1812"/>
      <c r="M131" s="1879"/>
      <c r="O131" s="1814"/>
      <c r="S131" s="1594"/>
    </row>
    <row r="132" spans="1:19">
      <c r="A132" s="407"/>
      <c r="B132" s="1699"/>
      <c r="C132" s="1594"/>
      <c r="D132" s="1699"/>
      <c r="E132" s="1594"/>
      <c r="F132" s="1811"/>
      <c r="G132" s="1865"/>
      <c r="H132" s="1812"/>
      <c r="I132" s="1812"/>
      <c r="J132" s="1812"/>
      <c r="K132" s="1812"/>
      <c r="L132" s="1812"/>
      <c r="M132" s="1879"/>
      <c r="O132" s="1814"/>
      <c r="S132" s="1594"/>
    </row>
    <row r="133" spans="1:19">
      <c r="A133" s="407"/>
      <c r="B133" s="1699"/>
      <c r="C133" s="1594"/>
      <c r="D133" s="1699"/>
      <c r="E133" s="1594"/>
      <c r="F133" s="1811"/>
      <c r="G133" s="1865"/>
      <c r="H133" s="1812"/>
      <c r="I133" s="1812"/>
      <c r="J133" s="1812"/>
      <c r="K133" s="1812"/>
      <c r="L133" s="1812"/>
      <c r="M133" s="1879"/>
      <c r="O133" s="1814"/>
      <c r="S133" s="1594"/>
    </row>
    <row r="134" spans="1:19">
      <c r="A134" s="407"/>
      <c r="B134" s="1699"/>
      <c r="C134" s="1594"/>
      <c r="D134" s="1699"/>
      <c r="E134" s="1594"/>
      <c r="F134" s="1811"/>
      <c r="G134" s="1865"/>
      <c r="H134" s="1812"/>
      <c r="I134" s="1812"/>
      <c r="J134" s="1812"/>
      <c r="K134" s="1812"/>
      <c r="L134" s="1812"/>
      <c r="M134" s="1879"/>
      <c r="O134" s="1814"/>
      <c r="S134" s="1594"/>
    </row>
    <row r="135" spans="1:19">
      <c r="A135" s="407"/>
      <c r="B135" s="1699"/>
      <c r="C135" s="1594"/>
      <c r="D135" s="1699"/>
      <c r="E135" s="1594"/>
      <c r="F135" s="1811"/>
      <c r="G135" s="1865"/>
      <c r="H135" s="1812"/>
      <c r="I135" s="1812"/>
      <c r="J135" s="1812"/>
      <c r="K135" s="1812"/>
      <c r="L135" s="1812"/>
      <c r="M135" s="1879"/>
      <c r="O135" s="1814"/>
      <c r="S135" s="1594"/>
    </row>
    <row r="136" spans="1:19">
      <c r="A136" s="407"/>
      <c r="B136" s="1699"/>
      <c r="C136" s="1594"/>
      <c r="D136" s="1699"/>
      <c r="E136" s="1594"/>
      <c r="F136" s="1811"/>
      <c r="G136" s="1865"/>
      <c r="H136" s="1812"/>
      <c r="I136" s="1812"/>
      <c r="J136" s="1812"/>
      <c r="K136" s="1812"/>
      <c r="L136" s="1812"/>
      <c r="M136" s="1879"/>
      <c r="O136" s="1814"/>
      <c r="S136" s="1594"/>
    </row>
    <row r="137" spans="1:19">
      <c r="A137" s="407"/>
      <c r="B137" s="1699"/>
      <c r="C137" s="1594"/>
      <c r="D137" s="1699"/>
      <c r="E137" s="1594"/>
      <c r="F137" s="1811"/>
      <c r="G137" s="1865"/>
      <c r="H137" s="1812"/>
      <c r="I137" s="1812"/>
      <c r="J137" s="1812"/>
      <c r="K137" s="1812"/>
      <c r="L137" s="1812"/>
      <c r="M137" s="1879"/>
      <c r="O137" s="1814"/>
      <c r="S137" s="1594"/>
    </row>
    <row r="138" spans="1:19">
      <c r="A138" s="407"/>
      <c r="B138" s="1699"/>
      <c r="C138" s="1594"/>
      <c r="D138" s="1699"/>
      <c r="E138" s="1594"/>
      <c r="F138" s="1811"/>
      <c r="G138" s="1865"/>
      <c r="H138" s="1812"/>
      <c r="I138" s="1812"/>
      <c r="J138" s="1812"/>
      <c r="K138" s="1812"/>
      <c r="L138" s="1812"/>
      <c r="M138" s="1879"/>
      <c r="O138" s="1814"/>
      <c r="S138" s="1594"/>
    </row>
  </sheetData>
  <mergeCells count="8">
    <mergeCell ref="M57:O57"/>
    <mergeCell ref="A4:F4"/>
    <mergeCell ref="K4:P5"/>
    <mergeCell ref="A6:F6"/>
    <mergeCell ref="B8:K8"/>
    <mergeCell ref="A9:H9"/>
    <mergeCell ref="I9:K9"/>
    <mergeCell ref="M9:O9"/>
  </mergeCells>
  <pageMargins left="0.7" right="0.7" top="0.75" bottom="0.75" header="0.3" footer="0.3"/>
  <legacy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B1:R71"/>
  <sheetViews>
    <sheetView tabSelected="1" topLeftCell="B32" workbookViewId="0">
      <selection activeCell="C37" sqref="C37:N45"/>
    </sheetView>
  </sheetViews>
  <sheetFormatPr baseColWidth="10" defaultRowHeight="15"/>
  <cols>
    <col min="1" max="1" width="0" hidden="1" customWidth="1"/>
    <col min="2" max="2" width="8.42578125" style="1594" customWidth="1"/>
    <col min="4" max="4" width="56.85546875" customWidth="1"/>
    <col min="5" max="5" width="14.85546875" style="101" hidden="1" customWidth="1"/>
    <col min="6" max="6" width="14.7109375" style="605" customWidth="1"/>
    <col min="7" max="7" width="16.85546875" hidden="1" customWidth="1"/>
    <col min="8" max="8" width="13.42578125" hidden="1" customWidth="1"/>
    <col min="9" max="9" width="20.5703125" hidden="1" customWidth="1"/>
    <col min="10" max="11" width="11.42578125" hidden="1" customWidth="1"/>
    <col min="12" max="12" width="16.42578125" hidden="1" customWidth="1"/>
    <col min="13" max="13" width="16.42578125" style="827" customWidth="1"/>
    <col min="14" max="14" width="13.42578125" customWidth="1"/>
  </cols>
  <sheetData>
    <row r="1" spans="2:18" ht="15.75" thickBot="1">
      <c r="D1" t="s">
        <v>4093</v>
      </c>
    </row>
    <row r="2" spans="2:18" ht="64.5" customHeight="1">
      <c r="C2" s="91"/>
      <c r="D2" s="92" t="s">
        <v>663</v>
      </c>
      <c r="E2" s="92" t="s">
        <v>2647</v>
      </c>
      <c r="F2" s="92" t="s">
        <v>559</v>
      </c>
      <c r="G2" s="93" t="s">
        <v>19</v>
      </c>
      <c r="H2" s="93" t="s">
        <v>20</v>
      </c>
      <c r="I2" s="93" t="s">
        <v>21</v>
      </c>
      <c r="J2" s="93" t="s">
        <v>23</v>
      </c>
      <c r="K2" s="372" t="s">
        <v>24</v>
      </c>
      <c r="L2" s="631" t="s">
        <v>678</v>
      </c>
      <c r="M2" s="631" t="s">
        <v>2564</v>
      </c>
      <c r="N2" s="761" t="s">
        <v>2819</v>
      </c>
      <c r="O2" s="760" t="s">
        <v>2573</v>
      </c>
      <c r="P2" s="757" t="s">
        <v>3320</v>
      </c>
      <c r="Q2" s="757" t="s">
        <v>2572</v>
      </c>
      <c r="R2" s="758" t="s">
        <v>3321</v>
      </c>
    </row>
    <row r="3" spans="2:18">
      <c r="C3" s="22" t="s">
        <v>0</v>
      </c>
      <c r="D3" s="21" t="s">
        <v>1</v>
      </c>
      <c r="E3" s="604"/>
      <c r="F3" s="604"/>
      <c r="G3" s="21"/>
      <c r="H3" s="21"/>
      <c r="I3" s="21"/>
      <c r="J3" s="21"/>
      <c r="K3" s="106"/>
      <c r="L3" s="26"/>
      <c r="M3" s="26"/>
      <c r="N3" s="69"/>
      <c r="O3" s="563"/>
      <c r="P3" s="740"/>
      <c r="Q3" s="740"/>
      <c r="R3" s="759"/>
    </row>
    <row r="4" spans="2:18">
      <c r="C4" s="22">
        <v>790</v>
      </c>
      <c r="D4" s="21" t="s">
        <v>674</v>
      </c>
      <c r="E4" s="604">
        <v>10</v>
      </c>
      <c r="F4" s="52">
        <f t="shared" ref="F4:F10" si="0">N4/E4</f>
        <v>3.1030000000000002</v>
      </c>
      <c r="G4" s="22" t="s">
        <v>675</v>
      </c>
      <c r="H4" s="22" t="s">
        <v>3718</v>
      </c>
      <c r="I4" s="22" t="s">
        <v>546</v>
      </c>
      <c r="J4" s="22" t="s">
        <v>65</v>
      </c>
      <c r="K4" s="374"/>
      <c r="L4" s="26"/>
      <c r="M4" s="905">
        <f>+N4/10</f>
        <v>3.1030000000000002</v>
      </c>
      <c r="N4" s="1907">
        <v>31.03</v>
      </c>
      <c r="O4" s="563"/>
      <c r="P4" s="23">
        <f>O4/E4</f>
        <v>0</v>
      </c>
      <c r="Q4" s="740"/>
      <c r="R4" s="759">
        <f>Q4/E4</f>
        <v>0</v>
      </c>
    </row>
    <row r="5" spans="2:18">
      <c r="C5" s="22">
        <v>3041</v>
      </c>
      <c r="D5" s="21" t="s">
        <v>666</v>
      </c>
      <c r="E5" s="604">
        <v>24</v>
      </c>
      <c r="F5" s="52">
        <f t="shared" si="0"/>
        <v>1.2408333333333335</v>
      </c>
      <c r="G5" s="22" t="s">
        <v>676</v>
      </c>
      <c r="H5" s="22" t="s">
        <v>677</v>
      </c>
      <c r="I5" s="22" t="s">
        <v>555</v>
      </c>
      <c r="J5" s="22" t="s">
        <v>65</v>
      </c>
      <c r="K5" s="374"/>
      <c r="L5" s="26"/>
      <c r="M5" s="905">
        <f>+N5/24</f>
        <v>1.2408333333333335</v>
      </c>
      <c r="N5" s="1907">
        <v>29.78</v>
      </c>
      <c r="O5" s="563"/>
      <c r="P5" s="23">
        <f t="shared" ref="P5:P24" si="1">O5/E5</f>
        <v>0</v>
      </c>
      <c r="Q5" s="740"/>
      <c r="R5" s="759">
        <f t="shared" ref="R5:R24" si="2">Q5/E5</f>
        <v>0</v>
      </c>
    </row>
    <row r="6" spans="2:18" ht="17.25" customHeight="1">
      <c r="C6" s="22">
        <v>9594</v>
      </c>
      <c r="D6" s="838" t="s">
        <v>3719</v>
      </c>
      <c r="E6" s="604">
        <v>20</v>
      </c>
      <c r="F6" s="52">
        <f t="shared" si="0"/>
        <v>1.7100000000000002</v>
      </c>
      <c r="G6" s="22" t="s">
        <v>590</v>
      </c>
      <c r="H6" s="22" t="s">
        <v>677</v>
      </c>
      <c r="I6" s="22" t="s">
        <v>677</v>
      </c>
      <c r="J6" s="22" t="s">
        <v>65</v>
      </c>
      <c r="K6" s="374"/>
      <c r="L6" s="26"/>
      <c r="M6" s="905">
        <f>+N6/20</f>
        <v>1.7100000000000002</v>
      </c>
      <c r="N6" s="1907">
        <v>34.200000000000003</v>
      </c>
      <c r="O6" s="563"/>
      <c r="P6" s="23">
        <f t="shared" si="1"/>
        <v>0</v>
      </c>
      <c r="Q6" s="740"/>
      <c r="R6" s="759">
        <f t="shared" si="2"/>
        <v>0</v>
      </c>
    </row>
    <row r="7" spans="2:18">
      <c r="C7" s="22">
        <v>3840</v>
      </c>
      <c r="D7" s="21" t="s">
        <v>673</v>
      </c>
      <c r="E7" s="604">
        <v>10</v>
      </c>
      <c r="F7" s="52">
        <f t="shared" si="0"/>
        <v>3.06</v>
      </c>
      <c r="G7" s="22" t="s">
        <v>675</v>
      </c>
      <c r="H7" s="22" t="s">
        <v>591</v>
      </c>
      <c r="I7" s="22" t="s">
        <v>546</v>
      </c>
      <c r="J7" s="22" t="s">
        <v>65</v>
      </c>
      <c r="K7" s="374"/>
      <c r="L7" s="26"/>
      <c r="M7" s="905">
        <f>+N7/10</f>
        <v>3.06</v>
      </c>
      <c r="N7" s="1907">
        <v>30.6</v>
      </c>
      <c r="O7" s="563"/>
      <c r="P7" s="23">
        <f t="shared" si="1"/>
        <v>0</v>
      </c>
      <c r="Q7" s="740"/>
      <c r="R7" s="759">
        <f t="shared" si="2"/>
        <v>0</v>
      </c>
    </row>
    <row r="8" spans="2:18">
      <c r="C8" s="22">
        <v>4048</v>
      </c>
      <c r="D8" s="21" t="s">
        <v>667</v>
      </c>
      <c r="E8" s="604">
        <v>24</v>
      </c>
      <c r="F8" s="52">
        <f t="shared" si="0"/>
        <v>1.2249999999999999</v>
      </c>
      <c r="G8" s="22" t="s">
        <v>676</v>
      </c>
      <c r="H8" s="22" t="s">
        <v>677</v>
      </c>
      <c r="I8" s="22" t="s">
        <v>555</v>
      </c>
      <c r="J8" s="22" t="s">
        <v>65</v>
      </c>
      <c r="K8" s="374"/>
      <c r="L8" s="26"/>
      <c r="M8" s="905">
        <f>+N8/24</f>
        <v>1.2249999999999999</v>
      </c>
      <c r="N8" s="1907">
        <v>29.4</v>
      </c>
      <c r="O8" s="563"/>
      <c r="P8" s="23">
        <f t="shared" si="1"/>
        <v>0</v>
      </c>
      <c r="Q8" s="740"/>
      <c r="R8" s="759">
        <f t="shared" si="2"/>
        <v>0</v>
      </c>
    </row>
    <row r="9" spans="2:18" s="827" customFormat="1">
      <c r="B9" s="1594"/>
      <c r="C9" s="104"/>
      <c r="D9" s="103" t="s">
        <v>5505</v>
      </c>
      <c r="E9" s="104">
        <v>50</v>
      </c>
      <c r="F9" s="894">
        <f t="shared" si="0"/>
        <v>0.68400000000000005</v>
      </c>
      <c r="G9" s="104"/>
      <c r="H9" s="104"/>
      <c r="I9" s="104"/>
      <c r="J9" s="104"/>
      <c r="K9" s="104"/>
      <c r="L9" s="26"/>
      <c r="M9" s="26"/>
      <c r="N9" s="459">
        <v>34.200000000000003</v>
      </c>
      <c r="O9" s="563"/>
      <c r="P9" s="23">
        <f t="shared" si="1"/>
        <v>0</v>
      </c>
      <c r="Q9" s="852"/>
      <c r="R9" s="759">
        <f t="shared" si="2"/>
        <v>0</v>
      </c>
    </row>
    <row r="10" spans="2:18" s="827" customFormat="1">
      <c r="B10" s="1594"/>
      <c r="C10" s="104"/>
      <c r="D10" s="103" t="s">
        <v>5504</v>
      </c>
      <c r="E10" s="104">
        <v>5</v>
      </c>
      <c r="F10" s="894">
        <f t="shared" si="0"/>
        <v>6.8400000000000007</v>
      </c>
      <c r="G10" s="104"/>
      <c r="H10" s="104"/>
      <c r="I10" s="104"/>
      <c r="J10" s="104"/>
      <c r="K10" s="104"/>
      <c r="L10" s="26"/>
      <c r="M10" s="26"/>
      <c r="N10" s="459">
        <v>34.200000000000003</v>
      </c>
      <c r="O10" s="563"/>
      <c r="P10" s="852">
        <f t="shared" si="1"/>
        <v>0</v>
      </c>
      <c r="Q10" s="852"/>
      <c r="R10" s="759">
        <f t="shared" si="2"/>
        <v>0</v>
      </c>
    </row>
    <row r="11" spans="2:18" ht="15.75" thickBot="1">
      <c r="I11" s="88"/>
      <c r="J11" s="88"/>
      <c r="K11" s="88"/>
      <c r="L11" s="26"/>
      <c r="M11" s="26"/>
      <c r="N11" s="69"/>
      <c r="O11" s="563"/>
      <c r="P11" s="740" t="s">
        <v>65</v>
      </c>
      <c r="Q11" s="740"/>
      <c r="R11" s="759" t="s">
        <v>65</v>
      </c>
    </row>
    <row r="12" spans="2:18" ht="45">
      <c r="C12" s="91"/>
      <c r="D12" s="92" t="s">
        <v>664</v>
      </c>
      <c r="E12" s="92" t="s">
        <v>2647</v>
      </c>
      <c r="F12" s="92" t="s">
        <v>559</v>
      </c>
      <c r="G12" s="93" t="s">
        <v>19</v>
      </c>
      <c r="H12" s="93" t="s">
        <v>20</v>
      </c>
      <c r="I12" s="93" t="s">
        <v>21</v>
      </c>
      <c r="J12" s="93" t="s">
        <v>23</v>
      </c>
      <c r="K12" s="631" t="s">
        <v>24</v>
      </c>
      <c r="L12" s="631" t="s">
        <v>678</v>
      </c>
      <c r="M12" s="631"/>
      <c r="N12" s="761" t="s">
        <v>2819</v>
      </c>
      <c r="O12" s="760" t="s">
        <v>2573</v>
      </c>
      <c r="P12" s="757" t="s">
        <v>3320</v>
      </c>
      <c r="Q12" s="757" t="s">
        <v>2572</v>
      </c>
      <c r="R12" s="758" t="s">
        <v>3321</v>
      </c>
    </row>
    <row r="13" spans="2:18">
      <c r="C13" s="22">
        <v>5987</v>
      </c>
      <c r="D13" s="740" t="s">
        <v>668</v>
      </c>
      <c r="E13" s="604">
        <v>24</v>
      </c>
      <c r="F13" s="604">
        <v>1.5</v>
      </c>
      <c r="G13" s="22" t="s">
        <v>591</v>
      </c>
      <c r="H13" s="490" t="s">
        <v>677</v>
      </c>
      <c r="I13" s="22" t="s">
        <v>3843</v>
      </c>
      <c r="J13" s="22" t="s">
        <v>65</v>
      </c>
      <c r="K13" s="26"/>
      <c r="L13" s="26"/>
      <c r="M13" s="905">
        <f>+N13/24</f>
        <v>1.5</v>
      </c>
      <c r="N13" s="69">
        <v>36</v>
      </c>
      <c r="O13" s="563">
        <v>142</v>
      </c>
      <c r="P13" s="23">
        <f t="shared" si="1"/>
        <v>5.916666666666667</v>
      </c>
      <c r="Q13" s="740">
        <v>9</v>
      </c>
      <c r="R13" s="764">
        <f t="shared" si="2"/>
        <v>0.375</v>
      </c>
    </row>
    <row r="14" spans="2:18">
      <c r="C14" s="22">
        <v>5988</v>
      </c>
      <c r="D14" s="740" t="s">
        <v>669</v>
      </c>
      <c r="E14" s="604">
        <v>12</v>
      </c>
      <c r="F14" s="604">
        <v>3</v>
      </c>
      <c r="G14" s="22" t="s">
        <v>3842</v>
      </c>
      <c r="H14" s="490" t="s">
        <v>591</v>
      </c>
      <c r="I14" s="22" t="s">
        <v>555</v>
      </c>
      <c r="J14" s="22" t="s">
        <v>65</v>
      </c>
      <c r="K14" s="26"/>
      <c r="L14" s="26"/>
      <c r="M14" s="914">
        <f>+N14/12</f>
        <v>3</v>
      </c>
      <c r="N14" s="69">
        <v>36</v>
      </c>
      <c r="O14" s="563">
        <v>36</v>
      </c>
      <c r="P14" s="23">
        <f t="shared" si="1"/>
        <v>3</v>
      </c>
      <c r="Q14" s="740">
        <v>44</v>
      </c>
      <c r="R14" s="764">
        <f t="shared" si="2"/>
        <v>3.6666666666666665</v>
      </c>
    </row>
    <row r="15" spans="2:18">
      <c r="C15" s="22">
        <v>11875</v>
      </c>
      <c r="D15" s="740" t="s">
        <v>670</v>
      </c>
      <c r="E15" s="604"/>
      <c r="F15" s="604"/>
      <c r="G15" s="22"/>
      <c r="H15" s="100"/>
      <c r="I15" s="22"/>
      <c r="J15" s="22"/>
      <c r="K15" s="26"/>
      <c r="L15" s="26"/>
      <c r="M15" s="914"/>
      <c r="N15" s="69">
        <f>F15*E15</f>
        <v>0</v>
      </c>
      <c r="O15" s="563"/>
      <c r="P15" s="740" t="e">
        <f t="shared" si="1"/>
        <v>#DIV/0!</v>
      </c>
      <c r="Q15" s="740"/>
      <c r="R15" s="764" t="e">
        <f t="shared" si="2"/>
        <v>#DIV/0!</v>
      </c>
    </row>
    <row r="16" spans="2:18">
      <c r="C16" s="22">
        <v>11877</v>
      </c>
      <c r="D16" s="740" t="s">
        <v>671</v>
      </c>
      <c r="E16" s="604"/>
      <c r="F16" s="604"/>
      <c r="G16" s="22"/>
      <c r="H16" s="100"/>
      <c r="I16" s="22"/>
      <c r="J16" s="22"/>
      <c r="K16" s="26"/>
      <c r="L16" s="26"/>
      <c r="M16" s="914"/>
      <c r="N16" s="69">
        <f>F16*E16</f>
        <v>0</v>
      </c>
      <c r="O16" s="563"/>
      <c r="P16" s="740" t="e">
        <f t="shared" si="1"/>
        <v>#DIV/0!</v>
      </c>
      <c r="Q16" s="740"/>
      <c r="R16" s="764" t="e">
        <f t="shared" si="2"/>
        <v>#DIV/0!</v>
      </c>
    </row>
    <row r="17" spans="2:18">
      <c r="C17" s="21"/>
      <c r="D17" s="375" t="s">
        <v>672</v>
      </c>
      <c r="E17" s="375">
        <v>6</v>
      </c>
      <c r="F17" s="375">
        <v>7.3</v>
      </c>
      <c r="G17" s="22" t="s">
        <v>591</v>
      </c>
      <c r="H17" s="490" t="s">
        <v>591</v>
      </c>
      <c r="I17" s="22" t="s">
        <v>590</v>
      </c>
      <c r="J17" s="22"/>
      <c r="K17" s="26"/>
      <c r="L17" s="26"/>
      <c r="M17" s="914">
        <f>+N17/6</f>
        <v>7.3</v>
      </c>
      <c r="N17" s="69">
        <v>43.8</v>
      </c>
      <c r="O17" s="563"/>
      <c r="P17" s="740">
        <f t="shared" si="1"/>
        <v>0</v>
      </c>
      <c r="Q17" s="740"/>
      <c r="R17" s="764">
        <f t="shared" si="2"/>
        <v>0</v>
      </c>
    </row>
    <row r="18" spans="2:18" s="827" customFormat="1">
      <c r="B18" s="1594"/>
      <c r="C18" s="103"/>
      <c r="D18" s="892"/>
      <c r="E18" s="892"/>
      <c r="F18" s="892"/>
      <c r="G18" s="104"/>
      <c r="H18" s="893"/>
      <c r="I18" s="104"/>
      <c r="J18" s="104"/>
      <c r="K18" s="105"/>
      <c r="L18" s="762"/>
      <c r="M18" s="912"/>
      <c r="N18" s="747"/>
      <c r="O18" s="763"/>
      <c r="P18" s="438"/>
      <c r="Q18" s="438"/>
      <c r="R18" s="764"/>
    </row>
    <row r="19" spans="2:18" s="827" customFormat="1">
      <c r="B19" s="1594"/>
      <c r="C19" s="103"/>
      <c r="D19" s="892"/>
      <c r="E19" s="892"/>
      <c r="F19" s="892"/>
      <c r="G19" s="104"/>
      <c r="H19" s="893"/>
      <c r="I19" s="104"/>
      <c r="J19" s="104"/>
      <c r="K19" s="105"/>
      <c r="L19" s="762"/>
      <c r="M19" s="912"/>
      <c r="N19" s="747"/>
      <c r="O19" s="763"/>
      <c r="P19" s="438"/>
      <c r="Q19" s="438"/>
      <c r="R19" s="764"/>
    </row>
    <row r="20" spans="2:18" s="89" customFormat="1" ht="15.75" thickBot="1">
      <c r="B20" s="1594"/>
      <c r="E20" s="101"/>
      <c r="F20" s="605"/>
      <c r="G20" s="88"/>
      <c r="L20" s="762"/>
      <c r="M20" s="762"/>
      <c r="N20" s="747"/>
      <c r="O20" s="763"/>
      <c r="P20" s="438" t="s">
        <v>65</v>
      </c>
      <c r="Q20" s="438"/>
      <c r="R20" s="759" t="s">
        <v>65</v>
      </c>
    </row>
    <row r="21" spans="2:18" ht="45">
      <c r="C21" s="100"/>
      <c r="D21" s="490" t="s">
        <v>665</v>
      </c>
      <c r="E21" s="92" t="s">
        <v>2647</v>
      </c>
      <c r="F21" s="92" t="s">
        <v>559</v>
      </c>
      <c r="G21" s="489" t="s">
        <v>19</v>
      </c>
      <c r="H21" s="489" t="s">
        <v>20</v>
      </c>
      <c r="I21" s="489" t="s">
        <v>21</v>
      </c>
      <c r="J21" s="489" t="s">
        <v>23</v>
      </c>
      <c r="K21" s="489" t="s">
        <v>24</v>
      </c>
      <c r="L21" s="90" t="s">
        <v>678</v>
      </c>
      <c r="M21" s="90"/>
      <c r="N21" s="761" t="s">
        <v>2819</v>
      </c>
      <c r="O21" s="93" t="s">
        <v>2573</v>
      </c>
      <c r="P21" s="93" t="s">
        <v>3320</v>
      </c>
      <c r="Q21" s="93" t="s">
        <v>2572</v>
      </c>
      <c r="R21" s="758" t="s">
        <v>3321</v>
      </c>
    </row>
    <row r="22" spans="2:18">
      <c r="C22" s="21">
        <v>15483</v>
      </c>
      <c r="D22" s="528" t="s">
        <v>3747</v>
      </c>
      <c r="E22" s="528">
        <v>24</v>
      </c>
      <c r="F22" s="528"/>
      <c r="G22" s="528" t="s">
        <v>65</v>
      </c>
      <c r="H22" s="528" t="s">
        <v>591</v>
      </c>
      <c r="I22" s="528"/>
      <c r="J22" s="528"/>
      <c r="K22" s="21"/>
      <c r="L22" s="21"/>
      <c r="M22" s="21">
        <v>1.1299999999999999</v>
      </c>
      <c r="N22" s="69">
        <f>+M22*20</f>
        <v>22.599999999999998</v>
      </c>
      <c r="O22" s="740">
        <v>322</v>
      </c>
      <c r="P22" s="23">
        <f t="shared" si="1"/>
        <v>13.416666666666666</v>
      </c>
      <c r="Q22" s="740">
        <v>26</v>
      </c>
      <c r="R22" s="764">
        <f t="shared" si="2"/>
        <v>1.0833333333333333</v>
      </c>
    </row>
    <row r="23" spans="2:18">
      <c r="C23" s="21">
        <v>15482</v>
      </c>
      <c r="D23" s="528" t="s">
        <v>3748</v>
      </c>
      <c r="E23" s="528">
        <v>12</v>
      </c>
      <c r="F23" s="528"/>
      <c r="G23" s="528" t="s">
        <v>1130</v>
      </c>
      <c r="H23" s="528" t="s">
        <v>591</v>
      </c>
      <c r="I23" s="528" t="s">
        <v>555</v>
      </c>
      <c r="J23" s="528"/>
      <c r="K23" s="21"/>
      <c r="L23" s="21"/>
      <c r="M23" s="21">
        <v>2.25</v>
      </c>
      <c r="N23" s="69">
        <f>+M23*10</f>
        <v>22.5</v>
      </c>
      <c r="O23" s="740">
        <v>174</v>
      </c>
      <c r="P23" s="23">
        <f t="shared" si="1"/>
        <v>14.5</v>
      </c>
      <c r="Q23" s="740">
        <v>6</v>
      </c>
      <c r="R23" s="764">
        <f t="shared" si="2"/>
        <v>0.5</v>
      </c>
    </row>
    <row r="24" spans="2:18">
      <c r="C24" s="21">
        <v>20899</v>
      </c>
      <c r="D24" s="528" t="s">
        <v>3749</v>
      </c>
      <c r="E24" s="528">
        <v>20</v>
      </c>
      <c r="F24" s="528"/>
      <c r="G24" s="528" t="s">
        <v>675</v>
      </c>
      <c r="H24" s="528" t="s">
        <v>677</v>
      </c>
      <c r="I24" s="528" t="s">
        <v>555</v>
      </c>
      <c r="J24" s="528"/>
      <c r="K24" s="21"/>
      <c r="L24" s="21"/>
      <c r="M24" s="21">
        <v>0.9</v>
      </c>
      <c r="N24" s="741">
        <f>+M24*20</f>
        <v>18</v>
      </c>
      <c r="O24" s="741">
        <v>51</v>
      </c>
      <c r="P24" s="23">
        <f t="shared" si="1"/>
        <v>2.5499999999999998</v>
      </c>
      <c r="Q24" s="741">
        <v>2</v>
      </c>
      <c r="R24" s="764">
        <f t="shared" si="2"/>
        <v>0.1</v>
      </c>
    </row>
    <row r="25" spans="2:18">
      <c r="C25" s="25"/>
      <c r="D25" s="25"/>
      <c r="F25" s="101"/>
      <c r="G25" s="25"/>
      <c r="H25" s="25"/>
      <c r="I25" s="25"/>
      <c r="J25" s="25"/>
      <c r="K25" s="25"/>
      <c r="L25" s="25"/>
      <c r="M25" s="25"/>
      <c r="P25" s="448"/>
    </row>
    <row r="26" spans="2:18">
      <c r="C26" s="25"/>
      <c r="D26" s="25"/>
      <c r="F26" s="101"/>
      <c r="G26" s="25"/>
      <c r="H26" s="25"/>
      <c r="I26" s="25"/>
      <c r="J26" s="25"/>
      <c r="K26" s="25"/>
      <c r="L26" s="25"/>
      <c r="M26" s="25"/>
    </row>
    <row r="28" spans="2:18" ht="45">
      <c r="C28" s="91"/>
      <c r="D28" s="92" t="s">
        <v>663</v>
      </c>
      <c r="E28" s="92" t="s">
        <v>2647</v>
      </c>
      <c r="F28" s="93" t="s">
        <v>121</v>
      </c>
      <c r="G28" s="93" t="s">
        <v>19</v>
      </c>
      <c r="H28" s="93" t="s">
        <v>20</v>
      </c>
      <c r="I28" s="93" t="s">
        <v>21</v>
      </c>
      <c r="J28" s="93" t="s">
        <v>23</v>
      </c>
      <c r="K28" s="372" t="s">
        <v>24</v>
      </c>
      <c r="L28" s="631" t="s">
        <v>678</v>
      </c>
      <c r="M28" s="631" t="s">
        <v>2445</v>
      </c>
      <c r="N28" s="761" t="s">
        <v>21</v>
      </c>
    </row>
    <row r="29" spans="2:18">
      <c r="C29" s="2234" t="s">
        <v>0</v>
      </c>
      <c r="D29" s="21" t="s">
        <v>1</v>
      </c>
      <c r="E29" s="2234"/>
      <c r="F29" s="2234"/>
      <c r="G29" s="21"/>
      <c r="H29" s="21"/>
      <c r="I29" s="21"/>
      <c r="J29" s="21"/>
      <c r="K29" s="106"/>
      <c r="L29" s="26"/>
      <c r="M29" s="26"/>
      <c r="N29" s="2246"/>
    </row>
    <row r="30" spans="2:18">
      <c r="C30" s="2234">
        <v>790</v>
      </c>
      <c r="D30" s="21" t="s">
        <v>674</v>
      </c>
      <c r="E30" s="2234">
        <v>10</v>
      </c>
      <c r="F30" s="2032"/>
      <c r="G30" s="2234"/>
      <c r="H30" s="2234"/>
      <c r="I30" s="2234"/>
      <c r="J30" s="2234"/>
      <c r="K30" s="2235"/>
      <c r="L30" s="26"/>
      <c r="M30" s="905"/>
      <c r="N30" s="2247"/>
    </row>
    <row r="31" spans="2:18">
      <c r="C31" s="2234">
        <v>3041</v>
      </c>
      <c r="D31" s="21" t="s">
        <v>666</v>
      </c>
      <c r="E31" s="2234">
        <v>24</v>
      </c>
      <c r="F31" s="2032"/>
      <c r="G31" s="2234"/>
      <c r="H31" s="2234"/>
      <c r="I31" s="2234"/>
      <c r="J31" s="2234"/>
      <c r="K31" s="2235"/>
      <c r="L31" s="26"/>
      <c r="M31" s="905"/>
      <c r="N31" s="2247"/>
    </row>
    <row r="32" spans="2:18" ht="30">
      <c r="C32" s="2234">
        <v>9594</v>
      </c>
      <c r="D32" s="838" t="s">
        <v>3719</v>
      </c>
      <c r="E32" s="2234">
        <v>20</v>
      </c>
      <c r="F32" s="2032"/>
      <c r="G32" s="2234"/>
      <c r="H32" s="2234"/>
      <c r="I32" s="2234"/>
      <c r="J32" s="2234"/>
      <c r="K32" s="2235"/>
      <c r="L32" s="26"/>
      <c r="M32" s="905"/>
      <c r="N32" s="2247"/>
    </row>
    <row r="33" spans="3:17">
      <c r="C33" s="2234">
        <v>3840</v>
      </c>
      <c r="D33" s="21" t="s">
        <v>673</v>
      </c>
      <c r="E33" s="2234">
        <v>10</v>
      </c>
      <c r="F33" s="2032"/>
      <c r="G33" s="2234"/>
      <c r="H33" s="2234"/>
      <c r="I33" s="2234"/>
      <c r="J33" s="2234"/>
      <c r="K33" s="2234"/>
      <c r="L33" s="693"/>
      <c r="M33" s="6"/>
      <c r="N33" s="2247"/>
    </row>
    <row r="34" spans="3:17">
      <c r="C34" s="2234">
        <v>4048</v>
      </c>
      <c r="D34" s="21" t="s">
        <v>667</v>
      </c>
      <c r="E34" s="2234">
        <v>24</v>
      </c>
      <c r="F34" s="2032"/>
      <c r="G34" s="2234"/>
      <c r="H34" s="2234"/>
      <c r="I34" s="2234"/>
      <c r="J34" s="2234"/>
      <c r="K34" s="2234"/>
      <c r="L34" s="693"/>
      <c r="M34" s="6"/>
      <c r="N34" s="2247"/>
    </row>
    <row r="35" spans="3:17">
      <c r="C35" s="104"/>
      <c r="D35" s="103"/>
      <c r="E35" s="104"/>
      <c r="F35" s="894"/>
      <c r="G35" s="104"/>
      <c r="H35" s="104"/>
      <c r="I35" s="104"/>
      <c r="J35" s="104"/>
      <c r="K35" s="104"/>
      <c r="L35" s="105"/>
      <c r="M35" s="105"/>
      <c r="N35" s="2243"/>
      <c r="O35" s="105"/>
    </row>
    <row r="36" spans="3:17">
      <c r="C36" s="104"/>
      <c r="D36" s="103"/>
      <c r="E36" s="104"/>
      <c r="F36" s="894"/>
      <c r="G36" s="104"/>
      <c r="H36" s="104"/>
      <c r="I36" s="104"/>
      <c r="J36" s="104"/>
      <c r="K36" s="104"/>
      <c r="L36" s="105"/>
      <c r="M36" s="105"/>
      <c r="N36" s="2243"/>
      <c r="O36" s="105"/>
    </row>
    <row r="37" spans="3:17">
      <c r="C37" s="1594"/>
      <c r="D37" s="1399" t="s">
        <v>6056</v>
      </c>
      <c r="E37" s="2236"/>
      <c r="F37" s="2238"/>
      <c r="G37" s="105"/>
      <c r="H37" s="105"/>
      <c r="I37" s="2238"/>
      <c r="J37" s="2238"/>
      <c r="K37" s="2238"/>
      <c r="L37" s="105"/>
      <c r="M37" s="105"/>
      <c r="N37" s="2244"/>
      <c r="O37" s="105"/>
    </row>
    <row r="38" spans="3:17" ht="45">
      <c r="C38" s="91"/>
      <c r="D38" s="92" t="s">
        <v>664</v>
      </c>
      <c r="E38" s="92" t="s">
        <v>2647</v>
      </c>
      <c r="F38" s="93" t="s">
        <v>121</v>
      </c>
      <c r="G38" s="93" t="s">
        <v>19</v>
      </c>
      <c r="H38" s="93" t="s">
        <v>20</v>
      </c>
      <c r="I38" s="93" t="s">
        <v>21</v>
      </c>
      <c r="J38" s="93" t="s">
        <v>23</v>
      </c>
      <c r="K38" s="93" t="s">
        <v>24</v>
      </c>
      <c r="L38" s="90" t="s">
        <v>678</v>
      </c>
      <c r="M38" s="90" t="s">
        <v>2445</v>
      </c>
      <c r="N38" s="761" t="s">
        <v>21</v>
      </c>
    </row>
    <row r="39" spans="3:17" s="1854" customFormat="1">
      <c r="C39" s="2234" t="s">
        <v>0</v>
      </c>
      <c r="D39" s="21" t="s">
        <v>1</v>
      </c>
      <c r="E39" s="375"/>
      <c r="F39" s="1437"/>
      <c r="G39" s="1437"/>
      <c r="H39" s="1437"/>
      <c r="I39" s="1437"/>
      <c r="J39" s="1437"/>
      <c r="K39" s="1437"/>
      <c r="L39" s="17"/>
      <c r="M39" s="17"/>
      <c r="N39" s="2245"/>
    </row>
    <row r="40" spans="3:17">
      <c r="C40" s="2234">
        <v>5987</v>
      </c>
      <c r="D40" s="293" t="s">
        <v>668</v>
      </c>
      <c r="E40" s="2234">
        <v>24</v>
      </c>
      <c r="F40" s="2234" t="s">
        <v>675</v>
      </c>
      <c r="G40" s="2234"/>
      <c r="H40" s="490"/>
      <c r="I40" s="2234"/>
      <c r="J40" s="2234"/>
      <c r="K40" s="693"/>
      <c r="L40" s="693"/>
      <c r="M40" s="2032" t="s">
        <v>3727</v>
      </c>
      <c r="N40" s="2242" t="s">
        <v>6036</v>
      </c>
    </row>
    <row r="41" spans="3:17">
      <c r="C41" s="2234">
        <v>5988</v>
      </c>
      <c r="D41" s="293" t="s">
        <v>669</v>
      </c>
      <c r="E41" s="2234">
        <v>12</v>
      </c>
      <c r="F41" s="2234" t="s">
        <v>676</v>
      </c>
      <c r="G41" s="2234"/>
      <c r="H41" s="490"/>
      <c r="I41" s="2234"/>
      <c r="J41" s="2234"/>
      <c r="K41" s="693"/>
      <c r="L41" s="693"/>
      <c r="M41" s="2242" t="s">
        <v>591</v>
      </c>
      <c r="N41" s="2242" t="s">
        <v>555</v>
      </c>
    </row>
    <row r="42" spans="3:17" hidden="1">
      <c r="C42" s="2234">
        <v>11875</v>
      </c>
      <c r="D42" s="293" t="s">
        <v>670</v>
      </c>
      <c r="E42" s="2234"/>
      <c r="F42" s="2234"/>
      <c r="G42" s="2234"/>
      <c r="H42" s="100"/>
      <c r="I42" s="2234"/>
      <c r="J42" s="2234"/>
      <c r="K42" s="693"/>
      <c r="L42" s="693"/>
      <c r="M42" s="2242"/>
      <c r="N42" s="2242"/>
      <c r="Q42" s="693"/>
    </row>
    <row r="43" spans="3:17" hidden="1">
      <c r="C43" s="2234">
        <v>11877</v>
      </c>
      <c r="D43" s="293" t="s">
        <v>671</v>
      </c>
      <c r="E43" s="2234"/>
      <c r="F43" s="2234"/>
      <c r="G43" s="2234"/>
      <c r="H43" s="100"/>
      <c r="I43" s="2234"/>
      <c r="J43" s="2234"/>
      <c r="K43" s="693"/>
      <c r="L43" s="693"/>
      <c r="M43" s="2242"/>
      <c r="N43" s="2242"/>
    </row>
    <row r="44" spans="3:17">
      <c r="C44" s="21"/>
      <c r="D44" s="1352" t="s">
        <v>672</v>
      </c>
      <c r="E44" s="375">
        <v>6</v>
      </c>
      <c r="F44" s="375" t="s">
        <v>591</v>
      </c>
      <c r="G44" s="2234"/>
      <c r="H44" s="490"/>
      <c r="I44" s="2234"/>
      <c r="J44" s="2234"/>
      <c r="K44" s="693"/>
      <c r="L44" s="693"/>
      <c r="M44" s="2242" t="s">
        <v>591</v>
      </c>
      <c r="N44" s="2242" t="s">
        <v>6055</v>
      </c>
    </row>
    <row r="45" spans="3:17">
      <c r="C45" s="103"/>
      <c r="D45" s="892"/>
      <c r="E45" s="892"/>
      <c r="F45" s="892"/>
      <c r="G45" s="104"/>
      <c r="H45" s="893"/>
      <c r="I45" s="104"/>
      <c r="J45" s="104"/>
      <c r="K45" s="105"/>
      <c r="L45" s="105"/>
      <c r="M45" s="2238"/>
      <c r="N45" s="2244"/>
      <c r="O45" s="105"/>
    </row>
    <row r="46" spans="3:17">
      <c r="C46" s="103"/>
      <c r="D46" s="892"/>
      <c r="E46" s="892"/>
      <c r="F46" s="892"/>
      <c r="G46" s="104"/>
      <c r="H46" s="893"/>
      <c r="I46" s="104"/>
      <c r="J46" s="104"/>
      <c r="K46" s="105"/>
      <c r="L46" s="105"/>
      <c r="M46" s="2238"/>
      <c r="N46" s="2244"/>
      <c r="O46" s="105"/>
    </row>
    <row r="47" spans="3:17">
      <c r="C47" s="1594"/>
      <c r="D47" s="1399" t="s">
        <v>6035</v>
      </c>
      <c r="E47" s="2236"/>
      <c r="F47" s="2238"/>
      <c r="G47" s="2238"/>
      <c r="H47" s="105"/>
      <c r="I47" s="105"/>
      <c r="J47" s="105"/>
      <c r="K47" s="105"/>
      <c r="L47" s="105"/>
      <c r="M47" s="105"/>
      <c r="N47" s="2244"/>
      <c r="O47" s="105"/>
    </row>
    <row r="48" spans="3:17" ht="45">
      <c r="C48" s="100"/>
      <c r="D48" s="490" t="s">
        <v>665</v>
      </c>
      <c r="E48" s="92" t="s">
        <v>2647</v>
      </c>
      <c r="F48" s="93" t="s">
        <v>121</v>
      </c>
      <c r="G48" s="93" t="s">
        <v>19</v>
      </c>
      <c r="H48" s="93" t="s">
        <v>20</v>
      </c>
      <c r="I48" s="93" t="s">
        <v>21</v>
      </c>
      <c r="J48" s="93" t="s">
        <v>23</v>
      </c>
      <c r="K48" s="93" t="s">
        <v>24</v>
      </c>
      <c r="L48" s="90" t="s">
        <v>678</v>
      </c>
      <c r="M48" s="90" t="s">
        <v>2445</v>
      </c>
      <c r="N48" s="761" t="s">
        <v>21</v>
      </c>
    </row>
    <row r="49" spans="3:14" s="1854" customFormat="1">
      <c r="C49" s="2234" t="s">
        <v>0</v>
      </c>
      <c r="D49" s="21" t="s">
        <v>1</v>
      </c>
      <c r="E49" s="375"/>
      <c r="F49" s="1437"/>
      <c r="G49" s="1437"/>
      <c r="H49" s="1437"/>
      <c r="I49" s="1437"/>
      <c r="J49" s="1437"/>
      <c r="K49" s="1437"/>
      <c r="L49" s="17"/>
      <c r="M49" s="17"/>
      <c r="N49" s="2245"/>
    </row>
    <row r="50" spans="3:14" hidden="1">
      <c r="C50" s="21">
        <v>15483</v>
      </c>
      <c r="D50" s="347" t="s">
        <v>3747</v>
      </c>
      <c r="E50" s="2237">
        <v>24</v>
      </c>
      <c r="F50" s="2237"/>
      <c r="G50" s="2237" t="s">
        <v>65</v>
      </c>
      <c r="H50" s="2237" t="s">
        <v>591</v>
      </c>
      <c r="I50" s="2237"/>
      <c r="J50" s="2237"/>
      <c r="K50" s="21"/>
      <c r="L50" s="21"/>
      <c r="M50" s="21"/>
      <c r="N50" s="69"/>
    </row>
    <row r="51" spans="3:14">
      <c r="C51" s="21">
        <v>15482</v>
      </c>
      <c r="D51" s="347" t="s">
        <v>3748</v>
      </c>
      <c r="E51" s="2237">
        <v>12</v>
      </c>
      <c r="F51" s="2237" t="s">
        <v>675</v>
      </c>
      <c r="G51" s="2237" t="s">
        <v>1130</v>
      </c>
      <c r="H51" s="2237" t="s">
        <v>591</v>
      </c>
      <c r="I51" s="2237" t="s">
        <v>555</v>
      </c>
      <c r="J51" s="2237"/>
      <c r="K51" s="21"/>
      <c r="L51" s="21"/>
      <c r="M51" s="2242" t="s">
        <v>6036</v>
      </c>
      <c r="N51" s="2242" t="s">
        <v>677</v>
      </c>
    </row>
    <row r="52" spans="3:14">
      <c r="C52" s="21">
        <v>20899</v>
      </c>
      <c r="D52" s="347" t="s">
        <v>3749</v>
      </c>
      <c r="E52" s="2237">
        <v>20</v>
      </c>
      <c r="F52" s="2237" t="s">
        <v>590</v>
      </c>
      <c r="G52" s="2237" t="s">
        <v>675</v>
      </c>
      <c r="H52" s="2237" t="s">
        <v>677</v>
      </c>
      <c r="I52" s="2237" t="s">
        <v>555</v>
      </c>
      <c r="J52" s="2237"/>
      <c r="K52" s="21"/>
      <c r="L52" s="21"/>
      <c r="M52" s="2242" t="s">
        <v>6036</v>
      </c>
      <c r="N52" s="2242" t="s">
        <v>555</v>
      </c>
    </row>
    <row r="53" spans="3:14">
      <c r="C53" s="25"/>
      <c r="D53" s="25"/>
      <c r="E53" s="2236"/>
      <c r="F53" s="2236"/>
      <c r="G53" s="25"/>
      <c r="H53" s="25"/>
      <c r="I53" s="25"/>
      <c r="J53" s="25"/>
      <c r="K53" s="25"/>
      <c r="L53" s="25"/>
      <c r="M53" s="25"/>
      <c r="N53" s="1594"/>
    </row>
    <row r="54" spans="3:14">
      <c r="C54" s="25"/>
      <c r="D54" s="25"/>
      <c r="E54" s="2236"/>
      <c r="F54" s="2236"/>
      <c r="G54" s="25"/>
      <c r="H54" s="25"/>
      <c r="I54" s="25"/>
      <c r="J54" s="25"/>
      <c r="K54" s="25"/>
      <c r="L54" s="25"/>
      <c r="M54" s="25"/>
      <c r="N54" s="1594"/>
    </row>
    <row r="65" spans="3:14" ht="30" customHeight="1">
      <c r="C65" s="91"/>
      <c r="D65" s="92" t="s">
        <v>664</v>
      </c>
      <c r="E65" s="92" t="s">
        <v>2647</v>
      </c>
      <c r="F65" s="93" t="s">
        <v>121</v>
      </c>
      <c r="G65" s="93" t="s">
        <v>19</v>
      </c>
      <c r="H65" s="93" t="s">
        <v>20</v>
      </c>
      <c r="I65" s="93" t="s">
        <v>21</v>
      </c>
      <c r="J65" s="93" t="s">
        <v>23</v>
      </c>
      <c r="K65" s="93" t="s">
        <v>24</v>
      </c>
      <c r="L65" s="90" t="s">
        <v>678</v>
      </c>
      <c r="M65" s="90" t="s">
        <v>2445</v>
      </c>
      <c r="N65" s="761" t="s">
        <v>21</v>
      </c>
    </row>
    <row r="66" spans="3:14">
      <c r="C66" s="2248" t="s">
        <v>0</v>
      </c>
      <c r="D66" s="21" t="s">
        <v>1</v>
      </c>
      <c r="E66" s="375"/>
      <c r="F66" s="1437"/>
      <c r="G66" s="1437"/>
      <c r="H66" s="1437"/>
      <c r="I66" s="1437"/>
      <c r="J66" s="1437"/>
      <c r="K66" s="1437"/>
      <c r="L66" s="17"/>
      <c r="M66" s="17"/>
      <c r="N66" s="2245"/>
    </row>
    <row r="67" spans="3:14">
      <c r="C67" s="2248">
        <v>5987</v>
      </c>
      <c r="D67" s="293" t="s">
        <v>668</v>
      </c>
      <c r="E67" s="2248">
        <v>24</v>
      </c>
      <c r="F67" s="2248"/>
      <c r="G67" s="2248"/>
      <c r="H67" s="490"/>
      <c r="I67" s="2248"/>
      <c r="J67" s="2248"/>
      <c r="K67" s="693"/>
      <c r="L67" s="693"/>
      <c r="M67" s="2032"/>
      <c r="N67" s="2248"/>
    </row>
    <row r="68" spans="3:14">
      <c r="C68" s="2248">
        <v>5988</v>
      </c>
      <c r="D68" s="293" t="s">
        <v>669</v>
      </c>
      <c r="E68" s="2248">
        <v>12</v>
      </c>
      <c r="F68" s="2248"/>
      <c r="G68" s="2248"/>
      <c r="H68" s="490"/>
      <c r="I68" s="2248"/>
      <c r="J68" s="2248"/>
      <c r="K68" s="693"/>
      <c r="L68" s="693"/>
      <c r="M68" s="2248"/>
      <c r="N68" s="2248"/>
    </row>
    <row r="69" spans="3:14" hidden="1">
      <c r="C69" s="2248">
        <v>11875</v>
      </c>
      <c r="D69" s="293" t="s">
        <v>670</v>
      </c>
      <c r="E69" s="2248"/>
      <c r="F69" s="2248"/>
      <c r="G69" s="2248"/>
      <c r="H69" s="100"/>
      <c r="I69" s="2248"/>
      <c r="J69" s="2248"/>
      <c r="K69" s="693"/>
      <c r="L69" s="693"/>
      <c r="M69" s="2248"/>
      <c r="N69" s="2248"/>
    </row>
    <row r="70" spans="3:14" hidden="1">
      <c r="C70" s="2248">
        <v>11877</v>
      </c>
      <c r="D70" s="293" t="s">
        <v>671</v>
      </c>
      <c r="E70" s="2248"/>
      <c r="F70" s="2248"/>
      <c r="G70" s="2248"/>
      <c r="H70" s="100"/>
      <c r="I70" s="2248"/>
      <c r="J70" s="2248"/>
      <c r="K70" s="693"/>
      <c r="L70" s="693"/>
      <c r="M70" s="2248"/>
      <c r="N70" s="2248"/>
    </row>
    <row r="71" spans="3:14">
      <c r="C71" s="21"/>
      <c r="D71" s="1352" t="s">
        <v>672</v>
      </c>
      <c r="E71" s="375">
        <v>6</v>
      </c>
      <c r="F71" s="375"/>
      <c r="G71" s="2248"/>
      <c r="H71" s="490"/>
      <c r="I71" s="2248"/>
      <c r="J71" s="2248"/>
      <c r="K71" s="693"/>
      <c r="L71" s="693"/>
      <c r="M71" s="2248"/>
      <c r="N71" s="2248"/>
    </row>
  </sheetData>
  <pageMargins left="0.7" right="0.7" top="0.75" bottom="0.75" header="0.3" footer="0.3"/>
  <pageSetup paperSize="9" orientation="landscape" horizontalDpi="360" verticalDpi="36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J65"/>
  <sheetViews>
    <sheetView topLeftCell="A42" workbookViewId="0">
      <selection activeCell="B70" sqref="B70"/>
    </sheetView>
  </sheetViews>
  <sheetFormatPr baseColWidth="10" defaultRowHeight="15"/>
  <cols>
    <col min="1" max="1" width="11.42578125" style="2224"/>
    <col min="2" max="2" width="36" customWidth="1"/>
    <col min="3" max="3" width="9.85546875" style="424" hidden="1" customWidth="1"/>
    <col min="4" max="4" width="8" style="357" hidden="1" customWidth="1"/>
    <col min="5" max="5" width="16.5703125" customWidth="1"/>
    <col min="6" max="7" width="14" style="357" customWidth="1"/>
    <col min="8" max="14" width="14" customWidth="1"/>
  </cols>
  <sheetData>
    <row r="2" spans="1:10">
      <c r="F2" s="482">
        <v>44470</v>
      </c>
      <c r="G2" s="482">
        <v>44505</v>
      </c>
    </row>
    <row r="3" spans="1:10" ht="72" customHeight="1">
      <c r="A3" s="2225"/>
      <c r="B3" s="909" t="s">
        <v>4702</v>
      </c>
      <c r="C3" s="1384" t="s">
        <v>3729</v>
      </c>
      <c r="D3" s="1384" t="s">
        <v>1497</v>
      </c>
      <c r="E3" s="1384" t="s">
        <v>19</v>
      </c>
      <c r="F3" s="1384" t="s">
        <v>110</v>
      </c>
      <c r="G3" s="1384" t="s">
        <v>111</v>
      </c>
      <c r="H3" s="1384" t="s">
        <v>3796</v>
      </c>
      <c r="I3" s="1384" t="s">
        <v>3797</v>
      </c>
      <c r="J3" s="17" t="s">
        <v>68</v>
      </c>
    </row>
    <row r="4" spans="1:10">
      <c r="A4" s="2225" t="s">
        <v>0</v>
      </c>
      <c r="B4" s="693" t="s">
        <v>1</v>
      </c>
      <c r="C4" s="1385"/>
      <c r="D4" s="1385"/>
      <c r="E4" s="1385"/>
      <c r="F4" s="1385"/>
      <c r="G4" s="1385"/>
      <c r="H4" s="959"/>
      <c r="I4" s="693"/>
      <c r="J4" s="1385"/>
    </row>
    <row r="5" spans="1:10">
      <c r="A5" s="2225">
        <v>5042</v>
      </c>
      <c r="B5" s="693" t="s">
        <v>1498</v>
      </c>
      <c r="C5" s="16">
        <v>1.47</v>
      </c>
      <c r="D5" s="1385">
        <v>18</v>
      </c>
      <c r="E5" s="1385" t="s">
        <v>4700</v>
      </c>
      <c r="F5" s="1385">
        <v>228</v>
      </c>
      <c r="G5" s="1385">
        <v>1</v>
      </c>
      <c r="H5" s="960">
        <f>+F5/D5</f>
        <v>12.666666666666666</v>
      </c>
      <c r="I5" s="399">
        <f>+G5/D5</f>
        <v>5.5555555555555552E-2</v>
      </c>
      <c r="J5" s="1385" t="s">
        <v>4700</v>
      </c>
    </row>
    <row r="6" spans="1:10">
      <c r="A6" s="2225">
        <v>5092</v>
      </c>
      <c r="B6" s="693" t="s">
        <v>1499</v>
      </c>
      <c r="C6" s="1385">
        <v>0.82</v>
      </c>
      <c r="D6" s="1385">
        <v>36</v>
      </c>
      <c r="E6" s="1385" t="s">
        <v>1923</v>
      </c>
      <c r="F6" s="1385">
        <v>73</v>
      </c>
      <c r="G6" s="1385">
        <v>1</v>
      </c>
      <c r="H6" s="960">
        <f t="shared" ref="H6:H20" si="0">+F6/D6</f>
        <v>2.0277777777777777</v>
      </c>
      <c r="I6" s="399">
        <f t="shared" ref="I6:I19" si="1">+G6/D6</f>
        <v>2.7777777777777776E-2</v>
      </c>
      <c r="J6" s="1385" t="s">
        <v>1923</v>
      </c>
    </row>
    <row r="7" spans="1:10">
      <c r="A7" s="2225">
        <v>5043</v>
      </c>
      <c r="B7" s="693" t="s">
        <v>1500</v>
      </c>
      <c r="C7" s="1385">
        <v>1.47</v>
      </c>
      <c r="D7" s="1385">
        <v>18</v>
      </c>
      <c r="E7" s="1385" t="s">
        <v>4701</v>
      </c>
      <c r="F7" s="1385">
        <v>118</v>
      </c>
      <c r="G7" s="1385">
        <v>16</v>
      </c>
      <c r="H7" s="960">
        <f t="shared" si="0"/>
        <v>6.5555555555555554</v>
      </c>
      <c r="I7" s="399">
        <f t="shared" si="1"/>
        <v>0.88888888888888884</v>
      </c>
      <c r="J7" s="1385" t="s">
        <v>4701</v>
      </c>
    </row>
    <row r="8" spans="1:10" hidden="1">
      <c r="A8" s="2225">
        <v>6686</v>
      </c>
      <c r="B8" s="693" t="s">
        <v>1501</v>
      </c>
      <c r="C8" s="1385">
        <v>1.47</v>
      </c>
      <c r="D8" s="1385">
        <v>22</v>
      </c>
      <c r="E8" s="1385"/>
      <c r="F8" s="1385"/>
      <c r="G8" s="1385"/>
      <c r="H8" s="960">
        <f t="shared" si="0"/>
        <v>0</v>
      </c>
      <c r="I8" s="399">
        <f t="shared" si="1"/>
        <v>0</v>
      </c>
      <c r="J8" s="1385"/>
    </row>
    <row r="9" spans="1:10" hidden="1">
      <c r="A9" s="2225">
        <v>9442</v>
      </c>
      <c r="B9" s="693" t="s">
        <v>1502</v>
      </c>
      <c r="C9" s="1385">
        <v>0.82</v>
      </c>
      <c r="D9" s="1385">
        <v>30</v>
      </c>
      <c r="E9" s="1385"/>
      <c r="F9" s="1385"/>
      <c r="G9" s="1385"/>
      <c r="H9" s="960">
        <f t="shared" si="0"/>
        <v>0</v>
      </c>
      <c r="I9" s="399">
        <f t="shared" si="1"/>
        <v>0</v>
      </c>
      <c r="J9" s="1385"/>
    </row>
    <row r="10" spans="1:10">
      <c r="A10" s="2225">
        <v>8747</v>
      </c>
      <c r="B10" s="693" t="s">
        <v>1503</v>
      </c>
      <c r="C10" s="1385">
        <v>1.417</v>
      </c>
      <c r="D10" s="1385">
        <v>15</v>
      </c>
      <c r="E10" s="1385" t="s">
        <v>1923</v>
      </c>
      <c r="F10" s="1385">
        <v>14</v>
      </c>
      <c r="G10" s="1385">
        <v>0</v>
      </c>
      <c r="H10" s="960">
        <f t="shared" si="0"/>
        <v>0.93333333333333335</v>
      </c>
      <c r="I10" s="399">
        <f t="shared" si="1"/>
        <v>0</v>
      </c>
      <c r="J10" s="1385" t="s">
        <v>1923</v>
      </c>
    </row>
    <row r="11" spans="1:10">
      <c r="A11" s="2225">
        <v>5044</v>
      </c>
      <c r="B11" s="693" t="s">
        <v>1504</v>
      </c>
      <c r="C11" s="1385">
        <v>0.82</v>
      </c>
      <c r="D11" s="1385">
        <v>36</v>
      </c>
      <c r="E11" s="1385" t="s">
        <v>1923</v>
      </c>
      <c r="F11" s="1385">
        <v>87</v>
      </c>
      <c r="G11" s="1385">
        <v>19</v>
      </c>
      <c r="H11" s="960">
        <f t="shared" si="0"/>
        <v>2.4166666666666665</v>
      </c>
      <c r="I11" s="399">
        <f t="shared" si="1"/>
        <v>0.52777777777777779</v>
      </c>
      <c r="J11" s="1385" t="s">
        <v>1923</v>
      </c>
    </row>
    <row r="12" spans="1:10" hidden="1">
      <c r="A12" s="2225">
        <v>10122</v>
      </c>
      <c r="B12" s="693" t="s">
        <v>153</v>
      </c>
      <c r="C12" s="1385">
        <v>6.84</v>
      </c>
      <c r="D12" s="1385" t="s">
        <v>65</v>
      </c>
      <c r="E12" s="1385"/>
      <c r="F12" s="1385">
        <v>0</v>
      </c>
      <c r="G12" s="1385">
        <v>0</v>
      </c>
      <c r="H12" s="960" t="s">
        <v>65</v>
      </c>
      <c r="I12" s="399" t="e">
        <f t="shared" si="1"/>
        <v>#VALUE!</v>
      </c>
      <c r="J12" s="1385"/>
    </row>
    <row r="13" spans="1:10" hidden="1">
      <c r="A13" s="2225">
        <v>7158</v>
      </c>
      <c r="B13" s="693" t="s">
        <v>154</v>
      </c>
      <c r="C13" s="1385">
        <v>5.04</v>
      </c>
      <c r="D13" s="1385">
        <v>30</v>
      </c>
      <c r="E13" s="1385"/>
      <c r="F13" s="1385">
        <v>0</v>
      </c>
      <c r="G13" s="1385">
        <v>0</v>
      </c>
      <c r="H13" s="960">
        <f t="shared" si="0"/>
        <v>0</v>
      </c>
      <c r="I13" s="399">
        <f t="shared" si="1"/>
        <v>0</v>
      </c>
      <c r="J13" s="1385"/>
    </row>
    <row r="14" spans="1:10" hidden="1">
      <c r="A14" s="2225">
        <v>5094</v>
      </c>
      <c r="B14" s="693" t="s">
        <v>155</v>
      </c>
      <c r="C14" s="1385">
        <v>4.71</v>
      </c>
      <c r="D14" s="1385">
        <v>12</v>
      </c>
      <c r="E14" s="1385"/>
      <c r="F14" s="1385"/>
      <c r="G14" s="1385"/>
      <c r="H14" s="960">
        <f t="shared" si="0"/>
        <v>0</v>
      </c>
      <c r="I14" s="399">
        <f t="shared" si="1"/>
        <v>0</v>
      </c>
      <c r="J14" s="1385"/>
    </row>
    <row r="15" spans="1:10">
      <c r="A15" s="2225">
        <v>5045</v>
      </c>
      <c r="B15" s="693" t="s">
        <v>156</v>
      </c>
      <c r="C15" s="16">
        <v>2.59</v>
      </c>
      <c r="D15" s="1385">
        <v>35</v>
      </c>
      <c r="E15" s="1385" t="s">
        <v>1923</v>
      </c>
      <c r="F15" s="1385">
        <v>56</v>
      </c>
      <c r="G15" s="1385">
        <v>38</v>
      </c>
      <c r="H15" s="960">
        <f t="shared" si="0"/>
        <v>1.6</v>
      </c>
      <c r="I15" s="399">
        <f t="shared" si="1"/>
        <v>1.0857142857142856</v>
      </c>
      <c r="J15" s="1385" t="s">
        <v>1923</v>
      </c>
    </row>
    <row r="16" spans="1:10" hidden="1">
      <c r="A16" s="2227">
        <v>5798</v>
      </c>
      <c r="B16" s="324" t="s">
        <v>157</v>
      </c>
      <c r="C16" s="431">
        <v>2.59</v>
      </c>
      <c r="D16" s="1385"/>
      <c r="E16" s="1385"/>
      <c r="F16" s="1385"/>
      <c r="G16" s="1385"/>
      <c r="H16" s="960" t="s">
        <v>65</v>
      </c>
      <c r="I16" s="399" t="e">
        <f t="shared" si="1"/>
        <v>#DIV/0!</v>
      </c>
      <c r="J16" s="693"/>
    </row>
    <row r="17" spans="1:10" hidden="1">
      <c r="A17" s="2225">
        <v>7159</v>
      </c>
      <c r="B17" s="693" t="s">
        <v>158</v>
      </c>
      <c r="C17" s="1385">
        <v>5.26</v>
      </c>
      <c r="D17" s="1385">
        <v>10</v>
      </c>
      <c r="E17" s="1385">
        <v>0</v>
      </c>
      <c r="F17" s="1385">
        <v>9</v>
      </c>
      <c r="G17" s="1385">
        <v>0</v>
      </c>
      <c r="H17" s="960">
        <f t="shared" si="0"/>
        <v>0.9</v>
      </c>
      <c r="I17" s="399">
        <f t="shared" si="1"/>
        <v>0</v>
      </c>
      <c r="J17" s="693"/>
    </row>
    <row r="18" spans="1:10" hidden="1">
      <c r="A18" s="2225">
        <v>7160</v>
      </c>
      <c r="B18" s="693" t="s">
        <v>159</v>
      </c>
      <c r="C18" s="1385">
        <v>6.15</v>
      </c>
      <c r="D18" s="1385">
        <v>10</v>
      </c>
      <c r="E18" s="1385">
        <v>0</v>
      </c>
      <c r="F18" s="1385"/>
      <c r="G18" s="1385"/>
      <c r="H18" s="960">
        <f t="shared" si="0"/>
        <v>0</v>
      </c>
      <c r="I18" s="399">
        <f t="shared" si="1"/>
        <v>0</v>
      </c>
      <c r="J18" s="693"/>
    </row>
    <row r="19" spans="1:10" hidden="1">
      <c r="A19" s="2225">
        <v>7162</v>
      </c>
      <c r="B19" s="693" t="s">
        <v>160</v>
      </c>
      <c r="C19" s="1385">
        <v>7.71</v>
      </c>
      <c r="D19" s="1385">
        <v>10</v>
      </c>
      <c r="E19" s="1385">
        <v>0</v>
      </c>
      <c r="F19" s="1385"/>
      <c r="G19" s="1385"/>
      <c r="H19" s="960">
        <f t="shared" si="0"/>
        <v>0</v>
      </c>
      <c r="I19" s="399">
        <f t="shared" si="1"/>
        <v>0</v>
      </c>
      <c r="J19" s="693"/>
    </row>
    <row r="20" spans="1:10" hidden="1">
      <c r="A20" s="2225">
        <v>7161</v>
      </c>
      <c r="B20" s="693" t="s">
        <v>161</v>
      </c>
      <c r="C20" s="1385">
        <v>2.0099999999999998</v>
      </c>
      <c r="D20" s="1385">
        <v>30</v>
      </c>
      <c r="E20" s="1385">
        <v>0</v>
      </c>
      <c r="F20" s="1385">
        <v>9</v>
      </c>
      <c r="G20" s="1385">
        <v>49</v>
      </c>
      <c r="H20" s="960">
        <f t="shared" si="0"/>
        <v>0.3</v>
      </c>
      <c r="I20" s="399" t="s">
        <v>65</v>
      </c>
      <c r="J20" s="693"/>
    </row>
    <row r="21" spans="1:10" s="357" customFormat="1" hidden="1">
      <c r="A21" s="2225"/>
      <c r="B21" s="693"/>
      <c r="C21" s="394"/>
      <c r="D21" s="394"/>
      <c r="E21" s="394"/>
      <c r="F21" s="394"/>
      <c r="G21" s="394"/>
      <c r="H21" s="1397"/>
      <c r="I21" s="1398" t="s">
        <v>65</v>
      </c>
    </row>
    <row r="22" spans="1:10" s="357" customFormat="1">
      <c r="A22" s="2225"/>
      <c r="B22" s="693"/>
      <c r="C22" s="909"/>
      <c r="D22" s="909"/>
      <c r="E22" s="909"/>
      <c r="F22" s="909"/>
      <c r="G22" s="909"/>
      <c r="H22" s="960"/>
      <c r="I22" s="693"/>
    </row>
    <row r="23" spans="1:10" s="357" customFormat="1">
      <c r="A23" s="2225"/>
      <c r="B23" s="693"/>
      <c r="C23" s="909"/>
      <c r="D23" s="909"/>
      <c r="E23" s="909"/>
      <c r="F23" s="909"/>
      <c r="G23" s="909"/>
      <c r="H23" s="960"/>
      <c r="I23" s="693"/>
    </row>
    <row r="24" spans="1:10" s="357" customFormat="1">
      <c r="A24" s="2225"/>
      <c r="B24" s="693"/>
      <c r="C24" s="909"/>
      <c r="D24" s="909"/>
      <c r="E24" s="909"/>
      <c r="F24" s="909"/>
      <c r="G24" s="909"/>
      <c r="H24" s="960"/>
      <c r="I24" s="693"/>
    </row>
    <row r="25" spans="1:10" s="357" customFormat="1">
      <c r="A25" s="2225"/>
      <c r="B25" s="693"/>
      <c r="C25" s="909"/>
      <c r="D25" s="909"/>
      <c r="E25" s="909"/>
      <c r="F25" s="909"/>
      <c r="G25" s="909"/>
      <c r="H25" s="960"/>
      <c r="I25" s="693"/>
    </row>
    <row r="26" spans="1:10">
      <c r="A26" s="2225"/>
      <c r="B26" s="693"/>
      <c r="C26" s="909"/>
      <c r="D26" s="909"/>
      <c r="E26" s="909"/>
      <c r="F26" s="909"/>
      <c r="G26" s="909"/>
      <c r="H26" s="960"/>
      <c r="I26" s="693"/>
    </row>
    <row r="27" spans="1:10">
      <c r="A27" s="2225"/>
      <c r="B27" s="693"/>
      <c r="C27" s="909"/>
      <c r="D27" s="909"/>
      <c r="E27" s="909"/>
      <c r="F27" s="909"/>
      <c r="G27" s="909"/>
      <c r="H27" s="960"/>
      <c r="I27" s="693"/>
    </row>
    <row r="28" spans="1:10">
      <c r="A28" s="2225">
        <v>10716</v>
      </c>
      <c r="B28" s="693" t="s">
        <v>240</v>
      </c>
      <c r="C28" s="16">
        <v>1.5</v>
      </c>
      <c r="D28" s="909"/>
      <c r="E28" s="909" t="s">
        <v>3745</v>
      </c>
      <c r="F28" s="909"/>
      <c r="G28" s="909"/>
      <c r="H28" s="960"/>
      <c r="I28" s="693" t="s">
        <v>3744</v>
      </c>
    </row>
    <row r="29" spans="1:10">
      <c r="A29" s="2225">
        <v>17443</v>
      </c>
      <c r="B29" s="34" t="s">
        <v>241</v>
      </c>
      <c r="C29" s="16">
        <v>3</v>
      </c>
      <c r="D29" s="305"/>
      <c r="E29" s="909" t="s">
        <v>3746</v>
      </c>
      <c r="F29" s="909"/>
      <c r="G29" s="909"/>
      <c r="H29" s="960"/>
      <c r="I29" s="909" t="s">
        <v>591</v>
      </c>
    </row>
    <row r="30" spans="1:10" s="827" customFormat="1">
      <c r="A30" s="2226"/>
      <c r="B30" s="96"/>
      <c r="C30" s="557"/>
      <c r="D30" s="135"/>
      <c r="E30" s="395"/>
      <c r="F30" s="915"/>
      <c r="G30" s="915"/>
      <c r="H30" s="961"/>
      <c r="I30" s="915"/>
    </row>
    <row r="31" spans="1:10" ht="45">
      <c r="A31" s="453"/>
      <c r="B31" s="453" t="s">
        <v>4555</v>
      </c>
      <c r="C31" s="453"/>
      <c r="D31" s="453"/>
      <c r="E31" s="39" t="s">
        <v>19</v>
      </c>
      <c r="F31" s="39" t="s">
        <v>20</v>
      </c>
      <c r="G31" s="453" t="s">
        <v>3824</v>
      </c>
    </row>
    <row r="32" spans="1:10">
      <c r="A32" s="2223">
        <v>9947</v>
      </c>
      <c r="B32" s="1273" t="s">
        <v>3728</v>
      </c>
      <c r="C32" s="1273">
        <v>1.679</v>
      </c>
      <c r="D32" s="1273"/>
      <c r="E32" s="1273" t="s">
        <v>236</v>
      </c>
      <c r="F32" s="1273" t="s">
        <v>695</v>
      </c>
      <c r="G32" s="375" t="s">
        <v>3746</v>
      </c>
    </row>
    <row r="38" spans="1:7">
      <c r="D38" s="2365" t="s">
        <v>2792</v>
      </c>
      <c r="E38" s="2365"/>
      <c r="F38" s="2365"/>
      <c r="G38" s="2365"/>
    </row>
    <row r="39" spans="1:7">
      <c r="D39" s="2365"/>
      <c r="E39" s="2365"/>
      <c r="F39" s="2365"/>
      <c r="G39" s="2365"/>
    </row>
    <row r="43" spans="1:7" ht="30.75" customHeight="1">
      <c r="A43" s="58"/>
      <c r="B43" s="62" t="s">
        <v>6037</v>
      </c>
      <c r="C43" s="62" t="s">
        <v>3729</v>
      </c>
      <c r="D43" s="62" t="s">
        <v>1497</v>
      </c>
      <c r="E43" s="309" t="s">
        <v>121</v>
      </c>
    </row>
    <row r="44" spans="1:7">
      <c r="A44" s="2225" t="s">
        <v>0</v>
      </c>
      <c r="B44" s="693" t="s">
        <v>1</v>
      </c>
      <c r="C44" s="2225"/>
      <c r="D44" s="2225"/>
      <c r="E44" s="2225"/>
    </row>
    <row r="45" spans="1:7">
      <c r="A45" s="2223">
        <v>5042</v>
      </c>
      <c r="B45" s="693" t="s">
        <v>1498</v>
      </c>
      <c r="C45" s="16">
        <v>1.47</v>
      </c>
      <c r="D45" s="2225">
        <v>18</v>
      </c>
      <c r="E45" s="2225" t="s">
        <v>1923</v>
      </c>
    </row>
    <row r="46" spans="1:7">
      <c r="A46" s="2223">
        <v>5092</v>
      </c>
      <c r="B46" s="693" t="s">
        <v>1499</v>
      </c>
      <c r="C46" s="2225">
        <v>0.82</v>
      </c>
      <c r="D46" s="2225">
        <v>36</v>
      </c>
      <c r="E46" s="2225" t="s">
        <v>4037</v>
      </c>
    </row>
    <row r="47" spans="1:7" hidden="1">
      <c r="A47" s="2223">
        <v>5043</v>
      </c>
      <c r="B47" s="693" t="s">
        <v>1500</v>
      </c>
      <c r="C47" s="2225">
        <v>1.47</v>
      </c>
      <c r="D47" s="2225">
        <v>18</v>
      </c>
      <c r="E47" s="2225"/>
    </row>
    <row r="48" spans="1:7" hidden="1">
      <c r="A48" s="2223">
        <v>6686</v>
      </c>
      <c r="B48" s="693" t="s">
        <v>1501</v>
      </c>
      <c r="C48" s="2225">
        <v>1.47</v>
      </c>
      <c r="D48" s="2225">
        <v>22</v>
      </c>
      <c r="E48" s="2225"/>
    </row>
    <row r="49" spans="1:5" hidden="1">
      <c r="A49" s="2223">
        <v>9442</v>
      </c>
      <c r="B49" s="693" t="s">
        <v>1502</v>
      </c>
      <c r="C49" s="2225">
        <v>0.82</v>
      </c>
      <c r="D49" s="2225">
        <v>30</v>
      </c>
      <c r="E49" s="2225"/>
    </row>
    <row r="50" spans="1:5">
      <c r="A50" s="2223">
        <v>8747</v>
      </c>
      <c r="B50" s="693" t="s">
        <v>1503</v>
      </c>
      <c r="C50" s="2225">
        <v>1.417</v>
      </c>
      <c r="D50" s="2225">
        <v>15</v>
      </c>
      <c r="E50" s="2225" t="s">
        <v>3872</v>
      </c>
    </row>
    <row r="51" spans="1:5">
      <c r="A51" s="2223">
        <v>5044</v>
      </c>
      <c r="B51" s="693" t="s">
        <v>1504</v>
      </c>
      <c r="C51" s="2225">
        <v>0.82</v>
      </c>
      <c r="D51" s="2225">
        <v>36</v>
      </c>
      <c r="E51" s="2225" t="s">
        <v>4037</v>
      </c>
    </row>
    <row r="52" spans="1:5" hidden="1">
      <c r="A52" s="2223">
        <v>10122</v>
      </c>
      <c r="B52" s="693" t="s">
        <v>153</v>
      </c>
      <c r="C52" s="2225">
        <v>6.84</v>
      </c>
      <c r="D52" s="2225" t="s">
        <v>65</v>
      </c>
      <c r="E52" s="2225" t="s">
        <v>4037</v>
      </c>
    </row>
    <row r="53" spans="1:5" hidden="1">
      <c r="A53" s="2223">
        <v>7158</v>
      </c>
      <c r="B53" s="693" t="s">
        <v>154</v>
      </c>
      <c r="C53" s="2225">
        <v>5.04</v>
      </c>
      <c r="D53" s="2225">
        <v>30</v>
      </c>
      <c r="E53" s="2225"/>
    </row>
    <row r="54" spans="1:5" hidden="1">
      <c r="A54" s="2223">
        <v>5094</v>
      </c>
      <c r="B54" s="693" t="s">
        <v>155</v>
      </c>
      <c r="C54" s="2225">
        <v>4.71</v>
      </c>
      <c r="D54" s="2225">
        <v>12</v>
      </c>
      <c r="E54" s="2225" t="s">
        <v>4037</v>
      </c>
    </row>
    <row r="55" spans="1:5" hidden="1">
      <c r="A55" s="2223">
        <v>5045</v>
      </c>
      <c r="B55" s="693" t="s">
        <v>156</v>
      </c>
      <c r="C55" s="16">
        <v>2.59</v>
      </c>
      <c r="D55" s="2225">
        <v>35</v>
      </c>
      <c r="E55" s="2225" t="s">
        <v>4037</v>
      </c>
    </row>
    <row r="56" spans="1:5" hidden="1">
      <c r="A56" s="2227">
        <v>5798</v>
      </c>
      <c r="B56" s="324" t="s">
        <v>157</v>
      </c>
      <c r="C56" s="431">
        <v>2.59</v>
      </c>
      <c r="D56" s="2225"/>
      <c r="E56" s="2225"/>
    </row>
    <row r="57" spans="1:5" hidden="1">
      <c r="A57" s="2225">
        <v>7159</v>
      </c>
      <c r="B57" s="693" t="s">
        <v>158</v>
      </c>
      <c r="C57" s="2225">
        <v>5.26</v>
      </c>
      <c r="D57" s="2225">
        <v>10</v>
      </c>
      <c r="E57" s="2225"/>
    </row>
    <row r="58" spans="1:5" hidden="1">
      <c r="A58" s="2225">
        <v>7160</v>
      </c>
      <c r="B58" s="693" t="s">
        <v>159</v>
      </c>
      <c r="C58" s="2225">
        <v>6.15</v>
      </c>
      <c r="D58" s="2225">
        <v>10</v>
      </c>
      <c r="E58" s="2225"/>
    </row>
    <row r="59" spans="1:5" hidden="1">
      <c r="A59" s="2225">
        <v>7162</v>
      </c>
      <c r="B59" s="693" t="s">
        <v>160</v>
      </c>
      <c r="C59" s="2225">
        <v>7.71</v>
      </c>
      <c r="D59" s="2225">
        <v>10</v>
      </c>
      <c r="E59" s="2225"/>
    </row>
    <row r="60" spans="1:5" hidden="1">
      <c r="A60" s="2225">
        <v>7161</v>
      </c>
      <c r="B60" s="693" t="s">
        <v>161</v>
      </c>
      <c r="C60" s="2225">
        <v>2.0099999999999998</v>
      </c>
      <c r="D60" s="2225">
        <v>30</v>
      </c>
      <c r="E60" s="2225"/>
    </row>
    <row r="61" spans="1:5" hidden="1">
      <c r="A61" s="2225"/>
      <c r="B61" s="693"/>
      <c r="C61" s="394"/>
      <c r="D61" s="394"/>
      <c r="E61" s="394"/>
    </row>
    <row r="62" spans="1:5" hidden="1">
      <c r="A62" s="2225"/>
      <c r="B62" s="693"/>
      <c r="C62" s="2225"/>
      <c r="D62" s="2225"/>
      <c r="E62" s="2225"/>
    </row>
    <row r="63" spans="1:5" hidden="1">
      <c r="A63" s="2225"/>
      <c r="B63" s="693"/>
      <c r="C63" s="2225"/>
      <c r="D63" s="2225"/>
      <c r="E63" s="2225"/>
    </row>
    <row r="64" spans="1:5" hidden="1">
      <c r="A64" s="2225"/>
      <c r="B64" s="693"/>
      <c r="C64" s="2225"/>
      <c r="D64" s="2225"/>
      <c r="E64" s="2225"/>
    </row>
    <row r="65" hidden="1"/>
  </sheetData>
  <mergeCells count="1">
    <mergeCell ref="D38:G39"/>
  </mergeCells>
  <pageMargins left="0.7" right="0.7" top="0.75" bottom="0.75" header="0.3" footer="0.3"/>
  <pageSetup paperSize="9" orientation="landscape" horizontalDpi="360" verticalDpi="36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4:C67"/>
  <sheetViews>
    <sheetView workbookViewId="0">
      <selection activeCell="H19" sqref="H19"/>
    </sheetView>
  </sheetViews>
  <sheetFormatPr baseColWidth="10" defaultRowHeight="15"/>
  <cols>
    <col min="3" max="3" width="58.5703125" customWidth="1"/>
  </cols>
  <sheetData>
    <row r="4" spans="1:3">
      <c r="A4" t="s">
        <v>0</v>
      </c>
      <c r="B4" t="s">
        <v>1</v>
      </c>
      <c r="C4" t="s">
        <v>19</v>
      </c>
    </row>
    <row r="5" spans="1:3">
      <c r="A5">
        <v>3642</v>
      </c>
      <c r="B5" t="s">
        <v>162</v>
      </c>
    </row>
    <row r="6" spans="1:3">
      <c r="A6">
        <v>5083</v>
      </c>
      <c r="B6" t="s">
        <v>163</v>
      </c>
    </row>
    <row r="7" spans="1:3">
      <c r="A7">
        <v>3843</v>
      </c>
      <c r="B7" t="s">
        <v>164</v>
      </c>
    </row>
    <row r="8" spans="1:3">
      <c r="A8">
        <v>1078</v>
      </c>
      <c r="B8" t="s">
        <v>165</v>
      </c>
    </row>
    <row r="9" spans="1:3">
      <c r="A9">
        <v>2875</v>
      </c>
      <c r="B9" t="s">
        <v>166</v>
      </c>
    </row>
    <row r="10" spans="1:3">
      <c r="A10">
        <v>1065</v>
      </c>
      <c r="B10" t="s">
        <v>167</v>
      </c>
    </row>
    <row r="11" spans="1:3">
      <c r="A11">
        <v>1070</v>
      </c>
      <c r="B11" t="s">
        <v>168</v>
      </c>
    </row>
    <row r="12" spans="1:3">
      <c r="A12">
        <v>9518</v>
      </c>
      <c r="B12" t="s">
        <v>169</v>
      </c>
    </row>
    <row r="13" spans="1:3">
      <c r="A13">
        <v>1086</v>
      </c>
      <c r="B13" t="s">
        <v>170</v>
      </c>
    </row>
    <row r="14" spans="1:3">
      <c r="A14">
        <v>3842</v>
      </c>
      <c r="B14" t="s">
        <v>171</v>
      </c>
    </row>
    <row r="15" spans="1:3">
      <c r="A15">
        <v>3847</v>
      </c>
      <c r="B15" t="s">
        <v>172</v>
      </c>
    </row>
    <row r="16" spans="1:3">
      <c r="A16">
        <v>3356</v>
      </c>
      <c r="B16" t="s">
        <v>173</v>
      </c>
    </row>
    <row r="17" spans="1:2">
      <c r="A17">
        <v>1092</v>
      </c>
      <c r="B17" t="s">
        <v>174</v>
      </c>
    </row>
    <row r="18" spans="1:2">
      <c r="A18">
        <v>5081</v>
      </c>
      <c r="B18" t="s">
        <v>175</v>
      </c>
    </row>
    <row r="19" spans="1:2">
      <c r="A19">
        <v>10400</v>
      </c>
      <c r="B19" t="s">
        <v>176</v>
      </c>
    </row>
    <row r="20" spans="1:2">
      <c r="A20">
        <v>5082</v>
      </c>
      <c r="B20" t="s">
        <v>177</v>
      </c>
    </row>
    <row r="21" spans="1:2">
      <c r="A21">
        <v>2203</v>
      </c>
      <c r="B21" t="s">
        <v>178</v>
      </c>
    </row>
    <row r="22" spans="1:2">
      <c r="A22">
        <v>2204</v>
      </c>
      <c r="B22" t="s">
        <v>179</v>
      </c>
    </row>
    <row r="23" spans="1:2">
      <c r="A23">
        <v>2873</v>
      </c>
      <c r="B23" t="s">
        <v>180</v>
      </c>
    </row>
    <row r="24" spans="1:2">
      <c r="A24">
        <v>2201</v>
      </c>
      <c r="B24" t="s">
        <v>181</v>
      </c>
    </row>
    <row r="25" spans="1:2">
      <c r="A25">
        <v>772</v>
      </c>
      <c r="B25" t="s">
        <v>182</v>
      </c>
    </row>
    <row r="26" spans="1:2">
      <c r="A26">
        <v>3646</v>
      </c>
      <c r="B26" t="s">
        <v>183</v>
      </c>
    </row>
    <row r="27" spans="1:2">
      <c r="A27">
        <v>10268</v>
      </c>
      <c r="B27" t="s">
        <v>184</v>
      </c>
    </row>
    <row r="28" spans="1:2">
      <c r="A28">
        <v>4024</v>
      </c>
      <c r="B28" t="s">
        <v>185</v>
      </c>
    </row>
    <row r="29" spans="1:2">
      <c r="A29">
        <v>777</v>
      </c>
      <c r="B29" t="s">
        <v>186</v>
      </c>
    </row>
    <row r="30" spans="1:2">
      <c r="A30">
        <v>3643</v>
      </c>
      <c r="B30" t="s">
        <v>187</v>
      </c>
    </row>
    <row r="31" spans="1:2">
      <c r="A31">
        <v>2813</v>
      </c>
      <c r="B31" t="s">
        <v>188</v>
      </c>
    </row>
    <row r="32" spans="1:2">
      <c r="A32">
        <v>2205</v>
      </c>
      <c r="B32" t="s">
        <v>189</v>
      </c>
    </row>
    <row r="33" spans="1:2">
      <c r="A33">
        <v>7474</v>
      </c>
      <c r="B33" t="s">
        <v>190</v>
      </c>
    </row>
    <row r="34" spans="1:2">
      <c r="A34">
        <v>1417</v>
      </c>
      <c r="B34" t="s">
        <v>191</v>
      </c>
    </row>
    <row r="35" spans="1:2">
      <c r="A35">
        <v>1135</v>
      </c>
      <c r="B35" t="s">
        <v>192</v>
      </c>
    </row>
    <row r="36" spans="1:2">
      <c r="A36">
        <v>8706</v>
      </c>
      <c r="B36" t="s">
        <v>193</v>
      </c>
    </row>
    <row r="37" spans="1:2">
      <c r="A37">
        <v>842</v>
      </c>
      <c r="B37" t="s">
        <v>194</v>
      </c>
    </row>
    <row r="38" spans="1:2">
      <c r="A38">
        <v>836</v>
      </c>
      <c r="B38" t="s">
        <v>195</v>
      </c>
    </row>
    <row r="39" spans="1:2">
      <c r="A39">
        <v>845</v>
      </c>
      <c r="B39" t="s">
        <v>196</v>
      </c>
    </row>
    <row r="40" spans="1:2">
      <c r="A40">
        <v>11077</v>
      </c>
      <c r="B40" t="s">
        <v>197</v>
      </c>
    </row>
    <row r="41" spans="1:2">
      <c r="A41">
        <v>2196</v>
      </c>
      <c r="B41" t="s">
        <v>198</v>
      </c>
    </row>
    <row r="42" spans="1:2">
      <c r="A42">
        <v>1394</v>
      </c>
      <c r="B42" t="s">
        <v>199</v>
      </c>
    </row>
    <row r="43" spans="1:2">
      <c r="A43">
        <v>7898</v>
      </c>
      <c r="B43" t="s">
        <v>200</v>
      </c>
    </row>
    <row r="44" spans="1:2">
      <c r="A44">
        <v>4891</v>
      </c>
      <c r="B44" t="s">
        <v>201</v>
      </c>
    </row>
    <row r="45" spans="1:2">
      <c r="A45">
        <v>3147</v>
      </c>
      <c r="B45" t="s">
        <v>202</v>
      </c>
    </row>
    <row r="46" spans="1:2">
      <c r="A46">
        <v>3844</v>
      </c>
      <c r="B46" t="s">
        <v>203</v>
      </c>
    </row>
    <row r="47" spans="1:2">
      <c r="A47">
        <v>835</v>
      </c>
      <c r="B47" t="s">
        <v>204</v>
      </c>
    </row>
    <row r="48" spans="1:2">
      <c r="A48">
        <v>3645</v>
      </c>
      <c r="B48" t="s">
        <v>205</v>
      </c>
    </row>
    <row r="49" spans="1:2">
      <c r="A49">
        <v>770</v>
      </c>
      <c r="B49" t="s">
        <v>206</v>
      </c>
    </row>
    <row r="50" spans="1:2">
      <c r="A50">
        <v>3157</v>
      </c>
      <c r="B50" t="s">
        <v>207</v>
      </c>
    </row>
    <row r="51" spans="1:2">
      <c r="A51">
        <v>740</v>
      </c>
      <c r="B51" t="s">
        <v>208</v>
      </c>
    </row>
    <row r="52" spans="1:2">
      <c r="A52">
        <v>3853</v>
      </c>
      <c r="B52" t="s">
        <v>209</v>
      </c>
    </row>
    <row r="53" spans="1:2">
      <c r="A53">
        <v>3354</v>
      </c>
      <c r="B53" t="s">
        <v>210</v>
      </c>
    </row>
    <row r="54" spans="1:2">
      <c r="A54">
        <v>1235</v>
      </c>
      <c r="B54" t="s">
        <v>211</v>
      </c>
    </row>
    <row r="55" spans="1:2">
      <c r="A55">
        <v>1232</v>
      </c>
      <c r="B55" t="s">
        <v>212</v>
      </c>
    </row>
    <row r="56" spans="1:2">
      <c r="A56">
        <v>4278</v>
      </c>
      <c r="B56" t="s">
        <v>213</v>
      </c>
    </row>
    <row r="57" spans="1:2">
      <c r="A57">
        <v>2805</v>
      </c>
      <c r="B57" t="s">
        <v>214</v>
      </c>
    </row>
    <row r="58" spans="1:2">
      <c r="A58">
        <v>2804</v>
      </c>
      <c r="B58" t="s">
        <v>215</v>
      </c>
    </row>
    <row r="59" spans="1:2">
      <c r="A59">
        <v>3107</v>
      </c>
      <c r="B59" t="s">
        <v>216</v>
      </c>
    </row>
    <row r="60" spans="1:2">
      <c r="A60">
        <v>5665</v>
      </c>
      <c r="B60" t="s">
        <v>217</v>
      </c>
    </row>
    <row r="61" spans="1:2">
      <c r="A61">
        <v>779</v>
      </c>
      <c r="B61" t="s">
        <v>218</v>
      </c>
    </row>
    <row r="62" spans="1:2">
      <c r="A62">
        <v>5666</v>
      </c>
      <c r="B62" t="s">
        <v>219</v>
      </c>
    </row>
    <row r="63" spans="1:2">
      <c r="A63">
        <v>797</v>
      </c>
      <c r="B63" t="s">
        <v>220</v>
      </c>
    </row>
    <row r="64" spans="1:2">
      <c r="A64">
        <v>2871</v>
      </c>
      <c r="B64" t="s">
        <v>221</v>
      </c>
    </row>
    <row r="65" spans="1:2">
      <c r="A65">
        <v>1060</v>
      </c>
      <c r="B65" t="s">
        <v>222</v>
      </c>
    </row>
    <row r="66" spans="1:2">
      <c r="A66">
        <v>15135</v>
      </c>
      <c r="B66" t="s">
        <v>223</v>
      </c>
    </row>
    <row r="67" spans="1:2">
      <c r="A67">
        <v>15134</v>
      </c>
      <c r="B67" t="s">
        <v>224</v>
      </c>
    </row>
  </sheetData>
  <pageMargins left="0.7" right="0.7" top="0.75" bottom="0.75" header="0.3" footer="0.3"/>
  <pageSetup paperSize="119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S36"/>
  <sheetViews>
    <sheetView workbookViewId="0">
      <selection activeCell="S27" sqref="S27"/>
    </sheetView>
  </sheetViews>
  <sheetFormatPr baseColWidth="10" defaultRowHeight="15"/>
  <cols>
    <col min="2" max="2" width="51.140625" customWidth="1"/>
    <col min="3" max="3" width="16.85546875" customWidth="1"/>
    <col min="4" max="4" width="14.7109375" style="661" hidden="1" customWidth="1"/>
    <col min="5" max="11" width="11.42578125" hidden="1" customWidth="1"/>
    <col min="12" max="12" width="19.42578125" customWidth="1"/>
  </cols>
  <sheetData>
    <row r="2" spans="1:12">
      <c r="A2" s="25"/>
      <c r="B2" s="101" t="s">
        <v>1541</v>
      </c>
      <c r="C2" s="25"/>
    </row>
    <row r="3" spans="1:12" ht="45">
      <c r="A3" s="37"/>
      <c r="B3" s="38"/>
      <c r="C3" s="39" t="s">
        <v>19</v>
      </c>
      <c r="D3" s="655" t="s">
        <v>3220</v>
      </c>
      <c r="E3" s="25"/>
      <c r="F3" t="s">
        <v>1421</v>
      </c>
      <c r="J3" t="s">
        <v>3216</v>
      </c>
    </row>
    <row r="4" spans="1:12">
      <c r="A4" s="21" t="s">
        <v>119</v>
      </c>
      <c r="B4" s="852" t="s">
        <v>107</v>
      </c>
      <c r="C4" s="854"/>
      <c r="D4" s="662"/>
      <c r="E4" s="21"/>
      <c r="F4" s="660" t="s">
        <v>110</v>
      </c>
      <c r="G4" s="22" t="s">
        <v>111</v>
      </c>
      <c r="H4" s="22" t="s">
        <v>110</v>
      </c>
      <c r="I4" s="22" t="s">
        <v>111</v>
      </c>
    </row>
    <row r="5" spans="1:12" hidden="1">
      <c r="A5" s="21">
        <v>9616</v>
      </c>
      <c r="B5" s="21" t="s">
        <v>225</v>
      </c>
      <c r="C5" s="854">
        <v>0</v>
      </c>
      <c r="D5" s="684">
        <v>48</v>
      </c>
      <c r="E5" s="25" t="s">
        <v>242</v>
      </c>
      <c r="F5" s="524">
        <v>4</v>
      </c>
      <c r="G5" s="22">
        <v>38</v>
      </c>
      <c r="H5" s="23">
        <f>F5/48</f>
        <v>8.3333333333333329E-2</v>
      </c>
      <c r="I5" s="23">
        <f>G5/48</f>
        <v>0.79166666666666663</v>
      </c>
      <c r="J5" s="448">
        <f>H5-I5</f>
        <v>-0.70833333333333326</v>
      </c>
    </row>
    <row r="6" spans="1:12">
      <c r="A6" s="21">
        <v>14606</v>
      </c>
      <c r="B6" s="21" t="s">
        <v>226</v>
      </c>
      <c r="C6" s="854">
        <v>30</v>
      </c>
      <c r="D6" s="662">
        <v>12</v>
      </c>
      <c r="E6" s="25" t="s">
        <v>242</v>
      </c>
      <c r="F6" s="22">
        <v>370</v>
      </c>
      <c r="G6" s="22">
        <v>92</v>
      </c>
      <c r="H6" s="23">
        <f t="shared" ref="H6:I11" si="0">F6/12</f>
        <v>30.833333333333332</v>
      </c>
      <c r="I6" s="23">
        <f t="shared" si="0"/>
        <v>7.666666666666667</v>
      </c>
      <c r="J6" s="448">
        <f>H6-I6</f>
        <v>23.166666666666664</v>
      </c>
      <c r="L6" t="s">
        <v>3221</v>
      </c>
    </row>
    <row r="7" spans="1:12">
      <c r="A7" s="21">
        <v>11444</v>
      </c>
      <c r="B7" s="21" t="s">
        <v>227</v>
      </c>
      <c r="C7" s="854">
        <v>30</v>
      </c>
      <c r="D7" s="662">
        <v>12</v>
      </c>
      <c r="E7" s="25" t="s">
        <v>242</v>
      </c>
      <c r="F7" s="22">
        <v>361</v>
      </c>
      <c r="G7" s="22">
        <v>5</v>
      </c>
      <c r="H7" s="23">
        <f t="shared" si="0"/>
        <v>30.083333333333332</v>
      </c>
      <c r="I7" s="23">
        <f t="shared" si="0"/>
        <v>0.41666666666666669</v>
      </c>
      <c r="J7" s="448">
        <f t="shared" ref="J7:J13" si="1">H7-I7</f>
        <v>29.666666666666664</v>
      </c>
      <c r="L7" s="404" t="s">
        <v>3221</v>
      </c>
    </row>
    <row r="8" spans="1:12">
      <c r="A8" s="21">
        <v>9386</v>
      </c>
      <c r="B8" s="21" t="s">
        <v>228</v>
      </c>
      <c r="C8" s="854">
        <v>25</v>
      </c>
      <c r="D8" s="662">
        <v>12</v>
      </c>
      <c r="E8" s="25" t="s">
        <v>242</v>
      </c>
      <c r="F8" s="22">
        <v>184</v>
      </c>
      <c r="G8" s="22">
        <v>5</v>
      </c>
      <c r="H8" s="23">
        <f t="shared" si="0"/>
        <v>15.333333333333334</v>
      </c>
      <c r="I8" s="23">
        <f t="shared" si="0"/>
        <v>0.41666666666666669</v>
      </c>
      <c r="J8" s="448">
        <f t="shared" si="1"/>
        <v>14.916666666666668</v>
      </c>
      <c r="L8" s="404" t="s">
        <v>3221</v>
      </c>
    </row>
    <row r="9" spans="1:12" hidden="1">
      <c r="A9" s="21">
        <v>10462</v>
      </c>
      <c r="B9" s="21" t="s">
        <v>229</v>
      </c>
      <c r="C9" s="854" t="s">
        <v>65</v>
      </c>
      <c r="D9" s="662">
        <v>12</v>
      </c>
      <c r="E9" s="25" t="s">
        <v>242</v>
      </c>
      <c r="F9" s="22">
        <v>258</v>
      </c>
      <c r="G9" s="22">
        <v>0</v>
      </c>
      <c r="H9" s="23">
        <f t="shared" si="0"/>
        <v>21.5</v>
      </c>
      <c r="I9" s="23">
        <f t="shared" si="0"/>
        <v>0</v>
      </c>
      <c r="J9" s="448">
        <f t="shared" si="1"/>
        <v>21.5</v>
      </c>
      <c r="L9" s="404" t="s">
        <v>3221</v>
      </c>
    </row>
    <row r="10" spans="1:12">
      <c r="A10" s="21">
        <v>9385</v>
      </c>
      <c r="B10" s="21" t="s">
        <v>3212</v>
      </c>
      <c r="C10" s="852">
        <v>30</v>
      </c>
      <c r="D10" s="665">
        <v>12</v>
      </c>
      <c r="E10" s="405"/>
      <c r="F10" s="405">
        <v>191</v>
      </c>
      <c r="G10" s="405">
        <v>0</v>
      </c>
      <c r="H10" s="23">
        <f t="shared" si="0"/>
        <v>15.916666666666666</v>
      </c>
      <c r="I10" s="23">
        <f t="shared" si="0"/>
        <v>0</v>
      </c>
      <c r="J10" s="448">
        <f t="shared" si="1"/>
        <v>15.916666666666666</v>
      </c>
      <c r="L10" s="404" t="s">
        <v>3221</v>
      </c>
    </row>
    <row r="11" spans="1:12">
      <c r="A11" s="21">
        <v>13399</v>
      </c>
      <c r="B11" s="21" t="s">
        <v>3213</v>
      </c>
      <c r="C11" s="852">
        <v>25</v>
      </c>
      <c r="D11" s="665">
        <v>12</v>
      </c>
      <c r="E11" s="405"/>
      <c r="F11" s="405">
        <v>0</v>
      </c>
      <c r="G11" s="405">
        <v>0</v>
      </c>
      <c r="H11" s="23">
        <f t="shared" si="0"/>
        <v>0</v>
      </c>
      <c r="I11" s="23">
        <f t="shared" si="0"/>
        <v>0</v>
      </c>
      <c r="J11" s="448">
        <f t="shared" si="1"/>
        <v>0</v>
      </c>
      <c r="L11" s="404" t="s">
        <v>3221</v>
      </c>
    </row>
    <row r="12" spans="1:12" hidden="1">
      <c r="A12" s="53">
        <v>19927</v>
      </c>
      <c r="B12" s="21" t="s">
        <v>3219</v>
      </c>
      <c r="C12" s="855" t="s">
        <v>65</v>
      </c>
      <c r="D12" s="663">
        <v>48</v>
      </c>
      <c r="E12" s="405"/>
      <c r="F12" s="405">
        <v>0</v>
      </c>
      <c r="G12" s="405">
        <v>0</v>
      </c>
      <c r="H12" s="23">
        <f>F12/24</f>
        <v>0</v>
      </c>
      <c r="I12" s="23">
        <f>G12/24</f>
        <v>0</v>
      </c>
      <c r="J12" s="448">
        <f t="shared" si="1"/>
        <v>0</v>
      </c>
      <c r="L12" s="404" t="s">
        <v>3221</v>
      </c>
    </row>
    <row r="13" spans="1:12">
      <c r="A13" s="53">
        <v>19928</v>
      </c>
      <c r="B13" s="21" t="s">
        <v>3218</v>
      </c>
      <c r="C13" s="855">
        <v>30</v>
      </c>
      <c r="D13" s="663">
        <v>12</v>
      </c>
      <c r="E13" s="405"/>
      <c r="F13" s="405">
        <v>0</v>
      </c>
      <c r="G13" s="405">
        <v>0</v>
      </c>
      <c r="H13" s="405">
        <f>F13/24</f>
        <v>0</v>
      </c>
      <c r="I13" s="405">
        <f>G13/24</f>
        <v>0</v>
      </c>
      <c r="J13" s="448">
        <f t="shared" si="1"/>
        <v>0</v>
      </c>
      <c r="L13" s="404" t="s">
        <v>3221</v>
      </c>
    </row>
    <row r="14" spans="1:12" hidden="1">
      <c r="A14" s="21"/>
      <c r="B14" s="21"/>
      <c r="C14" s="852"/>
      <c r="D14" s="665"/>
      <c r="E14" s="405"/>
      <c r="F14" s="405"/>
      <c r="G14" s="405"/>
      <c r="H14" s="405"/>
      <c r="I14" s="405"/>
      <c r="L14" s="404" t="s">
        <v>3221</v>
      </c>
    </row>
    <row r="15" spans="1:12" hidden="1">
      <c r="A15" s="21">
        <v>9388</v>
      </c>
      <c r="B15" s="21" t="s">
        <v>230</v>
      </c>
      <c r="C15" s="854" t="s">
        <v>65</v>
      </c>
      <c r="D15" s="662">
        <v>40</v>
      </c>
      <c r="E15" s="21" t="s">
        <v>242</v>
      </c>
      <c r="F15" s="660">
        <v>728</v>
      </c>
      <c r="G15" s="660">
        <v>0</v>
      </c>
      <c r="H15" s="23">
        <f t="shared" ref="H15:I17" si="2">F15/24</f>
        <v>30.333333333333332</v>
      </c>
      <c r="I15" s="23">
        <f t="shared" si="2"/>
        <v>0</v>
      </c>
      <c r="J15" s="448">
        <f>H15-I15</f>
        <v>30.333333333333332</v>
      </c>
      <c r="L15" s="404" t="s">
        <v>3221</v>
      </c>
    </row>
    <row r="16" spans="1:12" hidden="1">
      <c r="A16" s="21">
        <v>14831</v>
      </c>
      <c r="B16" s="21" t="s">
        <v>231</v>
      </c>
      <c r="C16" s="854">
        <v>0</v>
      </c>
      <c r="D16" s="664">
        <v>12</v>
      </c>
      <c r="E16" s="405" t="s">
        <v>242</v>
      </c>
      <c r="F16" s="660">
        <v>0</v>
      </c>
      <c r="G16" s="660">
        <v>0</v>
      </c>
      <c r="H16" s="23">
        <f t="shared" si="2"/>
        <v>0</v>
      </c>
      <c r="I16" s="23">
        <f t="shared" si="2"/>
        <v>0</v>
      </c>
      <c r="J16" s="448">
        <f>H16-I16</f>
        <v>0</v>
      </c>
      <c r="L16" s="404" t="s">
        <v>3221</v>
      </c>
    </row>
    <row r="17" spans="1:19" hidden="1">
      <c r="A17" s="21">
        <v>9387</v>
      </c>
      <c r="B17" s="21" t="s">
        <v>3214</v>
      </c>
      <c r="C17" s="852">
        <v>0</v>
      </c>
      <c r="D17" s="665">
        <v>60</v>
      </c>
      <c r="E17" s="405"/>
      <c r="F17" s="405">
        <v>431</v>
      </c>
      <c r="G17" s="405">
        <v>239</v>
      </c>
      <c r="H17" s="23">
        <f t="shared" si="2"/>
        <v>17.958333333333332</v>
      </c>
      <c r="I17" s="23">
        <f t="shared" si="2"/>
        <v>9.9583333333333339</v>
      </c>
      <c r="J17" s="448">
        <f>H17-I17</f>
        <v>7.9999999999999982</v>
      </c>
      <c r="L17" s="404" t="s">
        <v>3221</v>
      </c>
    </row>
    <row r="18" spans="1:19">
      <c r="A18" s="21">
        <v>9389</v>
      </c>
      <c r="B18" s="21" t="s">
        <v>3215</v>
      </c>
      <c r="C18" s="852">
        <v>10</v>
      </c>
      <c r="D18" s="665">
        <v>12</v>
      </c>
      <c r="E18" s="405"/>
      <c r="F18" s="405">
        <v>179</v>
      </c>
      <c r="G18" s="405">
        <v>9</v>
      </c>
      <c r="H18" s="23">
        <f>F18/12</f>
        <v>14.916666666666666</v>
      </c>
      <c r="I18" s="23">
        <f>G18/12</f>
        <v>0.75</v>
      </c>
      <c r="J18" s="448">
        <f>H18-I18</f>
        <v>14.166666666666666</v>
      </c>
      <c r="L18" s="404" t="s">
        <v>3221</v>
      </c>
    </row>
    <row r="23" spans="1:19">
      <c r="B23" t="s">
        <v>3687</v>
      </c>
    </row>
    <row r="24" spans="1:19">
      <c r="S24" t="s">
        <v>3952</v>
      </c>
    </row>
    <row r="25" spans="1:19">
      <c r="S25">
        <v>4.3304</v>
      </c>
    </row>
    <row r="26" spans="1:19">
      <c r="R26" t="s">
        <v>4775</v>
      </c>
    </row>
    <row r="27" spans="1:19">
      <c r="M27" t="s">
        <v>5175</v>
      </c>
      <c r="N27" t="s">
        <v>5176</v>
      </c>
      <c r="R27" t="s">
        <v>5177</v>
      </c>
      <c r="S27" s="57" t="e">
        <f>+R27*S25</f>
        <v>#VALUE!</v>
      </c>
    </row>
    <row r="28" spans="1:19">
      <c r="M28" s="1445" t="s">
        <v>5171</v>
      </c>
      <c r="N28" s="1445" t="s">
        <v>3952</v>
      </c>
      <c r="R28" s="57">
        <v>0</v>
      </c>
      <c r="S28" s="57" t="e">
        <f>+S27*16%</f>
        <v>#VALUE!</v>
      </c>
    </row>
    <row r="29" spans="1:19">
      <c r="M29" s="1445">
        <v>4.3301999999999996</v>
      </c>
      <c r="N29" s="1445">
        <v>4.3277000000000001</v>
      </c>
      <c r="R29" s="57">
        <v>0</v>
      </c>
      <c r="S29" s="57" t="e">
        <f>+S27+S28</f>
        <v>#VALUE!</v>
      </c>
    </row>
    <row r="30" spans="1:19">
      <c r="L30" s="1445" t="s">
        <v>2271</v>
      </c>
      <c r="M30" s="1445">
        <v>10196.02</v>
      </c>
      <c r="N30" s="1445">
        <f>+P30</f>
        <v>9063.7900000000009</v>
      </c>
      <c r="O30">
        <v>1077.58</v>
      </c>
      <c r="P30" s="892">
        <v>9063.7900000000009</v>
      </c>
    </row>
    <row r="31" spans="1:19" s="827" customFormat="1">
      <c r="D31" s="1446"/>
      <c r="L31" s="1445" t="s">
        <v>5173</v>
      </c>
      <c r="M31" s="52">
        <f>+M30*5%</f>
        <v>509.80100000000004</v>
      </c>
      <c r="N31" s="52">
        <f>+N30*5%</f>
        <v>453.18950000000007</v>
      </c>
    </row>
    <row r="32" spans="1:19" s="827" customFormat="1">
      <c r="D32" s="1446"/>
      <c r="L32" s="1445" t="s">
        <v>5174</v>
      </c>
      <c r="M32" s="52">
        <f>+M30-M31</f>
        <v>9686.219000000001</v>
      </c>
      <c r="N32" s="52">
        <f>+N30-N31</f>
        <v>8610.6005000000005</v>
      </c>
    </row>
    <row r="33" spans="12:14">
      <c r="L33" s="1445" t="s">
        <v>61</v>
      </c>
      <c r="M33" s="52">
        <f>+M32*16%</f>
        <v>1549.7950400000002</v>
      </c>
      <c r="N33" s="52">
        <f>+N32*16%</f>
        <v>1377.6960800000002</v>
      </c>
    </row>
    <row r="34" spans="12:14">
      <c r="L34" s="1445" t="s">
        <v>5172</v>
      </c>
      <c r="M34" s="52">
        <f>+M32+M33</f>
        <v>11236.014040000002</v>
      </c>
      <c r="N34" s="52">
        <f>+N32+N33</f>
        <v>9988.2965800000002</v>
      </c>
    </row>
    <row r="35" spans="12:14">
      <c r="L35" s="1445" t="s">
        <v>245</v>
      </c>
      <c r="M35" s="52">
        <f>+M34/M29</f>
        <v>2594.8025587732673</v>
      </c>
      <c r="N35" s="52">
        <f>+N34/N29</f>
        <v>2307.9919079418628</v>
      </c>
    </row>
    <row r="36" spans="12:14">
      <c r="M36" s="1445"/>
      <c r="N36" s="1445"/>
    </row>
  </sheetData>
  <pageMargins left="0.7" right="0.7" top="0.75" bottom="0.75" header="0.3" footer="0.3"/>
  <pageSetup paperSize="119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4:E22"/>
  <sheetViews>
    <sheetView workbookViewId="0">
      <selection activeCell="C7" sqref="C7:F27"/>
    </sheetView>
  </sheetViews>
  <sheetFormatPr baseColWidth="10" defaultRowHeight="15"/>
  <cols>
    <col min="3" max="3" width="51" customWidth="1"/>
    <col min="4" max="4" width="9.85546875" style="404" hidden="1" customWidth="1"/>
    <col min="5" max="5" width="19.28515625" customWidth="1"/>
  </cols>
  <sheetData>
    <row r="4" spans="2:5">
      <c r="C4" s="735" t="s">
        <v>3329</v>
      </c>
    </row>
    <row r="6" spans="2:5" ht="81" customHeight="1"/>
    <row r="7" spans="2:5" ht="102" customHeight="1">
      <c r="B7" s="307" t="s">
        <v>4787</v>
      </c>
      <c r="C7" s="528" t="s">
        <v>6024</v>
      </c>
      <c r="D7" s="528" t="s">
        <v>245</v>
      </c>
      <c r="E7" s="310" t="s">
        <v>19</v>
      </c>
    </row>
    <row r="8" spans="2:5" s="110" customFormat="1">
      <c r="B8" s="21">
        <v>20853</v>
      </c>
      <c r="C8" s="311" t="s">
        <v>1096</v>
      </c>
      <c r="D8" s="311">
        <v>7.23</v>
      </c>
      <c r="E8" s="310" t="s">
        <v>5543</v>
      </c>
    </row>
    <row r="9" spans="2:5">
      <c r="B9" s="21">
        <v>2856</v>
      </c>
      <c r="C9" s="311" t="s">
        <v>1052</v>
      </c>
      <c r="D9" s="311">
        <v>8.14</v>
      </c>
      <c r="E9" s="528" t="s">
        <v>5543</v>
      </c>
    </row>
    <row r="10" spans="2:5" hidden="1">
      <c r="B10" s="21">
        <v>3598</v>
      </c>
      <c r="C10" s="311" t="s">
        <v>1053</v>
      </c>
      <c r="D10" s="311"/>
      <c r="E10" s="528" t="s">
        <v>244</v>
      </c>
    </row>
    <row r="11" spans="2:5" hidden="1">
      <c r="B11" s="21">
        <v>2046</v>
      </c>
      <c r="C11" s="311" t="s">
        <v>1054</v>
      </c>
      <c r="D11" s="311">
        <v>25</v>
      </c>
      <c r="E11" s="528"/>
    </row>
    <row r="12" spans="2:5" hidden="1">
      <c r="B12" s="21">
        <v>2047</v>
      </c>
      <c r="C12" s="311" t="s">
        <v>1055</v>
      </c>
      <c r="D12" s="311"/>
      <c r="E12" s="528" t="s">
        <v>557</v>
      </c>
    </row>
    <row r="13" spans="2:5" hidden="1">
      <c r="B13" s="21">
        <v>1719</v>
      </c>
      <c r="C13" s="311" t="s">
        <v>1056</v>
      </c>
      <c r="D13" s="311"/>
      <c r="E13" s="528" t="s">
        <v>557</v>
      </c>
    </row>
    <row r="14" spans="2:5" hidden="1">
      <c r="B14" s="21">
        <v>1821</v>
      </c>
      <c r="C14" s="311" t="s">
        <v>1057</v>
      </c>
      <c r="D14" s="311"/>
      <c r="E14" s="528" t="s">
        <v>556</v>
      </c>
    </row>
    <row r="15" spans="2:5" hidden="1">
      <c r="B15" s="589">
        <v>2726</v>
      </c>
      <c r="C15" s="311" t="s">
        <v>3817</v>
      </c>
      <c r="D15" s="311">
        <v>8.27</v>
      </c>
      <c r="E15" s="528" t="s">
        <v>1318</v>
      </c>
    </row>
    <row r="16" spans="2:5" hidden="1">
      <c r="B16" s="111">
        <v>4713</v>
      </c>
      <c r="C16" s="311" t="s">
        <v>1058</v>
      </c>
      <c r="D16" s="311"/>
      <c r="E16" s="528" t="s">
        <v>556</v>
      </c>
    </row>
    <row r="17" spans="2:5" hidden="1">
      <c r="B17" s="111">
        <v>5563</v>
      </c>
      <c r="C17" s="311" t="s">
        <v>1059</v>
      </c>
      <c r="D17" s="311"/>
      <c r="E17" s="528" t="s">
        <v>556</v>
      </c>
    </row>
    <row r="18" spans="2:5" hidden="1">
      <c r="B18" s="111">
        <v>1810</v>
      </c>
      <c r="C18" s="311" t="s">
        <v>1060</v>
      </c>
      <c r="D18" s="311"/>
      <c r="E18" s="528" t="s">
        <v>556</v>
      </c>
    </row>
    <row r="19" spans="2:5" hidden="1">
      <c r="B19" s="111">
        <v>1819</v>
      </c>
      <c r="C19" s="311" t="s">
        <v>1061</v>
      </c>
      <c r="D19" s="311"/>
      <c r="E19" s="528" t="s">
        <v>1318</v>
      </c>
    </row>
    <row r="20" spans="2:5" hidden="1">
      <c r="B20" s="260"/>
      <c r="C20" s="260"/>
      <c r="D20" s="105"/>
    </row>
    <row r="21" spans="2:5" hidden="1"/>
    <row r="22" spans="2:5" hidden="1"/>
  </sheetData>
  <pageMargins left="0.7" right="0.7" top="0.75" bottom="0.75" header="0.3" footer="0.3"/>
  <pageSetup paperSize="119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3:I7"/>
  <sheetViews>
    <sheetView workbookViewId="0">
      <selection activeCell="E5" sqref="E5:I7"/>
    </sheetView>
  </sheetViews>
  <sheetFormatPr baseColWidth="10" defaultRowHeight="15"/>
  <cols>
    <col min="5" max="5" width="40.140625" customWidth="1"/>
    <col min="6" max="7" width="11.42578125" hidden="1" customWidth="1"/>
    <col min="8" max="8" width="14" customWidth="1"/>
    <col min="9" max="9" width="17.28515625" customWidth="1"/>
  </cols>
  <sheetData>
    <row r="3" spans="2:9">
      <c r="B3" s="404"/>
      <c r="C3" s="404"/>
      <c r="D3" s="404"/>
      <c r="E3" s="404"/>
    </row>
    <row r="5" spans="2:9" ht="111.75" customHeight="1">
      <c r="B5" s="636" t="s">
        <v>0</v>
      </c>
      <c r="C5" s="636" t="str">
        <f>G5</f>
        <v>KG PEDIDO</v>
      </c>
      <c r="D5" s="636" t="s">
        <v>547</v>
      </c>
      <c r="E5" s="1447" t="s">
        <v>5690</v>
      </c>
      <c r="F5" s="378" t="s">
        <v>2854</v>
      </c>
      <c r="G5" s="378" t="s">
        <v>2873</v>
      </c>
      <c r="H5" s="1910" t="s">
        <v>5526</v>
      </c>
      <c r="I5" s="798" t="s">
        <v>5527</v>
      </c>
    </row>
    <row r="6" spans="2:9">
      <c r="B6" s="636">
        <v>1797</v>
      </c>
      <c r="C6" s="636" t="e">
        <f>G6</f>
        <v>#VALUE!</v>
      </c>
      <c r="D6" s="636">
        <v>8.9</v>
      </c>
      <c r="E6" s="293" t="s">
        <v>2872</v>
      </c>
      <c r="F6" s="1448">
        <v>23</v>
      </c>
      <c r="G6" s="1448" t="e">
        <f>F6*H6</f>
        <v>#VALUE!</v>
      </c>
      <c r="H6" s="310" t="s">
        <v>5691</v>
      </c>
      <c r="I6" s="1712" t="s">
        <v>3821</v>
      </c>
    </row>
    <row r="7" spans="2:9">
      <c r="B7" s="636">
        <v>1798</v>
      </c>
      <c r="C7" s="636" t="e">
        <f>G7</f>
        <v>#VALUE!</v>
      </c>
      <c r="D7" s="636">
        <v>8.1999999999999993</v>
      </c>
      <c r="E7" s="293" t="s">
        <v>2871</v>
      </c>
      <c r="F7" s="1448">
        <v>9</v>
      </c>
      <c r="G7" s="1448" t="e">
        <f>F7*H7</f>
        <v>#VALUE!</v>
      </c>
      <c r="H7" s="310" t="s">
        <v>5183</v>
      </c>
      <c r="I7" s="1712" t="s">
        <v>5528</v>
      </c>
    </row>
  </sheetData>
  <pageMargins left="0.7" right="0.7" top="0.75" bottom="0.75" header="0.3" footer="0.3"/>
  <pageSetup paperSize="9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3:J16"/>
  <sheetViews>
    <sheetView workbookViewId="0">
      <selection activeCell="F4" sqref="F4:I8"/>
    </sheetView>
  </sheetViews>
  <sheetFormatPr baseColWidth="10" defaultRowHeight="15"/>
  <cols>
    <col min="5" max="5" width="11.42578125" style="692"/>
    <col min="6" max="6" width="30.28515625" customWidth="1"/>
    <col min="7" max="7" width="16" customWidth="1"/>
    <col min="8" max="8" width="18.7109375" customWidth="1"/>
    <col min="9" max="10" width="11.42578125" customWidth="1"/>
  </cols>
  <sheetData>
    <row r="3" spans="2:10">
      <c r="D3" t="s">
        <v>245</v>
      </c>
    </row>
    <row r="4" spans="2:10" s="25" customFormat="1" ht="45">
      <c r="B4" s="21" t="s">
        <v>0</v>
      </c>
      <c r="C4" s="1440" t="s">
        <v>3263</v>
      </c>
      <c r="D4" s="21" t="s">
        <v>559</v>
      </c>
      <c r="E4" s="21" t="s">
        <v>3246</v>
      </c>
      <c r="F4" s="1434" t="s">
        <v>5522</v>
      </c>
      <c r="G4" s="1463" t="s">
        <v>19</v>
      </c>
      <c r="H4" s="574" t="s">
        <v>690</v>
      </c>
      <c r="I4" s="1437" t="s">
        <v>24</v>
      </c>
      <c r="J4" s="1436" t="s">
        <v>21</v>
      </c>
    </row>
    <row r="5" spans="2:10" s="25" customFormat="1">
      <c r="B5" s="21">
        <v>1793</v>
      </c>
      <c r="C5" s="1434" t="e">
        <f>G5*E5</f>
        <v>#VALUE!</v>
      </c>
      <c r="D5" s="1434">
        <v>1.1000000000000001</v>
      </c>
      <c r="E5" s="1434">
        <v>1</v>
      </c>
      <c r="F5" s="1158" t="s">
        <v>2822</v>
      </c>
      <c r="G5" s="575" t="s">
        <v>5529</v>
      </c>
      <c r="H5" s="1434" t="s">
        <v>4788</v>
      </c>
      <c r="I5" s="1434" t="s">
        <v>4556</v>
      </c>
      <c r="J5" s="1434" t="s">
        <v>591</v>
      </c>
    </row>
    <row r="6" spans="2:10" s="25" customFormat="1">
      <c r="B6" s="21">
        <v>5246</v>
      </c>
      <c r="C6" s="1434" t="e">
        <f>G6*E6</f>
        <v>#VALUE!</v>
      </c>
      <c r="D6" s="1434">
        <v>11</v>
      </c>
      <c r="E6" s="1434">
        <v>15</v>
      </c>
      <c r="F6" s="1158" t="s">
        <v>3260</v>
      </c>
      <c r="G6" s="575" t="s">
        <v>556</v>
      </c>
      <c r="H6" s="1434" t="s">
        <v>591</v>
      </c>
      <c r="I6" s="1434" t="s">
        <v>591</v>
      </c>
      <c r="J6" s="1434"/>
    </row>
    <row r="7" spans="2:10" s="25" customFormat="1">
      <c r="B7" s="21">
        <v>77</v>
      </c>
      <c r="C7" s="1434" t="e">
        <f>G7*E7</f>
        <v>#VALUE!</v>
      </c>
      <c r="D7" s="1434">
        <v>14</v>
      </c>
      <c r="E7" s="1434">
        <v>15</v>
      </c>
      <c r="F7" s="1158" t="s">
        <v>3261</v>
      </c>
      <c r="G7" s="575" t="s">
        <v>5181</v>
      </c>
      <c r="H7" s="1434" t="s">
        <v>591</v>
      </c>
      <c r="I7" s="1434" t="s">
        <v>591</v>
      </c>
      <c r="J7" s="1434" t="s">
        <v>591</v>
      </c>
    </row>
    <row r="8" spans="2:10" s="25" customFormat="1">
      <c r="B8" s="21">
        <v>1729</v>
      </c>
      <c r="C8" s="1434" t="e">
        <f>G8*E8</f>
        <v>#VALUE!</v>
      </c>
      <c r="D8" s="1434">
        <v>4.4000000000000004</v>
      </c>
      <c r="E8" s="1434">
        <v>22</v>
      </c>
      <c r="F8" s="21" t="s">
        <v>3262</v>
      </c>
      <c r="G8" s="1434" t="s">
        <v>268</v>
      </c>
      <c r="H8" s="1434" t="s">
        <v>591</v>
      </c>
      <c r="I8" s="1434" t="s">
        <v>591</v>
      </c>
      <c r="J8" s="375" t="s">
        <v>268</v>
      </c>
    </row>
    <row r="9" spans="2:10" s="25" customFormat="1"/>
    <row r="10" spans="2:10" s="25" customFormat="1"/>
    <row r="11" spans="2:10" s="25" customFormat="1"/>
    <row r="12" spans="2:10" s="25" customFormat="1"/>
    <row r="13" spans="2:10" s="25" customFormat="1"/>
    <row r="14" spans="2:10" s="25" customFormat="1"/>
    <row r="15" spans="2:10" s="25" customFormat="1"/>
    <row r="16" spans="2:10" s="25" customFormat="1"/>
  </sheetData>
  <pageMargins left="0.7" right="0.7" top="0.75" bottom="0.75" header="0.3" footer="0.3"/>
  <pageSetup paperSize="119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4:I13"/>
  <sheetViews>
    <sheetView workbookViewId="0">
      <selection activeCell="F4" sqref="F4:G10"/>
    </sheetView>
  </sheetViews>
  <sheetFormatPr baseColWidth="10" defaultRowHeight="15"/>
  <cols>
    <col min="3" max="3" width="14.42578125" customWidth="1"/>
    <col min="6" max="6" width="43.5703125" customWidth="1"/>
    <col min="7" max="7" width="17.28515625" customWidth="1"/>
    <col min="8" max="8" width="11.42578125" customWidth="1"/>
    <col min="9" max="9" width="16.28515625" hidden="1" customWidth="1"/>
  </cols>
  <sheetData>
    <row r="4" spans="2:9" ht="60">
      <c r="B4" s="21" t="s">
        <v>0</v>
      </c>
      <c r="C4" s="21" t="s">
        <v>3239</v>
      </c>
      <c r="D4" s="21" t="s">
        <v>547</v>
      </c>
      <c r="E4" s="21" t="s">
        <v>3225</v>
      </c>
      <c r="F4" s="852" t="s">
        <v>5262</v>
      </c>
      <c r="G4" s="855" t="s">
        <v>19</v>
      </c>
      <c r="H4" s="855" t="s">
        <v>21</v>
      </c>
      <c r="I4" s="855" t="s">
        <v>3722</v>
      </c>
    </row>
    <row r="5" spans="2:9" hidden="1">
      <c r="B5" s="904">
        <v>1759</v>
      </c>
      <c r="C5" s="21">
        <v>26</v>
      </c>
      <c r="D5" s="21">
        <v>7.26</v>
      </c>
      <c r="E5" s="21">
        <v>287.43</v>
      </c>
      <c r="F5" s="589" t="s">
        <v>3231</v>
      </c>
      <c r="G5" s="297" t="s">
        <v>1318</v>
      </c>
      <c r="H5" s="297" t="s">
        <v>557</v>
      </c>
      <c r="I5" s="852" t="s">
        <v>557</v>
      </c>
    </row>
    <row r="6" spans="2:9" hidden="1">
      <c r="B6" s="904">
        <v>1760</v>
      </c>
      <c r="C6" s="21">
        <v>26</v>
      </c>
      <c r="D6" s="21">
        <v>6.73</v>
      </c>
      <c r="E6" s="21">
        <v>303.30399999999997</v>
      </c>
      <c r="F6" s="906" t="s">
        <v>3232</v>
      </c>
      <c r="G6" s="852" t="s">
        <v>591</v>
      </c>
      <c r="H6" s="1439" t="s">
        <v>591</v>
      </c>
      <c r="I6" s="852" t="s">
        <v>557</v>
      </c>
    </row>
    <row r="7" spans="2:9" hidden="1">
      <c r="B7" s="21">
        <v>4491</v>
      </c>
      <c r="C7" s="21">
        <v>23</v>
      </c>
      <c r="D7" s="21">
        <v>7.26</v>
      </c>
      <c r="E7" s="21">
        <v>277.2</v>
      </c>
      <c r="F7" s="589" t="s">
        <v>3233</v>
      </c>
      <c r="G7" s="297" t="s">
        <v>556</v>
      </c>
      <c r="H7" s="297" t="s">
        <v>557</v>
      </c>
      <c r="I7" s="375" t="s">
        <v>557</v>
      </c>
    </row>
    <row r="8" spans="2:9" hidden="1">
      <c r="B8" s="904">
        <v>12912</v>
      </c>
      <c r="C8" s="21">
        <v>23</v>
      </c>
      <c r="D8" s="21">
        <v>5.98</v>
      </c>
      <c r="E8" s="21">
        <v>175.92</v>
      </c>
      <c r="F8" s="589" t="s">
        <v>3234</v>
      </c>
      <c r="G8" s="297" t="s">
        <v>556</v>
      </c>
      <c r="H8" s="852" t="s">
        <v>557</v>
      </c>
      <c r="I8" s="21" t="s">
        <v>65</v>
      </c>
    </row>
    <row r="9" spans="2:9" hidden="1">
      <c r="B9" s="904">
        <v>12913</v>
      </c>
      <c r="C9" s="21">
        <v>26</v>
      </c>
      <c r="D9" s="21">
        <v>5.98</v>
      </c>
      <c r="E9" s="21">
        <v>191.178</v>
      </c>
      <c r="F9" s="589" t="s">
        <v>3235</v>
      </c>
      <c r="G9" s="297" t="s">
        <v>556</v>
      </c>
      <c r="H9" s="852" t="s">
        <v>557</v>
      </c>
      <c r="I9" s="21" t="s">
        <v>65</v>
      </c>
    </row>
    <row r="10" spans="2:9" s="827" customFormat="1">
      <c r="B10" s="904"/>
      <c r="C10" s="21"/>
      <c r="D10" s="21"/>
      <c r="E10" s="21"/>
      <c r="F10" s="906" t="s">
        <v>4468</v>
      </c>
      <c r="G10" s="1180" t="s">
        <v>1318</v>
      </c>
      <c r="H10" s="1180" t="s">
        <v>65</v>
      </c>
      <c r="I10" s="21"/>
    </row>
    <row r="11" spans="2:9">
      <c r="B11" s="904">
        <v>1833</v>
      </c>
      <c r="C11" s="817" t="s">
        <v>3240</v>
      </c>
      <c r="D11" s="21">
        <v>21.12</v>
      </c>
      <c r="E11" s="21">
        <v>100.26</v>
      </c>
      <c r="F11" s="21" t="s">
        <v>3236</v>
      </c>
      <c r="G11" s="852"/>
      <c r="H11" s="852"/>
      <c r="I11" s="21" t="s">
        <v>65</v>
      </c>
    </row>
    <row r="12" spans="2:9">
      <c r="B12" s="904">
        <v>2050</v>
      </c>
      <c r="C12" s="817" t="s">
        <v>3240</v>
      </c>
      <c r="D12" s="21">
        <v>17.98</v>
      </c>
      <c r="E12" s="21">
        <v>65.62</v>
      </c>
      <c r="F12" s="21" t="s">
        <v>3237</v>
      </c>
      <c r="G12" s="852"/>
      <c r="H12" s="852"/>
      <c r="I12" s="21" t="s">
        <v>65</v>
      </c>
    </row>
    <row r="13" spans="2:9">
      <c r="B13" s="904">
        <v>12447</v>
      </c>
      <c r="C13" s="817" t="s">
        <v>3240</v>
      </c>
      <c r="D13" s="21">
        <v>17.98</v>
      </c>
      <c r="E13" s="21">
        <v>114.1613</v>
      </c>
      <c r="F13" s="21" t="s">
        <v>3238</v>
      </c>
      <c r="G13" s="852"/>
      <c r="H13" s="852"/>
      <c r="I13" s="21" t="s">
        <v>65</v>
      </c>
    </row>
  </sheetData>
  <pageMargins left="0.7" right="0.7" top="0.75" bottom="0.75" header="0.3" footer="0.3"/>
  <pageSetup paperSize="119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7:E25"/>
  <sheetViews>
    <sheetView workbookViewId="0">
      <selection activeCell="D7" sqref="D7:E25"/>
    </sheetView>
  </sheetViews>
  <sheetFormatPr baseColWidth="10" defaultRowHeight="15"/>
  <cols>
    <col min="4" max="4" width="47.85546875" customWidth="1"/>
  </cols>
  <sheetData>
    <row r="7" spans="2:5" ht="86.25" customHeight="1">
      <c r="B7" s="693" t="s">
        <v>0</v>
      </c>
      <c r="C7" s="693" t="s">
        <v>122</v>
      </c>
      <c r="D7" s="1180" t="s">
        <v>4493</v>
      </c>
      <c r="E7" s="375" t="s">
        <v>68</v>
      </c>
    </row>
    <row r="8" spans="2:5">
      <c r="B8" s="693">
        <v>1771</v>
      </c>
      <c r="C8" s="1190">
        <v>10</v>
      </c>
      <c r="D8" s="906" t="s">
        <v>4480</v>
      </c>
      <c r="E8" s="1180" t="s">
        <v>1550</v>
      </c>
    </row>
    <row r="9" spans="2:5">
      <c r="B9" s="693">
        <v>1772</v>
      </c>
      <c r="C9" s="1190">
        <v>10</v>
      </c>
      <c r="D9" s="906" t="s">
        <v>4481</v>
      </c>
      <c r="E9" s="1180" t="s">
        <v>1550</v>
      </c>
    </row>
    <row r="10" spans="2:5" s="827" customFormat="1">
      <c r="B10" s="693"/>
      <c r="C10" s="1190"/>
      <c r="D10" s="906" t="s">
        <v>4492</v>
      </c>
      <c r="E10" s="1180" t="s">
        <v>1550</v>
      </c>
    </row>
    <row r="11" spans="2:5" s="827" customFormat="1" hidden="1">
      <c r="B11" s="693"/>
      <c r="C11" s="1190"/>
      <c r="D11" s="21"/>
      <c r="E11" s="1180"/>
    </row>
    <row r="12" spans="2:5" s="827" customFormat="1" hidden="1">
      <c r="B12" s="693"/>
      <c r="C12" s="1190"/>
      <c r="D12" s="21"/>
      <c r="E12" s="1180"/>
    </row>
    <row r="13" spans="2:5" s="827" customFormat="1" hidden="1">
      <c r="B13" s="693"/>
      <c r="C13" s="1190"/>
      <c r="D13" s="21"/>
      <c r="E13" s="1180"/>
    </row>
    <row r="14" spans="2:5" s="827" customFormat="1" hidden="1">
      <c r="B14" s="693"/>
      <c r="C14" s="1190"/>
      <c r="D14" s="21"/>
      <c r="E14" s="1180"/>
    </row>
    <row r="15" spans="2:5" s="827" customFormat="1" hidden="1">
      <c r="B15" s="693"/>
      <c r="C15" s="1190"/>
      <c r="D15" s="21"/>
      <c r="E15" s="1180"/>
    </row>
    <row r="16" spans="2:5" hidden="1">
      <c r="B16" s="693">
        <v>2403</v>
      </c>
      <c r="C16" s="1190">
        <v>8</v>
      </c>
      <c r="D16" s="21" t="s">
        <v>4482</v>
      </c>
      <c r="E16" s="1180"/>
    </row>
    <row r="17" spans="2:5" hidden="1">
      <c r="B17" s="693">
        <v>2404</v>
      </c>
      <c r="C17" s="1190">
        <v>8</v>
      </c>
      <c r="D17" s="21" t="s">
        <v>4483</v>
      </c>
      <c r="E17" s="1180"/>
    </row>
    <row r="18" spans="2:5">
      <c r="B18" s="693">
        <v>2411</v>
      </c>
      <c r="C18" s="1190">
        <v>8</v>
      </c>
      <c r="D18" s="906" t="s">
        <v>4484</v>
      </c>
      <c r="E18" s="1180" t="s">
        <v>557</v>
      </c>
    </row>
    <row r="19" spans="2:5">
      <c r="B19" s="693">
        <v>2453</v>
      </c>
      <c r="C19" s="1190">
        <v>8</v>
      </c>
      <c r="D19" s="906" t="s">
        <v>4485</v>
      </c>
      <c r="E19" s="1180" t="s">
        <v>557</v>
      </c>
    </row>
    <row r="20" spans="2:5" hidden="1">
      <c r="B20" s="693">
        <v>2477</v>
      </c>
      <c r="C20" s="1190">
        <v>8</v>
      </c>
      <c r="D20" s="906" t="s">
        <v>4486</v>
      </c>
      <c r="E20" s="1180" t="s">
        <v>557</v>
      </c>
    </row>
    <row r="21" spans="2:5">
      <c r="B21" s="693">
        <v>2576</v>
      </c>
      <c r="C21" s="1190">
        <v>8</v>
      </c>
      <c r="D21" s="906" t="s">
        <v>4487</v>
      </c>
      <c r="E21" s="1180" t="s">
        <v>557</v>
      </c>
    </row>
    <row r="22" spans="2:5" hidden="1">
      <c r="B22" s="693">
        <v>3118</v>
      </c>
      <c r="C22" s="1190">
        <v>8</v>
      </c>
      <c r="D22" s="906" t="s">
        <v>4488</v>
      </c>
      <c r="E22" s="1180" t="s">
        <v>557</v>
      </c>
    </row>
    <row r="23" spans="2:5">
      <c r="B23" s="693">
        <v>3347</v>
      </c>
      <c r="C23" s="1190">
        <v>8</v>
      </c>
      <c r="D23" s="906" t="s">
        <v>4489</v>
      </c>
      <c r="E23" s="1180" t="s">
        <v>557</v>
      </c>
    </row>
    <row r="24" spans="2:5">
      <c r="D24" s="906" t="s">
        <v>4490</v>
      </c>
      <c r="E24" s="1180" t="s">
        <v>557</v>
      </c>
    </row>
    <row r="25" spans="2:5">
      <c r="D25" s="906" t="s">
        <v>4491</v>
      </c>
      <c r="E25" s="1180" t="s">
        <v>557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</sheetPr>
  <dimension ref="B7:F13"/>
  <sheetViews>
    <sheetView workbookViewId="0">
      <selection activeCell="E8" sqref="E8:F8"/>
    </sheetView>
  </sheetViews>
  <sheetFormatPr baseColWidth="10" defaultRowHeight="15"/>
  <cols>
    <col min="3" max="3" width="40.85546875" bestFit="1" customWidth="1"/>
    <col min="4" max="4" width="15.85546875" customWidth="1"/>
    <col min="5" max="5" width="11" style="110" customWidth="1"/>
    <col min="6" max="6" width="17.5703125" customWidth="1"/>
  </cols>
  <sheetData>
    <row r="7" spans="2:6">
      <c r="C7" s="212" t="s">
        <v>1062</v>
      </c>
    </row>
    <row r="8" spans="2:6" ht="60">
      <c r="B8" s="111" t="s">
        <v>0</v>
      </c>
      <c r="C8" s="111" t="s">
        <v>1</v>
      </c>
      <c r="D8" s="10" t="s">
        <v>19</v>
      </c>
      <c r="E8" s="10" t="s">
        <v>21</v>
      </c>
      <c r="F8" s="10" t="s">
        <v>690</v>
      </c>
    </row>
    <row r="9" spans="2:6" hidden="1">
      <c r="B9" s="111">
        <v>2395</v>
      </c>
      <c r="C9" s="111" t="s">
        <v>1047</v>
      </c>
      <c r="D9" s="111"/>
      <c r="E9" s="111"/>
      <c r="F9" s="111"/>
    </row>
    <row r="10" spans="2:6" hidden="1">
      <c r="B10" s="111">
        <v>2396</v>
      </c>
      <c r="C10" s="111" t="s">
        <v>1048</v>
      </c>
      <c r="D10" s="111"/>
      <c r="E10" s="111"/>
      <c r="F10" s="111"/>
    </row>
    <row r="11" spans="2:6" hidden="1">
      <c r="B11" s="111">
        <v>2398</v>
      </c>
      <c r="C11" s="111" t="s">
        <v>1049</v>
      </c>
      <c r="D11" s="111"/>
      <c r="E11" s="111"/>
      <c r="F11" s="111"/>
    </row>
    <row r="12" spans="2:6">
      <c r="B12" s="111">
        <v>15238</v>
      </c>
      <c r="C12" s="111" t="s">
        <v>1050</v>
      </c>
      <c r="D12" s="87" t="s">
        <v>556</v>
      </c>
      <c r="E12" s="87" t="s">
        <v>591</v>
      </c>
      <c r="F12" s="87" t="s">
        <v>557</v>
      </c>
    </row>
    <row r="13" spans="2:6">
      <c r="B13" s="111">
        <v>15239</v>
      </c>
      <c r="C13" s="111" t="s">
        <v>1051</v>
      </c>
      <c r="D13" s="87" t="s">
        <v>556</v>
      </c>
      <c r="E13" s="87" t="s">
        <v>557</v>
      </c>
      <c r="F13" s="87" t="s">
        <v>557</v>
      </c>
    </row>
  </sheetData>
  <pageMargins left="0.7" right="0.7" top="0.75" bottom="0.75" header="0.3" footer="0.3"/>
  <pageSetup paperSize="11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37"/>
  <sheetViews>
    <sheetView workbookViewId="0">
      <selection activeCell="C130" sqref="C130"/>
    </sheetView>
  </sheetViews>
  <sheetFormatPr baseColWidth="10" defaultRowHeight="15"/>
  <cols>
    <col min="1" max="1" width="12.28515625" style="25" customWidth="1"/>
    <col min="2" max="2" width="16.85546875" style="1165" customWidth="1"/>
    <col min="3" max="3" width="54" style="1561" customWidth="1"/>
    <col min="4" max="4" width="15" style="101" hidden="1" customWidth="1"/>
    <col min="5" max="5" width="0" style="101" hidden="1" customWidth="1"/>
    <col min="6" max="13" width="0" style="979" hidden="1" customWidth="1"/>
    <col min="14" max="17" width="0" style="101" hidden="1" customWidth="1"/>
    <col min="18" max="19" width="11.42578125" style="101"/>
  </cols>
  <sheetData>
    <row r="3" spans="1:19" ht="149.25" customHeight="1">
      <c r="A3" s="1447" t="s">
        <v>4895</v>
      </c>
      <c r="B3" s="733" t="s">
        <v>4896</v>
      </c>
      <c r="C3" s="23" t="s">
        <v>5189</v>
      </c>
      <c r="D3" s="1014" t="s">
        <v>4897</v>
      </c>
      <c r="E3" s="1015" t="s">
        <v>4898</v>
      </c>
      <c r="F3" s="1177" t="s">
        <v>4899</v>
      </c>
      <c r="G3" s="1177" t="s">
        <v>4899</v>
      </c>
      <c r="H3" s="1564" t="s">
        <v>4900</v>
      </c>
      <c r="I3" s="1565"/>
      <c r="J3" s="1565"/>
      <c r="K3" s="1564" t="s">
        <v>4901</v>
      </c>
      <c r="L3" s="1565"/>
      <c r="M3" s="1565"/>
      <c r="R3" s="1445" t="s">
        <v>68</v>
      </c>
    </row>
    <row r="4" spans="1:19" hidden="1">
      <c r="H4" s="979" t="s">
        <v>4902</v>
      </c>
      <c r="I4" s="979" t="s">
        <v>61</v>
      </c>
      <c r="J4" s="979" t="s">
        <v>4903</v>
      </c>
      <c r="K4" s="979" t="s">
        <v>4902</v>
      </c>
      <c r="L4" s="979" t="s">
        <v>4061</v>
      </c>
      <c r="M4" s="979" t="s">
        <v>4903</v>
      </c>
    </row>
    <row r="5" spans="1:19" ht="30" hidden="1">
      <c r="A5" s="21" t="s">
        <v>4904</v>
      </c>
      <c r="B5" s="23"/>
      <c r="C5" s="1562" t="s">
        <v>4905</v>
      </c>
      <c r="D5" s="1445" t="s">
        <v>5162</v>
      </c>
      <c r="E5" s="1445" t="s">
        <v>2647</v>
      </c>
      <c r="F5" s="1566" t="s">
        <v>5160</v>
      </c>
      <c r="G5" s="1566" t="s">
        <v>5161</v>
      </c>
      <c r="H5" s="978"/>
      <c r="I5" s="978"/>
      <c r="J5" s="978"/>
      <c r="K5" s="978"/>
      <c r="L5" s="978"/>
      <c r="M5" s="978"/>
      <c r="N5" s="1447" t="s">
        <v>3332</v>
      </c>
      <c r="O5" s="1447" t="s">
        <v>2567</v>
      </c>
      <c r="P5" s="1447" t="s">
        <v>5158</v>
      </c>
      <c r="Q5" s="1447" t="s">
        <v>2568</v>
      </c>
      <c r="R5" s="1445" t="s">
        <v>5159</v>
      </c>
      <c r="S5" s="1447" t="s">
        <v>74</v>
      </c>
    </row>
    <row r="6" spans="1:19" hidden="1">
      <c r="A6" s="21" t="s">
        <v>4906</v>
      </c>
      <c r="B6" s="23" t="s">
        <v>4907</v>
      </c>
      <c r="C6" s="1563" t="s">
        <v>4908</v>
      </c>
      <c r="D6" s="1445" t="s">
        <v>4909</v>
      </c>
      <c r="E6" s="1445">
        <v>48</v>
      </c>
      <c r="F6" s="978">
        <v>0.88882406250000001</v>
      </c>
      <c r="G6" s="978">
        <v>42.663555000000002</v>
      </c>
      <c r="H6" s="978">
        <v>1.1554712812500001</v>
      </c>
      <c r="I6" s="978">
        <v>0.18487540500000002</v>
      </c>
      <c r="J6" s="978">
        <v>1.3403466862500002</v>
      </c>
      <c r="K6" s="978">
        <v>1.2443536874999999</v>
      </c>
      <c r="L6" s="978">
        <v>0.19909658999999999</v>
      </c>
      <c r="M6" s="978">
        <v>1.4434502774999998</v>
      </c>
      <c r="N6" s="1445"/>
      <c r="O6" s="1445">
        <f>+N6/E6</f>
        <v>0</v>
      </c>
      <c r="P6" s="1445"/>
      <c r="Q6" s="1445">
        <f>+P6/E6</f>
        <v>0</v>
      </c>
      <c r="R6" s="1445"/>
      <c r="S6" s="1445">
        <f>+R6*G6</f>
        <v>0</v>
      </c>
    </row>
    <row r="7" spans="1:19" hidden="1">
      <c r="A7" s="21" t="s">
        <v>4910</v>
      </c>
      <c r="B7" s="23">
        <v>7591072003622</v>
      </c>
      <c r="C7" s="1563" t="s">
        <v>4912</v>
      </c>
      <c r="D7" s="1445" t="s">
        <v>4913</v>
      </c>
      <c r="E7" s="1445">
        <v>24</v>
      </c>
      <c r="F7" s="978">
        <v>1.5739762500000001</v>
      </c>
      <c r="G7" s="978">
        <v>37.77543</v>
      </c>
      <c r="H7" s="978">
        <v>2.046169125</v>
      </c>
      <c r="I7" s="978">
        <v>0.32738706000000001</v>
      </c>
      <c r="J7" s="978">
        <v>2.373556185</v>
      </c>
      <c r="K7" s="978">
        <v>2.2035667499999998</v>
      </c>
      <c r="L7" s="978">
        <v>0.35257067999999997</v>
      </c>
      <c r="M7" s="978">
        <v>2.5561374299999997</v>
      </c>
      <c r="N7" s="1445"/>
      <c r="O7" s="1445">
        <f t="shared" ref="O7:O70" si="0">+N7/E7</f>
        <v>0</v>
      </c>
      <c r="P7" s="1445"/>
      <c r="Q7" s="1445">
        <f t="shared" ref="Q7:Q70" si="1">+P7/E7</f>
        <v>0</v>
      </c>
      <c r="R7" s="1445"/>
      <c r="S7" s="1445">
        <f t="shared" ref="S7:S70" si="2">+R7*G7</f>
        <v>0</v>
      </c>
    </row>
    <row r="8" spans="1:19" hidden="1">
      <c r="A8" s="21" t="s">
        <v>4914</v>
      </c>
      <c r="B8" s="23">
        <v>7591072005732</v>
      </c>
      <c r="C8" s="1563" t="s">
        <v>4915</v>
      </c>
      <c r="D8" s="1445" t="s">
        <v>4909</v>
      </c>
      <c r="E8" s="1445">
        <v>48</v>
      </c>
      <c r="F8" s="978">
        <v>0.88882406250000001</v>
      </c>
      <c r="G8" s="978">
        <v>42.663555000000002</v>
      </c>
      <c r="H8" s="978">
        <v>1.1554712812500001</v>
      </c>
      <c r="I8" s="978">
        <v>0.18487540500000002</v>
      </c>
      <c r="J8" s="978">
        <v>1.3403466862500002</v>
      </c>
      <c r="K8" s="978">
        <v>1.2443536874999999</v>
      </c>
      <c r="L8" s="978">
        <v>0.19909658999999999</v>
      </c>
      <c r="M8" s="978">
        <v>1.4434502774999998</v>
      </c>
      <c r="N8" s="1445"/>
      <c r="O8" s="1445">
        <f t="shared" si="0"/>
        <v>0</v>
      </c>
      <c r="P8" s="1445"/>
      <c r="Q8" s="1445">
        <f t="shared" si="1"/>
        <v>0</v>
      </c>
      <c r="R8" s="1445"/>
      <c r="S8" s="1445">
        <f t="shared" si="2"/>
        <v>0</v>
      </c>
    </row>
    <row r="9" spans="1:19" hidden="1">
      <c r="A9" s="21" t="s">
        <v>4916</v>
      </c>
      <c r="B9" s="23">
        <v>7591072005749</v>
      </c>
      <c r="C9" s="1563" t="s">
        <v>4917</v>
      </c>
      <c r="D9" s="1445" t="s">
        <v>4913</v>
      </c>
      <c r="E9" s="1445">
        <v>24</v>
      </c>
      <c r="F9" s="978">
        <v>1.5739762500000001</v>
      </c>
      <c r="G9" s="978">
        <v>37.77543</v>
      </c>
      <c r="H9" s="978">
        <v>2.046169125</v>
      </c>
      <c r="I9" s="978">
        <v>0.32738706000000001</v>
      </c>
      <c r="J9" s="978">
        <v>2.373556185</v>
      </c>
      <c r="K9" s="978">
        <v>2.2035667499999998</v>
      </c>
      <c r="L9" s="978">
        <v>0.35257067999999997</v>
      </c>
      <c r="M9" s="978">
        <v>2.5561374299999997</v>
      </c>
      <c r="N9" s="1445"/>
      <c r="O9" s="1445">
        <f t="shared" si="0"/>
        <v>0</v>
      </c>
      <c r="P9" s="1445"/>
      <c r="Q9" s="1445">
        <f t="shared" si="1"/>
        <v>0</v>
      </c>
      <c r="R9" s="1445"/>
      <c r="S9" s="1445">
        <f t="shared" si="2"/>
        <v>0</v>
      </c>
    </row>
    <row r="10" spans="1:19" hidden="1">
      <c r="A10" s="21" t="s">
        <v>4918</v>
      </c>
      <c r="B10" s="23" t="s">
        <v>4907</v>
      </c>
      <c r="C10" s="1563" t="s">
        <v>4919</v>
      </c>
      <c r="D10" s="1445" t="s">
        <v>4909</v>
      </c>
      <c r="E10" s="1445">
        <v>48</v>
      </c>
      <c r="F10" s="978">
        <v>0.88882406250000001</v>
      </c>
      <c r="G10" s="978">
        <v>42.663555000000002</v>
      </c>
      <c r="H10" s="978">
        <v>1.1554712812500001</v>
      </c>
      <c r="I10" s="978">
        <v>0.18487540500000002</v>
      </c>
      <c r="J10" s="978">
        <v>1.3403466862500002</v>
      </c>
      <c r="K10" s="978">
        <v>1.2443536874999999</v>
      </c>
      <c r="L10" s="978">
        <v>0.19909658999999999</v>
      </c>
      <c r="M10" s="978">
        <v>1.4434502774999998</v>
      </c>
      <c r="N10" s="1445"/>
      <c r="O10" s="1445">
        <f t="shared" si="0"/>
        <v>0</v>
      </c>
      <c r="P10" s="1445"/>
      <c r="Q10" s="1445">
        <f t="shared" si="1"/>
        <v>0</v>
      </c>
      <c r="R10" s="1445"/>
      <c r="S10" s="1445">
        <f t="shared" si="2"/>
        <v>0</v>
      </c>
    </row>
    <row r="11" spans="1:19" hidden="1">
      <c r="A11" s="21" t="s">
        <v>4920</v>
      </c>
      <c r="B11" s="23" t="s">
        <v>4911</v>
      </c>
      <c r="C11" s="1563" t="s">
        <v>4921</v>
      </c>
      <c r="D11" s="1445" t="s">
        <v>4913</v>
      </c>
      <c r="E11" s="1445">
        <v>24</v>
      </c>
      <c r="F11" s="978">
        <v>1.5739762500000001</v>
      </c>
      <c r="G11" s="978">
        <v>37.77543</v>
      </c>
      <c r="H11" s="978">
        <v>2.046169125</v>
      </c>
      <c r="I11" s="978">
        <v>0.32738706000000001</v>
      </c>
      <c r="J11" s="978">
        <v>2.373556185</v>
      </c>
      <c r="K11" s="978">
        <v>2.2035667499999998</v>
      </c>
      <c r="L11" s="978">
        <v>0.35257067999999997</v>
      </c>
      <c r="M11" s="978">
        <v>2.5561374299999997</v>
      </c>
      <c r="N11" s="1445"/>
      <c r="O11" s="1445">
        <f t="shared" si="0"/>
        <v>0</v>
      </c>
      <c r="P11" s="1445"/>
      <c r="Q11" s="1445">
        <f t="shared" si="1"/>
        <v>0</v>
      </c>
      <c r="R11" s="1445"/>
      <c r="S11" s="1445">
        <f t="shared" si="2"/>
        <v>0</v>
      </c>
    </row>
    <row r="12" spans="1:19">
      <c r="A12" s="307" t="s">
        <v>4922</v>
      </c>
      <c r="B12" s="455">
        <v>7591072005732</v>
      </c>
      <c r="C12" s="1572" t="s">
        <v>4923</v>
      </c>
      <c r="D12" s="308" t="s">
        <v>4909</v>
      </c>
      <c r="E12" s="308">
        <v>24</v>
      </c>
      <c r="F12" s="1573">
        <v>0.88855249999999997</v>
      </c>
      <c r="G12" s="1573">
        <v>21.32526</v>
      </c>
      <c r="H12" s="978">
        <v>1.1551182499999999</v>
      </c>
      <c r="I12" s="978">
        <v>0.18481892</v>
      </c>
      <c r="J12" s="978">
        <v>1.3399371699999998</v>
      </c>
      <c r="K12" s="978">
        <v>1.2439734999999998</v>
      </c>
      <c r="L12" s="978">
        <v>0.19903575999999998</v>
      </c>
      <c r="M12" s="978">
        <v>1.4430092599999997</v>
      </c>
      <c r="N12" s="1445"/>
      <c r="O12" s="1445">
        <f t="shared" si="0"/>
        <v>0</v>
      </c>
      <c r="P12" s="1445"/>
      <c r="Q12" s="1445">
        <f t="shared" si="1"/>
        <v>0</v>
      </c>
      <c r="R12" s="1445">
        <v>5</v>
      </c>
      <c r="S12" s="1445">
        <f t="shared" si="2"/>
        <v>106.6263</v>
      </c>
    </row>
    <row r="13" spans="1:19" hidden="1">
      <c r="A13" s="307" t="s">
        <v>4924</v>
      </c>
      <c r="B13" s="455">
        <v>7591072005749</v>
      </c>
      <c r="C13" s="1572" t="s">
        <v>4925</v>
      </c>
      <c r="D13" s="308" t="s">
        <v>4913</v>
      </c>
      <c r="E13" s="308">
        <v>12</v>
      </c>
      <c r="F13" s="1573">
        <v>1.5739762500000001</v>
      </c>
      <c r="G13" s="1573">
        <v>18.887715</v>
      </c>
      <c r="H13" s="978">
        <v>2.046169125</v>
      </c>
      <c r="I13" s="978">
        <v>0.32738706000000001</v>
      </c>
      <c r="J13" s="978">
        <v>2.373556185</v>
      </c>
      <c r="K13" s="978">
        <v>2.2035667499999998</v>
      </c>
      <c r="L13" s="978">
        <v>0.35257067999999997</v>
      </c>
      <c r="M13" s="978">
        <v>2.5561374299999997</v>
      </c>
      <c r="N13" s="1445"/>
      <c r="O13" s="1445">
        <f t="shared" si="0"/>
        <v>0</v>
      </c>
      <c r="P13" s="1445"/>
      <c r="Q13" s="1445">
        <f t="shared" si="1"/>
        <v>0</v>
      </c>
      <c r="R13" s="1445">
        <v>0</v>
      </c>
      <c r="S13" s="1445">
        <f t="shared" si="2"/>
        <v>0</v>
      </c>
    </row>
    <row r="14" spans="1:19" hidden="1">
      <c r="A14" s="21" t="s">
        <v>4926</v>
      </c>
      <c r="B14" s="23">
        <v>7591072000812</v>
      </c>
      <c r="C14" s="1563" t="s">
        <v>4927</v>
      </c>
      <c r="D14" s="1445" t="s">
        <v>4909</v>
      </c>
      <c r="E14" s="1445">
        <v>24</v>
      </c>
      <c r="F14" s="978">
        <v>0.88855249999999997</v>
      </c>
      <c r="G14" s="978">
        <v>21.32526</v>
      </c>
      <c r="H14" s="978">
        <v>1.1551182499999999</v>
      </c>
      <c r="I14" s="978">
        <v>0.18481892</v>
      </c>
      <c r="J14" s="978">
        <v>1.3399371699999998</v>
      </c>
      <c r="K14" s="978">
        <v>1.2439734999999998</v>
      </c>
      <c r="L14" s="978">
        <v>0.19903575999999998</v>
      </c>
      <c r="M14" s="978">
        <v>1.4430092599999997</v>
      </c>
      <c r="N14" s="1445"/>
      <c r="O14" s="1445">
        <f t="shared" si="0"/>
        <v>0</v>
      </c>
      <c r="P14" s="1445"/>
      <c r="Q14" s="1445">
        <f t="shared" si="1"/>
        <v>0</v>
      </c>
      <c r="R14" s="1445"/>
      <c r="S14" s="1445">
        <f t="shared" si="2"/>
        <v>0</v>
      </c>
    </row>
    <row r="15" spans="1:19" hidden="1">
      <c r="A15" s="21" t="s">
        <v>4928</v>
      </c>
      <c r="B15" s="23">
        <v>7591072000829</v>
      </c>
      <c r="C15" s="1563" t="s">
        <v>4929</v>
      </c>
      <c r="D15" s="1445" t="s">
        <v>4913</v>
      </c>
      <c r="E15" s="1445">
        <v>12</v>
      </c>
      <c r="F15" s="978">
        <v>1.5739762500000001</v>
      </c>
      <c r="G15" s="978">
        <v>18.887715</v>
      </c>
      <c r="H15" s="978">
        <v>2.046169125</v>
      </c>
      <c r="I15" s="978">
        <v>0.32738706000000001</v>
      </c>
      <c r="J15" s="978">
        <v>2.373556185</v>
      </c>
      <c r="K15" s="978">
        <v>2.2035667499999998</v>
      </c>
      <c r="L15" s="978">
        <v>0.35257067999999997</v>
      </c>
      <c r="M15" s="978">
        <v>2.5561374299999997</v>
      </c>
      <c r="N15" s="1445"/>
      <c r="O15" s="1445">
        <f t="shared" si="0"/>
        <v>0</v>
      </c>
      <c r="P15" s="1445"/>
      <c r="Q15" s="1445">
        <f t="shared" si="1"/>
        <v>0</v>
      </c>
      <c r="R15" s="1445"/>
      <c r="S15" s="1445">
        <f t="shared" si="2"/>
        <v>0</v>
      </c>
    </row>
    <row r="16" spans="1:19" hidden="1">
      <c r="A16" s="21" t="s">
        <v>4930</v>
      </c>
      <c r="B16" s="23">
        <v>7591072005732</v>
      </c>
      <c r="C16" s="1563" t="s">
        <v>4931</v>
      </c>
      <c r="D16" s="1445" t="s">
        <v>4909</v>
      </c>
      <c r="E16" s="1445">
        <v>24</v>
      </c>
      <c r="F16" s="978">
        <v>0.88855249999999997</v>
      </c>
      <c r="G16" s="978">
        <v>21.32526</v>
      </c>
      <c r="H16" s="978">
        <v>1.1551182499999999</v>
      </c>
      <c r="I16" s="978">
        <v>0.18481892</v>
      </c>
      <c r="J16" s="978">
        <v>1.3399371699999998</v>
      </c>
      <c r="K16" s="978">
        <v>1.2439734999999998</v>
      </c>
      <c r="L16" s="978">
        <v>0.19903575999999998</v>
      </c>
      <c r="M16" s="978">
        <v>1.4430092599999997</v>
      </c>
      <c r="N16" s="1445"/>
      <c r="O16" s="1445">
        <f t="shared" si="0"/>
        <v>0</v>
      </c>
      <c r="P16" s="1445"/>
      <c r="Q16" s="1445">
        <f t="shared" si="1"/>
        <v>0</v>
      </c>
      <c r="R16" s="1445"/>
      <c r="S16" s="1445">
        <f t="shared" si="2"/>
        <v>0</v>
      </c>
    </row>
    <row r="17" spans="1:19" hidden="1">
      <c r="A17" s="21" t="s">
        <v>4932</v>
      </c>
      <c r="B17" s="23">
        <v>7591072005749</v>
      </c>
      <c r="C17" s="1563" t="s">
        <v>4933</v>
      </c>
      <c r="D17" s="1445" t="s">
        <v>4913</v>
      </c>
      <c r="E17" s="1445">
        <v>12</v>
      </c>
      <c r="F17" s="978">
        <v>1.5739762500000001</v>
      </c>
      <c r="G17" s="978">
        <v>18.887715</v>
      </c>
      <c r="H17" s="978">
        <v>2.046169125</v>
      </c>
      <c r="I17" s="978">
        <v>0.32738706000000001</v>
      </c>
      <c r="J17" s="978">
        <v>2.373556185</v>
      </c>
      <c r="K17" s="978">
        <v>2.2035667499999998</v>
      </c>
      <c r="L17" s="978">
        <v>0.35257067999999997</v>
      </c>
      <c r="M17" s="978">
        <v>2.5561374299999997</v>
      </c>
      <c r="N17" s="1445"/>
      <c r="O17" s="1445">
        <f t="shared" si="0"/>
        <v>0</v>
      </c>
      <c r="P17" s="1445"/>
      <c r="Q17" s="1445">
        <f t="shared" si="1"/>
        <v>0</v>
      </c>
      <c r="R17" s="1445"/>
      <c r="S17" s="1445">
        <f t="shared" si="2"/>
        <v>0</v>
      </c>
    </row>
    <row r="18" spans="1:19" hidden="1">
      <c r="A18" s="21"/>
      <c r="B18" s="23"/>
      <c r="C18" s="1562" t="s">
        <v>4934</v>
      </c>
      <c r="D18" s="1445"/>
      <c r="E18" s="1445"/>
      <c r="F18" s="978"/>
      <c r="G18" s="978"/>
      <c r="H18" s="978"/>
      <c r="I18" s="978"/>
      <c r="J18" s="978"/>
      <c r="K18" s="978"/>
      <c r="L18" s="978"/>
      <c r="M18" s="978"/>
      <c r="N18" s="1445"/>
      <c r="O18" s="1445" t="s">
        <v>65</v>
      </c>
      <c r="P18" s="1445"/>
      <c r="Q18" s="1445" t="s">
        <v>65</v>
      </c>
      <c r="R18" s="1445"/>
      <c r="S18" s="1445">
        <f t="shared" si="2"/>
        <v>0</v>
      </c>
    </row>
    <row r="19" spans="1:19" hidden="1">
      <c r="A19" s="21" t="s">
        <v>4935</v>
      </c>
      <c r="B19" s="23">
        <v>75921118</v>
      </c>
      <c r="C19" s="1563" t="s">
        <v>4936</v>
      </c>
      <c r="D19" s="1445" t="s">
        <v>4937</v>
      </c>
      <c r="E19" s="1445">
        <v>48</v>
      </c>
      <c r="F19" s="978">
        <v>0.88882406250000001</v>
      </c>
      <c r="G19" s="978">
        <v>42.663555000000002</v>
      </c>
      <c r="H19" s="978">
        <v>1.1554712812500001</v>
      </c>
      <c r="I19" s="978">
        <v>0.18487540500000002</v>
      </c>
      <c r="J19" s="978">
        <v>1.3403466862500002</v>
      </c>
      <c r="K19" s="978">
        <v>1.2443536874999999</v>
      </c>
      <c r="L19" s="978">
        <v>0.19909658999999999</v>
      </c>
      <c r="M19" s="978">
        <v>1.4434502774999998</v>
      </c>
      <c r="N19" s="1445"/>
      <c r="O19" s="1445">
        <f t="shared" si="0"/>
        <v>0</v>
      </c>
      <c r="P19" s="1445"/>
      <c r="Q19" s="1445">
        <f t="shared" si="1"/>
        <v>0</v>
      </c>
      <c r="R19" s="1445"/>
      <c r="S19" s="1445">
        <f t="shared" si="2"/>
        <v>0</v>
      </c>
    </row>
    <row r="20" spans="1:19" hidden="1">
      <c r="A20" s="21" t="s">
        <v>4938</v>
      </c>
      <c r="B20" s="23">
        <v>7591072001598</v>
      </c>
      <c r="C20" s="1563" t="s">
        <v>4939</v>
      </c>
      <c r="D20" s="1445" t="s">
        <v>4940</v>
      </c>
      <c r="E20" s="1445">
        <v>24</v>
      </c>
      <c r="F20" s="978">
        <v>1.5739762500000001</v>
      </c>
      <c r="G20" s="978">
        <v>37.77543</v>
      </c>
      <c r="H20" s="978">
        <v>2.046169125</v>
      </c>
      <c r="I20" s="978">
        <v>0.32738706000000001</v>
      </c>
      <c r="J20" s="978">
        <v>2.373556185</v>
      </c>
      <c r="K20" s="978">
        <v>2.2035667499999998</v>
      </c>
      <c r="L20" s="978">
        <v>0.35257067999999997</v>
      </c>
      <c r="M20" s="978">
        <v>2.5561374299999997</v>
      </c>
      <c r="N20" s="1445"/>
      <c r="O20" s="1445">
        <f t="shared" si="0"/>
        <v>0</v>
      </c>
      <c r="P20" s="1445"/>
      <c r="Q20" s="1445">
        <f t="shared" si="1"/>
        <v>0</v>
      </c>
      <c r="R20" s="1445"/>
      <c r="S20" s="1445">
        <f t="shared" si="2"/>
        <v>0</v>
      </c>
    </row>
    <row r="21" spans="1:19" hidden="1">
      <c r="A21" s="21" t="s">
        <v>4941</v>
      </c>
      <c r="B21" s="23">
        <v>7591072001659</v>
      </c>
      <c r="C21" s="1563" t="s">
        <v>4942</v>
      </c>
      <c r="D21" s="1445" t="s">
        <v>4943</v>
      </c>
      <c r="E21" s="1445">
        <v>16</v>
      </c>
      <c r="F21" s="978">
        <v>2.6664721875000001</v>
      </c>
      <c r="G21" s="978">
        <v>42.663555000000002</v>
      </c>
      <c r="H21" s="978">
        <v>3.4664138437500003</v>
      </c>
      <c r="I21" s="978">
        <v>0.55462621500000009</v>
      </c>
      <c r="J21" s="978">
        <v>4.0210400587500006</v>
      </c>
      <c r="K21" s="978">
        <v>3.7330610625</v>
      </c>
      <c r="L21" s="978">
        <v>0.59728977000000005</v>
      </c>
      <c r="M21" s="978">
        <v>4.3303508324999997</v>
      </c>
      <c r="N21" s="1445"/>
      <c r="O21" s="1445">
        <f t="shared" si="0"/>
        <v>0</v>
      </c>
      <c r="P21" s="1445"/>
      <c r="Q21" s="1445">
        <f t="shared" si="1"/>
        <v>0</v>
      </c>
      <c r="R21" s="1445"/>
      <c r="S21" s="1445">
        <f t="shared" si="2"/>
        <v>0</v>
      </c>
    </row>
    <row r="22" spans="1:19" hidden="1">
      <c r="A22" s="21" t="s">
        <v>4944</v>
      </c>
      <c r="B22" s="23"/>
      <c r="C22" s="1563" t="s">
        <v>4945</v>
      </c>
      <c r="D22" s="1445" t="s">
        <v>4946</v>
      </c>
      <c r="E22" s="1445">
        <v>4</v>
      </c>
      <c r="F22" s="978">
        <v>10.665888750000001</v>
      </c>
      <c r="G22" s="978">
        <v>42.663555000000002</v>
      </c>
      <c r="H22" s="978">
        <v>13.865655375000001</v>
      </c>
      <c r="I22" s="978">
        <v>2.2185048600000004</v>
      </c>
      <c r="J22" s="978">
        <v>16.084160235000002</v>
      </c>
      <c r="K22" s="978">
        <v>14.93224425</v>
      </c>
      <c r="L22" s="978">
        <v>2.3891590800000002</v>
      </c>
      <c r="M22" s="978">
        <v>17.321403329999999</v>
      </c>
      <c r="N22" s="1445"/>
      <c r="O22" s="1445">
        <f t="shared" si="0"/>
        <v>0</v>
      </c>
      <c r="P22" s="1445"/>
      <c r="Q22" s="1445">
        <f t="shared" si="1"/>
        <v>0</v>
      </c>
      <c r="R22" s="1445"/>
      <c r="S22" s="1445">
        <f t="shared" si="2"/>
        <v>0</v>
      </c>
    </row>
    <row r="23" spans="1:19" hidden="1">
      <c r="A23" s="21" t="s">
        <v>4947</v>
      </c>
      <c r="B23" s="23"/>
      <c r="C23" s="1563" t="s">
        <v>4948</v>
      </c>
      <c r="D23" s="1445" t="s">
        <v>4949</v>
      </c>
      <c r="E23" s="1445">
        <v>2</v>
      </c>
      <c r="F23" s="978">
        <v>18.887715</v>
      </c>
      <c r="G23" s="978">
        <v>37.77543</v>
      </c>
      <c r="H23" s="978">
        <v>24.554029500000002</v>
      </c>
      <c r="I23" s="978">
        <v>3.9286447200000003</v>
      </c>
      <c r="J23" s="978">
        <v>28.482674220000003</v>
      </c>
      <c r="K23" s="978">
        <v>26.442800999999999</v>
      </c>
      <c r="L23" s="978">
        <v>4.2308481599999999</v>
      </c>
      <c r="M23" s="978">
        <v>30.67364916</v>
      </c>
      <c r="N23" s="1445"/>
      <c r="O23" s="1445">
        <f t="shared" si="0"/>
        <v>0</v>
      </c>
      <c r="P23" s="1445"/>
      <c r="Q23" s="1445">
        <f t="shared" si="1"/>
        <v>0</v>
      </c>
      <c r="R23" s="1445"/>
      <c r="S23" s="1445">
        <f t="shared" si="2"/>
        <v>0</v>
      </c>
    </row>
    <row r="24" spans="1:19" hidden="1">
      <c r="A24" s="21"/>
      <c r="B24" s="23"/>
      <c r="C24" s="1562" t="s">
        <v>4950</v>
      </c>
      <c r="D24" s="1445"/>
      <c r="E24" s="1445"/>
      <c r="F24" s="978"/>
      <c r="G24" s="978"/>
      <c r="H24" s="978"/>
      <c r="I24" s="978"/>
      <c r="J24" s="978"/>
      <c r="K24" s="978"/>
      <c r="L24" s="978"/>
      <c r="M24" s="978"/>
      <c r="N24" s="1445"/>
      <c r="O24" s="1445" t="s">
        <v>65</v>
      </c>
      <c r="P24" s="1445"/>
      <c r="Q24" s="1445" t="s">
        <v>65</v>
      </c>
      <c r="R24" s="1445"/>
      <c r="S24" s="1445">
        <f t="shared" si="2"/>
        <v>0</v>
      </c>
    </row>
    <row r="25" spans="1:19" hidden="1">
      <c r="A25" s="21" t="s">
        <v>4951</v>
      </c>
      <c r="B25" s="23">
        <v>7591072004339</v>
      </c>
      <c r="C25" s="1563" t="s">
        <v>4952</v>
      </c>
      <c r="D25" s="1445" t="s">
        <v>4909</v>
      </c>
      <c r="E25" s="1445">
        <v>48</v>
      </c>
      <c r="F25" s="978">
        <v>0.88882406250000001</v>
      </c>
      <c r="G25" s="978">
        <v>42.663555000000002</v>
      </c>
      <c r="H25" s="978">
        <v>1.1554712812500001</v>
      </c>
      <c r="I25" s="978">
        <v>0.18487540500000002</v>
      </c>
      <c r="J25" s="978">
        <v>1.3403466862500002</v>
      </c>
      <c r="K25" s="978">
        <v>1.2443536874999999</v>
      </c>
      <c r="L25" s="978">
        <v>0.19909658999999999</v>
      </c>
      <c r="M25" s="978">
        <v>1.4434502774999998</v>
      </c>
      <c r="N25" s="1445"/>
      <c r="O25" s="1445">
        <f t="shared" si="0"/>
        <v>0</v>
      </c>
      <c r="P25" s="1445"/>
      <c r="Q25" s="1445">
        <f t="shared" si="1"/>
        <v>0</v>
      </c>
      <c r="R25" s="1445"/>
      <c r="S25" s="1445">
        <f t="shared" si="2"/>
        <v>0</v>
      </c>
    </row>
    <row r="26" spans="1:19" hidden="1">
      <c r="A26" s="21" t="s">
        <v>4953</v>
      </c>
      <c r="B26" s="23">
        <v>7591072004346</v>
      </c>
      <c r="C26" s="1563" t="s">
        <v>4954</v>
      </c>
      <c r="D26" s="1445" t="s">
        <v>4913</v>
      </c>
      <c r="E26" s="1445">
        <v>24</v>
      </c>
      <c r="F26" s="978">
        <v>1.5739762500000001</v>
      </c>
      <c r="G26" s="978">
        <v>37.77543</v>
      </c>
      <c r="H26" s="978">
        <v>2.046169125</v>
      </c>
      <c r="I26" s="978">
        <v>0.32738706000000001</v>
      </c>
      <c r="J26" s="978">
        <v>2.373556185</v>
      </c>
      <c r="K26" s="978">
        <v>2.2035667499999998</v>
      </c>
      <c r="L26" s="978">
        <v>0.35257067999999997</v>
      </c>
      <c r="M26" s="978">
        <v>2.5561374299999997</v>
      </c>
      <c r="N26" s="1445"/>
      <c r="O26" s="1445">
        <f t="shared" si="0"/>
        <v>0</v>
      </c>
      <c r="P26" s="1445"/>
      <c r="Q26" s="1445">
        <f t="shared" si="1"/>
        <v>0</v>
      </c>
      <c r="R26" s="1445"/>
      <c r="S26" s="1445">
        <f t="shared" si="2"/>
        <v>0</v>
      </c>
    </row>
    <row r="27" spans="1:19" hidden="1">
      <c r="A27" s="21"/>
      <c r="B27" s="23"/>
      <c r="C27" s="1562" t="s">
        <v>4955</v>
      </c>
      <c r="D27" s="1445"/>
      <c r="E27" s="1445"/>
      <c r="F27" s="978"/>
      <c r="G27" s="978"/>
      <c r="H27" s="978"/>
      <c r="I27" s="978"/>
      <c r="J27" s="978"/>
      <c r="K27" s="978"/>
      <c r="L27" s="978"/>
      <c r="M27" s="978"/>
      <c r="N27" s="1445"/>
      <c r="O27" s="1445" t="s">
        <v>65</v>
      </c>
      <c r="P27" s="1445"/>
      <c r="Q27" s="1445" t="s">
        <v>65</v>
      </c>
      <c r="R27" s="1445"/>
      <c r="S27" s="1445">
        <f t="shared" si="2"/>
        <v>0</v>
      </c>
    </row>
    <row r="28" spans="1:19" hidden="1">
      <c r="A28" s="21" t="s">
        <v>4956</v>
      </c>
      <c r="B28" s="23">
        <v>7591072000034</v>
      </c>
      <c r="C28" s="1563" t="s">
        <v>4957</v>
      </c>
      <c r="D28" s="1445" t="s">
        <v>4909</v>
      </c>
      <c r="E28" s="1445">
        <v>48</v>
      </c>
      <c r="F28" s="978">
        <v>0.76281906250000009</v>
      </c>
      <c r="G28" s="978">
        <v>36.615315000000002</v>
      </c>
      <c r="H28" s="978">
        <v>0.99166478125000013</v>
      </c>
      <c r="I28" s="978">
        <v>0.15866636500000003</v>
      </c>
      <c r="J28" s="978">
        <v>1.1503311462500001</v>
      </c>
      <c r="K28" s="978">
        <v>1.0679466875000001</v>
      </c>
      <c r="L28" s="978">
        <v>0.17087147000000003</v>
      </c>
      <c r="M28" s="978">
        <v>1.2388181575000001</v>
      </c>
      <c r="N28" s="1445"/>
      <c r="O28" s="1445">
        <f t="shared" si="0"/>
        <v>0</v>
      </c>
      <c r="P28" s="1445"/>
      <c r="Q28" s="1445">
        <f t="shared" si="1"/>
        <v>0</v>
      </c>
      <c r="R28" s="1445"/>
      <c r="S28" s="1445">
        <f t="shared" si="2"/>
        <v>0</v>
      </c>
    </row>
    <row r="29" spans="1:19" hidden="1">
      <c r="A29" s="21" t="s">
        <v>4958</v>
      </c>
      <c r="B29" s="23">
        <v>7591072000492</v>
      </c>
      <c r="C29" s="1563" t="s">
        <v>4959</v>
      </c>
      <c r="D29" s="1445" t="s">
        <v>4913</v>
      </c>
      <c r="E29" s="1445">
        <v>24</v>
      </c>
      <c r="F29" s="978">
        <v>1.342605</v>
      </c>
      <c r="G29" s="978">
        <v>32.222520000000003</v>
      </c>
      <c r="H29" s="978">
        <v>1.7453865000000002</v>
      </c>
      <c r="I29" s="978">
        <v>0.27926184000000004</v>
      </c>
      <c r="J29" s="978">
        <v>2.0246483400000002</v>
      </c>
      <c r="K29" s="978">
        <v>1.8796469999999998</v>
      </c>
      <c r="L29" s="978">
        <v>0.30074351999999999</v>
      </c>
      <c r="M29" s="978">
        <v>2.18039052</v>
      </c>
      <c r="N29" s="1445"/>
      <c r="O29" s="1445">
        <f t="shared" si="0"/>
        <v>0</v>
      </c>
      <c r="P29" s="1445"/>
      <c r="Q29" s="1445">
        <f t="shared" si="1"/>
        <v>0</v>
      </c>
      <c r="R29" s="1445"/>
      <c r="S29" s="1445">
        <f t="shared" si="2"/>
        <v>0</v>
      </c>
    </row>
    <row r="30" spans="1:19" hidden="1">
      <c r="A30" s="21" t="s">
        <v>4960</v>
      </c>
      <c r="B30" s="23"/>
      <c r="C30" s="1563" t="s">
        <v>4961</v>
      </c>
      <c r="D30" s="1445" t="s">
        <v>4909</v>
      </c>
      <c r="E30" s="1445">
        <v>24</v>
      </c>
      <c r="F30" s="978">
        <v>0.76254750000000004</v>
      </c>
      <c r="G30" s="978">
        <v>18.30114</v>
      </c>
      <c r="H30" s="978">
        <v>0.99131175000000005</v>
      </c>
      <c r="I30" s="978">
        <v>0.15860988000000001</v>
      </c>
      <c r="J30" s="978">
        <v>1.1499216300000001</v>
      </c>
      <c r="K30" s="978">
        <v>1.0675665000000001</v>
      </c>
      <c r="L30" s="978">
        <v>0.17081064000000001</v>
      </c>
      <c r="M30" s="978">
        <v>1.2383771400000001</v>
      </c>
      <c r="N30" s="1445"/>
      <c r="O30" s="1445">
        <f t="shared" si="0"/>
        <v>0</v>
      </c>
      <c r="P30" s="1445"/>
      <c r="Q30" s="1445">
        <f t="shared" si="1"/>
        <v>0</v>
      </c>
      <c r="R30" s="1445"/>
      <c r="S30" s="1445">
        <f t="shared" si="2"/>
        <v>0</v>
      </c>
    </row>
    <row r="31" spans="1:19" hidden="1">
      <c r="A31" s="21" t="s">
        <v>4962</v>
      </c>
      <c r="B31" s="23"/>
      <c r="C31" s="1563" t="s">
        <v>4963</v>
      </c>
      <c r="D31" s="1445" t="s">
        <v>4913</v>
      </c>
      <c r="E31" s="1445">
        <v>12</v>
      </c>
      <c r="F31" s="978">
        <v>1.342605</v>
      </c>
      <c r="G31" s="978">
        <v>16.111260000000001</v>
      </c>
      <c r="H31" s="978">
        <v>1.7453865000000002</v>
      </c>
      <c r="I31" s="978">
        <v>0.27926184000000004</v>
      </c>
      <c r="J31" s="978">
        <v>2.0246483400000002</v>
      </c>
      <c r="K31" s="978">
        <v>1.8796469999999998</v>
      </c>
      <c r="L31" s="978">
        <v>0.30074351999999999</v>
      </c>
      <c r="M31" s="978">
        <v>2.18039052</v>
      </c>
      <c r="N31" s="1445"/>
      <c r="O31" s="1445">
        <f t="shared" si="0"/>
        <v>0</v>
      </c>
      <c r="P31" s="1445"/>
      <c r="Q31" s="1445">
        <f t="shared" si="1"/>
        <v>0</v>
      </c>
      <c r="R31" s="1445"/>
      <c r="S31" s="1445">
        <f t="shared" si="2"/>
        <v>0</v>
      </c>
    </row>
    <row r="32" spans="1:19" hidden="1">
      <c r="A32" s="21"/>
      <c r="B32" s="23"/>
      <c r="C32" s="1562" t="s">
        <v>4964</v>
      </c>
      <c r="D32" s="1445"/>
      <c r="E32" s="1445"/>
      <c r="F32" s="978"/>
      <c r="G32" s="978"/>
      <c r="H32" s="978"/>
      <c r="I32" s="978"/>
      <c r="J32" s="978"/>
      <c r="K32" s="978"/>
      <c r="L32" s="978"/>
      <c r="M32" s="978"/>
      <c r="N32" s="1445"/>
      <c r="O32" s="1445" t="s">
        <v>65</v>
      </c>
      <c r="P32" s="1445"/>
      <c r="Q32" s="1445" t="s">
        <v>65</v>
      </c>
      <c r="R32" s="1445"/>
      <c r="S32" s="1445">
        <f t="shared" si="2"/>
        <v>0</v>
      </c>
    </row>
    <row r="33" spans="1:19" hidden="1">
      <c r="A33" s="21" t="s">
        <v>4965</v>
      </c>
      <c r="B33" s="23" t="s">
        <v>4966</v>
      </c>
      <c r="C33" s="1563" t="s">
        <v>4967</v>
      </c>
      <c r="D33" s="1445" t="s">
        <v>4968</v>
      </c>
      <c r="E33" s="1445">
        <v>24</v>
      </c>
      <c r="F33" s="978">
        <v>0.875</v>
      </c>
      <c r="G33" s="978">
        <v>21</v>
      </c>
      <c r="H33" s="978">
        <v>1.1375</v>
      </c>
      <c r="I33" s="978">
        <v>0.182</v>
      </c>
      <c r="J33" s="978">
        <v>1.3194999999999999</v>
      </c>
      <c r="K33" s="978">
        <v>1.1724137931034484</v>
      </c>
      <c r="L33" s="978">
        <v>0.18758620689655175</v>
      </c>
      <c r="M33" s="978">
        <v>1.36</v>
      </c>
      <c r="N33" s="1445"/>
      <c r="O33" s="1445">
        <f t="shared" si="0"/>
        <v>0</v>
      </c>
      <c r="P33" s="1445"/>
      <c r="Q33" s="1445">
        <f t="shared" si="1"/>
        <v>0</v>
      </c>
      <c r="R33" s="1445"/>
      <c r="S33" s="1445">
        <f t="shared" si="2"/>
        <v>0</v>
      </c>
    </row>
    <row r="34" spans="1:19" hidden="1">
      <c r="A34" s="21" t="s">
        <v>4969</v>
      </c>
      <c r="B34" s="23">
        <v>7591072000386</v>
      </c>
      <c r="C34" s="1563" t="s">
        <v>4970</v>
      </c>
      <c r="D34" s="1445" t="s">
        <v>4968</v>
      </c>
      <c r="E34" s="1445">
        <v>24</v>
      </c>
      <c r="F34" s="978">
        <v>0.875</v>
      </c>
      <c r="G34" s="978">
        <v>21</v>
      </c>
      <c r="H34" s="978">
        <v>1.1375</v>
      </c>
      <c r="I34" s="978">
        <v>0.182</v>
      </c>
      <c r="J34" s="978">
        <v>1.3194999999999999</v>
      </c>
      <c r="K34" s="978">
        <v>1.1724137931034484</v>
      </c>
      <c r="L34" s="978">
        <v>0.18758620689655175</v>
      </c>
      <c r="M34" s="978">
        <v>1.36</v>
      </c>
      <c r="N34" s="1445"/>
      <c r="O34" s="1445">
        <f t="shared" si="0"/>
        <v>0</v>
      </c>
      <c r="P34" s="1445"/>
      <c r="Q34" s="1445">
        <f t="shared" si="1"/>
        <v>0</v>
      </c>
      <c r="R34" s="1445"/>
      <c r="S34" s="1445">
        <f t="shared" si="2"/>
        <v>0</v>
      </c>
    </row>
    <row r="35" spans="1:19" hidden="1">
      <c r="A35" s="21" t="s">
        <v>4971</v>
      </c>
      <c r="B35" s="23">
        <v>7591072000393</v>
      </c>
      <c r="C35" s="1563" t="s">
        <v>4972</v>
      </c>
      <c r="D35" s="1445" t="s">
        <v>4968</v>
      </c>
      <c r="E35" s="1445">
        <v>24</v>
      </c>
      <c r="F35" s="978">
        <v>0.875</v>
      </c>
      <c r="G35" s="978">
        <v>21</v>
      </c>
      <c r="H35" s="978">
        <v>1.1375</v>
      </c>
      <c r="I35" s="978">
        <v>0.182</v>
      </c>
      <c r="J35" s="978">
        <v>1.3194999999999999</v>
      </c>
      <c r="K35" s="978">
        <v>1.1724137931034484</v>
      </c>
      <c r="L35" s="978">
        <v>0.18758620689655175</v>
      </c>
      <c r="M35" s="978">
        <v>1.36</v>
      </c>
      <c r="N35" s="1445"/>
      <c r="O35" s="1445">
        <f t="shared" si="0"/>
        <v>0</v>
      </c>
      <c r="P35" s="1445"/>
      <c r="Q35" s="1445">
        <f t="shared" si="1"/>
        <v>0</v>
      </c>
      <c r="R35" s="1445"/>
      <c r="S35" s="1445">
        <f t="shared" si="2"/>
        <v>0</v>
      </c>
    </row>
    <row r="36" spans="1:19" hidden="1">
      <c r="A36" s="21" t="s">
        <v>4973</v>
      </c>
      <c r="B36" s="23">
        <v>7591072000089</v>
      </c>
      <c r="C36" s="1563" t="s">
        <v>4974</v>
      </c>
      <c r="D36" s="1445" t="s">
        <v>4975</v>
      </c>
      <c r="E36" s="1445">
        <v>24</v>
      </c>
      <c r="F36" s="978">
        <v>0.79166666666666663</v>
      </c>
      <c r="G36" s="978">
        <v>19</v>
      </c>
      <c r="H36" s="978">
        <v>1.0291666666666666</v>
      </c>
      <c r="I36" s="978">
        <v>0.16466666666666666</v>
      </c>
      <c r="J36" s="978">
        <v>1.1938333333333333</v>
      </c>
      <c r="K36" s="978">
        <v>1.0775862068965518</v>
      </c>
      <c r="L36" s="978">
        <v>0.17241379310344829</v>
      </c>
      <c r="M36" s="978">
        <v>1.25</v>
      </c>
      <c r="N36" s="1445"/>
      <c r="O36" s="1445">
        <f t="shared" si="0"/>
        <v>0</v>
      </c>
      <c r="P36" s="1445"/>
      <c r="Q36" s="1445">
        <f t="shared" si="1"/>
        <v>0</v>
      </c>
      <c r="R36" s="1445"/>
      <c r="S36" s="1445">
        <f t="shared" si="2"/>
        <v>0</v>
      </c>
    </row>
    <row r="37" spans="1:19" hidden="1">
      <c r="A37" s="21" t="s">
        <v>4976</v>
      </c>
      <c r="B37" s="23">
        <v>7591072000133</v>
      </c>
      <c r="C37" s="1563" t="s">
        <v>4977</v>
      </c>
      <c r="D37" s="1445" t="s">
        <v>4975</v>
      </c>
      <c r="E37" s="1445">
        <v>24</v>
      </c>
      <c r="F37" s="978">
        <v>0.79166666666666663</v>
      </c>
      <c r="G37" s="978">
        <v>19</v>
      </c>
      <c r="H37" s="978">
        <v>1.0291666666666666</v>
      </c>
      <c r="I37" s="978">
        <v>0.16466666666666666</v>
      </c>
      <c r="J37" s="978">
        <v>1.1938333333333333</v>
      </c>
      <c r="K37" s="978">
        <v>1.0775862068965518</v>
      </c>
      <c r="L37" s="978">
        <v>0.17241379310344829</v>
      </c>
      <c r="M37" s="978">
        <v>1.25</v>
      </c>
      <c r="N37" s="1445"/>
      <c r="O37" s="1445">
        <f t="shared" si="0"/>
        <v>0</v>
      </c>
      <c r="P37" s="1445"/>
      <c r="Q37" s="1445">
        <f t="shared" si="1"/>
        <v>0</v>
      </c>
      <c r="R37" s="1445"/>
      <c r="S37" s="1445">
        <f t="shared" si="2"/>
        <v>0</v>
      </c>
    </row>
    <row r="38" spans="1:19" hidden="1">
      <c r="A38" s="21" t="s">
        <v>4978</v>
      </c>
      <c r="B38" s="23">
        <v>7591072000171</v>
      </c>
      <c r="C38" s="1563" t="s">
        <v>4979</v>
      </c>
      <c r="D38" s="1445" t="s">
        <v>4975</v>
      </c>
      <c r="E38" s="1445">
        <v>24</v>
      </c>
      <c r="F38" s="978">
        <v>0.79166666666666663</v>
      </c>
      <c r="G38" s="978">
        <v>19</v>
      </c>
      <c r="H38" s="978">
        <v>1.0291666666666666</v>
      </c>
      <c r="I38" s="978">
        <v>0.16466666666666666</v>
      </c>
      <c r="J38" s="978">
        <v>1.1938333333333333</v>
      </c>
      <c r="K38" s="978">
        <v>1.0775862068965518</v>
      </c>
      <c r="L38" s="978">
        <v>0.17241379310344829</v>
      </c>
      <c r="M38" s="978">
        <v>1.25</v>
      </c>
      <c r="N38" s="1445"/>
      <c r="O38" s="1445">
        <f t="shared" si="0"/>
        <v>0</v>
      </c>
      <c r="P38" s="1445"/>
      <c r="Q38" s="1445">
        <f t="shared" si="1"/>
        <v>0</v>
      </c>
      <c r="R38" s="1445"/>
      <c r="S38" s="1445">
        <f t="shared" si="2"/>
        <v>0</v>
      </c>
    </row>
    <row r="39" spans="1:19">
      <c r="A39" s="307" t="s">
        <v>4980</v>
      </c>
      <c r="B39" s="455">
        <v>7591072000638</v>
      </c>
      <c r="C39" s="1572" t="s">
        <v>4981</v>
      </c>
      <c r="D39" s="308" t="s">
        <v>4982</v>
      </c>
      <c r="E39" s="308">
        <v>12</v>
      </c>
      <c r="F39" s="1573">
        <v>1.4166666666666667</v>
      </c>
      <c r="G39" s="1573">
        <v>17</v>
      </c>
      <c r="H39" s="978">
        <v>1.8416666666666668</v>
      </c>
      <c r="I39" s="978">
        <v>0.29466666666666669</v>
      </c>
      <c r="J39" s="978">
        <v>2.1363333333333334</v>
      </c>
      <c r="K39" s="978">
        <v>1.9741379310344829</v>
      </c>
      <c r="L39" s="978">
        <v>0.31586206896551727</v>
      </c>
      <c r="M39" s="978">
        <v>2.29</v>
      </c>
      <c r="N39" s="1445"/>
      <c r="O39" s="1445">
        <f t="shared" si="0"/>
        <v>0</v>
      </c>
      <c r="P39" s="1445"/>
      <c r="Q39" s="1445">
        <f t="shared" si="1"/>
        <v>0</v>
      </c>
      <c r="R39" s="1445">
        <v>5</v>
      </c>
      <c r="S39" s="1445">
        <f t="shared" si="2"/>
        <v>85</v>
      </c>
    </row>
    <row r="40" spans="1:19">
      <c r="A40" s="307" t="s">
        <v>4983</v>
      </c>
      <c r="B40" s="455">
        <v>7591072000645</v>
      </c>
      <c r="C40" s="1572" t="s">
        <v>4984</v>
      </c>
      <c r="D40" s="308" t="s">
        <v>4982</v>
      </c>
      <c r="E40" s="308">
        <v>12</v>
      </c>
      <c r="F40" s="1573">
        <v>1.4166666666666667</v>
      </c>
      <c r="G40" s="1573">
        <v>17</v>
      </c>
      <c r="H40" s="978">
        <v>1.8416666666666668</v>
      </c>
      <c r="I40" s="978">
        <v>0.29466666666666669</v>
      </c>
      <c r="J40" s="978">
        <v>2.1363333333333334</v>
      </c>
      <c r="K40" s="978">
        <v>1.9741379310344829</v>
      </c>
      <c r="L40" s="978">
        <v>0.31586206896551727</v>
      </c>
      <c r="M40" s="978">
        <v>2.29</v>
      </c>
      <c r="N40" s="1445"/>
      <c r="O40" s="1445">
        <f t="shared" si="0"/>
        <v>0</v>
      </c>
      <c r="P40" s="1445"/>
      <c r="Q40" s="1445">
        <f t="shared" si="1"/>
        <v>0</v>
      </c>
      <c r="R40" s="1445">
        <v>5</v>
      </c>
      <c r="S40" s="1445">
        <f t="shared" si="2"/>
        <v>85</v>
      </c>
    </row>
    <row r="41" spans="1:19">
      <c r="A41" s="307" t="s">
        <v>4985</v>
      </c>
      <c r="B41" s="455">
        <v>7591072000652</v>
      </c>
      <c r="C41" s="1572" t="s">
        <v>4986</v>
      </c>
      <c r="D41" s="308" t="s">
        <v>4982</v>
      </c>
      <c r="E41" s="308">
        <v>12</v>
      </c>
      <c r="F41" s="1573">
        <v>1.4166666666666667</v>
      </c>
      <c r="G41" s="1573">
        <v>17</v>
      </c>
      <c r="H41" s="978">
        <v>1.8416666666666668</v>
      </c>
      <c r="I41" s="978">
        <v>0.29466666666666669</v>
      </c>
      <c r="J41" s="978">
        <v>2.1363333333333334</v>
      </c>
      <c r="K41" s="978">
        <v>1.9741379310344829</v>
      </c>
      <c r="L41" s="978">
        <v>0.31586206896551727</v>
      </c>
      <c r="M41" s="978">
        <v>2.29</v>
      </c>
      <c r="N41" s="1445"/>
      <c r="O41" s="1445">
        <f t="shared" si="0"/>
        <v>0</v>
      </c>
      <c r="P41" s="1445"/>
      <c r="Q41" s="1445">
        <f t="shared" si="1"/>
        <v>0</v>
      </c>
      <c r="R41" s="1445">
        <v>5</v>
      </c>
      <c r="S41" s="1445">
        <f t="shared" si="2"/>
        <v>85</v>
      </c>
    </row>
    <row r="42" spans="1:19" hidden="1">
      <c r="A42" s="21"/>
      <c r="B42" s="23"/>
      <c r="C42" s="1562" t="s">
        <v>4987</v>
      </c>
      <c r="D42" s="1445"/>
      <c r="E42" s="1445"/>
      <c r="F42" s="978"/>
      <c r="G42" s="978"/>
      <c r="H42" s="978"/>
      <c r="I42" s="978"/>
      <c r="J42" s="978"/>
      <c r="K42" s="978"/>
      <c r="L42" s="978"/>
      <c r="M42" s="978"/>
      <c r="N42" s="1445"/>
      <c r="O42" s="1445" t="s">
        <v>65</v>
      </c>
      <c r="P42" s="1445"/>
      <c r="Q42" s="1445" t="s">
        <v>65</v>
      </c>
      <c r="R42" s="1445"/>
      <c r="S42" s="1445">
        <f t="shared" si="2"/>
        <v>0</v>
      </c>
    </row>
    <row r="43" spans="1:19" hidden="1">
      <c r="A43" s="21" t="s">
        <v>4988</v>
      </c>
      <c r="B43" s="23">
        <v>7591072004322</v>
      </c>
      <c r="C43" s="1563" t="s">
        <v>4989</v>
      </c>
      <c r="D43" s="1445" t="s">
        <v>4975</v>
      </c>
      <c r="E43" s="1445">
        <v>24</v>
      </c>
      <c r="F43" s="978">
        <v>0.79166666666666663</v>
      </c>
      <c r="G43" s="978">
        <v>19</v>
      </c>
      <c r="H43" s="978">
        <v>1.0291666666666666</v>
      </c>
      <c r="I43" s="978">
        <v>0.16466666666666666</v>
      </c>
      <c r="J43" s="978">
        <v>1.1938333333333333</v>
      </c>
      <c r="K43" s="978">
        <v>1.0775862068965518</v>
      </c>
      <c r="L43" s="978">
        <v>0.17241379310344829</v>
      </c>
      <c r="M43" s="978">
        <v>1.25</v>
      </c>
      <c r="N43" s="1445"/>
      <c r="O43" s="1445">
        <f t="shared" si="0"/>
        <v>0</v>
      </c>
      <c r="P43" s="1445"/>
      <c r="Q43" s="1445">
        <f t="shared" si="1"/>
        <v>0</v>
      </c>
      <c r="R43" s="1445"/>
      <c r="S43" s="1445">
        <f t="shared" si="2"/>
        <v>0</v>
      </c>
    </row>
    <row r="44" spans="1:19" hidden="1">
      <c r="A44" s="21" t="s">
        <v>4990</v>
      </c>
      <c r="B44" s="23">
        <v>7591072004315</v>
      </c>
      <c r="C44" s="1563" t="s">
        <v>4991</v>
      </c>
      <c r="D44" s="1445" t="s">
        <v>4975</v>
      </c>
      <c r="E44" s="1445">
        <v>24</v>
      </c>
      <c r="F44" s="978">
        <v>0.79166666666666663</v>
      </c>
      <c r="G44" s="978">
        <v>19</v>
      </c>
      <c r="H44" s="978">
        <v>1.0291666666666666</v>
      </c>
      <c r="I44" s="978">
        <v>0.16466666666666666</v>
      </c>
      <c r="J44" s="978">
        <v>1.1938333333333333</v>
      </c>
      <c r="K44" s="978">
        <v>1.0775862068965518</v>
      </c>
      <c r="L44" s="978">
        <v>0.17241379310344829</v>
      </c>
      <c r="M44" s="978">
        <v>1.25</v>
      </c>
      <c r="N44" s="1445"/>
      <c r="O44" s="1445">
        <f t="shared" si="0"/>
        <v>0</v>
      </c>
      <c r="P44" s="1445"/>
      <c r="Q44" s="1445">
        <f t="shared" si="1"/>
        <v>0</v>
      </c>
      <c r="R44" s="1445"/>
      <c r="S44" s="1445">
        <f t="shared" si="2"/>
        <v>0</v>
      </c>
    </row>
    <row r="45" spans="1:19" hidden="1">
      <c r="A45" s="21" t="s">
        <v>4992</v>
      </c>
      <c r="B45" s="23">
        <v>7591072004452</v>
      </c>
      <c r="C45" s="1563" t="s">
        <v>4993</v>
      </c>
      <c r="D45" s="1445" t="s">
        <v>4975</v>
      </c>
      <c r="E45" s="1445">
        <v>24</v>
      </c>
      <c r="F45" s="978">
        <v>0.79166666666666663</v>
      </c>
      <c r="G45" s="978">
        <v>19</v>
      </c>
      <c r="H45" s="978">
        <v>1.0291666666666666</v>
      </c>
      <c r="I45" s="978">
        <v>0.16466666666666666</v>
      </c>
      <c r="J45" s="978">
        <v>1.1938333333333333</v>
      </c>
      <c r="K45" s="978">
        <v>1.0775862068965518</v>
      </c>
      <c r="L45" s="978">
        <v>0.17241379310344829</v>
      </c>
      <c r="M45" s="978">
        <v>1.25</v>
      </c>
      <c r="N45" s="1445"/>
      <c r="O45" s="1445">
        <f t="shared" si="0"/>
        <v>0</v>
      </c>
      <c r="P45" s="1445"/>
      <c r="Q45" s="1445">
        <f t="shared" si="1"/>
        <v>0</v>
      </c>
      <c r="R45" s="1445"/>
      <c r="S45" s="1445">
        <f t="shared" si="2"/>
        <v>0</v>
      </c>
    </row>
    <row r="46" spans="1:19" hidden="1">
      <c r="A46" s="21" t="s">
        <v>4994</v>
      </c>
      <c r="B46" s="23"/>
      <c r="C46" s="1563" t="s">
        <v>4995</v>
      </c>
      <c r="D46" s="1445" t="s">
        <v>4975</v>
      </c>
      <c r="E46" s="1445">
        <v>24</v>
      </c>
      <c r="F46" s="978">
        <v>0.79166666666666663</v>
      </c>
      <c r="G46" s="978">
        <v>19</v>
      </c>
      <c r="H46" s="978">
        <v>1.0291666666666666</v>
      </c>
      <c r="I46" s="978">
        <v>0.16466666666666666</v>
      </c>
      <c r="J46" s="978">
        <v>1.1938333333333333</v>
      </c>
      <c r="K46" s="978">
        <v>1.0775862068965518</v>
      </c>
      <c r="L46" s="978">
        <v>0.17241379310344829</v>
      </c>
      <c r="M46" s="978">
        <v>1.25</v>
      </c>
      <c r="N46" s="1445"/>
      <c r="O46" s="1445">
        <f t="shared" si="0"/>
        <v>0</v>
      </c>
      <c r="P46" s="1445"/>
      <c r="Q46" s="1445">
        <f t="shared" si="1"/>
        <v>0</v>
      </c>
      <c r="R46" s="1445"/>
      <c r="S46" s="1445">
        <f t="shared" si="2"/>
        <v>0</v>
      </c>
    </row>
    <row r="47" spans="1:19" hidden="1">
      <c r="A47" s="21" t="s">
        <v>4996</v>
      </c>
      <c r="B47" s="23">
        <v>7591072005589</v>
      </c>
      <c r="C47" s="1563" t="s">
        <v>4997</v>
      </c>
      <c r="D47" s="1445" t="s">
        <v>4975</v>
      </c>
      <c r="E47" s="1445">
        <v>24</v>
      </c>
      <c r="F47" s="978">
        <v>0.79166666666666663</v>
      </c>
      <c r="G47" s="978">
        <v>19</v>
      </c>
      <c r="H47" s="978">
        <v>1.0291666666666666</v>
      </c>
      <c r="I47" s="978">
        <v>0.16466666666666666</v>
      </c>
      <c r="J47" s="978">
        <v>1.1938333333333333</v>
      </c>
      <c r="K47" s="978">
        <v>1.0775862068965518</v>
      </c>
      <c r="L47" s="978">
        <v>0.17241379310344829</v>
      </c>
      <c r="M47" s="978">
        <v>1.25</v>
      </c>
      <c r="N47" s="1445"/>
      <c r="O47" s="1445">
        <f t="shared" si="0"/>
        <v>0</v>
      </c>
      <c r="P47" s="1445"/>
      <c r="Q47" s="1445">
        <f t="shared" si="1"/>
        <v>0</v>
      </c>
      <c r="R47" s="1445"/>
      <c r="S47" s="1445">
        <f t="shared" si="2"/>
        <v>0</v>
      </c>
    </row>
    <row r="48" spans="1:19" hidden="1">
      <c r="A48" s="21" t="s">
        <v>4998</v>
      </c>
      <c r="B48" s="23">
        <v>7591072005534</v>
      </c>
      <c r="C48" s="1563" t="s">
        <v>4999</v>
      </c>
      <c r="D48" s="1445" t="s">
        <v>4975</v>
      </c>
      <c r="E48" s="1445">
        <v>24</v>
      </c>
      <c r="F48" s="978">
        <v>0.79166666666666663</v>
      </c>
      <c r="G48" s="978">
        <v>19</v>
      </c>
      <c r="H48" s="978">
        <v>1.0291666666666666</v>
      </c>
      <c r="I48" s="978">
        <v>0.16466666666666666</v>
      </c>
      <c r="J48" s="978">
        <v>1.1938333333333333</v>
      </c>
      <c r="K48" s="978">
        <v>1.0775862068965518</v>
      </c>
      <c r="L48" s="978">
        <v>0.17241379310344829</v>
      </c>
      <c r="M48" s="978">
        <v>1.25</v>
      </c>
      <c r="N48" s="1445"/>
      <c r="O48" s="1445">
        <f t="shared" si="0"/>
        <v>0</v>
      </c>
      <c r="P48" s="1445"/>
      <c r="Q48" s="1445">
        <f t="shared" si="1"/>
        <v>0</v>
      </c>
      <c r="R48" s="1445"/>
      <c r="S48" s="1445">
        <f t="shared" si="2"/>
        <v>0</v>
      </c>
    </row>
    <row r="49" spans="1:19" hidden="1">
      <c r="A49" s="21" t="s">
        <v>5000</v>
      </c>
      <c r="B49" s="23">
        <v>7591072005701</v>
      </c>
      <c r="C49" s="1563" t="s">
        <v>5001</v>
      </c>
      <c r="D49" s="1445" t="s">
        <v>4975</v>
      </c>
      <c r="E49" s="1445">
        <v>24</v>
      </c>
      <c r="F49" s="978">
        <v>0.79166666666666663</v>
      </c>
      <c r="G49" s="978">
        <v>19</v>
      </c>
      <c r="H49" s="978">
        <v>1.0291666666666666</v>
      </c>
      <c r="I49" s="978">
        <v>0.16466666666666666</v>
      </c>
      <c r="J49" s="978">
        <v>1.1938333333333333</v>
      </c>
      <c r="K49" s="978">
        <v>1.0775862068965518</v>
      </c>
      <c r="L49" s="978">
        <v>0.17241379310344829</v>
      </c>
      <c r="M49" s="978">
        <v>1.25</v>
      </c>
      <c r="N49" s="1445"/>
      <c r="O49" s="1445">
        <f t="shared" si="0"/>
        <v>0</v>
      </c>
      <c r="P49" s="1445"/>
      <c r="Q49" s="1445">
        <f t="shared" si="1"/>
        <v>0</v>
      </c>
      <c r="R49" s="1445"/>
      <c r="S49" s="1445">
        <f t="shared" si="2"/>
        <v>0</v>
      </c>
    </row>
    <row r="50" spans="1:19" hidden="1">
      <c r="A50" s="21" t="s">
        <v>5002</v>
      </c>
      <c r="B50" s="23">
        <v>7591072005640</v>
      </c>
      <c r="C50" s="1563" t="s">
        <v>5003</v>
      </c>
      <c r="D50" s="1445" t="s">
        <v>4975</v>
      </c>
      <c r="E50" s="1445">
        <v>24</v>
      </c>
      <c r="F50" s="978">
        <v>0.79166666666666663</v>
      </c>
      <c r="G50" s="978">
        <v>19</v>
      </c>
      <c r="H50" s="978">
        <v>1.0291666666666666</v>
      </c>
      <c r="I50" s="978">
        <v>0.16466666666666666</v>
      </c>
      <c r="J50" s="978">
        <v>1.1938333333333333</v>
      </c>
      <c r="K50" s="978">
        <v>1.0775862068965518</v>
      </c>
      <c r="L50" s="978">
        <v>0.17241379310344829</v>
      </c>
      <c r="M50" s="978">
        <v>1.25</v>
      </c>
      <c r="N50" s="1445"/>
      <c r="O50" s="1445">
        <f t="shared" si="0"/>
        <v>0</v>
      </c>
      <c r="P50" s="1445"/>
      <c r="Q50" s="1445">
        <f t="shared" si="1"/>
        <v>0</v>
      </c>
      <c r="R50" s="1445"/>
      <c r="S50" s="1445">
        <f t="shared" si="2"/>
        <v>0</v>
      </c>
    </row>
    <row r="51" spans="1:19" hidden="1">
      <c r="A51" s="21" t="s">
        <v>5004</v>
      </c>
      <c r="B51" s="23">
        <v>7591072005831</v>
      </c>
      <c r="C51" s="1563" t="s">
        <v>5005</v>
      </c>
      <c r="D51" s="1445" t="s">
        <v>4975</v>
      </c>
      <c r="E51" s="1445">
        <v>24</v>
      </c>
      <c r="F51" s="978">
        <v>0.79166666666666663</v>
      </c>
      <c r="G51" s="978">
        <v>19</v>
      </c>
      <c r="H51" s="978">
        <v>1.0291666666666666</v>
      </c>
      <c r="I51" s="978">
        <v>0.16466666666666666</v>
      </c>
      <c r="J51" s="978">
        <v>1.1938333333333333</v>
      </c>
      <c r="K51" s="978">
        <v>1.0775862068965518</v>
      </c>
      <c r="L51" s="978">
        <v>0.17241379310344829</v>
      </c>
      <c r="M51" s="978">
        <v>1.25</v>
      </c>
      <c r="N51" s="1445"/>
      <c r="O51" s="1445">
        <f t="shared" si="0"/>
        <v>0</v>
      </c>
      <c r="P51" s="1445"/>
      <c r="Q51" s="1445">
        <f t="shared" si="1"/>
        <v>0</v>
      </c>
      <c r="R51" s="1445"/>
      <c r="S51" s="1445">
        <f t="shared" si="2"/>
        <v>0</v>
      </c>
    </row>
    <row r="52" spans="1:19" hidden="1">
      <c r="A52" s="21" t="s">
        <v>5006</v>
      </c>
      <c r="B52" s="23"/>
      <c r="C52" s="1563" t="s">
        <v>5007</v>
      </c>
      <c r="D52" s="1445" t="s">
        <v>4975</v>
      </c>
      <c r="E52" s="1445">
        <v>24</v>
      </c>
      <c r="F52" s="978">
        <v>0.79166666666666663</v>
      </c>
      <c r="G52" s="978">
        <v>19</v>
      </c>
      <c r="H52" s="978">
        <v>1.0291666666666666</v>
      </c>
      <c r="I52" s="978">
        <v>0.16466666666666666</v>
      </c>
      <c r="J52" s="978">
        <v>1.1938333333333333</v>
      </c>
      <c r="K52" s="978">
        <v>1.0775862068965518</v>
      </c>
      <c r="L52" s="978">
        <v>0.17241379310344829</v>
      </c>
      <c r="M52" s="978">
        <v>1.25</v>
      </c>
      <c r="N52" s="1445"/>
      <c r="O52" s="1445">
        <f t="shared" si="0"/>
        <v>0</v>
      </c>
      <c r="P52" s="1445"/>
      <c r="Q52" s="1445">
        <f t="shared" si="1"/>
        <v>0</v>
      </c>
      <c r="R52" s="1445"/>
      <c r="S52" s="1445">
        <f t="shared" si="2"/>
        <v>0</v>
      </c>
    </row>
    <row r="53" spans="1:19" hidden="1">
      <c r="A53" s="21" t="s">
        <v>5008</v>
      </c>
      <c r="B53" s="23"/>
      <c r="C53" s="1563" t="s">
        <v>5009</v>
      </c>
      <c r="D53" s="1445" t="s">
        <v>4975</v>
      </c>
      <c r="E53" s="1445">
        <v>24</v>
      </c>
      <c r="F53" s="978">
        <v>0.79166666666666663</v>
      </c>
      <c r="G53" s="978">
        <v>19</v>
      </c>
      <c r="H53" s="978">
        <v>1.0291666666666666</v>
      </c>
      <c r="I53" s="978">
        <v>0.16466666666666666</v>
      </c>
      <c r="J53" s="978">
        <v>1.1938333333333333</v>
      </c>
      <c r="K53" s="978">
        <v>1.0775862068965518</v>
      </c>
      <c r="L53" s="978">
        <v>0.17241379310344829</v>
      </c>
      <c r="M53" s="978">
        <v>1.25</v>
      </c>
      <c r="N53" s="1445"/>
      <c r="O53" s="1445">
        <f t="shared" si="0"/>
        <v>0</v>
      </c>
      <c r="P53" s="1445"/>
      <c r="Q53" s="1445">
        <f t="shared" si="1"/>
        <v>0</v>
      </c>
      <c r="R53" s="1445"/>
      <c r="S53" s="1445">
        <f t="shared" si="2"/>
        <v>0</v>
      </c>
    </row>
    <row r="54" spans="1:19" hidden="1">
      <c r="A54" s="21" t="s">
        <v>5010</v>
      </c>
      <c r="B54" s="23">
        <v>7591072004292</v>
      </c>
      <c r="C54" s="1563" t="s">
        <v>5011</v>
      </c>
      <c r="D54" s="1445" t="s">
        <v>4982</v>
      </c>
      <c r="E54" s="1445">
        <v>12</v>
      </c>
      <c r="F54" s="978">
        <v>1.6666666666666667</v>
      </c>
      <c r="G54" s="978">
        <v>20</v>
      </c>
      <c r="H54" s="978">
        <v>2.166666666666667</v>
      </c>
      <c r="I54" s="978">
        <v>0.34666666666666673</v>
      </c>
      <c r="J54" s="978">
        <v>2.5133333333333336</v>
      </c>
      <c r="K54" s="978">
        <v>2.327586206896552</v>
      </c>
      <c r="L54" s="978">
        <v>0.37241379310344835</v>
      </c>
      <c r="M54" s="978">
        <v>2.7</v>
      </c>
      <c r="N54" s="1445"/>
      <c r="O54" s="1445">
        <f t="shared" si="0"/>
        <v>0</v>
      </c>
      <c r="P54" s="1445"/>
      <c r="Q54" s="1445">
        <f t="shared" si="1"/>
        <v>0</v>
      </c>
      <c r="R54" s="1445"/>
      <c r="S54" s="1445">
        <f t="shared" si="2"/>
        <v>0</v>
      </c>
    </row>
    <row r="55" spans="1:19" hidden="1">
      <c r="A55" s="21" t="s">
        <v>5012</v>
      </c>
      <c r="B55" s="23">
        <v>7591072004308</v>
      </c>
      <c r="C55" s="1563" t="s">
        <v>5013</v>
      </c>
      <c r="D55" s="1445" t="s">
        <v>4982</v>
      </c>
      <c r="E55" s="1445">
        <v>12</v>
      </c>
      <c r="F55" s="978">
        <v>1.6666666666666667</v>
      </c>
      <c r="G55" s="978">
        <v>20</v>
      </c>
      <c r="H55" s="978">
        <v>2.166666666666667</v>
      </c>
      <c r="I55" s="978">
        <v>0.34666666666666673</v>
      </c>
      <c r="J55" s="978">
        <v>2.5133333333333336</v>
      </c>
      <c r="K55" s="978">
        <v>2.327586206896552</v>
      </c>
      <c r="L55" s="978">
        <v>0.37241379310344835</v>
      </c>
      <c r="M55" s="978">
        <v>2.7</v>
      </c>
      <c r="N55" s="1445"/>
      <c r="O55" s="1445">
        <f t="shared" si="0"/>
        <v>0</v>
      </c>
      <c r="P55" s="1445"/>
      <c r="Q55" s="1445">
        <f t="shared" si="1"/>
        <v>0</v>
      </c>
      <c r="R55" s="1445"/>
      <c r="S55" s="1445">
        <f t="shared" si="2"/>
        <v>0</v>
      </c>
    </row>
    <row r="56" spans="1:19" hidden="1">
      <c r="A56" s="21" t="s">
        <v>5014</v>
      </c>
      <c r="B56" s="23">
        <v>7591072004469</v>
      </c>
      <c r="C56" s="1563" t="s">
        <v>5015</v>
      </c>
      <c r="D56" s="1445" t="s">
        <v>4982</v>
      </c>
      <c r="E56" s="1445">
        <v>12</v>
      </c>
      <c r="F56" s="978">
        <v>1.6666666666666667</v>
      </c>
      <c r="G56" s="978">
        <v>20</v>
      </c>
      <c r="H56" s="978">
        <v>2.166666666666667</v>
      </c>
      <c r="I56" s="978">
        <v>0.34666666666666673</v>
      </c>
      <c r="J56" s="978">
        <v>2.5133333333333336</v>
      </c>
      <c r="K56" s="978">
        <v>2.327586206896552</v>
      </c>
      <c r="L56" s="978">
        <v>0.37241379310344835</v>
      </c>
      <c r="M56" s="978">
        <v>2.7</v>
      </c>
      <c r="N56" s="1445"/>
      <c r="O56" s="1445">
        <f t="shared" si="0"/>
        <v>0</v>
      </c>
      <c r="P56" s="1445"/>
      <c r="Q56" s="1445">
        <f t="shared" si="1"/>
        <v>0</v>
      </c>
      <c r="R56" s="1445"/>
      <c r="S56" s="1445">
        <f t="shared" si="2"/>
        <v>0</v>
      </c>
    </row>
    <row r="57" spans="1:19" hidden="1">
      <c r="A57" s="21" t="s">
        <v>5016</v>
      </c>
      <c r="B57" s="23"/>
      <c r="C57" s="1563" t="s">
        <v>5017</v>
      </c>
      <c r="D57" s="1445" t="s">
        <v>4982</v>
      </c>
      <c r="E57" s="1445">
        <v>12</v>
      </c>
      <c r="F57" s="978">
        <v>1.6666666666666667</v>
      </c>
      <c r="G57" s="978">
        <v>20</v>
      </c>
      <c r="H57" s="978">
        <v>2.166666666666667</v>
      </c>
      <c r="I57" s="978">
        <v>0.34666666666666673</v>
      </c>
      <c r="J57" s="978">
        <v>2.5133333333333336</v>
      </c>
      <c r="K57" s="978">
        <v>2.327586206896552</v>
      </c>
      <c r="L57" s="978">
        <v>0.37241379310344835</v>
      </c>
      <c r="M57" s="978">
        <v>2.7</v>
      </c>
      <c r="N57" s="1445"/>
      <c r="O57" s="1445">
        <f t="shared" si="0"/>
        <v>0</v>
      </c>
      <c r="P57" s="1445"/>
      <c r="Q57" s="1445">
        <f t="shared" si="1"/>
        <v>0</v>
      </c>
      <c r="R57" s="1445"/>
      <c r="S57" s="1445">
        <f t="shared" si="2"/>
        <v>0</v>
      </c>
    </row>
    <row r="58" spans="1:19" hidden="1">
      <c r="A58" s="21" t="s">
        <v>5018</v>
      </c>
      <c r="B58" s="23">
        <v>7591072005596</v>
      </c>
      <c r="C58" s="1563" t="s">
        <v>5019</v>
      </c>
      <c r="D58" s="1445" t="s">
        <v>4982</v>
      </c>
      <c r="E58" s="1445">
        <v>12</v>
      </c>
      <c r="F58" s="978">
        <v>1.6666666666666667</v>
      </c>
      <c r="G58" s="978">
        <v>20</v>
      </c>
      <c r="H58" s="978">
        <v>2.166666666666667</v>
      </c>
      <c r="I58" s="978">
        <v>0.34666666666666673</v>
      </c>
      <c r="J58" s="978">
        <v>2.5133333333333336</v>
      </c>
      <c r="K58" s="978">
        <v>2.327586206896552</v>
      </c>
      <c r="L58" s="978">
        <v>0.37241379310344835</v>
      </c>
      <c r="M58" s="978">
        <v>2.7</v>
      </c>
      <c r="N58" s="1445"/>
      <c r="O58" s="1445">
        <f t="shared" si="0"/>
        <v>0</v>
      </c>
      <c r="P58" s="1445"/>
      <c r="Q58" s="1445">
        <f t="shared" si="1"/>
        <v>0</v>
      </c>
      <c r="R58" s="1445"/>
      <c r="S58" s="1445">
        <f t="shared" si="2"/>
        <v>0</v>
      </c>
    </row>
    <row r="59" spans="1:19" hidden="1">
      <c r="A59" s="21" t="s">
        <v>5020</v>
      </c>
      <c r="B59" s="23">
        <v>7591072005541</v>
      </c>
      <c r="C59" s="1563" t="s">
        <v>5021</v>
      </c>
      <c r="D59" s="1445" t="s">
        <v>4982</v>
      </c>
      <c r="E59" s="1445">
        <v>12</v>
      </c>
      <c r="F59" s="978">
        <v>1.6666666666666667</v>
      </c>
      <c r="G59" s="978">
        <v>20</v>
      </c>
      <c r="H59" s="978">
        <v>2.166666666666667</v>
      </c>
      <c r="I59" s="978">
        <v>0.34666666666666673</v>
      </c>
      <c r="J59" s="978">
        <v>2.5133333333333336</v>
      </c>
      <c r="K59" s="978">
        <v>2.327586206896552</v>
      </c>
      <c r="L59" s="978">
        <v>0.37241379310344835</v>
      </c>
      <c r="M59" s="978">
        <v>2.7</v>
      </c>
      <c r="N59" s="1445"/>
      <c r="O59" s="1445">
        <f t="shared" si="0"/>
        <v>0</v>
      </c>
      <c r="P59" s="1445"/>
      <c r="Q59" s="1445">
        <f t="shared" si="1"/>
        <v>0</v>
      </c>
      <c r="R59" s="1445"/>
      <c r="S59" s="1445">
        <f t="shared" si="2"/>
        <v>0</v>
      </c>
    </row>
    <row r="60" spans="1:19" hidden="1">
      <c r="A60" s="21" t="s">
        <v>5022</v>
      </c>
      <c r="B60" s="23">
        <v>7591072005695</v>
      </c>
      <c r="C60" s="1563" t="s">
        <v>5023</v>
      </c>
      <c r="D60" s="1445" t="s">
        <v>4982</v>
      </c>
      <c r="E60" s="1445">
        <v>12</v>
      </c>
      <c r="F60" s="978">
        <v>1.6666666666666667</v>
      </c>
      <c r="G60" s="978">
        <v>20</v>
      </c>
      <c r="H60" s="978">
        <v>2.166666666666667</v>
      </c>
      <c r="I60" s="978">
        <v>0.34666666666666673</v>
      </c>
      <c r="J60" s="978">
        <v>2.5133333333333336</v>
      </c>
      <c r="K60" s="978">
        <v>2.327586206896552</v>
      </c>
      <c r="L60" s="978">
        <v>0.37241379310344835</v>
      </c>
      <c r="M60" s="978">
        <v>2.7</v>
      </c>
      <c r="N60" s="1445"/>
      <c r="O60" s="1445">
        <f t="shared" si="0"/>
        <v>0</v>
      </c>
      <c r="P60" s="1445"/>
      <c r="Q60" s="1445">
        <f t="shared" si="1"/>
        <v>0</v>
      </c>
      <c r="R60" s="1445"/>
      <c r="S60" s="1445">
        <f t="shared" si="2"/>
        <v>0</v>
      </c>
    </row>
    <row r="61" spans="1:19" hidden="1">
      <c r="A61" s="21" t="s">
        <v>5024</v>
      </c>
      <c r="B61" s="23">
        <v>7591072005657</v>
      </c>
      <c r="C61" s="1563" t="s">
        <v>5025</v>
      </c>
      <c r="D61" s="1445" t="s">
        <v>4982</v>
      </c>
      <c r="E61" s="1445">
        <v>12</v>
      </c>
      <c r="F61" s="978">
        <v>1.6666666666666667</v>
      </c>
      <c r="G61" s="978">
        <v>20</v>
      </c>
      <c r="H61" s="978">
        <v>2.166666666666667</v>
      </c>
      <c r="I61" s="978">
        <v>0.34666666666666673</v>
      </c>
      <c r="J61" s="978">
        <v>2.5133333333333336</v>
      </c>
      <c r="K61" s="978">
        <v>2.327586206896552</v>
      </c>
      <c r="L61" s="978">
        <v>0.37241379310344835</v>
      </c>
      <c r="M61" s="978">
        <v>2.7</v>
      </c>
      <c r="N61" s="1445"/>
      <c r="O61" s="1445">
        <f t="shared" si="0"/>
        <v>0</v>
      </c>
      <c r="P61" s="1445"/>
      <c r="Q61" s="1445">
        <f t="shared" si="1"/>
        <v>0</v>
      </c>
      <c r="R61" s="1445"/>
      <c r="S61" s="1445">
        <f t="shared" si="2"/>
        <v>0</v>
      </c>
    </row>
    <row r="62" spans="1:19" hidden="1">
      <c r="A62" s="21" t="s">
        <v>5026</v>
      </c>
      <c r="B62" s="23">
        <v>7591072005848</v>
      </c>
      <c r="C62" s="1563" t="s">
        <v>5027</v>
      </c>
      <c r="D62" s="1445" t="s">
        <v>4982</v>
      </c>
      <c r="E62" s="1445">
        <v>12</v>
      </c>
      <c r="F62" s="978">
        <v>1.6666666666666667</v>
      </c>
      <c r="G62" s="978">
        <v>20</v>
      </c>
      <c r="H62" s="978">
        <v>2.166666666666667</v>
      </c>
      <c r="I62" s="978">
        <v>0.34666666666666673</v>
      </c>
      <c r="J62" s="978">
        <v>2.5133333333333336</v>
      </c>
      <c r="K62" s="978">
        <v>2.327586206896552</v>
      </c>
      <c r="L62" s="978">
        <v>0.37241379310344835</v>
      </c>
      <c r="M62" s="978">
        <v>2.7</v>
      </c>
      <c r="N62" s="1445"/>
      <c r="O62" s="1445">
        <f t="shared" si="0"/>
        <v>0</v>
      </c>
      <c r="P62" s="1445"/>
      <c r="Q62" s="1445">
        <f t="shared" si="1"/>
        <v>0</v>
      </c>
      <c r="R62" s="1445"/>
      <c r="S62" s="1445">
        <f t="shared" si="2"/>
        <v>0</v>
      </c>
    </row>
    <row r="63" spans="1:19" hidden="1">
      <c r="A63" s="21" t="s">
        <v>5028</v>
      </c>
      <c r="B63" s="23"/>
      <c r="C63" s="1563" t="s">
        <v>5029</v>
      </c>
      <c r="D63" s="1445" t="s">
        <v>4982</v>
      </c>
      <c r="E63" s="1445">
        <v>12</v>
      </c>
      <c r="F63" s="978">
        <v>1.6666666666666667</v>
      </c>
      <c r="G63" s="978">
        <v>20</v>
      </c>
      <c r="H63" s="978">
        <v>2.166666666666667</v>
      </c>
      <c r="I63" s="978">
        <v>0.34666666666666673</v>
      </c>
      <c r="J63" s="978">
        <v>2.5133333333333336</v>
      </c>
      <c r="K63" s="978">
        <v>2.327586206896552</v>
      </c>
      <c r="L63" s="978">
        <v>0.37241379310344835</v>
      </c>
      <c r="M63" s="978">
        <v>2.7</v>
      </c>
      <c r="N63" s="1445"/>
      <c r="O63" s="1445">
        <f t="shared" si="0"/>
        <v>0</v>
      </c>
      <c r="P63" s="1445"/>
      <c r="Q63" s="1445">
        <f t="shared" si="1"/>
        <v>0</v>
      </c>
      <c r="R63" s="1445"/>
      <c r="S63" s="1445">
        <f t="shared" si="2"/>
        <v>0</v>
      </c>
    </row>
    <row r="64" spans="1:19" hidden="1">
      <c r="A64" s="21" t="s">
        <v>5030</v>
      </c>
      <c r="B64" s="23"/>
      <c r="C64" s="1563" t="s">
        <v>5031</v>
      </c>
      <c r="D64" s="1445" t="s">
        <v>4982</v>
      </c>
      <c r="E64" s="1445">
        <v>12</v>
      </c>
      <c r="F64" s="978">
        <v>1.6666666666666667</v>
      </c>
      <c r="G64" s="978">
        <v>20</v>
      </c>
      <c r="H64" s="978">
        <v>2.166666666666667</v>
      </c>
      <c r="I64" s="978">
        <v>0.34666666666666673</v>
      </c>
      <c r="J64" s="978">
        <v>2.5133333333333336</v>
      </c>
      <c r="K64" s="978">
        <v>2.327586206896552</v>
      </c>
      <c r="L64" s="978">
        <v>0.37241379310344835</v>
      </c>
      <c r="M64" s="978">
        <v>2.7</v>
      </c>
      <c r="N64" s="1445"/>
      <c r="O64" s="1445">
        <f t="shared" si="0"/>
        <v>0</v>
      </c>
      <c r="P64" s="1445"/>
      <c r="Q64" s="1445">
        <f t="shared" si="1"/>
        <v>0</v>
      </c>
      <c r="R64" s="1445"/>
      <c r="S64" s="1445">
        <f t="shared" si="2"/>
        <v>0</v>
      </c>
    </row>
    <row r="65" spans="1:19" hidden="1">
      <c r="A65" s="21"/>
      <c r="B65" s="23"/>
      <c r="C65" s="1562" t="s">
        <v>5032</v>
      </c>
      <c r="D65" s="1445"/>
      <c r="E65" s="1445"/>
      <c r="F65" s="978"/>
      <c r="G65" s="978"/>
      <c r="H65" s="978"/>
      <c r="I65" s="978"/>
      <c r="J65" s="978"/>
      <c r="K65" s="978"/>
      <c r="L65" s="978"/>
      <c r="M65" s="978"/>
      <c r="N65" s="1445"/>
      <c r="O65" s="1445" t="s">
        <v>65</v>
      </c>
      <c r="P65" s="1445"/>
      <c r="Q65" s="1445" t="s">
        <v>65</v>
      </c>
      <c r="R65" s="1445"/>
      <c r="S65" s="1445">
        <f t="shared" si="2"/>
        <v>0</v>
      </c>
    </row>
    <row r="66" spans="1:19" hidden="1">
      <c r="A66" s="21" t="s">
        <v>5033</v>
      </c>
      <c r="B66" s="23">
        <v>7591072004353</v>
      </c>
      <c r="C66" s="1563" t="s">
        <v>5034</v>
      </c>
      <c r="D66" s="1445" t="s">
        <v>4982</v>
      </c>
      <c r="E66" s="1445">
        <v>12</v>
      </c>
      <c r="F66" s="978">
        <v>1.3333333333333333</v>
      </c>
      <c r="G66" s="978">
        <v>16</v>
      </c>
      <c r="H66" s="978">
        <v>1.7333333333333334</v>
      </c>
      <c r="I66" s="978">
        <v>0.27733333333333338</v>
      </c>
      <c r="J66" s="978">
        <v>2.0106666666666668</v>
      </c>
      <c r="K66" s="978">
        <v>1.7672413793103448</v>
      </c>
      <c r="L66" s="978">
        <v>0.28275862068965518</v>
      </c>
      <c r="M66" s="978">
        <v>2.0499999999999998</v>
      </c>
      <c r="N66" s="1445"/>
      <c r="O66" s="1445">
        <f t="shared" si="0"/>
        <v>0</v>
      </c>
      <c r="P66" s="1445"/>
      <c r="Q66" s="1445">
        <f t="shared" si="1"/>
        <v>0</v>
      </c>
      <c r="R66" s="1445"/>
      <c r="S66" s="1445">
        <f t="shared" si="2"/>
        <v>0</v>
      </c>
    </row>
    <row r="67" spans="1:19" hidden="1">
      <c r="A67" s="21" t="s">
        <v>5035</v>
      </c>
      <c r="B67" s="23">
        <v>7591072004360</v>
      </c>
      <c r="C67" s="1563" t="s">
        <v>5036</v>
      </c>
      <c r="D67" s="1445" t="s">
        <v>4982</v>
      </c>
      <c r="E67" s="1445">
        <v>12</v>
      </c>
      <c r="F67" s="978">
        <v>1.3333333333333333</v>
      </c>
      <c r="G67" s="978">
        <v>16</v>
      </c>
      <c r="H67" s="978">
        <v>1.7333333333333334</v>
      </c>
      <c r="I67" s="978">
        <v>0.27733333333333338</v>
      </c>
      <c r="J67" s="978">
        <v>2.0106666666666668</v>
      </c>
      <c r="K67" s="978">
        <v>1.7672413793103448</v>
      </c>
      <c r="L67" s="978">
        <v>0.28275862068965518</v>
      </c>
      <c r="M67" s="978">
        <v>2.0499999999999998</v>
      </c>
      <c r="N67" s="1445"/>
      <c r="O67" s="1445">
        <f t="shared" si="0"/>
        <v>0</v>
      </c>
      <c r="P67" s="1445"/>
      <c r="Q67" s="1445">
        <f t="shared" si="1"/>
        <v>0</v>
      </c>
      <c r="R67" s="1445"/>
      <c r="S67" s="1445">
        <f t="shared" si="2"/>
        <v>0</v>
      </c>
    </row>
    <row r="68" spans="1:19" hidden="1">
      <c r="A68" s="21"/>
      <c r="B68" s="23"/>
      <c r="C68" s="1562" t="s">
        <v>5037</v>
      </c>
      <c r="D68" s="1445"/>
      <c r="E68" s="1445"/>
      <c r="F68" s="978"/>
      <c r="G68" s="978"/>
      <c r="H68" s="978"/>
      <c r="I68" s="978"/>
      <c r="J68" s="978"/>
      <c r="K68" s="978"/>
      <c r="L68" s="978"/>
      <c r="M68" s="978"/>
      <c r="N68" s="1445"/>
      <c r="O68" s="1445" t="s">
        <v>65</v>
      </c>
      <c r="P68" s="1445"/>
      <c r="Q68" s="1445" t="s">
        <v>65</v>
      </c>
      <c r="R68" s="1445"/>
      <c r="S68" s="1445">
        <f t="shared" si="2"/>
        <v>0</v>
      </c>
    </row>
    <row r="69" spans="1:19" hidden="1">
      <c r="A69" s="21" t="s">
        <v>5038</v>
      </c>
      <c r="B69" s="23">
        <v>7591072004148</v>
      </c>
      <c r="C69" s="1563" t="s">
        <v>5039</v>
      </c>
      <c r="D69" s="1445" t="s">
        <v>5040</v>
      </c>
      <c r="E69" s="1445">
        <v>12</v>
      </c>
      <c r="F69" s="978">
        <v>1.9750000000000003</v>
      </c>
      <c r="G69" s="978">
        <v>23.700000000000003</v>
      </c>
      <c r="H69" s="978">
        <v>2.5675000000000003</v>
      </c>
      <c r="I69" s="978">
        <v>0.41080000000000005</v>
      </c>
      <c r="J69" s="978">
        <v>2.9783000000000004</v>
      </c>
      <c r="K69" s="978">
        <v>2.7650000000000001</v>
      </c>
      <c r="L69" s="978">
        <v>0.44240000000000002</v>
      </c>
      <c r="M69" s="978">
        <v>3.2074000000000003</v>
      </c>
      <c r="N69" s="1445"/>
      <c r="O69" s="1445">
        <f t="shared" si="0"/>
        <v>0</v>
      </c>
      <c r="P69" s="1445"/>
      <c r="Q69" s="1445">
        <f t="shared" si="1"/>
        <v>0</v>
      </c>
      <c r="R69" s="1445"/>
      <c r="S69" s="1445">
        <f t="shared" si="2"/>
        <v>0</v>
      </c>
    </row>
    <row r="70" spans="1:19" hidden="1">
      <c r="A70" s="21" t="s">
        <v>5041</v>
      </c>
      <c r="B70" s="23">
        <v>7591072004155</v>
      </c>
      <c r="C70" s="1563" t="s">
        <v>5042</v>
      </c>
      <c r="D70" s="1445" t="s">
        <v>5040</v>
      </c>
      <c r="E70" s="1445">
        <v>12</v>
      </c>
      <c r="F70" s="978">
        <v>1.9750000000000003</v>
      </c>
      <c r="G70" s="978">
        <v>23.700000000000003</v>
      </c>
      <c r="H70" s="978">
        <v>2.5675000000000003</v>
      </c>
      <c r="I70" s="978">
        <v>0.41080000000000005</v>
      </c>
      <c r="J70" s="978">
        <v>2.9783000000000004</v>
      </c>
      <c r="K70" s="978">
        <v>2.7650000000000001</v>
      </c>
      <c r="L70" s="978">
        <v>0.44240000000000002</v>
      </c>
      <c r="M70" s="978">
        <v>3.2074000000000003</v>
      </c>
      <c r="N70" s="1445"/>
      <c r="O70" s="1445">
        <f t="shared" si="0"/>
        <v>0</v>
      </c>
      <c r="P70" s="1445"/>
      <c r="Q70" s="1445">
        <f t="shared" si="1"/>
        <v>0</v>
      </c>
      <c r="R70" s="1445"/>
      <c r="S70" s="1445">
        <f t="shared" si="2"/>
        <v>0</v>
      </c>
    </row>
    <row r="71" spans="1:19" hidden="1">
      <c r="A71" s="21" t="s">
        <v>5043</v>
      </c>
      <c r="B71" s="23">
        <v>7591072004179</v>
      </c>
      <c r="C71" s="1563" t="s">
        <v>5044</v>
      </c>
      <c r="D71" s="1445" t="s">
        <v>5040</v>
      </c>
      <c r="E71" s="1445">
        <v>12</v>
      </c>
      <c r="F71" s="978">
        <v>1.9750000000000003</v>
      </c>
      <c r="G71" s="978">
        <v>23.700000000000003</v>
      </c>
      <c r="H71" s="978">
        <v>2.5675000000000003</v>
      </c>
      <c r="I71" s="978">
        <v>0.41080000000000005</v>
      </c>
      <c r="J71" s="978">
        <v>2.9783000000000004</v>
      </c>
      <c r="K71" s="978">
        <v>2.7650000000000001</v>
      </c>
      <c r="L71" s="978">
        <v>0.44240000000000002</v>
      </c>
      <c r="M71" s="978">
        <v>3.2074000000000003</v>
      </c>
      <c r="N71" s="1445"/>
      <c r="O71" s="1445">
        <f t="shared" ref="O71:O124" si="3">+N71/E71</f>
        <v>0</v>
      </c>
      <c r="P71" s="1445"/>
      <c r="Q71" s="1445">
        <f t="shared" ref="Q71:Q124" si="4">+P71/E71</f>
        <v>0</v>
      </c>
      <c r="R71" s="1445"/>
      <c r="S71" s="1445">
        <f t="shared" ref="S71:S124" si="5">+R71*G71</f>
        <v>0</v>
      </c>
    </row>
    <row r="72" spans="1:19" hidden="1">
      <c r="A72" s="21" t="s">
        <v>5045</v>
      </c>
      <c r="B72" s="23"/>
      <c r="C72" s="1563" t="s">
        <v>5046</v>
      </c>
      <c r="D72" s="1445" t="s">
        <v>5040</v>
      </c>
      <c r="E72" s="1445">
        <v>12</v>
      </c>
      <c r="F72" s="978">
        <v>1.9750000000000003</v>
      </c>
      <c r="G72" s="978">
        <v>23.700000000000003</v>
      </c>
      <c r="H72" s="978">
        <v>2.5675000000000003</v>
      </c>
      <c r="I72" s="978">
        <v>0.41080000000000005</v>
      </c>
      <c r="J72" s="978">
        <v>2.9783000000000004</v>
      </c>
      <c r="K72" s="978">
        <v>2.7650000000000001</v>
      </c>
      <c r="L72" s="978">
        <v>0.44240000000000002</v>
      </c>
      <c r="M72" s="978">
        <v>3.2074000000000003</v>
      </c>
      <c r="N72" s="1445"/>
      <c r="O72" s="1445">
        <f t="shared" si="3"/>
        <v>0</v>
      </c>
      <c r="P72" s="1445"/>
      <c r="Q72" s="1445">
        <f t="shared" si="4"/>
        <v>0</v>
      </c>
      <c r="R72" s="1445"/>
      <c r="S72" s="1445">
        <f t="shared" si="5"/>
        <v>0</v>
      </c>
    </row>
    <row r="73" spans="1:19" hidden="1">
      <c r="A73" s="21" t="s">
        <v>5047</v>
      </c>
      <c r="B73" s="23"/>
      <c r="C73" s="1563" t="s">
        <v>5042</v>
      </c>
      <c r="D73" s="1445" t="s">
        <v>5040</v>
      </c>
      <c r="E73" s="1445">
        <v>8</v>
      </c>
      <c r="F73" s="978">
        <v>1.9750000000000001</v>
      </c>
      <c r="G73" s="978">
        <v>15.8</v>
      </c>
      <c r="H73" s="978">
        <v>2.5675000000000003</v>
      </c>
      <c r="I73" s="978">
        <v>0.41080000000000005</v>
      </c>
      <c r="J73" s="978">
        <v>2.9783000000000004</v>
      </c>
      <c r="K73" s="978">
        <v>2.7650000000000001</v>
      </c>
      <c r="L73" s="978">
        <v>0.44240000000000002</v>
      </c>
      <c r="M73" s="978">
        <v>3.2074000000000003</v>
      </c>
      <c r="N73" s="1445"/>
      <c r="O73" s="1445">
        <f t="shared" si="3"/>
        <v>0</v>
      </c>
      <c r="P73" s="1445"/>
      <c r="Q73" s="1445">
        <f t="shared" si="4"/>
        <v>0</v>
      </c>
      <c r="R73" s="1445"/>
      <c r="S73" s="1445">
        <f t="shared" si="5"/>
        <v>0</v>
      </c>
    </row>
    <row r="74" spans="1:19" hidden="1">
      <c r="A74" s="21" t="s">
        <v>5048</v>
      </c>
      <c r="B74" s="23"/>
      <c r="C74" s="1563" t="s">
        <v>5044</v>
      </c>
      <c r="D74" s="1445" t="s">
        <v>5040</v>
      </c>
      <c r="E74" s="1445">
        <v>8</v>
      </c>
      <c r="F74" s="978">
        <v>1.9750000000000001</v>
      </c>
      <c r="G74" s="978">
        <v>15.8</v>
      </c>
      <c r="H74" s="978">
        <v>2.5675000000000003</v>
      </c>
      <c r="I74" s="978">
        <v>0.41080000000000005</v>
      </c>
      <c r="J74" s="978">
        <v>2.9783000000000004</v>
      </c>
      <c r="K74" s="978">
        <v>2.7650000000000001</v>
      </c>
      <c r="L74" s="978">
        <v>0.44240000000000002</v>
      </c>
      <c r="M74" s="978">
        <v>3.2074000000000003</v>
      </c>
      <c r="N74" s="1445"/>
      <c r="O74" s="1445">
        <f t="shared" si="3"/>
        <v>0</v>
      </c>
      <c r="P74" s="1445"/>
      <c r="Q74" s="1445">
        <f t="shared" si="4"/>
        <v>0</v>
      </c>
      <c r="R74" s="1445"/>
      <c r="S74" s="1445">
        <f t="shared" si="5"/>
        <v>0</v>
      </c>
    </row>
    <row r="75" spans="1:19" hidden="1">
      <c r="A75" s="21" t="s">
        <v>5049</v>
      </c>
      <c r="B75" s="23"/>
      <c r="C75" s="1563" t="s">
        <v>5039</v>
      </c>
      <c r="D75" s="1445" t="s">
        <v>5040</v>
      </c>
      <c r="E75" s="1445">
        <v>8</v>
      </c>
      <c r="F75" s="978">
        <v>1.9750000000000001</v>
      </c>
      <c r="G75" s="978">
        <v>15.8</v>
      </c>
      <c r="H75" s="978">
        <v>2.5675000000000003</v>
      </c>
      <c r="I75" s="978">
        <v>0.41080000000000005</v>
      </c>
      <c r="J75" s="978">
        <v>2.9783000000000004</v>
      </c>
      <c r="K75" s="978">
        <v>2.7650000000000001</v>
      </c>
      <c r="L75" s="978">
        <v>0.44240000000000002</v>
      </c>
      <c r="M75" s="978">
        <v>3.2074000000000003</v>
      </c>
      <c r="N75" s="1445"/>
      <c r="O75" s="1445">
        <f t="shared" si="3"/>
        <v>0</v>
      </c>
      <c r="P75" s="1445"/>
      <c r="Q75" s="1445">
        <f t="shared" si="4"/>
        <v>0</v>
      </c>
      <c r="R75" s="1445"/>
      <c r="S75" s="1445">
        <f t="shared" si="5"/>
        <v>0</v>
      </c>
    </row>
    <row r="76" spans="1:19" hidden="1">
      <c r="A76" s="21"/>
      <c r="B76" s="23"/>
      <c r="C76" s="1562" t="s">
        <v>5050</v>
      </c>
      <c r="D76" s="1445"/>
      <c r="E76" s="1445"/>
      <c r="F76" s="978"/>
      <c r="G76" s="978"/>
      <c r="H76" s="978"/>
      <c r="I76" s="978"/>
      <c r="J76" s="978"/>
      <c r="K76" s="978"/>
      <c r="L76" s="978"/>
      <c r="M76" s="978"/>
      <c r="N76" s="1445"/>
      <c r="O76" s="1445" t="s">
        <v>65</v>
      </c>
      <c r="P76" s="1445"/>
      <c r="Q76" s="1445" t="s">
        <v>65</v>
      </c>
      <c r="R76" s="1445"/>
      <c r="S76" s="1445">
        <f t="shared" si="5"/>
        <v>0</v>
      </c>
    </row>
    <row r="77" spans="1:19" hidden="1">
      <c r="A77" s="21" t="s">
        <v>5051</v>
      </c>
      <c r="B77" s="23">
        <v>7591072005978</v>
      </c>
      <c r="C77" s="1563" t="s">
        <v>5052</v>
      </c>
      <c r="D77" s="1445" t="s">
        <v>5053</v>
      </c>
      <c r="E77" s="1445">
        <v>12</v>
      </c>
      <c r="F77" s="978">
        <v>0.95833333333333337</v>
      </c>
      <c r="G77" s="978">
        <v>11.5</v>
      </c>
      <c r="H77" s="978">
        <v>1.2458333333333333</v>
      </c>
      <c r="I77" s="978">
        <v>0.19933333333333333</v>
      </c>
      <c r="J77" s="978">
        <v>1.4451666666666667</v>
      </c>
      <c r="K77" s="978">
        <v>1.3416666666666666</v>
      </c>
      <c r="L77" s="978">
        <v>0.21466666666666664</v>
      </c>
      <c r="M77" s="978">
        <v>1.5563333333333331</v>
      </c>
      <c r="N77" s="1445"/>
      <c r="O77" s="1445">
        <f t="shared" si="3"/>
        <v>0</v>
      </c>
      <c r="P77" s="1445"/>
      <c r="Q77" s="1445">
        <f t="shared" si="4"/>
        <v>0</v>
      </c>
      <c r="R77" s="1445"/>
      <c r="S77" s="1445">
        <f t="shared" si="5"/>
        <v>0</v>
      </c>
    </row>
    <row r="78" spans="1:19">
      <c r="A78" s="307" t="s">
        <v>5054</v>
      </c>
      <c r="B78" s="455">
        <v>7591072005978</v>
      </c>
      <c r="C78" s="1572" t="s">
        <v>5055</v>
      </c>
      <c r="D78" s="308" t="s">
        <v>5053</v>
      </c>
      <c r="E78" s="308">
        <v>24</v>
      </c>
      <c r="F78" s="1573">
        <v>0.95833333333333337</v>
      </c>
      <c r="G78" s="1573">
        <v>23</v>
      </c>
      <c r="H78" s="978">
        <v>1.2458333333333333</v>
      </c>
      <c r="I78" s="978">
        <v>0.19933333333333333</v>
      </c>
      <c r="J78" s="978">
        <v>1.4451666666666667</v>
      </c>
      <c r="K78" s="978">
        <v>1.3416666666666666</v>
      </c>
      <c r="L78" s="978">
        <v>0.21466666666666664</v>
      </c>
      <c r="M78" s="978">
        <v>1.5563333333333331</v>
      </c>
      <c r="N78" s="1445"/>
      <c r="O78" s="1445">
        <f t="shared" si="3"/>
        <v>0</v>
      </c>
      <c r="P78" s="1445"/>
      <c r="Q78" s="1445">
        <f t="shared" si="4"/>
        <v>0</v>
      </c>
      <c r="R78" s="1445">
        <v>5</v>
      </c>
      <c r="S78" s="1445">
        <f t="shared" si="5"/>
        <v>115</v>
      </c>
    </row>
    <row r="79" spans="1:19" hidden="1">
      <c r="A79" s="21" t="s">
        <v>5056</v>
      </c>
      <c r="B79" s="23"/>
      <c r="C79" s="1563" t="s">
        <v>5057</v>
      </c>
      <c r="D79" s="1445" t="s">
        <v>5058</v>
      </c>
      <c r="E79" s="1445">
        <v>12</v>
      </c>
      <c r="F79" s="978">
        <v>1.0833333333333333</v>
      </c>
      <c r="G79" s="978">
        <v>13</v>
      </c>
      <c r="H79" s="978">
        <v>1.4083333333333332</v>
      </c>
      <c r="I79" s="978">
        <v>0.22533333333333333</v>
      </c>
      <c r="J79" s="978">
        <v>1.6336666666666666</v>
      </c>
      <c r="K79" s="978">
        <v>1.5166666666666664</v>
      </c>
      <c r="L79" s="978">
        <v>0.24266666666666661</v>
      </c>
      <c r="M79" s="978">
        <v>1.759333333333333</v>
      </c>
      <c r="N79" s="1445"/>
      <c r="O79" s="1445">
        <f t="shared" si="3"/>
        <v>0</v>
      </c>
      <c r="P79" s="1445"/>
      <c r="Q79" s="1445">
        <f t="shared" si="4"/>
        <v>0</v>
      </c>
      <c r="R79" s="1445"/>
      <c r="S79" s="1445">
        <f t="shared" si="5"/>
        <v>0</v>
      </c>
    </row>
    <row r="80" spans="1:19" ht="15.75" thickBot="1">
      <c r="A80" s="307" t="s">
        <v>5059</v>
      </c>
      <c r="B80" s="455"/>
      <c r="C80" s="1572" t="s">
        <v>5060</v>
      </c>
      <c r="D80" s="308" t="s">
        <v>5058</v>
      </c>
      <c r="E80" s="308">
        <v>24</v>
      </c>
      <c r="F80" s="1573">
        <v>1.0833333333333333</v>
      </c>
      <c r="G80" s="1573">
        <v>26</v>
      </c>
      <c r="H80" s="978">
        <v>1.4083333333333332</v>
      </c>
      <c r="I80" s="978">
        <v>0.22533333333333333</v>
      </c>
      <c r="J80" s="978">
        <v>1.6336666666666666</v>
      </c>
      <c r="K80" s="978">
        <v>1.5166666666666664</v>
      </c>
      <c r="L80" s="978">
        <v>0.24266666666666661</v>
      </c>
      <c r="M80" s="978">
        <v>1.759333333333333</v>
      </c>
      <c r="N80" s="1445"/>
      <c r="O80" s="1445">
        <f t="shared" si="3"/>
        <v>0</v>
      </c>
      <c r="P80" s="1445"/>
      <c r="Q80" s="1445">
        <f t="shared" si="4"/>
        <v>0</v>
      </c>
      <c r="R80" s="1445">
        <v>5</v>
      </c>
      <c r="S80" s="1445">
        <f t="shared" si="5"/>
        <v>130</v>
      </c>
    </row>
    <row r="81" spans="1:19" hidden="1">
      <c r="A81" s="21"/>
      <c r="B81" s="23"/>
      <c r="C81" s="1562" t="s">
        <v>5061</v>
      </c>
      <c r="D81" s="1445"/>
      <c r="E81" s="1445"/>
      <c r="F81" s="978"/>
      <c r="G81" s="978"/>
      <c r="H81" s="978"/>
      <c r="I81" s="978"/>
      <c r="J81" s="978"/>
      <c r="K81" s="978"/>
      <c r="L81" s="978"/>
      <c r="M81" s="978"/>
      <c r="N81" s="1445"/>
      <c r="O81" s="1445" t="s">
        <v>65</v>
      </c>
      <c r="P81" s="1445"/>
      <c r="Q81" s="1445" t="s">
        <v>65</v>
      </c>
      <c r="R81" s="1445"/>
      <c r="S81" s="1445">
        <f t="shared" si="5"/>
        <v>0</v>
      </c>
    </row>
    <row r="82" spans="1:19" hidden="1">
      <c r="A82" s="21" t="s">
        <v>5062</v>
      </c>
      <c r="B82" s="23">
        <v>7591072000409</v>
      </c>
      <c r="C82" s="1563" t="s">
        <v>5063</v>
      </c>
      <c r="D82" s="1445" t="s">
        <v>4968</v>
      </c>
      <c r="E82" s="1445">
        <v>24</v>
      </c>
      <c r="F82" s="978">
        <v>0.91666666666666663</v>
      </c>
      <c r="G82" s="978">
        <v>22</v>
      </c>
      <c r="H82" s="978">
        <v>1.1916666666666667</v>
      </c>
      <c r="I82" s="978">
        <v>0.19066666666666668</v>
      </c>
      <c r="J82" s="978">
        <v>1.3823333333333334</v>
      </c>
      <c r="K82" s="978">
        <v>1.2327586206896552</v>
      </c>
      <c r="L82" s="978">
        <v>0.19724137931034486</v>
      </c>
      <c r="M82" s="978">
        <v>1.43</v>
      </c>
      <c r="N82" s="1445"/>
      <c r="O82" s="1445">
        <f t="shared" si="3"/>
        <v>0</v>
      </c>
      <c r="P82" s="1445"/>
      <c r="Q82" s="1445">
        <f t="shared" si="4"/>
        <v>0</v>
      </c>
      <c r="R82" s="1445"/>
      <c r="S82" s="1445">
        <f t="shared" si="5"/>
        <v>0</v>
      </c>
    </row>
    <row r="83" spans="1:19" hidden="1">
      <c r="A83" s="21" t="s">
        <v>5064</v>
      </c>
      <c r="B83" s="23">
        <v>7591072003639</v>
      </c>
      <c r="C83" s="1563" t="s">
        <v>5065</v>
      </c>
      <c r="D83" s="1445" t="s">
        <v>4968</v>
      </c>
      <c r="E83" s="1445">
        <v>24</v>
      </c>
      <c r="F83" s="978">
        <v>0.91666666666666663</v>
      </c>
      <c r="G83" s="978">
        <v>22</v>
      </c>
      <c r="H83" s="978">
        <v>1.1916666666666667</v>
      </c>
      <c r="I83" s="978">
        <v>0.19066666666666668</v>
      </c>
      <c r="J83" s="978">
        <v>1.3823333333333334</v>
      </c>
      <c r="K83" s="978">
        <v>1.2327586206896552</v>
      </c>
      <c r="L83" s="978">
        <v>0.19724137931034486</v>
      </c>
      <c r="M83" s="978">
        <v>1.43</v>
      </c>
      <c r="N83" s="1445"/>
      <c r="O83" s="1445">
        <f t="shared" si="3"/>
        <v>0</v>
      </c>
      <c r="P83" s="1445"/>
      <c r="Q83" s="1445">
        <f t="shared" si="4"/>
        <v>0</v>
      </c>
      <c r="R83" s="1445"/>
      <c r="S83" s="1445">
        <f t="shared" si="5"/>
        <v>0</v>
      </c>
    </row>
    <row r="84" spans="1:19" hidden="1">
      <c r="A84" s="21" t="s">
        <v>5066</v>
      </c>
      <c r="B84" s="23">
        <v>7591072004537</v>
      </c>
      <c r="C84" s="1563" t="s">
        <v>5067</v>
      </c>
      <c r="D84" s="1445" t="s">
        <v>4968</v>
      </c>
      <c r="E84" s="1445">
        <v>24</v>
      </c>
      <c r="F84" s="978">
        <v>0.91666666666666663</v>
      </c>
      <c r="G84" s="978">
        <v>22</v>
      </c>
      <c r="H84" s="978">
        <v>1.1916666666666667</v>
      </c>
      <c r="I84" s="978">
        <v>0.19066666666666668</v>
      </c>
      <c r="J84" s="978">
        <v>1.3823333333333334</v>
      </c>
      <c r="K84" s="978">
        <v>1.2327586206896552</v>
      </c>
      <c r="L84" s="978">
        <v>0.19724137931034486</v>
      </c>
      <c r="M84" s="978">
        <v>1.43</v>
      </c>
      <c r="N84" s="1445"/>
      <c r="O84" s="1445">
        <f t="shared" si="3"/>
        <v>0</v>
      </c>
      <c r="P84" s="1445"/>
      <c r="Q84" s="1445">
        <f t="shared" si="4"/>
        <v>0</v>
      </c>
      <c r="R84" s="1445"/>
      <c r="S84" s="1445">
        <f t="shared" si="5"/>
        <v>0</v>
      </c>
    </row>
    <row r="85" spans="1:19" hidden="1">
      <c r="A85" s="21" t="s">
        <v>5068</v>
      </c>
      <c r="B85" s="23">
        <v>7591072005756</v>
      </c>
      <c r="C85" s="1563" t="s">
        <v>5069</v>
      </c>
      <c r="D85" s="1445" t="s">
        <v>4968</v>
      </c>
      <c r="E85" s="1445">
        <v>24</v>
      </c>
      <c r="F85" s="978">
        <v>0.91666666666666663</v>
      </c>
      <c r="G85" s="978">
        <v>22</v>
      </c>
      <c r="H85" s="978">
        <v>1.1916666666666667</v>
      </c>
      <c r="I85" s="978">
        <v>0.19066666666666668</v>
      </c>
      <c r="J85" s="978">
        <v>1.3823333333333334</v>
      </c>
      <c r="K85" s="978">
        <v>1.2327586206896552</v>
      </c>
      <c r="L85" s="978">
        <v>0.19724137931034486</v>
      </c>
      <c r="M85" s="978">
        <v>1.43</v>
      </c>
      <c r="N85" s="1445"/>
      <c r="O85" s="1445">
        <f t="shared" si="3"/>
        <v>0</v>
      </c>
      <c r="P85" s="1445"/>
      <c r="Q85" s="1445">
        <f t="shared" si="4"/>
        <v>0</v>
      </c>
      <c r="R85" s="1445"/>
      <c r="S85" s="1445">
        <f t="shared" si="5"/>
        <v>0</v>
      </c>
    </row>
    <row r="86" spans="1:19" hidden="1">
      <c r="A86" s="21" t="s">
        <v>5070</v>
      </c>
      <c r="B86" s="23"/>
      <c r="C86" s="1563" t="s">
        <v>5071</v>
      </c>
      <c r="D86" s="1445" t="s">
        <v>4968</v>
      </c>
      <c r="E86" s="1445">
        <v>12</v>
      </c>
      <c r="F86" s="978">
        <v>0.91666666666666663</v>
      </c>
      <c r="G86" s="978">
        <v>11</v>
      </c>
      <c r="H86" s="978">
        <v>1.1916666666666667</v>
      </c>
      <c r="I86" s="978">
        <v>0.19066666666666668</v>
      </c>
      <c r="J86" s="978">
        <v>1.3823333333333334</v>
      </c>
      <c r="K86" s="978">
        <v>1.2327586206896552</v>
      </c>
      <c r="L86" s="978">
        <v>0.19724137931034486</v>
      </c>
      <c r="M86" s="978">
        <v>1.43</v>
      </c>
      <c r="N86" s="1445"/>
      <c r="O86" s="1445">
        <f t="shared" si="3"/>
        <v>0</v>
      </c>
      <c r="P86" s="1445"/>
      <c r="Q86" s="1445">
        <f t="shared" si="4"/>
        <v>0</v>
      </c>
      <c r="R86" s="1445"/>
      <c r="S86" s="1445">
        <f t="shared" si="5"/>
        <v>0</v>
      </c>
    </row>
    <row r="87" spans="1:19" hidden="1">
      <c r="A87" s="21"/>
      <c r="B87" s="23"/>
      <c r="C87" s="1562" t="s">
        <v>5072</v>
      </c>
      <c r="D87" s="1445"/>
      <c r="E87" s="1445"/>
      <c r="F87" s="978"/>
      <c r="G87" s="978"/>
      <c r="H87" s="978"/>
      <c r="I87" s="978"/>
      <c r="J87" s="978"/>
      <c r="K87" s="978"/>
      <c r="L87" s="978"/>
      <c r="M87" s="978"/>
      <c r="N87" s="1445"/>
      <c r="O87" s="1445" t="s">
        <v>65</v>
      </c>
      <c r="P87" s="1445"/>
      <c r="Q87" s="1445" t="s">
        <v>65</v>
      </c>
      <c r="R87" s="1445"/>
      <c r="S87" s="1445">
        <f t="shared" si="5"/>
        <v>0</v>
      </c>
    </row>
    <row r="88" spans="1:19" hidden="1">
      <c r="A88" s="21" t="s">
        <v>5073</v>
      </c>
      <c r="B88" s="23">
        <v>16000264601</v>
      </c>
      <c r="C88" s="1563" t="s">
        <v>5074</v>
      </c>
      <c r="D88" s="1445" t="s">
        <v>5075</v>
      </c>
      <c r="E88" s="1445">
        <v>12</v>
      </c>
      <c r="F88" s="978">
        <v>2.4166666666666665</v>
      </c>
      <c r="G88" s="978">
        <v>29</v>
      </c>
      <c r="H88" s="978">
        <v>3.1416666666666666</v>
      </c>
      <c r="I88" s="978">
        <v>0.50266666666666671</v>
      </c>
      <c r="J88" s="978">
        <v>3.6443333333333334</v>
      </c>
      <c r="K88" s="978">
        <v>3.1416666666666666</v>
      </c>
      <c r="L88" s="978">
        <v>0.50266666666666671</v>
      </c>
      <c r="M88" s="978">
        <v>3.6443333333333334</v>
      </c>
      <c r="N88" s="1445"/>
      <c r="O88" s="1445">
        <f t="shared" si="3"/>
        <v>0</v>
      </c>
      <c r="P88" s="1445"/>
      <c r="Q88" s="1445">
        <f t="shared" si="4"/>
        <v>0</v>
      </c>
      <c r="R88" s="1445"/>
      <c r="S88" s="1445">
        <f t="shared" si="5"/>
        <v>0</v>
      </c>
    </row>
    <row r="89" spans="1:19" hidden="1">
      <c r="A89" s="21" t="s">
        <v>5076</v>
      </c>
      <c r="B89" s="23">
        <v>16000277069</v>
      </c>
      <c r="C89" s="1563" t="s">
        <v>5077</v>
      </c>
      <c r="D89" s="1445" t="s">
        <v>5078</v>
      </c>
      <c r="E89" s="1445">
        <v>12</v>
      </c>
      <c r="F89" s="978">
        <v>2.4166666666666665</v>
      </c>
      <c r="G89" s="978">
        <v>29</v>
      </c>
      <c r="H89" s="978">
        <v>3.1416666666666666</v>
      </c>
      <c r="I89" s="978">
        <v>0.50266666666666671</v>
      </c>
      <c r="J89" s="978">
        <v>3.6443333333333334</v>
      </c>
      <c r="K89" s="978">
        <v>3.1416666666666666</v>
      </c>
      <c r="L89" s="978">
        <v>0.50266666666666671</v>
      </c>
      <c r="M89" s="978">
        <v>3.6443333333333334</v>
      </c>
      <c r="N89" s="1445"/>
      <c r="O89" s="1445">
        <f t="shared" si="3"/>
        <v>0</v>
      </c>
      <c r="P89" s="1445"/>
      <c r="Q89" s="1445">
        <f t="shared" si="4"/>
        <v>0</v>
      </c>
      <c r="R89" s="1445"/>
      <c r="S89" s="1445">
        <f t="shared" si="5"/>
        <v>0</v>
      </c>
    </row>
    <row r="90" spans="1:19" hidden="1">
      <c r="A90" s="21" t="s">
        <v>5079</v>
      </c>
      <c r="B90" s="23">
        <v>16000277076</v>
      </c>
      <c r="C90" s="1563" t="s">
        <v>5080</v>
      </c>
      <c r="D90" s="1445" t="s">
        <v>5078</v>
      </c>
      <c r="E90" s="1445">
        <v>12</v>
      </c>
      <c r="F90" s="978">
        <v>2.4166666666666665</v>
      </c>
      <c r="G90" s="978">
        <v>29</v>
      </c>
      <c r="H90" s="978">
        <v>3.1416666666666666</v>
      </c>
      <c r="I90" s="978">
        <v>0.50266666666666671</v>
      </c>
      <c r="J90" s="978">
        <v>3.6443333333333334</v>
      </c>
      <c r="K90" s="978">
        <v>3.1416666666666666</v>
      </c>
      <c r="L90" s="978">
        <v>0.50266666666666671</v>
      </c>
      <c r="M90" s="978">
        <v>3.6443333333333334</v>
      </c>
      <c r="N90" s="1445"/>
      <c r="O90" s="1445">
        <f t="shared" si="3"/>
        <v>0</v>
      </c>
      <c r="P90" s="1445"/>
      <c r="Q90" s="1445">
        <f t="shared" si="4"/>
        <v>0</v>
      </c>
      <c r="R90" s="1445"/>
      <c r="S90" s="1445">
        <f t="shared" si="5"/>
        <v>0</v>
      </c>
    </row>
    <row r="91" spans="1:19" hidden="1">
      <c r="A91" s="21" t="s">
        <v>5081</v>
      </c>
      <c r="B91" s="23">
        <v>16000289208</v>
      </c>
      <c r="C91" s="1563" t="s">
        <v>5082</v>
      </c>
      <c r="D91" s="1445" t="s">
        <v>5075</v>
      </c>
      <c r="E91" s="1445">
        <v>12</v>
      </c>
      <c r="F91" s="978">
        <v>2.4166666666666665</v>
      </c>
      <c r="G91" s="978">
        <v>29</v>
      </c>
      <c r="H91" s="978">
        <v>3.1416666666666666</v>
      </c>
      <c r="I91" s="978">
        <v>0.50266666666666671</v>
      </c>
      <c r="J91" s="978">
        <v>3.6443333333333334</v>
      </c>
      <c r="K91" s="978">
        <v>3.1416666666666666</v>
      </c>
      <c r="L91" s="978">
        <v>0.50266666666666671</v>
      </c>
      <c r="M91" s="978">
        <v>3.6443333333333334</v>
      </c>
      <c r="N91" s="1445"/>
      <c r="O91" s="1445">
        <f t="shared" si="3"/>
        <v>0</v>
      </c>
      <c r="P91" s="1445"/>
      <c r="Q91" s="1445">
        <f t="shared" si="4"/>
        <v>0</v>
      </c>
      <c r="R91" s="1445"/>
      <c r="S91" s="1445">
        <f t="shared" si="5"/>
        <v>0</v>
      </c>
    </row>
    <row r="92" spans="1:19" hidden="1">
      <c r="A92" s="21" t="s">
        <v>5083</v>
      </c>
      <c r="B92" s="23">
        <v>16000422681</v>
      </c>
      <c r="C92" s="1563" t="s">
        <v>5084</v>
      </c>
      <c r="D92" s="1445" t="s">
        <v>5085</v>
      </c>
      <c r="E92" s="1445">
        <v>6</v>
      </c>
      <c r="F92" s="978">
        <v>7.25</v>
      </c>
      <c r="G92" s="978">
        <v>43.5</v>
      </c>
      <c r="H92" s="978">
        <v>9.4250000000000007</v>
      </c>
      <c r="I92" s="978">
        <v>1.5080000000000002</v>
      </c>
      <c r="J92" s="978">
        <v>10.933000000000002</v>
      </c>
      <c r="K92" s="978">
        <v>9.4250000000000007</v>
      </c>
      <c r="L92" s="978">
        <v>1.5080000000000002</v>
      </c>
      <c r="M92" s="978">
        <v>10.933000000000002</v>
      </c>
      <c r="N92" s="1445"/>
      <c r="O92" s="1445">
        <f t="shared" si="3"/>
        <v>0</v>
      </c>
      <c r="P92" s="1445"/>
      <c r="Q92" s="1445">
        <f t="shared" si="4"/>
        <v>0</v>
      </c>
      <c r="R92" s="1445"/>
      <c r="S92" s="1445">
        <f t="shared" si="5"/>
        <v>0</v>
      </c>
    </row>
    <row r="93" spans="1:19" hidden="1">
      <c r="A93" s="21" t="s">
        <v>5086</v>
      </c>
      <c r="B93" s="23">
        <v>16000151208</v>
      </c>
      <c r="C93" s="1563" t="s">
        <v>5087</v>
      </c>
      <c r="D93" s="1445" t="s">
        <v>5088</v>
      </c>
      <c r="E93" s="1445">
        <v>8</v>
      </c>
      <c r="F93" s="978">
        <v>6.45</v>
      </c>
      <c r="G93" s="978">
        <v>51.6</v>
      </c>
      <c r="H93" s="978">
        <v>8.3849999999999998</v>
      </c>
      <c r="I93" s="978">
        <v>1.3415999999999999</v>
      </c>
      <c r="J93" s="978">
        <v>9.7265999999999995</v>
      </c>
      <c r="K93" s="978">
        <v>8.3849999999999998</v>
      </c>
      <c r="L93" s="978">
        <v>1.3415999999999999</v>
      </c>
      <c r="M93" s="978">
        <v>9.7265999999999995</v>
      </c>
      <c r="N93" s="1445"/>
      <c r="O93" s="1445">
        <f t="shared" si="3"/>
        <v>0</v>
      </c>
      <c r="P93" s="1445"/>
      <c r="Q93" s="1445">
        <f t="shared" si="4"/>
        <v>0</v>
      </c>
      <c r="R93" s="1445"/>
      <c r="S93" s="1445">
        <f t="shared" si="5"/>
        <v>0</v>
      </c>
    </row>
    <row r="94" spans="1:19" hidden="1">
      <c r="A94" s="21" t="s">
        <v>5089</v>
      </c>
      <c r="B94" s="23">
        <v>16000439801</v>
      </c>
      <c r="C94" s="1563" t="s">
        <v>5090</v>
      </c>
      <c r="D94" s="1445" t="s">
        <v>5078</v>
      </c>
      <c r="E94" s="1445">
        <v>12</v>
      </c>
      <c r="F94" s="978">
        <v>2.4166666666666665</v>
      </c>
      <c r="G94" s="978">
        <v>29</v>
      </c>
      <c r="H94" s="978">
        <v>3.1416666666666666</v>
      </c>
      <c r="I94" s="978">
        <v>0.50266666666666671</v>
      </c>
      <c r="J94" s="978">
        <v>3.6443333333333334</v>
      </c>
      <c r="K94" s="978">
        <v>3.1416666666666666</v>
      </c>
      <c r="L94" s="978">
        <v>0.50266666666666671</v>
      </c>
      <c r="M94" s="978">
        <v>3.6443333333333334</v>
      </c>
      <c r="N94" s="1445"/>
      <c r="O94" s="1445">
        <f t="shared" si="3"/>
        <v>0</v>
      </c>
      <c r="P94" s="1445"/>
      <c r="Q94" s="1445">
        <f t="shared" si="4"/>
        <v>0</v>
      </c>
      <c r="R94" s="1445"/>
      <c r="S94" s="1445">
        <f t="shared" si="5"/>
        <v>0</v>
      </c>
    </row>
    <row r="95" spans="1:19" hidden="1">
      <c r="A95" s="21" t="s">
        <v>5091</v>
      </c>
      <c r="B95" s="23">
        <v>16000485419</v>
      </c>
      <c r="C95" s="1563" t="s">
        <v>5092</v>
      </c>
      <c r="D95" s="1445" t="s">
        <v>5075</v>
      </c>
      <c r="E95" s="1445">
        <v>12</v>
      </c>
      <c r="F95" s="978">
        <v>2.4166666666666665</v>
      </c>
      <c r="G95" s="978">
        <v>29</v>
      </c>
      <c r="H95" s="978">
        <v>3.1416666666666666</v>
      </c>
      <c r="I95" s="978">
        <v>0.50266666666666671</v>
      </c>
      <c r="J95" s="978">
        <v>3.6443333333333334</v>
      </c>
      <c r="K95" s="978">
        <v>3.1416666666666666</v>
      </c>
      <c r="L95" s="978">
        <v>0.50266666666666671</v>
      </c>
      <c r="M95" s="978">
        <v>3.6443333333333334</v>
      </c>
      <c r="N95" s="1445"/>
      <c r="O95" s="1445">
        <f t="shared" si="3"/>
        <v>0</v>
      </c>
      <c r="P95" s="1445"/>
      <c r="Q95" s="1445">
        <f t="shared" si="4"/>
        <v>0</v>
      </c>
      <c r="R95" s="1445"/>
      <c r="S95" s="1445">
        <f t="shared" si="5"/>
        <v>0</v>
      </c>
    </row>
    <row r="96" spans="1:19" hidden="1">
      <c r="A96" s="21" t="s">
        <v>5093</v>
      </c>
      <c r="B96" s="23">
        <v>16000278554</v>
      </c>
      <c r="C96" s="1563" t="s">
        <v>5094</v>
      </c>
      <c r="D96" s="1445" t="s">
        <v>5078</v>
      </c>
      <c r="E96" s="1445">
        <v>12</v>
      </c>
      <c r="F96" s="978">
        <v>2.4166666666666665</v>
      </c>
      <c r="G96" s="978">
        <v>29</v>
      </c>
      <c r="H96" s="978">
        <v>3.1416666666666666</v>
      </c>
      <c r="I96" s="978">
        <v>0.50266666666666671</v>
      </c>
      <c r="J96" s="978">
        <v>3.6443333333333334</v>
      </c>
      <c r="K96" s="978">
        <v>3.1416666666666666</v>
      </c>
      <c r="L96" s="978">
        <v>0.50266666666666671</v>
      </c>
      <c r="M96" s="978">
        <v>3.6443333333333334</v>
      </c>
      <c r="N96" s="1445"/>
      <c r="O96" s="1445">
        <f t="shared" si="3"/>
        <v>0</v>
      </c>
      <c r="P96" s="1445"/>
      <c r="Q96" s="1445">
        <f t="shared" si="4"/>
        <v>0</v>
      </c>
      <c r="R96" s="1445"/>
      <c r="S96" s="1445">
        <f t="shared" si="5"/>
        <v>0</v>
      </c>
    </row>
    <row r="97" spans="1:19" hidden="1">
      <c r="A97" s="21" t="s">
        <v>5095</v>
      </c>
      <c r="B97" s="23">
        <v>16000413146</v>
      </c>
      <c r="C97" s="1563" t="s">
        <v>5096</v>
      </c>
      <c r="D97" s="1445" t="s">
        <v>5075</v>
      </c>
      <c r="E97" s="1445">
        <v>12</v>
      </c>
      <c r="F97" s="978">
        <v>2.4166666666666665</v>
      </c>
      <c r="G97" s="978">
        <v>29</v>
      </c>
      <c r="H97" s="978">
        <v>3.1416666666666666</v>
      </c>
      <c r="I97" s="978">
        <v>0.50266666666666671</v>
      </c>
      <c r="J97" s="978">
        <v>3.6443333333333334</v>
      </c>
      <c r="K97" s="978">
        <v>3.1416666666666666</v>
      </c>
      <c r="L97" s="978">
        <v>0.50266666666666671</v>
      </c>
      <c r="M97" s="978">
        <v>3.6443333333333334</v>
      </c>
      <c r="N97" s="1445"/>
      <c r="O97" s="1445">
        <f t="shared" si="3"/>
        <v>0</v>
      </c>
      <c r="P97" s="1445"/>
      <c r="Q97" s="1445">
        <f t="shared" si="4"/>
        <v>0</v>
      </c>
      <c r="R97" s="1445"/>
      <c r="S97" s="1445">
        <f t="shared" si="5"/>
        <v>0</v>
      </c>
    </row>
    <row r="98" spans="1:19" hidden="1">
      <c r="A98" s="21" t="s">
        <v>5097</v>
      </c>
      <c r="B98" s="23">
        <v>16000335301</v>
      </c>
      <c r="C98" s="1563" t="s">
        <v>5098</v>
      </c>
      <c r="D98" s="1445" t="s">
        <v>5085</v>
      </c>
      <c r="E98" s="1445">
        <v>6</v>
      </c>
      <c r="F98" s="978">
        <v>7.25</v>
      </c>
      <c r="G98" s="978">
        <v>43.5</v>
      </c>
      <c r="H98" s="978">
        <v>9.4250000000000007</v>
      </c>
      <c r="I98" s="978">
        <v>1.5080000000000002</v>
      </c>
      <c r="J98" s="978">
        <v>10.933000000000002</v>
      </c>
      <c r="K98" s="978">
        <v>9.4250000000000007</v>
      </c>
      <c r="L98" s="978">
        <v>1.5080000000000002</v>
      </c>
      <c r="M98" s="978">
        <v>10.933000000000002</v>
      </c>
      <c r="N98" s="1445"/>
      <c r="O98" s="1445">
        <f t="shared" si="3"/>
        <v>0</v>
      </c>
      <c r="P98" s="1445"/>
      <c r="Q98" s="1445">
        <f t="shared" si="4"/>
        <v>0</v>
      </c>
      <c r="R98" s="1445"/>
      <c r="S98" s="1445">
        <f t="shared" si="5"/>
        <v>0</v>
      </c>
    </row>
    <row r="99" spans="1:19" hidden="1">
      <c r="A99" s="21" t="s">
        <v>5099</v>
      </c>
      <c r="B99" s="23">
        <v>16000411265</v>
      </c>
      <c r="C99" s="1563" t="s">
        <v>5100</v>
      </c>
      <c r="D99" s="1445" t="s">
        <v>5075</v>
      </c>
      <c r="E99" s="1445">
        <v>12</v>
      </c>
      <c r="F99" s="978">
        <v>2.6666666666666665</v>
      </c>
      <c r="G99" s="978">
        <v>32</v>
      </c>
      <c r="H99" s="978">
        <v>3.4666666666666668</v>
      </c>
      <c r="I99" s="978">
        <v>0.55466666666666675</v>
      </c>
      <c r="J99" s="978">
        <v>4.0213333333333336</v>
      </c>
      <c r="K99" s="978">
        <v>3.4666666666666668</v>
      </c>
      <c r="L99" s="978">
        <v>0.55466666666666675</v>
      </c>
      <c r="M99" s="978">
        <v>4.0213333333333336</v>
      </c>
      <c r="N99" s="1445"/>
      <c r="O99" s="1445">
        <f t="shared" si="3"/>
        <v>0</v>
      </c>
      <c r="P99" s="1445"/>
      <c r="Q99" s="1445">
        <f t="shared" si="4"/>
        <v>0</v>
      </c>
      <c r="R99" s="1445"/>
      <c r="S99" s="1445">
        <f t="shared" si="5"/>
        <v>0</v>
      </c>
    </row>
    <row r="100" spans="1:19" hidden="1">
      <c r="A100" s="21" t="s">
        <v>5101</v>
      </c>
      <c r="B100" s="23">
        <v>16000335509</v>
      </c>
      <c r="C100" s="1563" t="s">
        <v>5102</v>
      </c>
      <c r="D100" s="1445" t="s">
        <v>5085</v>
      </c>
      <c r="E100" s="1445">
        <v>6</v>
      </c>
      <c r="F100" s="978">
        <v>7.25</v>
      </c>
      <c r="G100" s="978">
        <v>43.5</v>
      </c>
      <c r="H100" s="978">
        <v>9.4250000000000007</v>
      </c>
      <c r="I100" s="978">
        <v>1.5080000000000002</v>
      </c>
      <c r="J100" s="978">
        <v>10.933000000000002</v>
      </c>
      <c r="K100" s="978">
        <v>9.4250000000000007</v>
      </c>
      <c r="L100" s="978">
        <v>1.5080000000000002</v>
      </c>
      <c r="M100" s="978">
        <v>10.933000000000002</v>
      </c>
      <c r="N100" s="1445"/>
      <c r="O100" s="1445">
        <f t="shared" si="3"/>
        <v>0</v>
      </c>
      <c r="P100" s="1445"/>
      <c r="Q100" s="1445">
        <f t="shared" si="4"/>
        <v>0</v>
      </c>
      <c r="R100" s="1445"/>
      <c r="S100" s="1445">
        <f t="shared" si="5"/>
        <v>0</v>
      </c>
    </row>
    <row r="101" spans="1:19" hidden="1">
      <c r="A101" s="21" t="s">
        <v>5103</v>
      </c>
      <c r="B101" s="23">
        <v>16000420670</v>
      </c>
      <c r="C101" s="1563" t="s">
        <v>5104</v>
      </c>
      <c r="D101" s="1445" t="s">
        <v>5088</v>
      </c>
      <c r="E101" s="1445">
        <v>8</v>
      </c>
      <c r="F101" s="978">
        <v>6.45</v>
      </c>
      <c r="G101" s="978">
        <v>51.6</v>
      </c>
      <c r="H101" s="978">
        <v>8.3849999999999998</v>
      </c>
      <c r="I101" s="978">
        <v>1.3415999999999999</v>
      </c>
      <c r="J101" s="978">
        <v>9.7265999999999995</v>
      </c>
      <c r="K101" s="978">
        <v>8.3849999999999998</v>
      </c>
      <c r="L101" s="978">
        <v>1.3415999999999999</v>
      </c>
      <c r="M101" s="978">
        <v>9.7265999999999995</v>
      </c>
      <c r="N101" s="1445"/>
      <c r="O101" s="1445">
        <f t="shared" si="3"/>
        <v>0</v>
      </c>
      <c r="P101" s="1445"/>
      <c r="Q101" s="1445">
        <f t="shared" si="4"/>
        <v>0</v>
      </c>
      <c r="R101" s="1445"/>
      <c r="S101" s="1445">
        <f t="shared" si="5"/>
        <v>0</v>
      </c>
    </row>
    <row r="102" spans="1:19" hidden="1">
      <c r="A102" s="21" t="s">
        <v>5105</v>
      </c>
      <c r="B102" s="23">
        <v>16000312616</v>
      </c>
      <c r="C102" s="1563" t="s">
        <v>5106</v>
      </c>
      <c r="D102" s="1445" t="s">
        <v>5085</v>
      </c>
      <c r="E102" s="1445">
        <v>6</v>
      </c>
      <c r="F102" s="978">
        <v>7.25</v>
      </c>
      <c r="G102" s="978">
        <v>43.5</v>
      </c>
      <c r="H102" s="978">
        <v>9.4250000000000007</v>
      </c>
      <c r="I102" s="978">
        <v>1.5080000000000002</v>
      </c>
      <c r="J102" s="978">
        <v>10.933000000000002</v>
      </c>
      <c r="K102" s="978">
        <v>9.4250000000000007</v>
      </c>
      <c r="L102" s="978">
        <v>1.5080000000000002</v>
      </c>
      <c r="M102" s="978">
        <v>10.933000000000002</v>
      </c>
      <c r="N102" s="1445"/>
      <c r="O102" s="1445">
        <f t="shared" si="3"/>
        <v>0</v>
      </c>
      <c r="P102" s="1445"/>
      <c r="Q102" s="1445">
        <f t="shared" si="4"/>
        <v>0</v>
      </c>
      <c r="R102" s="1445"/>
      <c r="S102" s="1445">
        <f t="shared" si="5"/>
        <v>0</v>
      </c>
    </row>
    <row r="103" spans="1:19" hidden="1">
      <c r="A103" s="21"/>
      <c r="B103" s="23"/>
      <c r="C103" s="1562" t="s">
        <v>5107</v>
      </c>
      <c r="D103" s="1445"/>
      <c r="E103" s="1445"/>
      <c r="F103" s="978"/>
      <c r="G103" s="978"/>
      <c r="H103" s="978"/>
      <c r="I103" s="978"/>
      <c r="J103" s="978"/>
      <c r="K103" s="978"/>
      <c r="L103" s="978"/>
      <c r="M103" s="978"/>
      <c r="N103" s="1445"/>
      <c r="O103" s="1445" t="s">
        <v>65</v>
      </c>
      <c r="P103" s="1445"/>
      <c r="Q103" s="1445" t="s">
        <v>65</v>
      </c>
      <c r="R103" s="1445"/>
      <c r="S103" s="1445">
        <f t="shared" si="5"/>
        <v>0</v>
      </c>
    </row>
    <row r="104" spans="1:19" hidden="1">
      <c r="A104" s="21" t="s">
        <v>5108</v>
      </c>
      <c r="B104" s="23">
        <v>16000458604</v>
      </c>
      <c r="C104" s="1563" t="s">
        <v>5109</v>
      </c>
      <c r="D104" s="1445" t="s">
        <v>5110</v>
      </c>
      <c r="E104" s="1445">
        <v>8</v>
      </c>
      <c r="F104" s="978">
        <v>2.375</v>
      </c>
      <c r="G104" s="978">
        <v>19</v>
      </c>
      <c r="H104" s="978">
        <v>3.0874999999999999</v>
      </c>
      <c r="I104" s="978">
        <v>0.49399999999999999</v>
      </c>
      <c r="J104" s="978">
        <v>3.5815000000000001</v>
      </c>
      <c r="K104" s="978">
        <v>3.0874999999999999</v>
      </c>
      <c r="L104" s="978">
        <v>0.49399999999999999</v>
      </c>
      <c r="M104" s="978">
        <v>3.5815000000000001</v>
      </c>
      <c r="N104" s="1445"/>
      <c r="O104" s="1445">
        <f t="shared" si="3"/>
        <v>0</v>
      </c>
      <c r="P104" s="1445"/>
      <c r="Q104" s="1445">
        <f t="shared" si="4"/>
        <v>0</v>
      </c>
      <c r="R104" s="1445"/>
      <c r="S104" s="1445">
        <f t="shared" si="5"/>
        <v>0</v>
      </c>
    </row>
    <row r="105" spans="1:19" hidden="1">
      <c r="A105" s="21" t="s">
        <v>5111</v>
      </c>
      <c r="B105" s="23">
        <v>16000459007</v>
      </c>
      <c r="C105" s="1563" t="s">
        <v>5112</v>
      </c>
      <c r="D105" s="1445" t="s">
        <v>5110</v>
      </c>
      <c r="E105" s="1445">
        <v>8</v>
      </c>
      <c r="F105" s="978">
        <v>2.375</v>
      </c>
      <c r="G105" s="978">
        <v>19</v>
      </c>
      <c r="H105" s="978">
        <v>3.0874999999999999</v>
      </c>
      <c r="I105" s="978">
        <v>0.49399999999999999</v>
      </c>
      <c r="J105" s="978">
        <v>3.5815000000000001</v>
      </c>
      <c r="K105" s="978">
        <v>3.0874999999999999</v>
      </c>
      <c r="L105" s="978">
        <v>0.49399999999999999</v>
      </c>
      <c r="M105" s="978">
        <v>3.5815000000000001</v>
      </c>
      <c r="N105" s="1445"/>
      <c r="O105" s="1445">
        <f t="shared" si="3"/>
        <v>0</v>
      </c>
      <c r="P105" s="1445"/>
      <c r="Q105" s="1445">
        <f t="shared" si="4"/>
        <v>0</v>
      </c>
      <c r="R105" s="1445"/>
      <c r="S105" s="1445">
        <f t="shared" si="5"/>
        <v>0</v>
      </c>
    </row>
    <row r="106" spans="1:19" hidden="1">
      <c r="A106" s="21" t="s">
        <v>5113</v>
      </c>
      <c r="B106" s="23">
        <v>16000306707</v>
      </c>
      <c r="C106" s="1563" t="s">
        <v>5114</v>
      </c>
      <c r="D106" s="1445" t="s">
        <v>5115</v>
      </c>
      <c r="E106" s="1445">
        <v>12</v>
      </c>
      <c r="F106" s="978">
        <v>2.6666666666666665</v>
      </c>
      <c r="G106" s="978">
        <v>32</v>
      </c>
      <c r="H106" s="978">
        <v>3.4666666666666668</v>
      </c>
      <c r="I106" s="978">
        <v>0.55466666666666675</v>
      </c>
      <c r="J106" s="978">
        <v>4.0213333333333336</v>
      </c>
      <c r="K106" s="978">
        <v>3.4666666666666668</v>
      </c>
      <c r="L106" s="978">
        <v>0.55466666666666675</v>
      </c>
      <c r="M106" s="978">
        <v>4.0213333333333336</v>
      </c>
      <c r="N106" s="1445"/>
      <c r="O106" s="1445">
        <f t="shared" si="3"/>
        <v>0</v>
      </c>
      <c r="P106" s="1445"/>
      <c r="Q106" s="1445">
        <f t="shared" si="4"/>
        <v>0</v>
      </c>
      <c r="R106" s="1445"/>
      <c r="S106" s="1445">
        <f t="shared" si="5"/>
        <v>0</v>
      </c>
    </row>
    <row r="107" spans="1:19" hidden="1">
      <c r="A107" s="21" t="s">
        <v>5116</v>
      </c>
      <c r="B107" s="23">
        <v>16000409828</v>
      </c>
      <c r="C107" s="1563" t="s">
        <v>5117</v>
      </c>
      <c r="D107" s="1445" t="s">
        <v>5118</v>
      </c>
      <c r="E107" s="1445">
        <v>12</v>
      </c>
      <c r="F107" s="978">
        <v>1.5833333333333333</v>
      </c>
      <c r="G107" s="978">
        <v>19</v>
      </c>
      <c r="H107" s="978">
        <v>2.0583333333333331</v>
      </c>
      <c r="I107" s="978">
        <v>0.32933333333333331</v>
      </c>
      <c r="J107" s="978">
        <v>2.3876666666666666</v>
      </c>
      <c r="K107" s="978">
        <v>2.0583333333333331</v>
      </c>
      <c r="L107" s="978">
        <v>0.32933333333333331</v>
      </c>
      <c r="M107" s="978">
        <v>2.3876666666666666</v>
      </c>
      <c r="N107" s="1445"/>
      <c r="O107" s="1445">
        <f t="shared" si="3"/>
        <v>0</v>
      </c>
      <c r="P107" s="1445"/>
      <c r="Q107" s="1445">
        <f t="shared" si="4"/>
        <v>0</v>
      </c>
      <c r="R107" s="1445"/>
      <c r="S107" s="1445">
        <f t="shared" si="5"/>
        <v>0</v>
      </c>
    </row>
    <row r="108" spans="1:19" hidden="1">
      <c r="A108" s="21" t="s">
        <v>5119</v>
      </c>
      <c r="B108" s="23">
        <v>16000409897</v>
      </c>
      <c r="C108" s="1563" t="s">
        <v>5120</v>
      </c>
      <c r="D108" s="1445" t="s">
        <v>5118</v>
      </c>
      <c r="E108" s="1445">
        <v>12</v>
      </c>
      <c r="F108" s="978">
        <v>1.5833333333333333</v>
      </c>
      <c r="G108" s="978">
        <v>19</v>
      </c>
      <c r="H108" s="978">
        <v>2.0583333333333331</v>
      </c>
      <c r="I108" s="978">
        <v>0.32933333333333331</v>
      </c>
      <c r="J108" s="978">
        <v>2.3876666666666666</v>
      </c>
      <c r="K108" s="978">
        <v>2.0583333333333331</v>
      </c>
      <c r="L108" s="978">
        <v>0.32933333333333331</v>
      </c>
      <c r="M108" s="978">
        <v>2.3876666666666666</v>
      </c>
      <c r="N108" s="1445"/>
      <c r="O108" s="1445">
        <f t="shared" si="3"/>
        <v>0</v>
      </c>
      <c r="P108" s="1445"/>
      <c r="Q108" s="1445">
        <f t="shared" si="4"/>
        <v>0</v>
      </c>
      <c r="R108" s="1445"/>
      <c r="S108" s="1445">
        <f t="shared" si="5"/>
        <v>0</v>
      </c>
    </row>
    <row r="109" spans="1:19" hidden="1">
      <c r="A109" s="21" t="s">
        <v>5121</v>
      </c>
      <c r="B109" s="23">
        <v>16000409927</v>
      </c>
      <c r="C109" s="1563" t="s">
        <v>5122</v>
      </c>
      <c r="D109" s="1445" t="s">
        <v>5118</v>
      </c>
      <c r="E109" s="1445">
        <v>12</v>
      </c>
      <c r="F109" s="978">
        <v>1.5833333333333333</v>
      </c>
      <c r="G109" s="978">
        <v>19</v>
      </c>
      <c r="H109" s="978">
        <v>2.0583333333333331</v>
      </c>
      <c r="I109" s="978">
        <v>0.32933333333333331</v>
      </c>
      <c r="J109" s="978">
        <v>2.3876666666666666</v>
      </c>
      <c r="K109" s="978">
        <v>2.0583333333333331</v>
      </c>
      <c r="L109" s="978">
        <v>0.32933333333333331</v>
      </c>
      <c r="M109" s="978">
        <v>2.3876666666666666</v>
      </c>
      <c r="N109" s="1445"/>
      <c r="O109" s="1445">
        <f t="shared" si="3"/>
        <v>0</v>
      </c>
      <c r="P109" s="1445"/>
      <c r="Q109" s="1445">
        <f t="shared" si="4"/>
        <v>0</v>
      </c>
      <c r="R109" s="1445"/>
      <c r="S109" s="1445">
        <f t="shared" si="5"/>
        <v>0</v>
      </c>
    </row>
    <row r="110" spans="1:19" hidden="1">
      <c r="A110" s="21" t="s">
        <v>5123</v>
      </c>
      <c r="B110" s="23">
        <v>16000813410</v>
      </c>
      <c r="C110" s="1563" t="s">
        <v>5124</v>
      </c>
      <c r="D110" s="1445" t="s">
        <v>5125</v>
      </c>
      <c r="E110" s="1445">
        <v>12</v>
      </c>
      <c r="F110" s="978">
        <v>3.0833333333333335</v>
      </c>
      <c r="G110" s="978">
        <v>37</v>
      </c>
      <c r="H110" s="978">
        <v>4.0083333333333337</v>
      </c>
      <c r="I110" s="978">
        <v>0.64133333333333342</v>
      </c>
      <c r="J110" s="978">
        <v>4.6496666666666675</v>
      </c>
      <c r="K110" s="978">
        <v>4.0083333333333337</v>
      </c>
      <c r="L110" s="978">
        <v>0.64133333333333342</v>
      </c>
      <c r="M110" s="978">
        <v>4.6496666666666675</v>
      </c>
      <c r="N110" s="1445"/>
      <c r="O110" s="1445">
        <f t="shared" si="3"/>
        <v>0</v>
      </c>
      <c r="P110" s="1445"/>
      <c r="Q110" s="1445">
        <f t="shared" si="4"/>
        <v>0</v>
      </c>
      <c r="R110" s="1445"/>
      <c r="S110" s="1445">
        <f t="shared" si="5"/>
        <v>0</v>
      </c>
    </row>
    <row r="111" spans="1:19" hidden="1">
      <c r="A111" s="21" t="s">
        <v>5126</v>
      </c>
      <c r="B111" s="23">
        <v>16000430549</v>
      </c>
      <c r="C111" s="1563" t="s">
        <v>5127</v>
      </c>
      <c r="D111" s="1445" t="s">
        <v>5118</v>
      </c>
      <c r="E111" s="1445">
        <v>12</v>
      </c>
      <c r="F111" s="978">
        <v>1.6666666666666667</v>
      </c>
      <c r="G111" s="978">
        <v>20</v>
      </c>
      <c r="H111" s="978">
        <v>2.166666666666667</v>
      </c>
      <c r="I111" s="978">
        <v>0.34666666666666673</v>
      </c>
      <c r="J111" s="978">
        <v>2.5133333333333336</v>
      </c>
      <c r="K111" s="978">
        <v>2.166666666666667</v>
      </c>
      <c r="L111" s="978">
        <v>0.34666666666666673</v>
      </c>
      <c r="M111" s="978">
        <v>2.5133333333333336</v>
      </c>
      <c r="N111" s="1445"/>
      <c r="O111" s="1445">
        <f t="shared" si="3"/>
        <v>0</v>
      </c>
      <c r="P111" s="1445"/>
      <c r="Q111" s="1445">
        <f t="shared" si="4"/>
        <v>0</v>
      </c>
      <c r="R111" s="1445"/>
      <c r="S111" s="1445">
        <f t="shared" si="5"/>
        <v>0</v>
      </c>
    </row>
    <row r="112" spans="1:19" hidden="1">
      <c r="A112" s="21" t="s">
        <v>5128</v>
      </c>
      <c r="B112" s="23">
        <v>16000306509</v>
      </c>
      <c r="C112" s="1563" t="s">
        <v>5129</v>
      </c>
      <c r="D112" s="1445" t="s">
        <v>5115</v>
      </c>
      <c r="E112" s="1445">
        <v>12</v>
      </c>
      <c r="F112" s="978">
        <v>2.6666666666666665</v>
      </c>
      <c r="G112" s="978">
        <v>32</v>
      </c>
      <c r="H112" s="978">
        <v>3.4666666666666668</v>
      </c>
      <c r="I112" s="978">
        <v>0.55466666666666675</v>
      </c>
      <c r="J112" s="978">
        <v>4.0213333333333336</v>
      </c>
      <c r="K112" s="978">
        <v>3.4666666666666668</v>
      </c>
      <c r="L112" s="978">
        <v>0.55466666666666675</v>
      </c>
      <c r="M112" s="978">
        <v>4.0213333333333336</v>
      </c>
      <c r="N112" s="1445"/>
      <c r="O112" s="1445">
        <f t="shared" si="3"/>
        <v>0</v>
      </c>
      <c r="P112" s="1445"/>
      <c r="Q112" s="1445">
        <f t="shared" si="4"/>
        <v>0</v>
      </c>
      <c r="R112" s="1445"/>
      <c r="S112" s="1445">
        <f t="shared" si="5"/>
        <v>0</v>
      </c>
    </row>
    <row r="113" spans="1:19" hidden="1">
      <c r="A113" s="21"/>
      <c r="B113" s="23"/>
      <c r="C113" s="1562" t="s">
        <v>5130</v>
      </c>
      <c r="D113" s="1445"/>
      <c r="E113" s="1445"/>
      <c r="F113" s="978"/>
      <c r="G113" s="978"/>
      <c r="H113" s="978"/>
      <c r="I113" s="978"/>
      <c r="J113" s="978"/>
      <c r="K113" s="978"/>
      <c r="L113" s="978"/>
      <c r="M113" s="978"/>
      <c r="N113" s="1445"/>
      <c r="O113" s="1445" t="s">
        <v>65</v>
      </c>
      <c r="P113" s="1445"/>
      <c r="Q113" s="1445" t="s">
        <v>65</v>
      </c>
      <c r="R113" s="1445"/>
      <c r="S113" s="1445">
        <f t="shared" si="5"/>
        <v>0</v>
      </c>
    </row>
    <row r="114" spans="1:19" hidden="1">
      <c r="A114" s="21" t="s">
        <v>5131</v>
      </c>
      <c r="B114" s="23"/>
      <c r="C114" s="1563" t="s">
        <v>5132</v>
      </c>
      <c r="D114" s="1445" t="s">
        <v>5133</v>
      </c>
      <c r="E114" s="1445">
        <v>48</v>
      </c>
      <c r="F114" s="978">
        <v>1.3</v>
      </c>
      <c r="G114" s="978">
        <v>62.400000000000006</v>
      </c>
      <c r="H114" s="978">
        <v>1.6900000000000002</v>
      </c>
      <c r="I114" s="978">
        <v>0</v>
      </c>
      <c r="J114" s="978">
        <v>1.6900000000000002</v>
      </c>
      <c r="K114" s="978">
        <v>1.8199999999999998</v>
      </c>
      <c r="L114" s="978">
        <v>0</v>
      </c>
      <c r="M114" s="978">
        <v>1.8199999999999998</v>
      </c>
      <c r="N114" s="1445"/>
      <c r="O114" s="1445">
        <f t="shared" si="3"/>
        <v>0</v>
      </c>
      <c r="P114" s="1445"/>
      <c r="Q114" s="1445">
        <f t="shared" si="4"/>
        <v>0</v>
      </c>
      <c r="R114" s="1445"/>
      <c r="S114" s="1445">
        <f t="shared" si="5"/>
        <v>0</v>
      </c>
    </row>
    <row r="115" spans="1:19" hidden="1">
      <c r="A115" s="21" t="s">
        <v>5134</v>
      </c>
      <c r="B115" s="23"/>
      <c r="C115" s="1563" t="s">
        <v>5135</v>
      </c>
      <c r="D115" s="1445" t="s">
        <v>5133</v>
      </c>
      <c r="E115" s="1445">
        <v>48</v>
      </c>
      <c r="F115" s="978">
        <v>1.3500000000000003</v>
      </c>
      <c r="G115" s="978">
        <v>64.800000000000011</v>
      </c>
      <c r="H115" s="978">
        <v>1.7550000000000006</v>
      </c>
      <c r="I115" s="978">
        <v>0</v>
      </c>
      <c r="J115" s="978">
        <v>1.7550000000000006</v>
      </c>
      <c r="K115" s="978">
        <v>1.8900000000000003</v>
      </c>
      <c r="L115" s="978">
        <v>0</v>
      </c>
      <c r="M115" s="978">
        <v>1.8900000000000003</v>
      </c>
      <c r="N115" s="1445"/>
      <c r="O115" s="1445">
        <f t="shared" si="3"/>
        <v>0</v>
      </c>
      <c r="P115" s="1445"/>
      <c r="Q115" s="1445">
        <f t="shared" si="4"/>
        <v>0</v>
      </c>
      <c r="R115" s="1445"/>
      <c r="S115" s="1445">
        <f t="shared" si="5"/>
        <v>0</v>
      </c>
    </row>
    <row r="116" spans="1:19" hidden="1">
      <c r="A116" s="21" t="s">
        <v>5136</v>
      </c>
      <c r="B116" s="23"/>
      <c r="C116" s="1563" t="s">
        <v>5137</v>
      </c>
      <c r="D116" s="1445" t="s">
        <v>5138</v>
      </c>
      <c r="E116" s="1445">
        <v>48</v>
      </c>
      <c r="F116" s="978">
        <v>1.3</v>
      </c>
      <c r="G116" s="978">
        <v>62.400000000000006</v>
      </c>
      <c r="H116" s="978">
        <v>1.6900000000000002</v>
      </c>
      <c r="I116" s="978">
        <v>0</v>
      </c>
      <c r="J116" s="978">
        <v>1.6900000000000002</v>
      </c>
      <c r="K116" s="978">
        <v>1.8199999999999998</v>
      </c>
      <c r="L116" s="978">
        <v>0</v>
      </c>
      <c r="M116" s="978">
        <v>1.8199999999999998</v>
      </c>
      <c r="N116" s="1445"/>
      <c r="O116" s="1445">
        <f t="shared" si="3"/>
        <v>0</v>
      </c>
      <c r="P116" s="1445"/>
      <c r="Q116" s="1445">
        <f t="shared" si="4"/>
        <v>0</v>
      </c>
      <c r="R116" s="1445"/>
      <c r="S116" s="1445">
        <f t="shared" si="5"/>
        <v>0</v>
      </c>
    </row>
    <row r="117" spans="1:19" hidden="1">
      <c r="A117" s="21" t="s">
        <v>5139</v>
      </c>
      <c r="B117" s="23"/>
      <c r="C117" s="1563" t="s">
        <v>5140</v>
      </c>
      <c r="D117" s="1445" t="s">
        <v>5138</v>
      </c>
      <c r="E117" s="1445">
        <v>48</v>
      </c>
      <c r="F117" s="978">
        <v>1.3500000000000003</v>
      </c>
      <c r="G117" s="978">
        <v>64.800000000000011</v>
      </c>
      <c r="H117" s="978">
        <v>1.7550000000000006</v>
      </c>
      <c r="I117" s="978">
        <v>0</v>
      </c>
      <c r="J117" s="978">
        <v>1.7550000000000006</v>
      </c>
      <c r="K117" s="978">
        <v>1.8900000000000003</v>
      </c>
      <c r="L117" s="978">
        <v>0</v>
      </c>
      <c r="M117" s="978">
        <v>1.8900000000000003</v>
      </c>
      <c r="N117" s="1445"/>
      <c r="O117" s="1445">
        <f t="shared" si="3"/>
        <v>0</v>
      </c>
      <c r="P117" s="1445"/>
      <c r="Q117" s="1445">
        <f t="shared" si="4"/>
        <v>0</v>
      </c>
      <c r="R117" s="1445"/>
      <c r="S117" s="1445">
        <f t="shared" si="5"/>
        <v>0</v>
      </c>
    </row>
    <row r="118" spans="1:19" hidden="1">
      <c r="A118" s="21" t="s">
        <v>5141</v>
      </c>
      <c r="B118" s="23" t="s">
        <v>5142</v>
      </c>
      <c r="C118" s="1563" t="s">
        <v>5143</v>
      </c>
      <c r="D118" s="1445" t="s">
        <v>5138</v>
      </c>
      <c r="E118" s="1445">
        <v>48</v>
      </c>
      <c r="F118" s="978">
        <v>1.45</v>
      </c>
      <c r="G118" s="978">
        <v>69.599999999999994</v>
      </c>
      <c r="H118" s="978">
        <v>1.885</v>
      </c>
      <c r="I118" s="978">
        <v>0</v>
      </c>
      <c r="J118" s="978">
        <v>1.885</v>
      </c>
      <c r="K118" s="978">
        <v>2.0299999999999998</v>
      </c>
      <c r="L118" s="978">
        <v>0</v>
      </c>
      <c r="M118" s="978">
        <v>2.0299999999999998</v>
      </c>
      <c r="N118" s="1445"/>
      <c r="O118" s="1445">
        <f t="shared" si="3"/>
        <v>0</v>
      </c>
      <c r="P118" s="1445"/>
      <c r="Q118" s="1445">
        <f t="shared" si="4"/>
        <v>0</v>
      </c>
      <c r="R118" s="1445"/>
      <c r="S118" s="1445">
        <f t="shared" si="5"/>
        <v>0</v>
      </c>
    </row>
    <row r="119" spans="1:19" hidden="1">
      <c r="A119" s="21" t="s">
        <v>5144</v>
      </c>
      <c r="B119" s="23" t="s">
        <v>5145</v>
      </c>
      <c r="C119" s="1563" t="s">
        <v>5146</v>
      </c>
      <c r="D119" s="1445" t="s">
        <v>5138</v>
      </c>
      <c r="E119" s="1445">
        <v>48</v>
      </c>
      <c r="F119" s="978">
        <v>1.06</v>
      </c>
      <c r="G119" s="978">
        <v>50.88</v>
      </c>
      <c r="H119" s="978">
        <v>1.3780000000000001</v>
      </c>
      <c r="I119" s="978">
        <v>0</v>
      </c>
      <c r="J119" s="978">
        <v>1.3780000000000001</v>
      </c>
      <c r="K119" s="978">
        <v>1.484</v>
      </c>
      <c r="L119" s="978">
        <v>0</v>
      </c>
      <c r="M119" s="978">
        <v>1.484</v>
      </c>
      <c r="N119" s="1445"/>
      <c r="O119" s="1445">
        <f t="shared" si="3"/>
        <v>0</v>
      </c>
      <c r="P119" s="1445"/>
      <c r="Q119" s="1445">
        <f t="shared" si="4"/>
        <v>0</v>
      </c>
      <c r="R119" s="1445"/>
      <c r="S119" s="1445">
        <f t="shared" si="5"/>
        <v>0</v>
      </c>
    </row>
    <row r="120" spans="1:19" hidden="1">
      <c r="A120" s="21" t="s">
        <v>5147</v>
      </c>
      <c r="B120" s="23" t="s">
        <v>5148</v>
      </c>
      <c r="C120" s="1563" t="s">
        <v>5149</v>
      </c>
      <c r="D120" s="1445" t="s">
        <v>5138</v>
      </c>
      <c r="E120" s="1445">
        <v>48</v>
      </c>
      <c r="F120" s="978">
        <v>1.04</v>
      </c>
      <c r="G120" s="978">
        <v>49.92</v>
      </c>
      <c r="H120" s="978">
        <v>1.3520000000000001</v>
      </c>
      <c r="I120" s="978">
        <v>0</v>
      </c>
      <c r="J120" s="978">
        <v>1.3520000000000001</v>
      </c>
      <c r="K120" s="978">
        <v>1.456</v>
      </c>
      <c r="L120" s="978">
        <v>0</v>
      </c>
      <c r="M120" s="978">
        <v>1.456</v>
      </c>
      <c r="N120" s="1445"/>
      <c r="O120" s="1445">
        <f t="shared" si="3"/>
        <v>0</v>
      </c>
      <c r="P120" s="1445"/>
      <c r="Q120" s="1445">
        <f t="shared" si="4"/>
        <v>0</v>
      </c>
      <c r="R120" s="1445"/>
      <c r="S120" s="1445">
        <f t="shared" si="5"/>
        <v>0</v>
      </c>
    </row>
    <row r="121" spans="1:19" hidden="1">
      <c r="A121" s="21"/>
      <c r="B121" s="23"/>
      <c r="C121" s="1562" t="s">
        <v>5150</v>
      </c>
      <c r="D121" s="1445"/>
      <c r="E121" s="1445"/>
      <c r="F121" s="978"/>
      <c r="G121" s="978"/>
      <c r="H121" s="978"/>
      <c r="I121" s="978"/>
      <c r="J121" s="978"/>
      <c r="K121" s="978"/>
      <c r="L121" s="978"/>
      <c r="M121" s="978"/>
      <c r="N121" s="1445"/>
      <c r="O121" s="1445" t="s">
        <v>65</v>
      </c>
      <c r="P121" s="1445"/>
      <c r="Q121" s="1445" t="s">
        <v>65</v>
      </c>
      <c r="R121" s="1445"/>
      <c r="S121" s="1445">
        <f t="shared" si="5"/>
        <v>0</v>
      </c>
    </row>
    <row r="122" spans="1:19" hidden="1">
      <c r="A122" s="21" t="s">
        <v>5151</v>
      </c>
      <c r="B122" s="23">
        <v>27591072002070</v>
      </c>
      <c r="C122" s="1563" t="s">
        <v>5152</v>
      </c>
      <c r="D122" s="1445" t="s">
        <v>5153</v>
      </c>
      <c r="E122" s="1445">
        <v>12</v>
      </c>
      <c r="F122" s="978">
        <v>2.0219062500000002</v>
      </c>
      <c r="G122" s="978">
        <v>24.262875000000001</v>
      </c>
      <c r="H122" s="978">
        <v>2.6284781250000004</v>
      </c>
      <c r="I122" s="978">
        <v>0.42055650000000006</v>
      </c>
      <c r="J122" s="978">
        <v>3.0490346250000004</v>
      </c>
      <c r="K122" s="978">
        <v>2.8306687500000001</v>
      </c>
      <c r="L122" s="978">
        <v>0.452907</v>
      </c>
      <c r="M122" s="978">
        <v>3.2835757500000002</v>
      </c>
      <c r="N122" s="1445"/>
      <c r="O122" s="1445">
        <f t="shared" si="3"/>
        <v>0</v>
      </c>
      <c r="P122" s="1445"/>
      <c r="Q122" s="1445">
        <f t="shared" si="4"/>
        <v>0</v>
      </c>
      <c r="R122" s="1445"/>
      <c r="S122" s="1445">
        <f t="shared" si="5"/>
        <v>0</v>
      </c>
    </row>
    <row r="123" spans="1:19" hidden="1">
      <c r="A123" s="21" t="s">
        <v>5154</v>
      </c>
      <c r="B123" s="23">
        <v>7591072002083</v>
      </c>
      <c r="C123" s="1563" t="s">
        <v>5155</v>
      </c>
      <c r="D123" s="1445" t="s">
        <v>5153</v>
      </c>
      <c r="E123" s="1445">
        <v>12</v>
      </c>
      <c r="F123" s="978">
        <v>2.0219062500000002</v>
      </c>
      <c r="G123" s="978">
        <v>24.262875000000001</v>
      </c>
      <c r="H123" s="978">
        <v>2.6284781250000004</v>
      </c>
      <c r="I123" s="978">
        <v>0.42055650000000006</v>
      </c>
      <c r="J123" s="978">
        <v>3.0490346250000004</v>
      </c>
      <c r="K123" s="978">
        <v>2.8306687500000001</v>
      </c>
      <c r="L123" s="978">
        <v>0.452907</v>
      </c>
      <c r="M123" s="978">
        <v>3.2835757500000002</v>
      </c>
      <c r="N123" s="1445"/>
      <c r="O123" s="1445">
        <f t="shared" si="3"/>
        <v>0</v>
      </c>
      <c r="P123" s="1445"/>
      <c r="Q123" s="1445">
        <f t="shared" si="4"/>
        <v>0</v>
      </c>
      <c r="R123" s="1445"/>
      <c r="S123" s="1445">
        <f t="shared" si="5"/>
        <v>0</v>
      </c>
    </row>
    <row r="124" spans="1:19" ht="15.75" hidden="1" thickBot="1">
      <c r="A124" s="21" t="s">
        <v>5156</v>
      </c>
      <c r="B124" s="23">
        <v>27591072002063</v>
      </c>
      <c r="C124" s="1563" t="s">
        <v>5157</v>
      </c>
      <c r="D124" s="1445" t="s">
        <v>5153</v>
      </c>
      <c r="E124" s="1445">
        <v>12</v>
      </c>
      <c r="F124" s="978">
        <v>2.0219062500000002</v>
      </c>
      <c r="G124" s="978">
        <v>24.262875000000001</v>
      </c>
      <c r="H124" s="978">
        <v>2.6284781250000004</v>
      </c>
      <c r="I124" s="978">
        <v>0.42055650000000006</v>
      </c>
      <c r="J124" s="978">
        <v>3.0490346250000004</v>
      </c>
      <c r="K124" s="978">
        <v>2.8306687500000001</v>
      </c>
      <c r="L124" s="978">
        <v>0.452907</v>
      </c>
      <c r="M124" s="978">
        <v>3.2835757500000002</v>
      </c>
      <c r="N124" s="1445"/>
      <c r="O124" s="1445">
        <f t="shared" si="3"/>
        <v>0</v>
      </c>
      <c r="P124" s="1445"/>
      <c r="Q124" s="1445">
        <f t="shared" si="4"/>
        <v>0</v>
      </c>
      <c r="R124" s="438"/>
      <c r="S124" s="438">
        <f t="shared" si="5"/>
        <v>0</v>
      </c>
    </row>
    <row r="125" spans="1:19">
      <c r="R125" s="1567" t="s">
        <v>2271</v>
      </c>
      <c r="S125" s="1568">
        <f>SUM(S6:S124)</f>
        <v>606.62630000000001</v>
      </c>
    </row>
    <row r="126" spans="1:19">
      <c r="R126" s="1569" t="s">
        <v>61</v>
      </c>
      <c r="S126" s="1307">
        <f>+S125*16%</f>
        <v>97.060208000000003</v>
      </c>
    </row>
    <row r="127" spans="1:19" ht="30.75" thickBot="1">
      <c r="R127" s="1570" t="s">
        <v>74</v>
      </c>
      <c r="S127" s="1571">
        <f>+S125+S126</f>
        <v>703.686508</v>
      </c>
    </row>
    <row r="130" spans="4:6" ht="15.75" thickBot="1"/>
    <row r="131" spans="4:6" ht="30">
      <c r="D131" s="2294" t="s">
        <v>5168</v>
      </c>
      <c r="E131" s="2294"/>
      <c r="F131" s="1577" t="s">
        <v>5166</v>
      </c>
    </row>
    <row r="132" spans="4:6">
      <c r="F132" s="1574">
        <v>4.33</v>
      </c>
    </row>
    <row r="133" spans="4:6">
      <c r="E133" s="1575" t="s">
        <v>3333</v>
      </c>
      <c r="F133" s="1576" t="s">
        <v>4775</v>
      </c>
    </row>
    <row r="134" spans="4:6">
      <c r="D134" s="1563" t="s">
        <v>5163</v>
      </c>
      <c r="E134" s="1445">
        <v>5.08</v>
      </c>
      <c r="F134" s="978">
        <f>+E134/F$132</f>
        <v>1.1732101616628174</v>
      </c>
    </row>
    <row r="135" spans="4:6" ht="30">
      <c r="D135" s="1447" t="s">
        <v>5164</v>
      </c>
      <c r="E135" s="1445">
        <v>4.9800000000000004</v>
      </c>
      <c r="F135" s="978">
        <f>+E135/F$132</f>
        <v>1.1501154734411085</v>
      </c>
    </row>
    <row r="136" spans="4:6">
      <c r="D136" s="1445" t="s">
        <v>5165</v>
      </c>
      <c r="E136" s="1445">
        <v>5.17</v>
      </c>
      <c r="F136" s="978">
        <f>+E136/F$132</f>
        <v>1.1939953810623556</v>
      </c>
    </row>
    <row r="137" spans="4:6">
      <c r="D137" s="1445" t="s">
        <v>5167</v>
      </c>
      <c r="E137" s="52">
        <f>+F137*F132</f>
        <v>5.1093999999999999</v>
      </c>
      <c r="F137" s="978">
        <v>1.18</v>
      </c>
    </row>
  </sheetData>
  <mergeCells count="1">
    <mergeCell ref="D131:E131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8:E20"/>
  <sheetViews>
    <sheetView workbookViewId="0">
      <selection activeCell="D18" sqref="D18:E20"/>
    </sheetView>
  </sheetViews>
  <sheetFormatPr baseColWidth="10" defaultRowHeight="15"/>
  <cols>
    <col min="4" max="4" width="53.140625" customWidth="1"/>
    <col min="5" max="5" width="17.85546875" customWidth="1"/>
  </cols>
  <sheetData>
    <row r="18" spans="4:5" ht="83.25" customHeight="1">
      <c r="D18" s="1309" t="s">
        <v>4691</v>
      </c>
      <c r="E18" s="39" t="s">
        <v>19</v>
      </c>
    </row>
    <row r="19" spans="4:5">
      <c r="D19" s="21" t="s">
        <v>4690</v>
      </c>
      <c r="E19" s="1309" t="s">
        <v>4689</v>
      </c>
    </row>
    <row r="20" spans="4:5">
      <c r="D20" s="21"/>
      <c r="E20" s="21"/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1"/>
  <sheetViews>
    <sheetView workbookViewId="0">
      <selection activeCell="C30" sqref="C30"/>
    </sheetView>
  </sheetViews>
  <sheetFormatPr baseColWidth="10" defaultRowHeight="15"/>
  <cols>
    <col min="3" max="3" width="45" customWidth="1"/>
    <col min="4" max="4" width="16.140625" customWidth="1"/>
    <col min="5" max="5" width="0" hidden="1" customWidth="1"/>
    <col min="6" max="6" width="15.7109375" hidden="1" customWidth="1"/>
  </cols>
  <sheetData>
    <row r="3" spans="3:6" ht="15.75" thickBot="1"/>
    <row r="4" spans="3:6" ht="102" customHeight="1">
      <c r="C4" s="525" t="s">
        <v>5522</v>
      </c>
      <c r="D4" s="799" t="s">
        <v>19</v>
      </c>
      <c r="E4" s="799" t="s">
        <v>21</v>
      </c>
      <c r="F4" s="1395" t="s">
        <v>690</v>
      </c>
    </row>
    <row r="5" spans="3:6">
      <c r="C5" s="1308" t="s">
        <v>4692</v>
      </c>
      <c r="D5" s="1381" t="s">
        <v>557</v>
      </c>
      <c r="E5" s="1381" t="s">
        <v>557</v>
      </c>
      <c r="F5" s="759"/>
    </row>
    <row r="6" spans="3:6">
      <c r="C6" s="1306" t="s">
        <v>4693</v>
      </c>
      <c r="D6" s="308" t="s">
        <v>4699</v>
      </c>
      <c r="E6" s="1381" t="s">
        <v>557</v>
      </c>
      <c r="F6" s="759"/>
    </row>
    <row r="7" spans="3:6" hidden="1">
      <c r="C7" s="1308" t="s">
        <v>4694</v>
      </c>
      <c r="D7" s="1381"/>
      <c r="E7" s="1381"/>
      <c r="F7" s="759"/>
    </row>
    <row r="8" spans="3:6">
      <c r="C8" s="1306" t="s">
        <v>4695</v>
      </c>
      <c r="D8" s="308" t="s">
        <v>556</v>
      </c>
      <c r="E8" s="1381"/>
      <c r="F8" s="759"/>
    </row>
    <row r="9" spans="3:6">
      <c r="C9" s="1308" t="s">
        <v>4696</v>
      </c>
      <c r="D9" s="1381" t="s">
        <v>557</v>
      </c>
      <c r="E9" s="1381" t="s">
        <v>557</v>
      </c>
      <c r="F9" s="759"/>
    </row>
    <row r="10" spans="3:6">
      <c r="C10" s="1306" t="s">
        <v>4697</v>
      </c>
      <c r="D10" s="308" t="s">
        <v>556</v>
      </c>
      <c r="E10" s="1381" t="s">
        <v>557</v>
      </c>
      <c r="F10" s="759"/>
    </row>
    <row r="11" spans="3:6" ht="15.75" hidden="1" thickBot="1">
      <c r="C11" s="1396" t="s">
        <v>4698</v>
      </c>
      <c r="D11" s="620"/>
      <c r="E11" s="620"/>
      <c r="F11" s="527"/>
    </row>
  </sheetData>
  <pageMargins left="0.7" right="0.7" top="0.75" bottom="0.75" header="0.3" footer="0.3"/>
  <pageSetup paperSize="119" orientation="landscape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3:J12"/>
  <sheetViews>
    <sheetView workbookViewId="0">
      <selection activeCell="E3" sqref="E3:H13"/>
    </sheetView>
  </sheetViews>
  <sheetFormatPr baseColWidth="10" defaultRowHeight="15"/>
  <cols>
    <col min="5" max="5" width="47.85546875" customWidth="1"/>
    <col min="6" max="6" width="16.140625" customWidth="1"/>
    <col min="7" max="7" width="13.5703125" hidden="1" customWidth="1"/>
  </cols>
  <sheetData>
    <row r="3" spans="2:10" ht="123" customHeight="1">
      <c r="B3" s="583" t="s">
        <v>119</v>
      </c>
      <c r="C3" s="583" t="s">
        <v>2633</v>
      </c>
      <c r="D3" s="583" t="s">
        <v>559</v>
      </c>
      <c r="E3" s="1057" t="s">
        <v>5522</v>
      </c>
      <c r="F3" s="309" t="s">
        <v>19</v>
      </c>
      <c r="G3" s="1059" t="s">
        <v>20</v>
      </c>
      <c r="H3" s="378" t="s">
        <v>21</v>
      </c>
      <c r="I3" s="1065" t="s">
        <v>23</v>
      </c>
      <c r="J3" s="582" t="s">
        <v>24</v>
      </c>
    </row>
    <row r="4" spans="2:10" hidden="1">
      <c r="B4" s="583">
        <v>1694</v>
      </c>
      <c r="C4" s="583">
        <v>0</v>
      </c>
      <c r="D4" s="583">
        <v>0</v>
      </c>
      <c r="E4" s="311" t="s">
        <v>2636</v>
      </c>
      <c r="F4" s="1711" t="s">
        <v>557</v>
      </c>
      <c r="G4" s="1711"/>
      <c r="H4" s="1711" t="s">
        <v>65</v>
      </c>
      <c r="I4" s="1064"/>
      <c r="J4" s="583"/>
    </row>
    <row r="5" spans="2:10">
      <c r="B5" s="583">
        <v>1636</v>
      </c>
      <c r="C5" s="583">
        <v>27</v>
      </c>
      <c r="D5" s="583">
        <v>5.92</v>
      </c>
      <c r="E5" s="906" t="s">
        <v>2634</v>
      </c>
      <c r="F5" s="326" t="s">
        <v>556</v>
      </c>
      <c r="G5" s="1711"/>
      <c r="H5" s="1711" t="s">
        <v>557</v>
      </c>
      <c r="I5" s="1064"/>
      <c r="J5" s="583"/>
    </row>
    <row r="6" spans="2:10" hidden="1">
      <c r="B6" s="583">
        <v>1832</v>
      </c>
      <c r="C6" s="583">
        <v>12</v>
      </c>
      <c r="D6" s="583">
        <v>8.4499999999999993</v>
      </c>
      <c r="E6" s="311" t="s">
        <v>2632</v>
      </c>
      <c r="F6" s="1711" t="s">
        <v>65</v>
      </c>
      <c r="G6" s="1711"/>
      <c r="H6" s="1711"/>
      <c r="I6" s="1064"/>
      <c r="J6" s="583"/>
    </row>
    <row r="7" spans="2:10" hidden="1">
      <c r="B7" s="583">
        <v>19343</v>
      </c>
      <c r="C7" s="583">
        <v>12</v>
      </c>
      <c r="D7" s="583">
        <v>3.98</v>
      </c>
      <c r="E7" s="311" t="s">
        <v>2631</v>
      </c>
      <c r="F7" s="1711" t="s">
        <v>65</v>
      </c>
      <c r="G7" s="1711"/>
      <c r="H7" s="1711"/>
      <c r="I7" s="1064"/>
      <c r="J7" s="583"/>
    </row>
    <row r="8" spans="2:10">
      <c r="B8" s="583">
        <v>1741</v>
      </c>
      <c r="C8" s="583">
        <v>20</v>
      </c>
      <c r="D8" s="583">
        <v>5.66</v>
      </c>
      <c r="E8" s="906" t="s">
        <v>2629</v>
      </c>
      <c r="F8" s="326" t="s">
        <v>268</v>
      </c>
      <c r="G8" s="1711"/>
      <c r="H8" s="1711" t="s">
        <v>557</v>
      </c>
      <c r="I8" s="1064"/>
      <c r="J8" s="583"/>
    </row>
    <row r="9" spans="2:10" hidden="1">
      <c r="B9" s="583">
        <v>1742</v>
      </c>
      <c r="C9" s="583">
        <v>15</v>
      </c>
      <c r="D9" s="583">
        <v>11.1</v>
      </c>
      <c r="E9" s="311" t="s">
        <v>2635</v>
      </c>
      <c r="F9" s="1711"/>
      <c r="G9" s="1711"/>
      <c r="H9" s="1711"/>
      <c r="I9" s="1064"/>
      <c r="J9" s="583"/>
    </row>
    <row r="10" spans="2:10">
      <c r="B10" s="583">
        <v>1743</v>
      </c>
      <c r="C10" s="583">
        <v>15</v>
      </c>
      <c r="D10" s="583">
        <v>5.66</v>
      </c>
      <c r="E10" s="906" t="s">
        <v>2630</v>
      </c>
      <c r="F10" s="326" t="s">
        <v>268</v>
      </c>
      <c r="G10" s="1711"/>
      <c r="H10" s="1711" t="s">
        <v>591</v>
      </c>
      <c r="I10" s="1064"/>
      <c r="J10" s="583"/>
    </row>
    <row r="11" spans="2:10" hidden="1">
      <c r="B11" s="583">
        <v>9953</v>
      </c>
      <c r="C11" s="583">
        <v>8</v>
      </c>
      <c r="D11" s="583" t="s">
        <v>65</v>
      </c>
      <c r="E11" s="311" t="s">
        <v>65</v>
      </c>
      <c r="F11" s="21"/>
      <c r="G11" s="21"/>
      <c r="H11" s="21"/>
    </row>
    <row r="12" spans="2:10" hidden="1">
      <c r="D12" s="14">
        <v>5.92</v>
      </c>
      <c r="E12" s="311" t="s">
        <v>2637</v>
      </c>
      <c r="F12" s="21"/>
      <c r="G12" s="21"/>
      <c r="H12" s="21"/>
    </row>
  </sheetData>
  <sortState ref="B5:F21">
    <sortCondition ref="E5:E21"/>
  </sortState>
  <pageMargins left="0.7" right="0.7" top="0.75" bottom="0.75" header="0.3" footer="0.3"/>
  <pageSetup paperSize="119" orientation="landscape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4:H15"/>
  <sheetViews>
    <sheetView workbookViewId="0">
      <selection activeCell="F4" sqref="F4:G6"/>
    </sheetView>
  </sheetViews>
  <sheetFormatPr baseColWidth="10" defaultRowHeight="15"/>
  <cols>
    <col min="6" max="6" width="44" customWidth="1"/>
    <col min="7" max="7" width="15.5703125" style="984" customWidth="1"/>
    <col min="8" max="8" width="0" hidden="1" customWidth="1"/>
  </cols>
  <sheetData>
    <row r="4" spans="2:8" ht="106.5" customHeight="1">
      <c r="B4" s="690" t="s">
        <v>0</v>
      </c>
      <c r="C4" s="690" t="s">
        <v>2842</v>
      </c>
      <c r="D4" s="690" t="s">
        <v>547</v>
      </c>
      <c r="E4" s="1105" t="s">
        <v>3225</v>
      </c>
      <c r="F4" s="1107" t="s">
        <v>5522</v>
      </c>
      <c r="G4" s="378" t="s">
        <v>3820</v>
      </c>
      <c r="H4" s="574" t="s">
        <v>21</v>
      </c>
    </row>
    <row r="5" spans="2:8">
      <c r="B5" s="690">
        <v>2042</v>
      </c>
      <c r="C5" s="690">
        <v>3.6</v>
      </c>
      <c r="D5" s="690">
        <v>3.26</v>
      </c>
      <c r="E5" s="1105">
        <v>217.768</v>
      </c>
      <c r="F5" s="589" t="s">
        <v>3226</v>
      </c>
      <c r="G5" s="297" t="s">
        <v>556</v>
      </c>
      <c r="H5" s="575" t="s">
        <v>557</v>
      </c>
    </row>
    <row r="6" spans="2:8">
      <c r="B6" s="690">
        <v>14466</v>
      </c>
      <c r="C6" s="690">
        <v>12.5</v>
      </c>
      <c r="D6" s="690">
        <v>3.26</v>
      </c>
      <c r="E6" s="1105">
        <v>40.75</v>
      </c>
      <c r="F6" s="589" t="s">
        <v>3227</v>
      </c>
      <c r="G6" s="297" t="s">
        <v>556</v>
      </c>
      <c r="H6" s="575" t="s">
        <v>557</v>
      </c>
    </row>
    <row r="7" spans="2:8" hidden="1">
      <c r="B7" s="690">
        <v>14915</v>
      </c>
      <c r="C7" s="690">
        <v>48.9</v>
      </c>
      <c r="D7" s="690">
        <v>2.95</v>
      </c>
      <c r="E7" s="1105">
        <v>144.255</v>
      </c>
      <c r="F7" s="589" t="s">
        <v>3228</v>
      </c>
      <c r="G7" s="297" t="s">
        <v>65</v>
      </c>
      <c r="H7" s="575" t="s">
        <v>557</v>
      </c>
    </row>
    <row r="8" spans="2:8" ht="14.25" hidden="1" customHeight="1">
      <c r="B8" s="690">
        <v>14916</v>
      </c>
      <c r="C8" s="690">
        <v>22.15</v>
      </c>
      <c r="D8" s="690">
        <v>4.3</v>
      </c>
      <c r="E8" s="1105">
        <v>95.245000000000005</v>
      </c>
      <c r="F8" s="1108" t="s">
        <v>3229</v>
      </c>
      <c r="G8" s="326"/>
      <c r="H8" s="575" t="s">
        <v>65</v>
      </c>
    </row>
    <row r="9" spans="2:8" s="827" customFormat="1" ht="14.25" hidden="1" customHeight="1">
      <c r="B9" s="693"/>
      <c r="C9" s="693"/>
      <c r="D9" s="693"/>
      <c r="E9" s="1105"/>
      <c r="F9" s="1108" t="s">
        <v>3953</v>
      </c>
      <c r="G9" s="326"/>
      <c r="H9" s="575" t="s">
        <v>65</v>
      </c>
    </row>
    <row r="10" spans="2:8" hidden="1">
      <c r="B10" s="690">
        <v>69</v>
      </c>
      <c r="C10" s="690">
        <v>12.3</v>
      </c>
      <c r="D10" s="690">
        <v>3.94</v>
      </c>
      <c r="E10" s="1105">
        <v>48.462000000000003</v>
      </c>
      <c r="F10" s="1108" t="s">
        <v>3230</v>
      </c>
      <c r="G10" s="326"/>
      <c r="H10" s="575" t="s">
        <v>65</v>
      </c>
    </row>
    <row r="11" spans="2:8" hidden="1">
      <c r="F11" s="1108" t="s">
        <v>4686</v>
      </c>
      <c r="G11" s="326"/>
      <c r="H11" s="326" t="s">
        <v>557</v>
      </c>
    </row>
    <row r="12" spans="2:8" hidden="1">
      <c r="F12" s="1108" t="s">
        <v>4687</v>
      </c>
      <c r="G12" s="326"/>
      <c r="H12" s="326" t="s">
        <v>65</v>
      </c>
    </row>
    <row r="13" spans="2:8" hidden="1">
      <c r="F13" s="1108" t="s">
        <v>4688</v>
      </c>
      <c r="G13" s="326"/>
      <c r="H13" s="575" t="s">
        <v>557</v>
      </c>
    </row>
    <row r="14" spans="2:8" hidden="1">
      <c r="G14" s="1310"/>
      <c r="H14" s="1310"/>
    </row>
    <row r="15" spans="2:8" hidden="1"/>
  </sheetData>
  <pageMargins left="0.7" right="0.7" top="0.75" bottom="0.75" header="0.3" footer="0.3"/>
  <pageSetup paperSize="119" orientation="landscape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3:K14"/>
  <sheetViews>
    <sheetView workbookViewId="0">
      <selection activeCell="F3" sqref="F3:H10"/>
    </sheetView>
  </sheetViews>
  <sheetFormatPr baseColWidth="10" defaultRowHeight="15"/>
  <cols>
    <col min="6" max="6" width="40.42578125" customWidth="1"/>
    <col min="7" max="7" width="18.5703125" customWidth="1"/>
  </cols>
  <sheetData>
    <row r="3" spans="2:11" ht="45">
      <c r="B3" s="21" t="s">
        <v>0</v>
      </c>
      <c r="C3" s="21" t="s">
        <v>122</v>
      </c>
      <c r="D3" s="21" t="s">
        <v>547</v>
      </c>
      <c r="E3" s="21" t="s">
        <v>3225</v>
      </c>
      <c r="F3" s="1711" t="s">
        <v>5522</v>
      </c>
      <c r="G3" s="378" t="s">
        <v>19</v>
      </c>
      <c r="H3" s="1069" t="s">
        <v>21</v>
      </c>
      <c r="I3" s="1712" t="s">
        <v>24</v>
      </c>
      <c r="J3" s="25"/>
      <c r="K3" s="25"/>
    </row>
    <row r="4" spans="2:11">
      <c r="B4" s="21">
        <v>3550</v>
      </c>
      <c r="C4" s="21">
        <v>49.05</v>
      </c>
      <c r="D4" s="106">
        <v>5.6</v>
      </c>
      <c r="E4" s="1706">
        <v>274.68</v>
      </c>
      <c r="F4" s="1915" t="s">
        <v>3309</v>
      </c>
      <c r="G4" s="326" t="s">
        <v>556</v>
      </c>
      <c r="H4" s="1070" t="s">
        <v>557</v>
      </c>
      <c r="I4" s="1460"/>
      <c r="J4" s="25"/>
      <c r="K4" s="25"/>
    </row>
    <row r="5" spans="2:11">
      <c r="B5" s="21">
        <v>1631</v>
      </c>
      <c r="C5" s="21">
        <v>48.47</v>
      </c>
      <c r="D5" s="106">
        <v>4.59</v>
      </c>
      <c r="E5" s="1706">
        <v>222.47730000000001</v>
      </c>
      <c r="F5" s="347" t="s">
        <v>3310</v>
      </c>
      <c r="G5" s="326" t="s">
        <v>556</v>
      </c>
      <c r="H5" s="1070" t="s">
        <v>557</v>
      </c>
      <c r="I5" s="1460"/>
      <c r="J5" s="25"/>
      <c r="K5" s="25"/>
    </row>
    <row r="6" spans="2:11" hidden="1">
      <c r="B6" s="21">
        <v>1661</v>
      </c>
      <c r="C6" s="21">
        <v>55.96</v>
      </c>
      <c r="D6" s="106">
        <v>4.97</v>
      </c>
      <c r="E6" s="1706">
        <v>278.12119999999999</v>
      </c>
      <c r="F6" s="347" t="s">
        <v>3311</v>
      </c>
      <c r="G6" s="326"/>
      <c r="H6" s="1070"/>
      <c r="I6" s="1460"/>
      <c r="J6" s="25"/>
      <c r="K6" s="25"/>
    </row>
    <row r="7" spans="2:11" hidden="1">
      <c r="B7" s="21">
        <v>2080</v>
      </c>
      <c r="C7" s="21">
        <v>15.24</v>
      </c>
      <c r="D7" s="106">
        <v>6.35</v>
      </c>
      <c r="E7" s="1706">
        <v>96.774000000000001</v>
      </c>
      <c r="F7" s="347" t="s">
        <v>3312</v>
      </c>
      <c r="G7" s="326"/>
      <c r="H7" s="1070"/>
      <c r="I7" s="1460"/>
      <c r="J7" s="25"/>
      <c r="K7" s="25"/>
    </row>
    <row r="8" spans="2:11">
      <c r="B8" s="25"/>
      <c r="C8" s="25"/>
      <c r="D8" s="25"/>
      <c r="E8" s="1706"/>
      <c r="F8" s="347" t="s">
        <v>5533</v>
      </c>
      <c r="G8" s="326" t="s">
        <v>557</v>
      </c>
      <c r="H8" s="1070" t="s">
        <v>591</v>
      </c>
      <c r="I8" s="25"/>
      <c r="J8" s="25"/>
      <c r="K8" s="25"/>
    </row>
    <row r="9" spans="2:11">
      <c r="B9" s="25"/>
      <c r="C9" s="25"/>
      <c r="D9" s="25"/>
      <c r="E9" s="1706"/>
      <c r="F9" s="347" t="s">
        <v>5534</v>
      </c>
      <c r="G9" s="326" t="s">
        <v>5186</v>
      </c>
      <c r="H9" s="1070" t="s">
        <v>591</v>
      </c>
      <c r="I9" s="25"/>
      <c r="J9" s="25"/>
      <c r="K9" s="25"/>
    </row>
    <row r="10" spans="2:11">
      <c r="B10" s="25"/>
      <c r="C10" s="25"/>
      <c r="D10" s="25"/>
      <c r="E10" s="1706"/>
      <c r="F10" s="347" t="s">
        <v>5535</v>
      </c>
      <c r="G10" s="326" t="s">
        <v>5536</v>
      </c>
      <c r="H10" s="1070" t="s">
        <v>557</v>
      </c>
      <c r="I10" s="25"/>
      <c r="J10" s="25"/>
      <c r="K10" s="25"/>
    </row>
    <row r="11" spans="2:11"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2:11"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2:11"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2:11">
      <c r="B14" s="25"/>
      <c r="C14" s="25"/>
      <c r="D14" s="25"/>
      <c r="E14" s="25"/>
      <c r="F14" s="25"/>
      <c r="G14" s="25"/>
      <c r="H14" s="25"/>
      <c r="I14" s="25"/>
      <c r="J14" s="25"/>
      <c r="K14" s="25"/>
    </row>
  </sheetData>
  <pageMargins left="0.7" right="0.7" top="0.75" bottom="0.75" header="0.3" footer="0.3"/>
  <pageSetup paperSize="9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3:P21"/>
  <sheetViews>
    <sheetView topLeftCell="A3" workbookViewId="0">
      <selection activeCell="E3" sqref="E3:P19"/>
    </sheetView>
  </sheetViews>
  <sheetFormatPr baseColWidth="10" defaultRowHeight="15"/>
  <cols>
    <col min="3" max="3" width="11.42578125" style="581"/>
    <col min="4" max="4" width="11.42578125" style="633"/>
    <col min="5" max="5" width="42.42578125" customWidth="1"/>
    <col min="6" max="6" width="14.85546875" style="581" hidden="1" customWidth="1"/>
    <col min="7" max="10" width="14.85546875" style="633" hidden="1" customWidth="1"/>
    <col min="11" max="11" width="16.140625" style="581" customWidth="1"/>
    <col min="12" max="12" width="14.140625" style="581" hidden="1" customWidth="1"/>
    <col min="13" max="15" width="0" style="581" hidden="1" customWidth="1"/>
    <col min="16" max="16" width="15.140625" customWidth="1"/>
  </cols>
  <sheetData>
    <row r="3" spans="2:16" ht="108" customHeight="1">
      <c r="B3" s="123" t="s">
        <v>119</v>
      </c>
      <c r="C3" s="325" t="s">
        <v>559</v>
      </c>
      <c r="D3" s="646">
        <v>0</v>
      </c>
      <c r="E3" s="1711" t="s">
        <v>5532</v>
      </c>
      <c r="F3" s="1711" t="s">
        <v>2599</v>
      </c>
      <c r="G3" s="1711"/>
      <c r="H3" s="1711" t="s">
        <v>2853</v>
      </c>
      <c r="I3" s="310" t="s">
        <v>2854</v>
      </c>
      <c r="J3" s="310" t="s">
        <v>2855</v>
      </c>
      <c r="K3" s="310" t="s">
        <v>19</v>
      </c>
      <c r="L3" s="310" t="s">
        <v>20</v>
      </c>
      <c r="M3" s="310" t="s">
        <v>21</v>
      </c>
      <c r="N3" s="310" t="s">
        <v>23</v>
      </c>
      <c r="O3" s="310" t="s">
        <v>24</v>
      </c>
      <c r="P3" s="310" t="s">
        <v>21</v>
      </c>
    </row>
    <row r="4" spans="2:16">
      <c r="B4" s="348">
        <v>13678</v>
      </c>
      <c r="C4" s="1709">
        <v>5.72</v>
      </c>
      <c r="D4" s="1914" t="e">
        <f>J4*K4</f>
        <v>#VALUE!</v>
      </c>
      <c r="E4" s="326" t="s">
        <v>2598</v>
      </c>
      <c r="F4" s="326">
        <v>15</v>
      </c>
      <c r="G4" s="326"/>
      <c r="H4" s="326">
        <v>9</v>
      </c>
      <c r="I4" s="326">
        <v>1.9</v>
      </c>
      <c r="J4" s="326">
        <f>H4*I4</f>
        <v>17.099999999999998</v>
      </c>
      <c r="K4" s="326" t="s">
        <v>268</v>
      </c>
      <c r="L4" s="1711"/>
      <c r="M4" s="1711"/>
      <c r="N4" s="1711"/>
      <c r="O4" s="1711"/>
      <c r="P4" s="1711" t="s">
        <v>591</v>
      </c>
    </row>
    <row r="5" spans="2:16">
      <c r="B5" s="348">
        <v>2122</v>
      </c>
      <c r="C5" s="1709">
        <v>5.72</v>
      </c>
      <c r="D5" s="1914" t="e">
        <f t="shared" ref="D5:D17" si="0">J5*K5</f>
        <v>#VALUE!</v>
      </c>
      <c r="E5" s="326" t="s">
        <v>2597</v>
      </c>
      <c r="F5" s="326">
        <v>15</v>
      </c>
      <c r="G5" s="326"/>
      <c r="H5" s="326">
        <v>4</v>
      </c>
      <c r="I5" s="326">
        <v>3.2</v>
      </c>
      <c r="J5" s="326">
        <f t="shared" ref="J5:J19" si="1">H5*I5</f>
        <v>12.8</v>
      </c>
      <c r="K5" s="326" t="s">
        <v>268</v>
      </c>
      <c r="L5" s="1711"/>
      <c r="M5" s="1711"/>
      <c r="N5" s="1711"/>
      <c r="O5" s="1711"/>
      <c r="P5" s="1711" t="s">
        <v>591</v>
      </c>
    </row>
    <row r="6" spans="2:16">
      <c r="B6" s="348">
        <v>1688</v>
      </c>
      <c r="C6" s="1709">
        <v>5.24</v>
      </c>
      <c r="D6" s="1914" t="e">
        <f t="shared" si="0"/>
        <v>#VALUE!</v>
      </c>
      <c r="E6" s="326" t="s">
        <v>2596</v>
      </c>
      <c r="F6" s="326">
        <v>27</v>
      </c>
      <c r="G6" s="326"/>
      <c r="H6" s="326">
        <v>4</v>
      </c>
      <c r="I6" s="326">
        <v>4.5</v>
      </c>
      <c r="J6" s="326">
        <f t="shared" si="1"/>
        <v>18</v>
      </c>
      <c r="K6" s="326" t="s">
        <v>268</v>
      </c>
      <c r="L6" s="1711"/>
      <c r="M6" s="1711"/>
      <c r="N6" s="1711"/>
      <c r="O6" s="1711"/>
      <c r="P6" s="1711" t="s">
        <v>557</v>
      </c>
    </row>
    <row r="7" spans="2:16">
      <c r="B7" s="348">
        <v>1985</v>
      </c>
      <c r="C7" s="1709">
        <v>7.4</v>
      </c>
      <c r="D7" s="1914" t="e">
        <f t="shared" si="0"/>
        <v>#VALUE!</v>
      </c>
      <c r="E7" s="326" t="s">
        <v>2595</v>
      </c>
      <c r="F7" s="326">
        <v>27</v>
      </c>
      <c r="G7" s="326"/>
      <c r="H7" s="326">
        <v>4</v>
      </c>
      <c r="I7" s="326">
        <v>6.5</v>
      </c>
      <c r="J7" s="326">
        <f t="shared" si="1"/>
        <v>26</v>
      </c>
      <c r="K7" s="326" t="s">
        <v>268</v>
      </c>
      <c r="L7" s="1711"/>
      <c r="M7" s="1711"/>
      <c r="N7" s="1711"/>
      <c r="O7" s="1711"/>
      <c r="P7" s="1711" t="s">
        <v>557</v>
      </c>
    </row>
    <row r="8" spans="2:16">
      <c r="B8" s="348">
        <v>12904</v>
      </c>
      <c r="C8" s="1709">
        <v>7.98</v>
      </c>
      <c r="D8" s="1914" t="e">
        <f t="shared" si="0"/>
        <v>#VALUE!</v>
      </c>
      <c r="E8" s="1711" t="s">
        <v>2594</v>
      </c>
      <c r="F8" s="1711">
        <v>9</v>
      </c>
      <c r="G8" s="1711"/>
      <c r="H8" s="1711">
        <v>1</v>
      </c>
      <c r="I8" s="1711">
        <v>4.5999999999999996</v>
      </c>
      <c r="J8" s="1711">
        <f t="shared" si="1"/>
        <v>4.5999999999999996</v>
      </c>
      <c r="K8" s="1711" t="s">
        <v>556</v>
      </c>
      <c r="L8" s="1711"/>
      <c r="M8" s="1711"/>
      <c r="N8" s="1711"/>
      <c r="O8" s="1711"/>
      <c r="P8" s="1711" t="s">
        <v>591</v>
      </c>
    </row>
    <row r="9" spans="2:16">
      <c r="B9" s="348">
        <v>12905</v>
      </c>
      <c r="C9" s="1709">
        <v>4.1100000000000003</v>
      </c>
      <c r="D9" s="1914" t="e">
        <f t="shared" si="0"/>
        <v>#VALUE!</v>
      </c>
      <c r="E9" s="326" t="s">
        <v>2593</v>
      </c>
      <c r="F9" s="326">
        <v>15</v>
      </c>
      <c r="G9" s="326"/>
      <c r="H9" s="326">
        <v>4</v>
      </c>
      <c r="I9" s="326">
        <v>3.4</v>
      </c>
      <c r="J9" s="326">
        <f t="shared" si="1"/>
        <v>13.6</v>
      </c>
      <c r="K9" s="326" t="s">
        <v>268</v>
      </c>
      <c r="L9" s="1711"/>
      <c r="M9" s="1711"/>
      <c r="N9" s="1711"/>
      <c r="O9" s="1711"/>
      <c r="P9" s="1711" t="s">
        <v>557</v>
      </c>
    </row>
    <row r="10" spans="2:16" hidden="1">
      <c r="B10" s="348">
        <v>19749</v>
      </c>
      <c r="C10" s="1709">
        <v>8.9600000000000009</v>
      </c>
      <c r="D10" s="1914">
        <f t="shared" si="0"/>
        <v>0</v>
      </c>
      <c r="E10" s="1711" t="s">
        <v>2592</v>
      </c>
      <c r="F10" s="1711" t="s">
        <v>2600</v>
      </c>
      <c r="G10" s="1711"/>
      <c r="H10" s="1711">
        <v>1</v>
      </c>
      <c r="I10" s="1711">
        <v>1.2</v>
      </c>
      <c r="J10" s="1711">
        <f t="shared" si="1"/>
        <v>1.2</v>
      </c>
      <c r="K10" s="1711">
        <v>0</v>
      </c>
      <c r="L10" s="1711"/>
      <c r="M10" s="1711"/>
      <c r="N10" s="1711"/>
      <c r="O10" s="1711"/>
      <c r="P10" s="1711" t="s">
        <v>591</v>
      </c>
    </row>
    <row r="11" spans="2:16">
      <c r="B11" s="348">
        <v>1774</v>
      </c>
      <c r="C11" s="1709">
        <v>6.74</v>
      </c>
      <c r="D11" s="1914" t="e">
        <f t="shared" si="0"/>
        <v>#VALUE!</v>
      </c>
      <c r="E11" s="1711" t="s">
        <v>2591</v>
      </c>
      <c r="F11" s="1711">
        <v>20</v>
      </c>
      <c r="G11" s="1711"/>
      <c r="H11" s="1711">
        <v>9</v>
      </c>
      <c r="I11" s="1711">
        <v>2.2000000000000002</v>
      </c>
      <c r="J11" s="1711">
        <f t="shared" si="1"/>
        <v>19.8</v>
      </c>
      <c r="K11" s="1711" t="s">
        <v>556</v>
      </c>
      <c r="L11" s="1711"/>
      <c r="M11" s="1711"/>
      <c r="N11" s="1711"/>
      <c r="O11" s="1711"/>
      <c r="P11" s="1711" t="s">
        <v>591</v>
      </c>
    </row>
    <row r="12" spans="2:16">
      <c r="B12" s="348">
        <v>1845</v>
      </c>
      <c r="C12" s="1709">
        <v>6.34</v>
      </c>
      <c r="D12" s="1914" t="e">
        <f t="shared" si="0"/>
        <v>#VALUE!</v>
      </c>
      <c r="E12" s="326" t="s">
        <v>2590</v>
      </c>
      <c r="F12" s="326">
        <v>27</v>
      </c>
      <c r="G12" s="326"/>
      <c r="H12" s="326">
        <v>6</v>
      </c>
      <c r="I12" s="326">
        <v>4.0999999999999996</v>
      </c>
      <c r="J12" s="326">
        <f t="shared" si="1"/>
        <v>24.599999999999998</v>
      </c>
      <c r="K12" s="326" t="s">
        <v>268</v>
      </c>
      <c r="L12" s="1711"/>
      <c r="M12" s="1711"/>
      <c r="N12" s="1711"/>
      <c r="O12" s="1711"/>
      <c r="P12" s="1711" t="s">
        <v>557</v>
      </c>
    </row>
    <row r="13" spans="2:16" hidden="1">
      <c r="B13" s="348">
        <v>1716</v>
      </c>
      <c r="C13" s="1709">
        <v>9.02</v>
      </c>
      <c r="D13" s="1914">
        <f t="shared" si="0"/>
        <v>0</v>
      </c>
      <c r="E13" s="311" t="s">
        <v>2589</v>
      </c>
      <c r="F13" s="1711" t="s">
        <v>2600</v>
      </c>
      <c r="G13" s="1711"/>
      <c r="H13" s="1711">
        <v>1</v>
      </c>
      <c r="I13" s="1711">
        <v>1.2</v>
      </c>
      <c r="J13" s="1711">
        <f t="shared" si="1"/>
        <v>1.2</v>
      </c>
      <c r="K13" s="1711"/>
      <c r="L13" s="1711"/>
      <c r="M13" s="1711"/>
      <c r="N13" s="1711"/>
      <c r="O13" s="1711"/>
      <c r="P13" s="1711" t="s">
        <v>591</v>
      </c>
    </row>
    <row r="14" spans="2:16" hidden="1">
      <c r="B14" s="348">
        <v>1779</v>
      </c>
      <c r="C14" s="1709">
        <v>7.05</v>
      </c>
      <c r="D14" s="1914">
        <f t="shared" si="0"/>
        <v>0</v>
      </c>
      <c r="E14" s="311" t="s">
        <v>2588</v>
      </c>
      <c r="F14" s="1711" t="s">
        <v>2601</v>
      </c>
      <c r="G14" s="1711"/>
      <c r="H14" s="1711">
        <v>15</v>
      </c>
      <c r="I14" s="1711">
        <v>0</v>
      </c>
      <c r="J14" s="1711">
        <f t="shared" si="1"/>
        <v>0</v>
      </c>
      <c r="K14" s="1711">
        <v>0</v>
      </c>
      <c r="L14" s="1711"/>
      <c r="M14" s="1711"/>
      <c r="N14" s="1711"/>
      <c r="O14" s="1711"/>
      <c r="P14" s="1711" t="s">
        <v>591</v>
      </c>
    </row>
    <row r="15" spans="2:16" hidden="1">
      <c r="B15" s="348">
        <v>5190</v>
      </c>
      <c r="C15" s="1709">
        <v>7.05</v>
      </c>
      <c r="D15" s="1914">
        <f t="shared" si="0"/>
        <v>0</v>
      </c>
      <c r="E15" s="311" t="s">
        <v>2587</v>
      </c>
      <c r="F15" s="1711" t="s">
        <v>2601</v>
      </c>
      <c r="G15" s="1711"/>
      <c r="H15" s="1711">
        <v>15</v>
      </c>
      <c r="I15" s="1711">
        <v>0</v>
      </c>
      <c r="J15" s="1711">
        <f t="shared" si="1"/>
        <v>0</v>
      </c>
      <c r="K15" s="1711">
        <v>0</v>
      </c>
      <c r="L15" s="1711"/>
      <c r="M15" s="1711"/>
      <c r="N15" s="1711"/>
      <c r="O15" s="1711"/>
      <c r="P15" s="1711" t="s">
        <v>591</v>
      </c>
    </row>
    <row r="16" spans="2:16" hidden="1">
      <c r="B16" s="348">
        <v>1773</v>
      </c>
      <c r="C16" s="1709">
        <v>9.9</v>
      </c>
      <c r="D16" s="1914">
        <f t="shared" si="0"/>
        <v>0</v>
      </c>
      <c r="E16" s="311" t="s">
        <v>2586</v>
      </c>
      <c r="F16" s="1711" t="s">
        <v>2600</v>
      </c>
      <c r="G16" s="1711"/>
      <c r="H16" s="1711">
        <v>1</v>
      </c>
      <c r="I16" s="1711">
        <v>1.2</v>
      </c>
      <c r="J16" s="1711">
        <f t="shared" si="1"/>
        <v>1.2</v>
      </c>
      <c r="K16" s="1711"/>
      <c r="L16" s="1711"/>
      <c r="M16" s="1711"/>
      <c r="N16" s="1711"/>
      <c r="O16" s="1711"/>
      <c r="P16" s="1711" t="s">
        <v>591</v>
      </c>
    </row>
    <row r="17" spans="2:16">
      <c r="B17" s="348">
        <v>1917</v>
      </c>
      <c r="C17" s="1709">
        <v>4.78</v>
      </c>
      <c r="D17" s="1914" t="e">
        <f t="shared" si="0"/>
        <v>#VALUE!</v>
      </c>
      <c r="E17" s="906" t="s">
        <v>2585</v>
      </c>
      <c r="F17" s="326" t="s">
        <v>2602</v>
      </c>
      <c r="G17" s="326"/>
      <c r="H17" s="326">
        <v>18</v>
      </c>
      <c r="I17" s="326">
        <v>0</v>
      </c>
      <c r="J17" s="326">
        <f t="shared" si="1"/>
        <v>0</v>
      </c>
      <c r="K17" s="326" t="s">
        <v>556</v>
      </c>
      <c r="L17" s="1711"/>
      <c r="M17" s="1711"/>
      <c r="N17" s="1711"/>
      <c r="O17" s="1711"/>
      <c r="P17" s="1711" t="s">
        <v>591</v>
      </c>
    </row>
    <row r="18" spans="2:16">
      <c r="B18" s="348">
        <v>1965</v>
      </c>
      <c r="C18" s="1709">
        <v>4.78</v>
      </c>
      <c r="D18" s="1914" t="e">
        <f>K18*H18</f>
        <v>#VALUE!</v>
      </c>
      <c r="E18" s="906" t="s">
        <v>2584</v>
      </c>
      <c r="F18" s="326" t="s">
        <v>2602</v>
      </c>
      <c r="G18" s="326"/>
      <c r="H18" s="326">
        <v>18</v>
      </c>
      <c r="I18" s="326">
        <v>0</v>
      </c>
      <c r="J18" s="326">
        <f t="shared" si="1"/>
        <v>0</v>
      </c>
      <c r="K18" s="326" t="s">
        <v>556</v>
      </c>
      <c r="L18" s="1711"/>
      <c r="M18" s="1711"/>
      <c r="N18" s="1711"/>
      <c r="O18" s="1711"/>
      <c r="P18" s="1711" t="s">
        <v>591</v>
      </c>
    </row>
    <row r="19" spans="2:16">
      <c r="B19" s="348">
        <v>1911</v>
      </c>
      <c r="C19" s="1709">
        <v>4.78</v>
      </c>
      <c r="D19" s="1914" t="e">
        <f>K19*H19</f>
        <v>#VALUE!</v>
      </c>
      <c r="E19" s="906" t="s">
        <v>2583</v>
      </c>
      <c r="F19" s="326" t="s">
        <v>2602</v>
      </c>
      <c r="G19" s="326"/>
      <c r="H19" s="326">
        <v>18</v>
      </c>
      <c r="I19" s="326">
        <v>0</v>
      </c>
      <c r="J19" s="326">
        <f t="shared" si="1"/>
        <v>0</v>
      </c>
      <c r="K19" s="326" t="s">
        <v>556</v>
      </c>
      <c r="L19" s="1711"/>
      <c r="M19" s="1711"/>
      <c r="N19" s="1711"/>
      <c r="O19" s="1711"/>
      <c r="P19" s="1711" t="s">
        <v>591</v>
      </c>
    </row>
    <row r="20" spans="2:16">
      <c r="B20" s="404"/>
      <c r="E20" s="404"/>
    </row>
    <row r="21" spans="2:16">
      <c r="B21" s="404"/>
      <c r="E21" s="404"/>
    </row>
  </sheetData>
  <pageMargins left="0.7" right="0.7" top="0.75" bottom="0.75" header="0.3" footer="0.3"/>
  <pageSetup paperSize="119" orientation="landscape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3:I96"/>
  <sheetViews>
    <sheetView topLeftCell="A13" workbookViewId="0">
      <selection activeCell="G79" sqref="G79"/>
    </sheetView>
  </sheetViews>
  <sheetFormatPr baseColWidth="10" defaultRowHeight="15"/>
  <cols>
    <col min="3" max="3" width="49.7109375" customWidth="1"/>
    <col min="4" max="4" width="11.42578125" hidden="1" customWidth="1"/>
    <col min="5" max="5" width="16.42578125" style="639" customWidth="1"/>
    <col min="6" max="6" width="13.28515625" style="639" hidden="1" customWidth="1"/>
    <col min="7" max="9" width="11.42578125" style="639"/>
  </cols>
  <sheetData>
    <row r="3" spans="2:9" s="692" customFormat="1">
      <c r="E3" s="719"/>
      <c r="F3" s="719"/>
      <c r="G3" s="719"/>
      <c r="H3" s="719"/>
      <c r="I3" s="719"/>
    </row>
    <row r="4" spans="2:9" s="123" customFormat="1" ht="59.25" customHeight="1">
      <c r="B4" s="311" t="s">
        <v>3318</v>
      </c>
      <c r="C4" s="1711" t="s">
        <v>5521</v>
      </c>
      <c r="D4" s="311" t="s">
        <v>2647</v>
      </c>
      <c r="E4" s="310" t="s">
        <v>19</v>
      </c>
      <c r="F4" s="310" t="s">
        <v>20</v>
      </c>
      <c r="G4" s="310" t="s">
        <v>1132</v>
      </c>
      <c r="H4" s="1101" t="s">
        <v>3124</v>
      </c>
      <c r="I4" s="342" t="s">
        <v>68</v>
      </c>
    </row>
    <row r="5" spans="2:9" s="123" customFormat="1">
      <c r="B5" s="311">
        <v>9056</v>
      </c>
      <c r="C5" s="311" t="s">
        <v>3402</v>
      </c>
      <c r="D5" s="578"/>
      <c r="E5" s="1711"/>
      <c r="F5" s="1711"/>
      <c r="G5" s="1711"/>
      <c r="H5" s="325"/>
      <c r="I5" s="325"/>
    </row>
    <row r="6" spans="2:9" s="123" customFormat="1">
      <c r="B6" s="311">
        <v>13372</v>
      </c>
      <c r="C6" s="311" t="s">
        <v>2495</v>
      </c>
      <c r="D6" s="578"/>
      <c r="E6" s="1711"/>
      <c r="F6" s="1711"/>
      <c r="G6" s="1711"/>
      <c r="H6" s="325"/>
      <c r="I6" s="325"/>
    </row>
    <row r="7" spans="2:9" s="123" customFormat="1">
      <c r="B7" s="311">
        <v>1777</v>
      </c>
      <c r="C7" s="311" t="s">
        <v>2496</v>
      </c>
      <c r="D7" s="578"/>
      <c r="E7" s="1711"/>
      <c r="F7" s="1711"/>
      <c r="G7" s="1711"/>
      <c r="H7" s="325"/>
      <c r="I7" s="325"/>
    </row>
    <row r="8" spans="2:9" s="123" customFormat="1">
      <c r="B8" s="311">
        <v>8653</v>
      </c>
      <c r="C8" s="311" t="s">
        <v>2497</v>
      </c>
      <c r="D8" s="578"/>
      <c r="E8" s="1711"/>
      <c r="F8" s="1711"/>
      <c r="G8" s="1711"/>
      <c r="H8" s="325"/>
      <c r="I8" s="325"/>
    </row>
    <row r="9" spans="2:9" s="123" customFormat="1">
      <c r="B9" s="311">
        <v>10089</v>
      </c>
      <c r="C9" s="311" t="s">
        <v>3703</v>
      </c>
      <c r="D9" s="578"/>
      <c r="E9" s="1711"/>
      <c r="F9" s="1711"/>
      <c r="G9" s="1711"/>
      <c r="H9" s="325"/>
      <c r="I9" s="325"/>
    </row>
    <row r="10" spans="2:9" s="123" customFormat="1">
      <c r="B10" s="311">
        <v>9971</v>
      </c>
      <c r="C10" s="311" t="s">
        <v>3125</v>
      </c>
      <c r="D10" s="578"/>
      <c r="E10" s="1711"/>
      <c r="F10" s="1711"/>
      <c r="G10" s="1711"/>
      <c r="H10" s="325"/>
      <c r="I10" s="325"/>
    </row>
    <row r="11" spans="2:9" s="123" customFormat="1">
      <c r="B11" s="311">
        <v>3509</v>
      </c>
      <c r="C11" s="311" t="s">
        <v>2498</v>
      </c>
      <c r="D11" s="578"/>
      <c r="E11" s="1711"/>
      <c r="F11" s="1711"/>
      <c r="G11" s="1711"/>
      <c r="H11" s="325"/>
      <c r="I11" s="325"/>
    </row>
    <row r="12" spans="2:9" s="123" customFormat="1">
      <c r="B12" s="311">
        <v>762</v>
      </c>
      <c r="C12" s="311" t="s">
        <v>2499</v>
      </c>
      <c r="D12" s="578"/>
      <c r="E12" s="1711" t="s">
        <v>65</v>
      </c>
      <c r="F12" s="1711" t="s">
        <v>591</v>
      </c>
      <c r="G12" s="1711" t="s">
        <v>65</v>
      </c>
      <c r="H12" s="325"/>
      <c r="I12" s="325"/>
    </row>
    <row r="13" spans="2:9" s="123" customFormat="1">
      <c r="B13" s="107">
        <v>3200</v>
      </c>
      <c r="C13" s="107" t="s">
        <v>2500</v>
      </c>
      <c r="D13" s="1913"/>
      <c r="E13" s="430">
        <v>0</v>
      </c>
      <c r="F13" s="1711" t="s">
        <v>557</v>
      </c>
      <c r="G13" s="1711" t="s">
        <v>3257</v>
      </c>
      <c r="H13" s="325"/>
      <c r="I13" s="325"/>
    </row>
    <row r="14" spans="2:9" s="123" customFormat="1">
      <c r="B14" s="107">
        <v>22</v>
      </c>
      <c r="C14" s="107" t="s">
        <v>2501</v>
      </c>
      <c r="D14" s="1913"/>
      <c r="E14" s="2111" t="s">
        <v>268</v>
      </c>
      <c r="F14" s="1711" t="s">
        <v>557</v>
      </c>
      <c r="G14" s="1711" t="s">
        <v>65</v>
      </c>
      <c r="H14" s="325"/>
      <c r="I14" s="325"/>
    </row>
    <row r="15" spans="2:9" s="123" customFormat="1">
      <c r="B15" s="311">
        <v>1943</v>
      </c>
      <c r="C15" s="311" t="s">
        <v>2789</v>
      </c>
      <c r="D15" s="578"/>
      <c r="E15" s="1711"/>
      <c r="F15" s="1711"/>
      <c r="G15" s="1711" t="s">
        <v>557</v>
      </c>
      <c r="H15" s="325"/>
      <c r="I15" s="325"/>
    </row>
    <row r="16" spans="2:9" s="123" customFormat="1">
      <c r="B16" s="311">
        <v>5903</v>
      </c>
      <c r="C16" s="311" t="s">
        <v>2317</v>
      </c>
      <c r="D16" s="578"/>
      <c r="E16" s="1711" t="s">
        <v>65</v>
      </c>
      <c r="F16" s="1711"/>
      <c r="G16" s="1711"/>
      <c r="H16" s="325"/>
      <c r="I16" s="325"/>
    </row>
    <row r="17" spans="2:9" s="123" customFormat="1">
      <c r="B17" s="107">
        <v>5380</v>
      </c>
      <c r="C17" s="107" t="s">
        <v>2502</v>
      </c>
      <c r="D17" s="1913"/>
      <c r="E17" s="2111" t="s">
        <v>5777</v>
      </c>
      <c r="F17" s="1711" t="s">
        <v>557</v>
      </c>
      <c r="G17" s="1711" t="s">
        <v>557</v>
      </c>
      <c r="H17" s="325"/>
      <c r="I17" s="325"/>
    </row>
    <row r="18" spans="2:9" s="123" customFormat="1">
      <c r="B18" s="311">
        <v>4474</v>
      </c>
      <c r="C18" s="311" t="s">
        <v>2503</v>
      </c>
      <c r="D18" s="578"/>
      <c r="E18" s="1711" t="s">
        <v>591</v>
      </c>
      <c r="F18" s="1711" t="s">
        <v>591</v>
      </c>
      <c r="G18" s="1711"/>
      <c r="H18" s="325"/>
      <c r="I18" s="325"/>
    </row>
    <row r="19" spans="2:9" s="123" customFormat="1">
      <c r="B19" s="311">
        <v>12356</v>
      </c>
      <c r="C19" s="311" t="s">
        <v>3126</v>
      </c>
      <c r="D19" s="578"/>
      <c r="E19" s="1711"/>
      <c r="F19" s="1711"/>
      <c r="G19" s="1711"/>
      <c r="H19" s="325"/>
      <c r="I19" s="325"/>
    </row>
    <row r="20" spans="2:9" s="123" customFormat="1">
      <c r="B20" s="107">
        <v>1662</v>
      </c>
      <c r="C20" s="107" t="s">
        <v>2504</v>
      </c>
      <c r="D20" s="1913"/>
      <c r="E20" s="2111" t="s">
        <v>243</v>
      </c>
      <c r="F20" s="1711" t="s">
        <v>557</v>
      </c>
      <c r="G20" s="1711" t="s">
        <v>3257</v>
      </c>
      <c r="H20" s="325"/>
      <c r="I20" s="325"/>
    </row>
    <row r="21" spans="2:9" s="123" customFormat="1">
      <c r="B21" s="107">
        <v>1650</v>
      </c>
      <c r="C21" s="107" t="s">
        <v>2505</v>
      </c>
      <c r="D21" s="1913"/>
      <c r="E21" s="2111" t="s">
        <v>243</v>
      </c>
      <c r="F21" s="1711" t="s">
        <v>591</v>
      </c>
      <c r="G21" s="1711" t="s">
        <v>3257</v>
      </c>
      <c r="H21" s="325"/>
      <c r="I21" s="325"/>
    </row>
    <row r="22" spans="2:9" s="123" customFormat="1">
      <c r="B22" s="107">
        <v>1644</v>
      </c>
      <c r="C22" s="107" t="s">
        <v>2506</v>
      </c>
      <c r="D22" s="1913"/>
      <c r="E22" s="2111" t="s">
        <v>1318</v>
      </c>
      <c r="F22" s="1711" t="s">
        <v>591</v>
      </c>
      <c r="G22" s="1711" t="s">
        <v>557</v>
      </c>
      <c r="H22" s="325"/>
      <c r="I22" s="325"/>
    </row>
    <row r="23" spans="2:9" s="123" customFormat="1">
      <c r="B23" s="311">
        <v>1655</v>
      </c>
      <c r="C23" s="311" t="s">
        <v>2507</v>
      </c>
      <c r="D23" s="578"/>
      <c r="E23" s="1711" t="s">
        <v>1318</v>
      </c>
      <c r="F23" s="1711" t="s">
        <v>591</v>
      </c>
      <c r="G23" s="1711" t="s">
        <v>65</v>
      </c>
      <c r="H23" s="325"/>
      <c r="I23" s="325"/>
    </row>
    <row r="24" spans="2:9" s="123" customFormat="1">
      <c r="B24" s="311">
        <v>14056</v>
      </c>
      <c r="C24" s="311" t="s">
        <v>2508</v>
      </c>
      <c r="D24" s="578"/>
      <c r="E24" s="1711" t="s">
        <v>4685</v>
      </c>
      <c r="F24" s="1711" t="s">
        <v>557</v>
      </c>
      <c r="G24" s="1711" t="s">
        <v>4685</v>
      </c>
      <c r="H24" s="325"/>
      <c r="I24" s="325"/>
    </row>
    <row r="25" spans="2:9" s="123" customFormat="1">
      <c r="B25" s="311">
        <v>756</v>
      </c>
      <c r="C25" s="311" t="s">
        <v>2509</v>
      </c>
      <c r="D25" s="578"/>
      <c r="E25" s="1711"/>
      <c r="F25" s="1711" t="s">
        <v>557</v>
      </c>
      <c r="G25" s="1711"/>
      <c r="H25" s="325"/>
      <c r="I25" s="325"/>
    </row>
    <row r="26" spans="2:9" s="123" customFormat="1">
      <c r="B26" s="311">
        <v>6522</v>
      </c>
      <c r="C26" s="311" t="s">
        <v>2510</v>
      </c>
      <c r="D26" s="578"/>
      <c r="E26" s="1711"/>
      <c r="F26" s="1711" t="s">
        <v>557</v>
      </c>
      <c r="G26" s="1711"/>
      <c r="H26" s="325"/>
      <c r="I26" s="325"/>
    </row>
    <row r="27" spans="2:9" s="123" customFormat="1">
      <c r="B27" s="311">
        <v>9111</v>
      </c>
      <c r="C27" s="311" t="s">
        <v>2511</v>
      </c>
      <c r="D27" s="578"/>
      <c r="E27" s="1711" t="s">
        <v>4685</v>
      </c>
      <c r="F27" s="1711" t="s">
        <v>591</v>
      </c>
      <c r="G27" s="1711" t="s">
        <v>4685</v>
      </c>
      <c r="H27" s="325"/>
      <c r="I27" s="325"/>
    </row>
    <row r="28" spans="2:9" s="123" customFormat="1">
      <c r="B28" s="107">
        <v>3364</v>
      </c>
      <c r="C28" s="107" t="s">
        <v>2512</v>
      </c>
      <c r="D28" s="1913"/>
      <c r="E28" s="430">
        <v>0</v>
      </c>
      <c r="F28" s="1711" t="s">
        <v>557</v>
      </c>
      <c r="G28" s="1711">
        <v>0</v>
      </c>
      <c r="H28" s="325"/>
      <c r="I28" s="325"/>
    </row>
    <row r="29" spans="2:9" s="123" customFormat="1">
      <c r="B29" s="311">
        <v>42</v>
      </c>
      <c r="C29" s="311" t="s">
        <v>3127</v>
      </c>
      <c r="D29" s="578"/>
      <c r="E29" s="1711"/>
      <c r="F29" s="1711"/>
      <c r="G29" s="1711"/>
      <c r="H29" s="325"/>
      <c r="I29" s="325"/>
    </row>
    <row r="30" spans="2:9" s="123" customFormat="1">
      <c r="B30" s="311">
        <v>1671</v>
      </c>
      <c r="C30" s="311" t="s">
        <v>3704</v>
      </c>
      <c r="D30" s="578"/>
      <c r="E30" s="1711"/>
      <c r="F30" s="1711"/>
      <c r="G30" s="1711"/>
      <c r="H30" s="325"/>
      <c r="I30" s="325"/>
    </row>
    <row r="31" spans="2:9" s="123" customFormat="1">
      <c r="B31" s="311">
        <v>1805</v>
      </c>
      <c r="C31" s="311" t="s">
        <v>3122</v>
      </c>
      <c r="D31" s="578"/>
      <c r="E31" s="1711" t="s">
        <v>4685</v>
      </c>
      <c r="F31" s="1711"/>
      <c r="G31" s="1711" t="s">
        <v>3257</v>
      </c>
      <c r="H31" s="325"/>
      <c r="I31" s="325"/>
    </row>
    <row r="32" spans="2:9" s="123" customFormat="1">
      <c r="B32" s="311">
        <v>6498</v>
      </c>
      <c r="C32" s="311" t="s">
        <v>2513</v>
      </c>
      <c r="D32" s="578"/>
      <c r="E32" s="1711"/>
      <c r="F32" s="1711"/>
      <c r="G32" s="1711"/>
      <c r="H32" s="325"/>
      <c r="I32" s="325"/>
    </row>
    <row r="33" spans="2:9" s="123" customFormat="1">
      <c r="B33" s="107">
        <v>10584</v>
      </c>
      <c r="C33" s="107" t="s">
        <v>2514</v>
      </c>
      <c r="D33" s="1913"/>
      <c r="E33" s="2111" t="s">
        <v>3997</v>
      </c>
      <c r="F33" s="1711"/>
      <c r="G33" s="1711">
        <v>0</v>
      </c>
      <c r="H33" s="325"/>
      <c r="I33" s="325"/>
    </row>
    <row r="34" spans="2:9" s="123" customFormat="1">
      <c r="B34" s="311">
        <v>11293</v>
      </c>
      <c r="C34" s="311" t="s">
        <v>2515</v>
      </c>
      <c r="D34" s="578"/>
      <c r="E34" s="1711"/>
      <c r="F34" s="1711"/>
      <c r="G34" s="1711"/>
      <c r="H34" s="325"/>
      <c r="I34" s="325"/>
    </row>
    <row r="35" spans="2:9" s="123" customFormat="1">
      <c r="B35" s="311">
        <v>1666</v>
      </c>
      <c r="C35" s="311" t="s">
        <v>3705</v>
      </c>
      <c r="D35" s="578"/>
      <c r="E35" s="1711"/>
      <c r="F35" s="1711"/>
      <c r="G35" s="1711"/>
      <c r="H35" s="325"/>
      <c r="I35" s="325"/>
    </row>
    <row r="36" spans="2:9" s="123" customFormat="1">
      <c r="B36" s="107">
        <v>3461</v>
      </c>
      <c r="C36" s="107" t="s">
        <v>2516</v>
      </c>
      <c r="D36" s="1913"/>
      <c r="E36" s="2111" t="s">
        <v>3997</v>
      </c>
      <c r="F36" s="1711"/>
      <c r="G36" s="1711" t="s">
        <v>4685</v>
      </c>
      <c r="H36" s="325"/>
      <c r="I36" s="325"/>
    </row>
    <row r="37" spans="2:9" s="123" customFormat="1">
      <c r="B37" s="311">
        <v>3462</v>
      </c>
      <c r="C37" s="311" t="s">
        <v>3128</v>
      </c>
      <c r="D37" s="578"/>
      <c r="E37" s="1711"/>
      <c r="F37" s="1711"/>
      <c r="G37" s="1711"/>
      <c r="H37" s="325"/>
      <c r="I37" s="325"/>
    </row>
    <row r="38" spans="2:9" s="123" customFormat="1">
      <c r="B38" s="311">
        <v>1733</v>
      </c>
      <c r="C38" s="311" t="s">
        <v>3706</v>
      </c>
      <c r="D38" s="578"/>
      <c r="E38" s="1711"/>
      <c r="F38" s="1711"/>
      <c r="G38" s="1711"/>
      <c r="H38" s="325"/>
      <c r="I38" s="325"/>
    </row>
    <row r="39" spans="2:9" s="123" customFormat="1">
      <c r="B39" s="311">
        <v>14792</v>
      </c>
      <c r="C39" s="311" t="s">
        <v>2517</v>
      </c>
      <c r="D39" s="578"/>
      <c r="E39" s="1711"/>
      <c r="F39" s="1711"/>
      <c r="G39" s="1711"/>
      <c r="H39" s="325"/>
      <c r="I39" s="325"/>
    </row>
    <row r="40" spans="2:9" s="123" customFormat="1">
      <c r="B40" s="107">
        <v>1709</v>
      </c>
      <c r="C40" s="107" t="s">
        <v>2518</v>
      </c>
      <c r="D40" s="1913"/>
      <c r="E40" s="430">
        <v>0</v>
      </c>
      <c r="F40" s="1711" t="s">
        <v>3721</v>
      </c>
      <c r="G40" s="1711" t="s">
        <v>3257</v>
      </c>
      <c r="H40" s="325"/>
      <c r="I40" s="325"/>
    </row>
    <row r="41" spans="2:9" s="123" customFormat="1">
      <c r="B41" s="107">
        <v>8247</v>
      </c>
      <c r="C41" s="107" t="s">
        <v>2519</v>
      </c>
      <c r="D41" s="1913"/>
      <c r="E41" s="2111" t="s">
        <v>3997</v>
      </c>
      <c r="F41" s="1711"/>
      <c r="G41" s="1711">
        <v>0</v>
      </c>
      <c r="H41" s="325"/>
      <c r="I41" s="325"/>
    </row>
    <row r="42" spans="2:9" s="123" customFormat="1">
      <c r="B42" s="311">
        <v>1708</v>
      </c>
      <c r="C42" s="311" t="s">
        <v>2520</v>
      </c>
      <c r="D42" s="578"/>
      <c r="E42" s="1711" t="s">
        <v>591</v>
      </c>
      <c r="F42" s="1711"/>
      <c r="G42" s="1711" t="s">
        <v>3257</v>
      </c>
      <c r="H42" s="325"/>
      <c r="I42" s="325"/>
    </row>
    <row r="43" spans="2:9" s="123" customFormat="1">
      <c r="B43" s="311">
        <v>15959</v>
      </c>
      <c r="C43" s="311" t="s">
        <v>2521</v>
      </c>
      <c r="D43" s="578"/>
      <c r="E43" s="1711" t="s">
        <v>591</v>
      </c>
      <c r="F43" s="1711"/>
      <c r="G43" s="1711" t="s">
        <v>65</v>
      </c>
      <c r="H43" s="325"/>
      <c r="I43" s="325"/>
    </row>
    <row r="44" spans="2:9" s="123" customFormat="1">
      <c r="B44" s="311">
        <v>9312</v>
      </c>
      <c r="C44" s="311" t="s">
        <v>2522</v>
      </c>
      <c r="D44" s="578"/>
      <c r="E44" s="1711" t="s">
        <v>591</v>
      </c>
      <c r="F44" s="1711"/>
      <c r="G44" s="1711" t="s">
        <v>65</v>
      </c>
      <c r="H44" s="325"/>
      <c r="I44" s="325"/>
    </row>
    <row r="45" spans="2:9" s="123" customFormat="1">
      <c r="B45" s="311">
        <v>8248</v>
      </c>
      <c r="C45" s="311" t="s">
        <v>2523</v>
      </c>
      <c r="D45" s="578"/>
      <c r="E45" s="1711" t="s">
        <v>591</v>
      </c>
      <c r="F45" s="1711"/>
      <c r="G45" s="1711" t="s">
        <v>3257</v>
      </c>
      <c r="H45" s="325"/>
      <c r="I45" s="325"/>
    </row>
    <row r="46" spans="2:9" s="123" customFormat="1">
      <c r="B46" s="311">
        <v>1902</v>
      </c>
      <c r="C46" s="311" t="s">
        <v>2524</v>
      </c>
      <c r="D46" s="578"/>
      <c r="E46" s="1711" t="s">
        <v>591</v>
      </c>
      <c r="F46" s="1711"/>
      <c r="G46" s="1711"/>
      <c r="H46" s="325"/>
      <c r="I46" s="325"/>
    </row>
    <row r="47" spans="2:9" s="123" customFormat="1">
      <c r="B47" s="1102">
        <v>1754</v>
      </c>
      <c r="C47" s="1102" t="s">
        <v>2525</v>
      </c>
      <c r="D47" s="578"/>
      <c r="E47" s="1711" t="s">
        <v>591</v>
      </c>
      <c r="F47" s="667"/>
      <c r="G47" s="667"/>
      <c r="H47" s="325"/>
      <c r="I47" s="325"/>
    </row>
    <row r="48" spans="2:9" s="123" customFormat="1">
      <c r="B48" s="311">
        <v>14895</v>
      </c>
      <c r="C48" s="311" t="s">
        <v>2526</v>
      </c>
      <c r="D48" s="311"/>
      <c r="E48" s="1711" t="s">
        <v>591</v>
      </c>
      <c r="F48" s="1711" t="s">
        <v>591</v>
      </c>
      <c r="G48" s="1711"/>
      <c r="H48" s="325"/>
      <c r="I48" s="325"/>
    </row>
    <row r="49" spans="2:9" s="123" customFormat="1">
      <c r="B49" s="311">
        <v>5174</v>
      </c>
      <c r="C49" s="311" t="s">
        <v>3707</v>
      </c>
      <c r="D49" s="311"/>
      <c r="E49" s="1711" t="s">
        <v>591</v>
      </c>
      <c r="F49" s="1711"/>
      <c r="G49" s="1711"/>
      <c r="H49" s="325"/>
      <c r="I49" s="325"/>
    </row>
    <row r="50" spans="2:9" s="123" customFormat="1">
      <c r="B50" s="311">
        <v>4959</v>
      </c>
      <c r="C50" s="311" t="s">
        <v>2527</v>
      </c>
      <c r="D50" s="311"/>
      <c r="E50" s="1711" t="s">
        <v>591</v>
      </c>
      <c r="F50" s="1711"/>
      <c r="G50" s="1711"/>
      <c r="H50" s="325"/>
      <c r="I50" s="325"/>
    </row>
    <row r="51" spans="2:9" s="123" customFormat="1">
      <c r="B51" s="311">
        <v>6146</v>
      </c>
      <c r="C51" s="311" t="s">
        <v>3708</v>
      </c>
      <c r="D51" s="311"/>
      <c r="E51" s="1711" t="s">
        <v>591</v>
      </c>
      <c r="F51" s="1711"/>
      <c r="G51" s="1711"/>
      <c r="H51" s="325"/>
      <c r="I51" s="325"/>
    </row>
    <row r="52" spans="2:9" s="123" customFormat="1">
      <c r="B52" s="311">
        <v>2072</v>
      </c>
      <c r="C52" s="311" t="s">
        <v>1608</v>
      </c>
      <c r="D52" s="311"/>
      <c r="E52" s="1711" t="s">
        <v>591</v>
      </c>
      <c r="F52" s="1711"/>
      <c r="G52" s="1711"/>
      <c r="H52" s="325"/>
      <c r="I52" s="325"/>
    </row>
    <row r="53" spans="2:9" s="123" customFormat="1">
      <c r="B53" s="311">
        <v>10090</v>
      </c>
      <c r="C53" s="311" t="s">
        <v>3709</v>
      </c>
      <c r="D53" s="311"/>
      <c r="E53" s="1711" t="s">
        <v>591</v>
      </c>
      <c r="F53" s="1711"/>
      <c r="G53" s="1711"/>
      <c r="H53" s="325"/>
      <c r="I53" s="325"/>
    </row>
    <row r="54" spans="2:9" s="123" customFormat="1">
      <c r="B54" s="311">
        <v>2395</v>
      </c>
      <c r="C54" s="311" t="s">
        <v>1047</v>
      </c>
      <c r="D54" s="311"/>
      <c r="E54" s="1711" t="s">
        <v>591</v>
      </c>
      <c r="F54" s="1711"/>
      <c r="G54" s="1711"/>
      <c r="H54" s="325"/>
      <c r="I54" s="325"/>
    </row>
    <row r="55" spans="2:9" s="123" customFormat="1">
      <c r="B55" s="311">
        <v>2100</v>
      </c>
      <c r="C55" s="311" t="s">
        <v>3129</v>
      </c>
      <c r="D55" s="311"/>
      <c r="E55" s="1711" t="s">
        <v>591</v>
      </c>
      <c r="F55" s="1711"/>
      <c r="G55" s="1711"/>
      <c r="H55" s="325"/>
      <c r="I55" s="325"/>
    </row>
    <row r="56" spans="2:9" s="123" customFormat="1">
      <c r="B56" s="311">
        <v>10242</v>
      </c>
      <c r="C56" s="311" t="s">
        <v>2528</v>
      </c>
      <c r="D56" s="311"/>
      <c r="E56" s="1711" t="s">
        <v>591</v>
      </c>
      <c r="F56" s="1711"/>
      <c r="G56" s="1711"/>
      <c r="H56" s="325"/>
      <c r="I56" s="325"/>
    </row>
    <row r="57" spans="2:9" s="123" customFormat="1">
      <c r="B57" s="311">
        <v>7587</v>
      </c>
      <c r="C57" s="311" t="s">
        <v>2529</v>
      </c>
      <c r="D57" s="311"/>
      <c r="E57" s="1711" t="s">
        <v>591</v>
      </c>
      <c r="F57" s="1711"/>
      <c r="G57" s="1711"/>
      <c r="H57" s="325"/>
      <c r="I57" s="325"/>
    </row>
    <row r="58" spans="2:9" s="123" customFormat="1">
      <c r="B58" s="311">
        <v>7633</v>
      </c>
      <c r="C58" s="311" t="s">
        <v>2530</v>
      </c>
      <c r="D58" s="311"/>
      <c r="E58" s="1711" t="s">
        <v>591</v>
      </c>
      <c r="F58" s="1711"/>
      <c r="G58" s="1711"/>
      <c r="H58" s="325"/>
      <c r="I58" s="325"/>
    </row>
    <row r="59" spans="2:9" s="123" customFormat="1">
      <c r="B59" s="311">
        <v>1778</v>
      </c>
      <c r="C59" s="311" t="s">
        <v>3710</v>
      </c>
      <c r="D59" s="311"/>
      <c r="E59" s="1711" t="s">
        <v>591</v>
      </c>
      <c r="F59" s="1711"/>
      <c r="G59" s="1711"/>
      <c r="H59" s="325"/>
      <c r="I59" s="325"/>
    </row>
    <row r="60" spans="2:9" s="123" customFormat="1">
      <c r="B60" s="311"/>
      <c r="C60" s="311"/>
      <c r="D60" s="311"/>
      <c r="E60" s="1711" t="s">
        <v>591</v>
      </c>
      <c r="F60" s="1711"/>
      <c r="G60" s="1711"/>
      <c r="H60" s="325"/>
      <c r="I60" s="325"/>
    </row>
    <row r="61" spans="2:9" s="123" customFormat="1">
      <c r="B61" s="311">
        <v>8929</v>
      </c>
      <c r="C61" s="311" t="s">
        <v>2531</v>
      </c>
      <c r="D61" s="311"/>
      <c r="E61" s="1711" t="s">
        <v>4685</v>
      </c>
      <c r="F61" s="1711" t="s">
        <v>557</v>
      </c>
      <c r="G61" s="1711">
        <v>0</v>
      </c>
      <c r="H61" s="325"/>
      <c r="I61" s="325"/>
    </row>
    <row r="62" spans="2:9" s="123" customFormat="1">
      <c r="B62" s="311">
        <v>6845</v>
      </c>
      <c r="C62" s="311" t="s">
        <v>2532</v>
      </c>
      <c r="D62" s="311"/>
      <c r="E62" s="1711" t="s">
        <v>591</v>
      </c>
      <c r="F62" s="1711" t="s">
        <v>557</v>
      </c>
      <c r="G62" s="1711">
        <v>0</v>
      </c>
      <c r="H62" s="325"/>
      <c r="I62" s="325"/>
    </row>
    <row r="63" spans="2:9" s="123" customFormat="1">
      <c r="B63" s="311">
        <v>10587</v>
      </c>
      <c r="C63" s="311" t="s">
        <v>2533</v>
      </c>
      <c r="D63" s="311"/>
      <c r="E63" s="1711" t="s">
        <v>591</v>
      </c>
      <c r="F63" s="1711" t="s">
        <v>268</v>
      </c>
      <c r="G63" s="1711" t="s">
        <v>3257</v>
      </c>
      <c r="H63" s="325"/>
      <c r="I63" s="325"/>
    </row>
    <row r="64" spans="2:9" s="123" customFormat="1">
      <c r="B64" s="311">
        <v>10407</v>
      </c>
      <c r="C64" s="311" t="s">
        <v>2534</v>
      </c>
      <c r="D64" s="311"/>
      <c r="E64" s="1711" t="s">
        <v>591</v>
      </c>
      <c r="F64" s="1711" t="s">
        <v>1318</v>
      </c>
      <c r="G64" s="1711" t="s">
        <v>65</v>
      </c>
      <c r="H64" s="325"/>
      <c r="I64" s="325"/>
    </row>
    <row r="65" spans="2:9" s="123" customFormat="1">
      <c r="B65" s="311">
        <v>11290</v>
      </c>
      <c r="C65" s="311" t="s">
        <v>2535</v>
      </c>
      <c r="D65" s="311"/>
      <c r="E65" s="1711" t="s">
        <v>591</v>
      </c>
      <c r="F65" s="1711" t="s">
        <v>557</v>
      </c>
      <c r="G65" s="1711">
        <v>0</v>
      </c>
      <c r="H65" s="325"/>
      <c r="I65" s="325"/>
    </row>
    <row r="66" spans="2:9" s="123" customFormat="1">
      <c r="B66" s="311">
        <v>8433</v>
      </c>
      <c r="C66" s="311" t="s">
        <v>3130</v>
      </c>
      <c r="D66" s="311"/>
      <c r="E66" s="1711" t="s">
        <v>591</v>
      </c>
      <c r="F66" s="1711" t="s">
        <v>1018</v>
      </c>
      <c r="G66" s="1711"/>
      <c r="H66" s="325"/>
      <c r="I66" s="325"/>
    </row>
    <row r="67" spans="2:9" s="123" customFormat="1">
      <c r="B67" s="311">
        <v>13918</v>
      </c>
      <c r="C67" s="311" t="s">
        <v>2536</v>
      </c>
      <c r="D67" s="311"/>
      <c r="E67" s="1711" t="s">
        <v>591</v>
      </c>
      <c r="F67" s="1711" t="s">
        <v>3264</v>
      </c>
      <c r="G67" s="1711"/>
      <c r="H67" s="325"/>
      <c r="I67" s="325"/>
    </row>
    <row r="68" spans="2:9" s="123" customFormat="1">
      <c r="B68" s="311">
        <v>8434</v>
      </c>
      <c r="C68" s="1200" t="s">
        <v>2537</v>
      </c>
      <c r="D68" s="311"/>
      <c r="E68" s="1711" t="s">
        <v>591</v>
      </c>
      <c r="F68" s="1711" t="s">
        <v>557</v>
      </c>
      <c r="G68" s="1711" t="s">
        <v>3257</v>
      </c>
      <c r="H68" s="325"/>
      <c r="I68" s="325"/>
    </row>
    <row r="69" spans="2:9" s="123" customFormat="1">
      <c r="B69" s="311">
        <v>6830</v>
      </c>
      <c r="C69" s="1200" t="s">
        <v>3711</v>
      </c>
      <c r="D69" s="311"/>
      <c r="E69" s="1711" t="s">
        <v>591</v>
      </c>
      <c r="F69" s="1711" t="s">
        <v>557</v>
      </c>
      <c r="G69" s="1711" t="s">
        <v>3257</v>
      </c>
      <c r="H69" s="325"/>
      <c r="I69" s="325"/>
    </row>
    <row r="70" spans="2:9" s="123" customFormat="1">
      <c r="B70" s="311">
        <v>11415</v>
      </c>
      <c r="C70" s="1200" t="s">
        <v>2538</v>
      </c>
      <c r="D70" s="311"/>
      <c r="E70" s="1711" t="s">
        <v>591</v>
      </c>
      <c r="F70" s="1711"/>
      <c r="G70" s="1711"/>
      <c r="H70" s="325"/>
      <c r="I70" s="325"/>
    </row>
    <row r="71" spans="2:9" s="123" customFormat="1">
      <c r="B71" s="311">
        <v>13418</v>
      </c>
      <c r="C71" s="1200" t="s">
        <v>2539</v>
      </c>
      <c r="D71" s="311"/>
      <c r="E71" s="1711" t="s">
        <v>591</v>
      </c>
      <c r="F71" s="1711"/>
      <c r="G71" s="1711" t="s">
        <v>3257</v>
      </c>
      <c r="H71" s="325"/>
      <c r="I71" s="325"/>
    </row>
    <row r="72" spans="2:9" s="123" customFormat="1">
      <c r="B72" s="311">
        <v>13373</v>
      </c>
      <c r="C72" s="311" t="s">
        <v>2540</v>
      </c>
      <c r="D72" s="311"/>
      <c r="E72" s="1711"/>
      <c r="F72" s="1711"/>
      <c r="G72" s="1711"/>
      <c r="H72" s="325"/>
      <c r="I72" s="325"/>
    </row>
    <row r="73" spans="2:9" s="123" customFormat="1">
      <c r="B73" s="311">
        <v>11071</v>
      </c>
      <c r="C73" s="311" t="s">
        <v>2541</v>
      </c>
      <c r="D73" s="311"/>
      <c r="E73" s="1711" t="s">
        <v>591</v>
      </c>
      <c r="F73" s="1711"/>
      <c r="G73" s="1711"/>
      <c r="H73" s="325"/>
      <c r="I73" s="325"/>
    </row>
    <row r="74" spans="2:9" s="123" customFormat="1">
      <c r="B74" s="311">
        <v>9867</v>
      </c>
      <c r="C74" s="311" t="s">
        <v>3712</v>
      </c>
      <c r="D74" s="311"/>
      <c r="E74" s="1711"/>
      <c r="F74" s="1711"/>
      <c r="G74" s="1711"/>
      <c r="H74" s="325"/>
      <c r="I74" s="325"/>
    </row>
    <row r="75" spans="2:9" s="123" customFormat="1">
      <c r="B75" s="311">
        <v>5867</v>
      </c>
      <c r="C75" s="311" t="s">
        <v>3713</v>
      </c>
      <c r="D75" s="311"/>
      <c r="E75" s="1711"/>
      <c r="F75" s="1711"/>
      <c r="G75" s="1711"/>
      <c r="H75" s="325"/>
      <c r="I75" s="325"/>
    </row>
    <row r="76" spans="2:9" s="123" customFormat="1">
      <c r="B76" s="311">
        <v>1956</v>
      </c>
      <c r="C76" s="311" t="s">
        <v>3131</v>
      </c>
      <c r="D76" s="311"/>
      <c r="E76" s="1711"/>
      <c r="F76" s="1711"/>
      <c r="G76" s="1711"/>
      <c r="H76" s="325"/>
      <c r="I76" s="325"/>
    </row>
    <row r="77" spans="2:9" s="123" customFormat="1">
      <c r="B77" s="311">
        <v>1678</v>
      </c>
      <c r="C77" s="311" t="s">
        <v>3714</v>
      </c>
      <c r="D77" s="311"/>
      <c r="E77" s="1711"/>
      <c r="F77" s="1711"/>
      <c r="G77" s="1711"/>
      <c r="H77" s="325"/>
      <c r="I77" s="325"/>
    </row>
    <row r="78" spans="2:9" s="123" customFormat="1">
      <c r="B78" s="311">
        <v>1680</v>
      </c>
      <c r="C78" s="311" t="s">
        <v>3123</v>
      </c>
      <c r="D78" s="311"/>
      <c r="E78" s="1711" t="s">
        <v>591</v>
      </c>
      <c r="F78" s="1711"/>
      <c r="G78" s="1711">
        <v>0</v>
      </c>
      <c r="H78" s="325"/>
      <c r="I78" s="325"/>
    </row>
    <row r="79" spans="2:9" s="123" customFormat="1">
      <c r="B79" s="311"/>
      <c r="C79" s="311"/>
      <c r="D79" s="311"/>
      <c r="E79" s="1711"/>
      <c r="F79" s="1711"/>
      <c r="G79" s="1711"/>
      <c r="H79" s="325"/>
      <c r="I79" s="325"/>
    </row>
    <row r="80" spans="2:9" s="123" customFormat="1">
      <c r="B80" s="311">
        <v>21353</v>
      </c>
      <c r="C80" s="311" t="s">
        <v>3715</v>
      </c>
      <c r="D80" s="311"/>
      <c r="E80" s="1711" t="s">
        <v>591</v>
      </c>
      <c r="F80" s="1711"/>
      <c r="G80" s="1711">
        <v>0</v>
      </c>
      <c r="H80" s="325"/>
      <c r="I80" s="325"/>
    </row>
    <row r="81" spans="5:9" s="123" customFormat="1">
      <c r="E81" s="325"/>
      <c r="F81" s="325"/>
      <c r="G81" s="325"/>
      <c r="H81" s="325"/>
      <c r="I81" s="325"/>
    </row>
    <row r="82" spans="5:9" s="123" customFormat="1">
      <c r="E82" s="325"/>
      <c r="F82" s="325"/>
      <c r="G82" s="325"/>
      <c r="H82" s="325"/>
      <c r="I82" s="325"/>
    </row>
    <row r="83" spans="5:9" s="123" customFormat="1">
      <c r="E83" s="325"/>
      <c r="F83" s="325"/>
      <c r="G83" s="325"/>
      <c r="H83" s="325"/>
      <c r="I83" s="325"/>
    </row>
    <row r="84" spans="5:9" s="123" customFormat="1">
      <c r="E84" s="325"/>
      <c r="F84" s="325"/>
      <c r="G84" s="325"/>
      <c r="H84" s="325"/>
      <c r="I84" s="325"/>
    </row>
    <row r="85" spans="5:9" s="123" customFormat="1">
      <c r="E85" s="325"/>
      <c r="F85" s="325"/>
      <c r="G85" s="325"/>
      <c r="H85" s="325"/>
      <c r="I85" s="325"/>
    </row>
    <row r="86" spans="5:9" s="123" customFormat="1">
      <c r="E86" s="325"/>
      <c r="F86" s="325"/>
      <c r="G86" s="325"/>
      <c r="H86" s="325"/>
      <c r="I86" s="325"/>
    </row>
    <row r="87" spans="5:9" s="123" customFormat="1">
      <c r="E87" s="325"/>
      <c r="F87" s="325"/>
      <c r="G87" s="325"/>
      <c r="H87" s="325"/>
      <c r="I87" s="325"/>
    </row>
    <row r="88" spans="5:9" s="123" customFormat="1">
      <c r="E88" s="325"/>
      <c r="F88" s="325"/>
      <c r="G88" s="325"/>
      <c r="H88" s="325"/>
      <c r="I88" s="325"/>
    </row>
    <row r="89" spans="5:9" s="123" customFormat="1">
      <c r="E89" s="325"/>
      <c r="F89" s="325"/>
      <c r="G89" s="325"/>
      <c r="H89" s="325"/>
      <c r="I89" s="325"/>
    </row>
    <row r="90" spans="5:9" s="123" customFormat="1">
      <c r="E90" s="325"/>
      <c r="F90" s="325"/>
      <c r="G90" s="325"/>
      <c r="H90" s="325"/>
      <c r="I90" s="325"/>
    </row>
    <row r="91" spans="5:9" s="123" customFormat="1">
      <c r="E91" s="325"/>
      <c r="F91" s="325"/>
      <c r="G91" s="325"/>
      <c r="H91" s="325"/>
      <c r="I91" s="325"/>
    </row>
    <row r="92" spans="5:9" s="123" customFormat="1">
      <c r="E92" s="325"/>
      <c r="F92" s="325"/>
      <c r="G92" s="325"/>
      <c r="H92" s="325"/>
      <c r="I92" s="325"/>
    </row>
    <row r="96" spans="5:9">
      <c r="F96" s="639">
        <v>0.66</v>
      </c>
    </row>
  </sheetData>
  <sortState ref="B5:I131">
    <sortCondition ref="C5:C131"/>
  </sortState>
  <pageMargins left="0.7" right="0.7" top="0.75" bottom="0.75" header="0.3" footer="0.3"/>
  <pageSetup paperSize="9" orientation="landscape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L23"/>
  <sheetViews>
    <sheetView workbookViewId="0">
      <selection activeCell="D3" sqref="D3:E23"/>
    </sheetView>
  </sheetViews>
  <sheetFormatPr baseColWidth="10" defaultRowHeight="15"/>
  <cols>
    <col min="1" max="1" width="10.7109375" customWidth="1"/>
    <col min="2" max="2" width="10.85546875" customWidth="1"/>
    <col min="3" max="3" width="8.42578125" customWidth="1"/>
    <col min="4" max="4" width="42" customWidth="1"/>
    <col min="5" max="5" width="16.85546875" customWidth="1"/>
    <col min="6" max="6" width="11.42578125" style="404" hidden="1" customWidth="1"/>
    <col min="7" max="9" width="11.42578125" hidden="1" customWidth="1"/>
    <col min="10" max="10" width="0" hidden="1" customWidth="1"/>
  </cols>
  <sheetData>
    <row r="2" spans="1:12">
      <c r="K2" s="13"/>
      <c r="L2" s="13"/>
    </row>
    <row r="3" spans="1:12" ht="126" customHeight="1">
      <c r="A3" s="722" t="s">
        <v>119</v>
      </c>
      <c r="B3" s="722" t="s">
        <v>2840</v>
      </c>
      <c r="C3" s="21" t="s">
        <v>559</v>
      </c>
      <c r="D3" s="718" t="s">
        <v>5770</v>
      </c>
      <c r="E3" s="720" t="s">
        <v>2420</v>
      </c>
      <c r="F3" s="720" t="s">
        <v>2842</v>
      </c>
      <c r="G3" s="720" t="s">
        <v>2841</v>
      </c>
      <c r="H3" s="720" t="s">
        <v>2843</v>
      </c>
      <c r="I3" s="722" t="s">
        <v>2840</v>
      </c>
      <c r="J3" s="21"/>
    </row>
    <row r="4" spans="1:12">
      <c r="A4" s="718">
        <v>1813</v>
      </c>
      <c r="B4" s="718">
        <v>29.7</v>
      </c>
      <c r="C4" s="718">
        <v>7.59</v>
      </c>
      <c r="D4" s="906" t="s">
        <v>2831</v>
      </c>
      <c r="E4" s="310" t="s">
        <v>556</v>
      </c>
      <c r="F4" s="720">
        <v>3</v>
      </c>
      <c r="G4" s="720">
        <v>5</v>
      </c>
      <c r="H4" s="720">
        <f>F4*G4</f>
        <v>15</v>
      </c>
      <c r="I4" s="720" t="e">
        <f>E4*H4</f>
        <v>#VALUE!</v>
      </c>
      <c r="J4" s="21" t="s">
        <v>554</v>
      </c>
    </row>
    <row r="5" spans="1:12">
      <c r="A5" s="718">
        <v>1839</v>
      </c>
      <c r="B5" s="718">
        <v>30.12</v>
      </c>
      <c r="C5" s="718">
        <v>6.6</v>
      </c>
      <c r="D5" s="906" t="s">
        <v>2832</v>
      </c>
      <c r="E5" s="310" t="s">
        <v>268</v>
      </c>
      <c r="F5" s="720">
        <v>3</v>
      </c>
      <c r="G5" s="720">
        <v>6</v>
      </c>
      <c r="H5" s="720">
        <f t="shared" ref="H5:H15" si="0">F5*G5</f>
        <v>18</v>
      </c>
      <c r="I5" s="720" t="e">
        <f t="shared" ref="I5:I15" si="1">E5*H5</f>
        <v>#VALUE!</v>
      </c>
      <c r="J5" s="21" t="s">
        <v>554</v>
      </c>
    </row>
    <row r="6" spans="1:12" s="404" customFormat="1" hidden="1">
      <c r="A6" s="718"/>
      <c r="B6" s="718"/>
      <c r="C6" s="718">
        <v>7.54</v>
      </c>
      <c r="D6" s="21" t="s">
        <v>2844</v>
      </c>
      <c r="E6" s="720">
        <v>0</v>
      </c>
      <c r="F6" s="720">
        <v>1</v>
      </c>
      <c r="G6" s="720">
        <v>12</v>
      </c>
      <c r="H6" s="720">
        <f t="shared" si="0"/>
        <v>12</v>
      </c>
      <c r="I6" s="720">
        <f t="shared" si="1"/>
        <v>0</v>
      </c>
      <c r="J6" s="21" t="s">
        <v>554</v>
      </c>
    </row>
    <row r="7" spans="1:12" hidden="1">
      <c r="A7" s="718">
        <v>2133</v>
      </c>
      <c r="B7" s="718">
        <v>6.6</v>
      </c>
      <c r="C7" s="718">
        <v>13</v>
      </c>
      <c r="D7" s="21" t="s">
        <v>2833</v>
      </c>
      <c r="E7" s="720"/>
      <c r="F7" s="720">
        <v>3</v>
      </c>
      <c r="G7" s="720">
        <v>6</v>
      </c>
      <c r="H7" s="720">
        <f t="shared" si="0"/>
        <v>18</v>
      </c>
      <c r="I7" s="720">
        <f t="shared" si="1"/>
        <v>0</v>
      </c>
      <c r="J7" s="21" t="s">
        <v>554</v>
      </c>
    </row>
    <row r="8" spans="1:12" s="404" customFormat="1" hidden="1">
      <c r="A8" s="718"/>
      <c r="B8" s="718"/>
      <c r="C8" s="718">
        <v>12.1</v>
      </c>
      <c r="D8" s="21" t="s">
        <v>2846</v>
      </c>
      <c r="E8" s="720"/>
      <c r="F8" s="720">
        <v>1</v>
      </c>
      <c r="G8" s="720">
        <v>10</v>
      </c>
      <c r="H8" s="720">
        <f t="shared" si="0"/>
        <v>10</v>
      </c>
      <c r="I8" s="720">
        <f t="shared" si="1"/>
        <v>0</v>
      </c>
      <c r="J8" s="21" t="s">
        <v>554</v>
      </c>
    </row>
    <row r="9" spans="1:12">
      <c r="A9" s="718">
        <v>5716</v>
      </c>
      <c r="B9" s="718">
        <v>59.8</v>
      </c>
      <c r="C9" s="718">
        <v>6.82</v>
      </c>
      <c r="D9" s="906" t="s">
        <v>2834</v>
      </c>
      <c r="E9" s="310" t="s">
        <v>556</v>
      </c>
      <c r="F9" s="720">
        <v>3</v>
      </c>
      <c r="G9" s="720">
        <v>6</v>
      </c>
      <c r="H9" s="720">
        <f t="shared" si="0"/>
        <v>18</v>
      </c>
      <c r="I9" s="720" t="e">
        <f t="shared" si="1"/>
        <v>#VALUE!</v>
      </c>
      <c r="J9" s="21" t="s">
        <v>554</v>
      </c>
    </row>
    <row r="10" spans="1:12" s="404" customFormat="1" hidden="1">
      <c r="A10" s="718"/>
      <c r="B10" s="718"/>
      <c r="C10" s="718">
        <v>7.04</v>
      </c>
      <c r="D10" s="21" t="s">
        <v>2845</v>
      </c>
      <c r="E10" s="720">
        <v>0</v>
      </c>
      <c r="F10" s="720">
        <v>1</v>
      </c>
      <c r="G10" s="720">
        <v>12</v>
      </c>
      <c r="H10" s="720">
        <f t="shared" si="0"/>
        <v>12</v>
      </c>
      <c r="I10" s="720">
        <f t="shared" si="1"/>
        <v>0</v>
      </c>
      <c r="J10" s="21" t="s">
        <v>554</v>
      </c>
    </row>
    <row r="11" spans="1:12" hidden="1">
      <c r="A11" s="718">
        <v>6282</v>
      </c>
      <c r="B11" s="718">
        <v>48</v>
      </c>
      <c r="C11" s="718">
        <v>1.5</v>
      </c>
      <c r="D11" s="21" t="s">
        <v>2835</v>
      </c>
      <c r="E11" s="720"/>
      <c r="F11" s="720">
        <v>1</v>
      </c>
      <c r="G11" s="720">
        <v>24</v>
      </c>
      <c r="H11" s="720">
        <f t="shared" si="0"/>
        <v>24</v>
      </c>
      <c r="I11" s="720">
        <f t="shared" si="1"/>
        <v>0</v>
      </c>
      <c r="J11" s="21" t="s">
        <v>554</v>
      </c>
    </row>
    <row r="12" spans="1:12" hidden="1">
      <c r="A12" s="718">
        <v>89</v>
      </c>
      <c r="B12" s="718">
        <v>54</v>
      </c>
      <c r="C12" s="718">
        <v>4.54</v>
      </c>
      <c r="D12" s="1917" t="s">
        <v>2839</v>
      </c>
      <c r="E12" s="378" t="s">
        <v>556</v>
      </c>
      <c r="F12" s="720">
        <v>4.2</v>
      </c>
      <c r="G12" s="720">
        <v>6</v>
      </c>
      <c r="H12" s="720">
        <f t="shared" si="0"/>
        <v>25.200000000000003</v>
      </c>
      <c r="I12" s="720" t="e">
        <f t="shared" si="1"/>
        <v>#VALUE!</v>
      </c>
      <c r="J12" s="21" t="s">
        <v>554</v>
      </c>
    </row>
    <row r="13" spans="1:12" hidden="1">
      <c r="A13" s="718">
        <v>2017</v>
      </c>
      <c r="B13" s="718">
        <v>66.180000000000007</v>
      </c>
      <c r="C13" s="718">
        <v>6.39</v>
      </c>
      <c r="D13" s="642" t="s">
        <v>2838</v>
      </c>
      <c r="E13" s="720"/>
      <c r="F13" s="720">
        <v>4.2</v>
      </c>
      <c r="G13" s="720">
        <v>6</v>
      </c>
      <c r="H13" s="720">
        <f t="shared" si="0"/>
        <v>25.200000000000003</v>
      </c>
      <c r="I13" s="720">
        <f t="shared" si="1"/>
        <v>0</v>
      </c>
      <c r="J13" s="21" t="s">
        <v>554</v>
      </c>
    </row>
    <row r="14" spans="1:12" hidden="1">
      <c r="A14" s="718">
        <v>4339</v>
      </c>
      <c r="B14" s="718">
        <v>92.5</v>
      </c>
      <c r="C14" s="718">
        <v>6.06</v>
      </c>
      <c r="D14" s="1917" t="s">
        <v>2837</v>
      </c>
      <c r="E14" s="378" t="s">
        <v>556</v>
      </c>
      <c r="F14" s="720">
        <v>5.7</v>
      </c>
      <c r="G14" s="720">
        <v>4</v>
      </c>
      <c r="H14" s="720">
        <f t="shared" si="0"/>
        <v>22.8</v>
      </c>
      <c r="I14" s="720" t="e">
        <f t="shared" si="1"/>
        <v>#VALUE!</v>
      </c>
      <c r="J14" s="21" t="s">
        <v>554</v>
      </c>
    </row>
    <row r="15" spans="1:12" hidden="1">
      <c r="A15" s="718">
        <v>14913</v>
      </c>
      <c r="B15" s="718">
        <v>60</v>
      </c>
      <c r="C15" s="718">
        <v>5.17</v>
      </c>
      <c r="D15" s="642" t="s">
        <v>2836</v>
      </c>
      <c r="E15" s="720" t="s">
        <v>556</v>
      </c>
      <c r="F15" s="720">
        <v>5.7</v>
      </c>
      <c r="G15" s="720">
        <v>4</v>
      </c>
      <c r="H15" s="720">
        <f t="shared" si="0"/>
        <v>22.8</v>
      </c>
      <c r="I15" s="720" t="e">
        <f t="shared" si="1"/>
        <v>#VALUE!</v>
      </c>
      <c r="J15" s="21" t="s">
        <v>554</v>
      </c>
    </row>
    <row r="16" spans="1:12" hidden="1">
      <c r="A16" s="723"/>
      <c r="B16" s="723"/>
      <c r="C16" s="723"/>
      <c r="D16" s="1917" t="s">
        <v>3315</v>
      </c>
      <c r="E16" s="326" t="s">
        <v>556</v>
      </c>
      <c r="F16" s="21"/>
      <c r="G16" s="21"/>
      <c r="H16" s="21"/>
      <c r="I16" s="21"/>
      <c r="J16" s="21" t="s">
        <v>554</v>
      </c>
    </row>
    <row r="17" spans="1:2">
      <c r="A17" s="99"/>
      <c r="B17" s="98"/>
    </row>
    <row r="18" spans="1:2">
      <c r="A18" s="98"/>
      <c r="B18" s="98"/>
    </row>
    <row r="19" spans="1:2">
      <c r="A19" s="98"/>
      <c r="B19" s="98"/>
    </row>
    <row r="20" spans="1:2">
      <c r="A20" s="98"/>
      <c r="B20" s="98"/>
    </row>
    <row r="21" spans="1:2">
      <c r="A21" s="98"/>
      <c r="B21" s="98"/>
    </row>
    <row r="22" spans="1:2">
      <c r="A22" s="98"/>
    </row>
    <row r="23" spans="1:2">
      <c r="A23" s="98"/>
    </row>
  </sheetData>
  <pageMargins left="0.7" right="0.7" top="0.75" bottom="0.75" header="0.3" footer="0.3"/>
  <pageSetup paperSize="9" orientation="landscape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4:L45"/>
  <sheetViews>
    <sheetView topLeftCell="A20" workbookViewId="0">
      <selection activeCell="H52" sqref="H52"/>
    </sheetView>
  </sheetViews>
  <sheetFormatPr baseColWidth="10" defaultRowHeight="15"/>
  <cols>
    <col min="3" max="3" width="48.42578125" customWidth="1"/>
    <col min="4" max="4" width="13.7109375" style="827" hidden="1" customWidth="1"/>
    <col min="5" max="5" width="16" style="408" hidden="1" customWidth="1"/>
    <col min="6" max="7" width="0" style="101" hidden="1" customWidth="1"/>
  </cols>
  <sheetData>
    <row r="4" spans="1:8">
      <c r="C4" t="s">
        <v>2820</v>
      </c>
    </row>
    <row r="6" spans="1:8" ht="30">
      <c r="B6" s="405" t="s">
        <v>0</v>
      </c>
      <c r="C6" s="411" t="s">
        <v>1878</v>
      </c>
      <c r="D6" s="1272"/>
      <c r="E6" s="93" t="s">
        <v>1537</v>
      </c>
      <c r="F6" s="101" t="s">
        <v>3197</v>
      </c>
    </row>
    <row r="7" spans="1:8" hidden="1">
      <c r="B7" s="405">
        <v>3532</v>
      </c>
      <c r="C7" s="405" t="s">
        <v>1866</v>
      </c>
      <c r="D7" s="693"/>
      <c r="E7" s="411"/>
    </row>
    <row r="8" spans="1:8" hidden="1">
      <c r="B8" s="405">
        <v>16076</v>
      </c>
      <c r="C8" s="405" t="s">
        <v>1867</v>
      </c>
      <c r="D8" s="693"/>
      <c r="E8" s="411"/>
    </row>
    <row r="9" spans="1:8" hidden="1">
      <c r="B9" s="405">
        <v>15587</v>
      </c>
      <c r="C9" s="405" t="s">
        <v>1868</v>
      </c>
      <c r="D9" s="693"/>
      <c r="E9" s="411"/>
    </row>
    <row r="10" spans="1:8" hidden="1">
      <c r="B10" s="405">
        <v>3534</v>
      </c>
      <c r="C10" s="405" t="s">
        <v>1869</v>
      </c>
      <c r="D10" s="693"/>
      <c r="E10" s="411"/>
    </row>
    <row r="11" spans="1:8">
      <c r="A11">
        <v>9.9</v>
      </c>
      <c r="B11" s="405">
        <v>1910</v>
      </c>
      <c r="C11" s="405" t="s">
        <v>1876</v>
      </c>
      <c r="D11" s="693"/>
      <c r="E11" s="411" t="s">
        <v>1611</v>
      </c>
      <c r="F11" s="101">
        <v>4.5199999999999996</v>
      </c>
      <c r="H11">
        <v>248</v>
      </c>
    </row>
    <row r="12" spans="1:8" hidden="1">
      <c r="B12" s="405">
        <v>3075</v>
      </c>
      <c r="C12" s="405" t="s">
        <v>1870</v>
      </c>
      <c r="D12" s="693"/>
      <c r="E12" s="411"/>
    </row>
    <row r="13" spans="1:8">
      <c r="A13">
        <v>6.6</v>
      </c>
      <c r="B13" s="405">
        <v>1906</v>
      </c>
      <c r="C13" s="405" t="s">
        <v>1877</v>
      </c>
      <c r="D13" s="693"/>
      <c r="E13" s="411" t="s">
        <v>3833</v>
      </c>
      <c r="F13" s="101">
        <v>4.8499999999999996</v>
      </c>
      <c r="H13">
        <v>251</v>
      </c>
    </row>
    <row r="14" spans="1:8" hidden="1">
      <c r="B14" s="405">
        <v>4464</v>
      </c>
      <c r="C14" s="405" t="s">
        <v>1871</v>
      </c>
      <c r="D14" s="693"/>
      <c r="E14" s="411"/>
    </row>
    <row r="15" spans="1:8" hidden="1">
      <c r="B15" s="405">
        <v>13378</v>
      </c>
      <c r="C15" s="405" t="s">
        <v>1872</v>
      </c>
      <c r="D15" s="693"/>
      <c r="E15" s="411"/>
    </row>
    <row r="16" spans="1:8" hidden="1">
      <c r="B16" s="405">
        <v>3528</v>
      </c>
      <c r="C16" s="405" t="s">
        <v>1873</v>
      </c>
      <c r="D16" s="693"/>
      <c r="E16" s="411">
        <v>0</v>
      </c>
      <c r="F16" s="101">
        <v>2.2999999999999998</v>
      </c>
      <c r="H16">
        <v>60</v>
      </c>
    </row>
    <row r="17" spans="1:12">
      <c r="B17" s="405">
        <v>10833</v>
      </c>
      <c r="C17" s="405" t="s">
        <v>1874</v>
      </c>
      <c r="D17" s="693"/>
      <c r="E17" s="411" t="s">
        <v>1846</v>
      </c>
      <c r="F17" s="101">
        <v>0.63</v>
      </c>
      <c r="H17">
        <v>65</v>
      </c>
    </row>
    <row r="18" spans="1:12">
      <c r="B18" s="405">
        <v>6921</v>
      </c>
      <c r="C18" s="405" t="s">
        <v>1875</v>
      </c>
      <c r="D18" s="693"/>
      <c r="E18" s="686" t="s">
        <v>3833</v>
      </c>
      <c r="F18" s="101">
        <v>1.63</v>
      </c>
      <c r="H18">
        <v>40</v>
      </c>
    </row>
    <row r="19" spans="1:12">
      <c r="B19" s="405"/>
      <c r="C19" s="34" t="s">
        <v>3222</v>
      </c>
      <c r="D19" s="34"/>
      <c r="E19" s="686" t="s">
        <v>3257</v>
      </c>
    </row>
    <row r="20" spans="1:12">
      <c r="B20" s="405"/>
      <c r="C20" s="34" t="s">
        <v>3223</v>
      </c>
      <c r="D20" s="34"/>
      <c r="E20" s="686" t="s">
        <v>3257</v>
      </c>
    </row>
    <row r="21" spans="1:12">
      <c r="B21" s="405"/>
      <c r="C21" s="405" t="s">
        <v>3224</v>
      </c>
      <c r="D21" s="693"/>
      <c r="E21" s="686" t="s">
        <v>3257</v>
      </c>
    </row>
    <row r="22" spans="1:12">
      <c r="B22" s="693">
        <v>15587</v>
      </c>
      <c r="C22" s="693" t="s">
        <v>1868</v>
      </c>
      <c r="D22" s="693"/>
      <c r="E22" s="995" t="s">
        <v>1846</v>
      </c>
      <c r="F22" s="2400" t="s">
        <v>4550</v>
      </c>
      <c r="G22" s="2381"/>
    </row>
    <row r="23" spans="1:12" ht="83.25" customHeight="1">
      <c r="B23" s="21" t="s">
        <v>0</v>
      </c>
      <c r="C23" s="1706" t="s">
        <v>5689</v>
      </c>
      <c r="D23" s="1706" t="s">
        <v>2544</v>
      </c>
      <c r="E23" s="93" t="s">
        <v>1537</v>
      </c>
      <c r="F23" s="1706" t="s">
        <v>1663</v>
      </c>
      <c r="G23" s="1706" t="s">
        <v>1664</v>
      </c>
      <c r="H23" s="375" t="s">
        <v>68</v>
      </c>
      <c r="I23" s="375" t="s">
        <v>1663</v>
      </c>
      <c r="J23" s="375" t="s">
        <v>1664</v>
      </c>
    </row>
    <row r="24" spans="1:12">
      <c r="B24" s="21">
        <v>3532</v>
      </c>
      <c r="C24" s="1706" t="s">
        <v>1866</v>
      </c>
      <c r="D24" s="1706">
        <v>15</v>
      </c>
      <c r="E24" s="1706" t="s">
        <v>557</v>
      </c>
      <c r="F24" s="1706">
        <v>2</v>
      </c>
      <c r="G24" s="1706">
        <v>13</v>
      </c>
      <c r="H24" s="1706" t="s">
        <v>557</v>
      </c>
      <c r="I24" s="693"/>
      <c r="J24" s="693"/>
      <c r="L24" t="s">
        <v>65</v>
      </c>
    </row>
    <row r="25" spans="1:12" hidden="1">
      <c r="A25">
        <v>49</v>
      </c>
      <c r="B25" s="693">
        <v>3529</v>
      </c>
      <c r="C25" s="1706" t="s">
        <v>5523</v>
      </c>
      <c r="D25" s="1706"/>
      <c r="E25" s="1706"/>
      <c r="F25" s="1706"/>
      <c r="G25" s="1706"/>
      <c r="H25" s="1706">
        <v>0</v>
      </c>
      <c r="I25" s="693"/>
      <c r="J25" s="693"/>
    </row>
    <row r="26" spans="1:12" hidden="1">
      <c r="B26" s="21">
        <v>16076</v>
      </c>
      <c r="C26" s="1706" t="s">
        <v>1867</v>
      </c>
      <c r="D26" s="1706"/>
      <c r="E26" s="1706"/>
      <c r="F26" s="1706"/>
      <c r="G26" s="1706"/>
      <c r="H26" s="1706">
        <v>0</v>
      </c>
      <c r="I26" s="693"/>
      <c r="J26" s="693"/>
    </row>
    <row r="27" spans="1:12">
      <c r="B27" s="21">
        <v>15587</v>
      </c>
      <c r="C27" s="1706" t="s">
        <v>1868</v>
      </c>
      <c r="D27" s="1706">
        <v>9.9</v>
      </c>
      <c r="E27" s="1706" t="s">
        <v>244</v>
      </c>
      <c r="F27" s="1706">
        <v>27</v>
      </c>
      <c r="G27" s="1706">
        <v>29</v>
      </c>
      <c r="H27" s="1706" t="s">
        <v>1318</v>
      </c>
      <c r="I27" s="375">
        <v>19</v>
      </c>
      <c r="J27" s="375">
        <v>21</v>
      </c>
    </row>
    <row r="28" spans="1:12">
      <c r="B28" s="693">
        <v>12749</v>
      </c>
      <c r="C28" s="1706" t="s">
        <v>5524</v>
      </c>
      <c r="D28" s="1706"/>
      <c r="E28" s="1706"/>
      <c r="F28" s="1706"/>
      <c r="G28" s="1706"/>
      <c r="H28" s="1706" t="s">
        <v>556</v>
      </c>
      <c r="I28" s="693"/>
      <c r="J28" s="693"/>
    </row>
    <row r="29" spans="1:12">
      <c r="B29" s="21">
        <v>3534</v>
      </c>
      <c r="C29" s="1706" t="s">
        <v>4549</v>
      </c>
      <c r="D29" s="1706">
        <v>18</v>
      </c>
      <c r="E29" s="1706" t="s">
        <v>557</v>
      </c>
      <c r="F29" s="1706">
        <v>2</v>
      </c>
      <c r="G29" s="1706">
        <v>16</v>
      </c>
      <c r="H29" s="1706" t="s">
        <v>557</v>
      </c>
      <c r="I29" s="693"/>
      <c r="J29" s="693"/>
    </row>
    <row r="30" spans="1:12">
      <c r="B30" s="21">
        <v>1910</v>
      </c>
      <c r="C30" s="1706" t="s">
        <v>1876</v>
      </c>
      <c r="D30" s="1706">
        <v>9.9</v>
      </c>
      <c r="E30" s="1706" t="s">
        <v>3717</v>
      </c>
      <c r="F30" s="1706">
        <v>108</v>
      </c>
      <c r="G30" s="1706">
        <v>114</v>
      </c>
      <c r="H30" s="1706" t="s">
        <v>243</v>
      </c>
      <c r="I30" s="375">
        <v>24</v>
      </c>
      <c r="J30" s="375">
        <v>95</v>
      </c>
    </row>
    <row r="31" spans="1:12">
      <c r="B31" s="21">
        <v>3075</v>
      </c>
      <c r="C31" s="1706" t="s">
        <v>1870</v>
      </c>
      <c r="D31" s="1706">
        <v>20</v>
      </c>
      <c r="E31" s="1706" t="s">
        <v>557</v>
      </c>
      <c r="F31" s="1706">
        <v>3</v>
      </c>
      <c r="G31" s="1706">
        <v>17</v>
      </c>
      <c r="H31" s="1706" t="s">
        <v>557</v>
      </c>
      <c r="I31" s="693"/>
      <c r="J31" s="693"/>
    </row>
    <row r="32" spans="1:12">
      <c r="B32" s="21">
        <v>1906</v>
      </c>
      <c r="C32" s="1706" t="s">
        <v>1877</v>
      </c>
      <c r="D32" s="1706">
        <v>6.6</v>
      </c>
      <c r="E32" s="1706" t="s">
        <v>3660</v>
      </c>
      <c r="F32" s="1706">
        <v>114</v>
      </c>
      <c r="G32" s="1706">
        <v>153</v>
      </c>
      <c r="H32" s="1706" t="s">
        <v>1321</v>
      </c>
      <c r="I32" s="375">
        <v>60</v>
      </c>
      <c r="J32" s="375">
        <v>120</v>
      </c>
    </row>
    <row r="33" spans="2:10" hidden="1">
      <c r="B33" s="21">
        <v>4464</v>
      </c>
      <c r="C33" s="1706" t="s">
        <v>1871</v>
      </c>
      <c r="D33" s="1706">
        <v>12</v>
      </c>
      <c r="E33" s="1706" t="s">
        <v>3257</v>
      </c>
      <c r="F33" s="1706">
        <v>1</v>
      </c>
      <c r="G33" s="1706">
        <v>11</v>
      </c>
      <c r="H33" s="1706">
        <v>0</v>
      </c>
      <c r="I33" s="693"/>
      <c r="J33" s="693"/>
    </row>
    <row r="34" spans="2:10">
      <c r="B34" s="21">
        <v>13378</v>
      </c>
      <c r="C34" s="1706" t="s">
        <v>1872</v>
      </c>
      <c r="D34" s="1706">
        <v>6</v>
      </c>
      <c r="E34" s="1706" t="s">
        <v>557</v>
      </c>
      <c r="F34" s="1706">
        <v>1</v>
      </c>
      <c r="G34" s="1706">
        <v>5</v>
      </c>
      <c r="H34" s="1706" t="s">
        <v>557</v>
      </c>
      <c r="I34" s="693"/>
      <c r="J34" s="693"/>
    </row>
    <row r="35" spans="2:10">
      <c r="B35" s="21">
        <v>3528</v>
      </c>
      <c r="C35" s="1706" t="s">
        <v>1873</v>
      </c>
      <c r="D35" s="1706">
        <v>12</v>
      </c>
      <c r="E35" s="1706" t="s">
        <v>268</v>
      </c>
      <c r="F35" s="1706">
        <v>36</v>
      </c>
      <c r="G35" s="1706">
        <v>0</v>
      </c>
      <c r="H35" s="1706" t="s">
        <v>243</v>
      </c>
      <c r="I35" s="693">
        <v>34</v>
      </c>
      <c r="J35" s="693">
        <v>105</v>
      </c>
    </row>
    <row r="36" spans="2:10">
      <c r="B36" s="21">
        <v>10833</v>
      </c>
      <c r="C36" s="1706" t="s">
        <v>1874</v>
      </c>
      <c r="D36" s="1706">
        <v>48</v>
      </c>
      <c r="E36" s="1706" t="s">
        <v>244</v>
      </c>
      <c r="F36" s="1706">
        <v>105</v>
      </c>
      <c r="G36" s="1706">
        <v>203</v>
      </c>
      <c r="H36" s="1706" t="s">
        <v>244</v>
      </c>
      <c r="I36" s="693"/>
      <c r="J36" s="693"/>
    </row>
    <row r="37" spans="2:10">
      <c r="B37" s="21">
        <v>6921</v>
      </c>
      <c r="C37" s="1706" t="s">
        <v>1875</v>
      </c>
      <c r="D37" s="1706">
        <v>8</v>
      </c>
      <c r="E37" s="1706" t="s">
        <v>243</v>
      </c>
      <c r="F37" s="1706">
        <v>45</v>
      </c>
      <c r="G37" s="1706">
        <v>71</v>
      </c>
      <c r="H37" s="1706" t="s">
        <v>244</v>
      </c>
      <c r="I37" s="693"/>
      <c r="J37" s="693"/>
    </row>
    <row r="38" spans="2:10" hidden="1">
      <c r="B38" s="693">
        <v>8748</v>
      </c>
      <c r="C38" s="1706" t="s">
        <v>5525</v>
      </c>
      <c r="D38" s="1706"/>
      <c r="E38" s="1706"/>
      <c r="F38" s="1706"/>
      <c r="G38" s="1706"/>
      <c r="H38" s="1706">
        <v>0</v>
      </c>
      <c r="I38" s="693"/>
      <c r="J38" s="693"/>
    </row>
    <row r="39" spans="2:10">
      <c r="C39" s="1708"/>
      <c r="D39" s="1708"/>
      <c r="E39" s="1708"/>
      <c r="F39" s="1708"/>
      <c r="G39" s="1708"/>
      <c r="H39" s="1708"/>
    </row>
    <row r="40" spans="2:10">
      <c r="D40"/>
      <c r="E40"/>
      <c r="F40"/>
      <c r="G40"/>
    </row>
    <row r="41" spans="2:10">
      <c r="D41"/>
      <c r="E41"/>
      <c r="F41"/>
      <c r="G41"/>
    </row>
    <row r="42" spans="2:10">
      <c r="D42"/>
      <c r="E42"/>
      <c r="F42"/>
      <c r="G42"/>
    </row>
    <row r="43" spans="2:10">
      <c r="D43"/>
      <c r="E43"/>
      <c r="F43"/>
      <c r="G43"/>
    </row>
    <row r="44" spans="2:10">
      <c r="D44"/>
      <c r="E44"/>
      <c r="F44"/>
      <c r="G44"/>
    </row>
    <row r="45" spans="2:10">
      <c r="D45"/>
      <c r="E45"/>
      <c r="F45"/>
      <c r="G45"/>
    </row>
  </sheetData>
  <sortState ref="B24:J46">
    <sortCondition ref="C24:C46"/>
  </sortState>
  <mergeCells count="1">
    <mergeCell ref="F22:G22"/>
  </mergeCells>
  <pageMargins left="0.7" right="0.7" top="0.75" bottom="0.75" header="0.3" footer="0.3"/>
  <pageSetup paperSize="9" orientation="landscape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J20"/>
  <sheetViews>
    <sheetView topLeftCell="B1" workbookViewId="0">
      <selection activeCell="D25" sqref="D25"/>
    </sheetView>
  </sheetViews>
  <sheetFormatPr baseColWidth="10" defaultRowHeight="15"/>
  <cols>
    <col min="1" max="1" width="0" hidden="1" customWidth="1"/>
    <col min="4" max="4" width="60.42578125" customWidth="1"/>
    <col min="5" max="5" width="16" customWidth="1"/>
    <col min="6" max="6" width="15.140625" hidden="1" customWidth="1"/>
    <col min="7" max="7" width="15.7109375" style="1058" hidden="1" customWidth="1"/>
    <col min="8" max="8" width="11.42578125" hidden="1" customWidth="1"/>
    <col min="9" max="9" width="0" hidden="1" customWidth="1"/>
    <col min="10" max="10" width="18.140625" customWidth="1"/>
  </cols>
  <sheetData>
    <row r="1" spans="1:10" ht="60.75" customHeight="1" thickBot="1">
      <c r="A1" t="s">
        <v>65</v>
      </c>
      <c r="E1" s="2041" t="s">
        <v>5639</v>
      </c>
      <c r="J1" s="2042" t="s">
        <v>23</v>
      </c>
    </row>
    <row r="2" spans="1:10" ht="23.25" customHeight="1" thickBot="1">
      <c r="D2" t="s">
        <v>65</v>
      </c>
      <c r="E2" s="2033" t="s">
        <v>116</v>
      </c>
      <c r="F2" s="2031"/>
      <c r="G2" s="2031"/>
      <c r="H2" s="2031"/>
      <c r="I2" s="2031"/>
      <c r="J2" s="1518" t="s">
        <v>116</v>
      </c>
    </row>
    <row r="3" spans="1:10" ht="15.75" thickBot="1">
      <c r="E3" s="2033">
        <v>145242</v>
      </c>
      <c r="F3" s="2031"/>
      <c r="G3" s="2031"/>
      <c r="H3" s="2031"/>
      <c r="I3" s="2031"/>
      <c r="J3" s="1518">
        <v>151097</v>
      </c>
    </row>
    <row r="4" spans="1:10" ht="60.75" thickBot="1">
      <c r="B4" s="378" t="s">
        <v>119</v>
      </c>
      <c r="C4" s="729" t="s">
        <v>1595</v>
      </c>
      <c r="D4" s="1883" t="s">
        <v>5522</v>
      </c>
      <c r="E4" s="2041" t="s">
        <v>3396</v>
      </c>
      <c r="F4" s="1219" t="s">
        <v>3397</v>
      </c>
      <c r="G4" s="1069" t="s">
        <v>4000</v>
      </c>
      <c r="H4" s="1106" t="s">
        <v>21</v>
      </c>
      <c r="I4" s="2040" t="s">
        <v>3832</v>
      </c>
      <c r="J4" s="2046" t="s">
        <v>3397</v>
      </c>
    </row>
    <row r="5" spans="1:10">
      <c r="B5" s="791">
        <v>2096</v>
      </c>
      <c r="C5" s="1709">
        <v>10</v>
      </c>
      <c r="D5" s="2043" t="s">
        <v>3386</v>
      </c>
      <c r="E5" s="1889" t="s">
        <v>268</v>
      </c>
      <c r="F5" s="1057" t="s">
        <v>557</v>
      </c>
      <c r="G5" s="1070"/>
      <c r="H5" s="135" t="s">
        <v>557</v>
      </c>
      <c r="I5" s="2045" t="s">
        <v>3825</v>
      </c>
      <c r="J5" s="693"/>
    </row>
    <row r="6" spans="1:10" hidden="1">
      <c r="B6" s="791">
        <v>34</v>
      </c>
      <c r="C6" s="1709">
        <v>10</v>
      </c>
      <c r="D6" s="2044" t="s">
        <v>3387</v>
      </c>
      <c r="E6" s="1070" t="s">
        <v>65</v>
      </c>
      <c r="F6" s="1057" t="s">
        <v>557</v>
      </c>
      <c r="G6" s="1070"/>
      <c r="I6" s="2045" t="s">
        <v>3826</v>
      </c>
      <c r="J6" s="693"/>
    </row>
    <row r="7" spans="1:10">
      <c r="B7" s="791">
        <v>2094</v>
      </c>
      <c r="C7" s="1709">
        <v>10</v>
      </c>
      <c r="D7" s="2044" t="s">
        <v>3388</v>
      </c>
      <c r="E7" s="1070" t="s">
        <v>268</v>
      </c>
      <c r="F7" s="528" t="s">
        <v>268</v>
      </c>
      <c r="G7" s="1070" t="s">
        <v>591</v>
      </c>
      <c r="H7" s="135" t="s">
        <v>557</v>
      </c>
      <c r="I7" s="2045" t="s">
        <v>3827</v>
      </c>
      <c r="J7" s="693"/>
    </row>
    <row r="8" spans="1:10" hidden="1">
      <c r="B8" s="791">
        <v>2014</v>
      </c>
      <c r="C8" s="1709">
        <v>10</v>
      </c>
      <c r="D8" s="2044" t="s">
        <v>3389</v>
      </c>
      <c r="E8" s="1070" t="s">
        <v>268</v>
      </c>
      <c r="F8" s="528" t="s">
        <v>591</v>
      </c>
      <c r="G8" s="1070" t="s">
        <v>591</v>
      </c>
      <c r="I8" s="2045" t="s">
        <v>3828</v>
      </c>
      <c r="J8" s="693"/>
    </row>
    <row r="9" spans="1:10">
      <c r="B9" s="791">
        <v>2095</v>
      </c>
      <c r="C9" s="1709">
        <v>10</v>
      </c>
      <c r="D9" s="2044" t="s">
        <v>3390</v>
      </c>
      <c r="E9" s="1070" t="s">
        <v>268</v>
      </c>
      <c r="F9" s="528" t="s">
        <v>268</v>
      </c>
      <c r="G9" s="1070"/>
      <c r="H9" s="135" t="s">
        <v>557</v>
      </c>
      <c r="I9" s="2045" t="s">
        <v>3829</v>
      </c>
      <c r="J9" s="693"/>
    </row>
    <row r="10" spans="1:10" hidden="1">
      <c r="B10" s="791">
        <v>5825</v>
      </c>
      <c r="C10" s="1709">
        <v>10</v>
      </c>
      <c r="D10" s="2044" t="s">
        <v>3391</v>
      </c>
      <c r="E10" s="1070" t="s">
        <v>65</v>
      </c>
      <c r="F10" s="528" t="s">
        <v>591</v>
      </c>
      <c r="G10" s="1070"/>
      <c r="I10" s="2045" t="s">
        <v>3830</v>
      </c>
      <c r="J10" s="693"/>
    </row>
    <row r="11" spans="1:10">
      <c r="B11" s="791">
        <v>5096</v>
      </c>
      <c r="C11" s="1709"/>
      <c r="D11" s="2044" t="s">
        <v>3382</v>
      </c>
      <c r="E11" s="1070" t="s">
        <v>1846</v>
      </c>
      <c r="F11" s="528" t="s">
        <v>591</v>
      </c>
      <c r="G11" s="1070" t="s">
        <v>557</v>
      </c>
      <c r="I11" s="2045" t="s">
        <v>3831</v>
      </c>
      <c r="J11" s="693"/>
    </row>
    <row r="12" spans="1:10" hidden="1">
      <c r="B12" s="791">
        <v>6509</v>
      </c>
      <c r="C12" s="1709">
        <v>0</v>
      </c>
      <c r="D12" s="311" t="s">
        <v>3383</v>
      </c>
      <c r="E12" s="1711" t="s">
        <v>268</v>
      </c>
      <c r="F12" s="528" t="s">
        <v>591</v>
      </c>
      <c r="G12" s="1070" t="s">
        <v>557</v>
      </c>
      <c r="I12" s="986" t="s">
        <v>65</v>
      </c>
    </row>
    <row r="13" spans="1:10" hidden="1">
      <c r="B13" s="791">
        <v>5820</v>
      </c>
      <c r="C13" s="1709">
        <v>0</v>
      </c>
      <c r="D13" s="311" t="s">
        <v>3384</v>
      </c>
      <c r="E13" s="1711"/>
      <c r="F13" s="528" t="s">
        <v>591</v>
      </c>
      <c r="G13" s="1070"/>
      <c r="I13" s="986"/>
    </row>
    <row r="14" spans="1:10" hidden="1">
      <c r="B14" s="791">
        <v>2090</v>
      </c>
      <c r="C14" s="1709">
        <v>10</v>
      </c>
      <c r="D14" s="311" t="s">
        <v>3392</v>
      </c>
      <c r="E14" s="1711" t="s">
        <v>268</v>
      </c>
      <c r="F14" s="528" t="s">
        <v>557</v>
      </c>
      <c r="G14" s="1070" t="s">
        <v>557</v>
      </c>
      <c r="I14" s="986">
        <v>9.84</v>
      </c>
    </row>
    <row r="15" spans="1:10" hidden="1">
      <c r="B15" s="791">
        <v>2093</v>
      </c>
      <c r="C15" s="1709">
        <v>10</v>
      </c>
      <c r="D15" s="311" t="s">
        <v>3393</v>
      </c>
      <c r="E15" s="1711" t="s">
        <v>268</v>
      </c>
      <c r="F15" s="528" t="s">
        <v>556</v>
      </c>
      <c r="G15" s="1070" t="s">
        <v>591</v>
      </c>
      <c r="H15" s="135" t="s">
        <v>557</v>
      </c>
      <c r="I15" s="986">
        <v>6.65</v>
      </c>
    </row>
    <row r="16" spans="1:10" hidden="1">
      <c r="B16" s="791">
        <v>1822</v>
      </c>
      <c r="C16" s="1709">
        <v>5</v>
      </c>
      <c r="D16" s="311" t="s">
        <v>3394</v>
      </c>
      <c r="E16" s="1711" t="s">
        <v>65</v>
      </c>
      <c r="F16" s="528" t="s">
        <v>556</v>
      </c>
      <c r="G16" s="1070">
        <v>0</v>
      </c>
      <c r="I16" s="986">
        <v>1.28</v>
      </c>
    </row>
    <row r="17" spans="2:9" hidden="1">
      <c r="B17" s="791">
        <v>2052</v>
      </c>
      <c r="C17" s="1709">
        <v>10</v>
      </c>
      <c r="D17" s="311" t="s">
        <v>3395</v>
      </c>
      <c r="E17" s="1711" t="s">
        <v>557</v>
      </c>
      <c r="F17" s="528" t="s">
        <v>556</v>
      </c>
      <c r="G17" s="1070">
        <v>0</v>
      </c>
      <c r="H17" s="135" t="s">
        <v>557</v>
      </c>
      <c r="I17" s="986">
        <v>20.14</v>
      </c>
    </row>
    <row r="18" spans="2:9" hidden="1">
      <c r="B18" s="791">
        <v>5827</v>
      </c>
      <c r="C18" s="1709">
        <v>0</v>
      </c>
      <c r="D18" s="311" t="s">
        <v>3385</v>
      </c>
      <c r="E18" s="1711" t="s">
        <v>557</v>
      </c>
      <c r="F18" s="528"/>
      <c r="G18" s="1070" t="s">
        <v>557</v>
      </c>
    </row>
    <row r="19" spans="2:9">
      <c r="C19" s="123"/>
      <c r="D19" s="123"/>
      <c r="E19" s="123"/>
    </row>
    <row r="20" spans="2:9">
      <c r="C20" s="123"/>
      <c r="D20" s="123"/>
      <c r="E20" s="123"/>
    </row>
  </sheetData>
  <pageMargins left="0.7" right="0.7" top="0.75" bottom="0.75" header="0.3" footer="0.3"/>
  <pageSetup paperSize="11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5:M274"/>
  <sheetViews>
    <sheetView topLeftCell="A37" workbookViewId="0">
      <selection activeCell="C64" sqref="C64"/>
    </sheetView>
  </sheetViews>
  <sheetFormatPr baseColWidth="10" defaultRowHeight="15"/>
  <cols>
    <col min="1" max="1" width="11.42578125" style="101"/>
    <col min="2" max="2" width="61.42578125" style="25" customWidth="1"/>
    <col min="3" max="4" width="11.42578125" style="101"/>
    <col min="5" max="5" width="11.42578125" style="101" customWidth="1"/>
    <col min="6" max="6" width="11.42578125" style="101"/>
    <col min="7" max="7" width="11.42578125" style="979"/>
    <col min="8" max="10" width="11.42578125" style="101"/>
  </cols>
  <sheetData>
    <row r="5" spans="1:10" ht="45">
      <c r="A5" s="1015" t="s">
        <v>1087</v>
      </c>
      <c r="B5" s="1015" t="s">
        <v>4244</v>
      </c>
      <c r="C5" s="1015" t="s">
        <v>2262</v>
      </c>
      <c r="D5" s="1014" t="s">
        <v>4086</v>
      </c>
      <c r="E5" s="1014" t="s">
        <v>4245</v>
      </c>
      <c r="F5" s="1014" t="s">
        <v>4246</v>
      </c>
      <c r="G5" s="1177" t="s">
        <v>61</v>
      </c>
      <c r="H5" s="1014" t="s">
        <v>656</v>
      </c>
      <c r="I5" s="1014" t="s">
        <v>68</v>
      </c>
      <c r="J5" s="1014" t="s">
        <v>74</v>
      </c>
    </row>
    <row r="6" spans="1:10">
      <c r="A6" s="1140">
        <v>13802</v>
      </c>
      <c r="B6" s="21" t="s">
        <v>4269</v>
      </c>
      <c r="C6" s="1140">
        <v>12</v>
      </c>
      <c r="D6" s="1140">
        <v>2.8</v>
      </c>
      <c r="E6" s="1137">
        <v>0</v>
      </c>
      <c r="F6" s="1140">
        <f>+D6*C6</f>
        <v>33.599999999999994</v>
      </c>
      <c r="G6" s="978">
        <f>+F6*E6</f>
        <v>0</v>
      </c>
      <c r="H6" s="978">
        <f>+F6+G6</f>
        <v>33.599999999999994</v>
      </c>
      <c r="I6" s="1140"/>
      <c r="J6" s="1140">
        <f t="shared" ref="J6:J27" si="0">+I6*H6</f>
        <v>0</v>
      </c>
    </row>
    <row r="7" spans="1:10">
      <c r="A7" s="1140">
        <v>10801</v>
      </c>
      <c r="B7" s="21" t="s">
        <v>4268</v>
      </c>
      <c r="C7" s="1140">
        <v>12</v>
      </c>
      <c r="D7" s="1140">
        <v>3.53</v>
      </c>
      <c r="E7" s="1137">
        <v>0</v>
      </c>
      <c r="F7" s="1140">
        <f t="shared" ref="F7:F71" si="1">+D7*C7</f>
        <v>42.36</v>
      </c>
      <c r="G7" s="978">
        <f t="shared" ref="G7:G71" si="2">+F7*E7</f>
        <v>0</v>
      </c>
      <c r="H7" s="978">
        <f t="shared" ref="H7:H71" si="3">+F7+G7</f>
        <v>42.36</v>
      </c>
      <c r="I7" s="1140"/>
      <c r="J7" s="1140">
        <f t="shared" si="0"/>
        <v>0</v>
      </c>
    </row>
    <row r="8" spans="1:10">
      <c r="A8" s="1140" t="s">
        <v>4271</v>
      </c>
      <c r="B8" s="21" t="s">
        <v>4272</v>
      </c>
      <c r="C8" s="1140">
        <v>1</v>
      </c>
      <c r="D8" s="1140">
        <v>58.38</v>
      </c>
      <c r="E8" s="1137">
        <v>0</v>
      </c>
      <c r="F8" s="1140">
        <f t="shared" si="1"/>
        <v>58.38</v>
      </c>
      <c r="G8" s="978">
        <f t="shared" si="2"/>
        <v>0</v>
      </c>
      <c r="H8" s="978">
        <f t="shared" si="3"/>
        <v>58.38</v>
      </c>
      <c r="I8" s="1140"/>
      <c r="J8" s="1140">
        <f t="shared" si="0"/>
        <v>0</v>
      </c>
    </row>
    <row r="9" spans="1:10">
      <c r="A9" s="1140">
        <v>784</v>
      </c>
      <c r="B9" s="21" t="s">
        <v>1938</v>
      </c>
      <c r="C9" s="1140">
        <v>12</v>
      </c>
      <c r="D9" s="1140">
        <v>3.29</v>
      </c>
      <c r="E9" s="1137">
        <v>0</v>
      </c>
      <c r="F9" s="1140">
        <f t="shared" si="1"/>
        <v>39.480000000000004</v>
      </c>
      <c r="G9" s="978">
        <f t="shared" si="2"/>
        <v>0</v>
      </c>
      <c r="H9" s="978">
        <f t="shared" si="3"/>
        <v>39.480000000000004</v>
      </c>
      <c r="I9" s="1140"/>
      <c r="J9" s="1140">
        <f t="shared" si="0"/>
        <v>0</v>
      </c>
    </row>
    <row r="10" spans="1:10">
      <c r="A10" s="1140">
        <v>2388</v>
      </c>
      <c r="B10" s="21" t="s">
        <v>4270</v>
      </c>
      <c r="C10" s="1140">
        <v>12</v>
      </c>
      <c r="D10" s="1140">
        <v>0</v>
      </c>
      <c r="E10" s="1137">
        <v>0</v>
      </c>
      <c r="F10" s="1140">
        <f t="shared" si="1"/>
        <v>0</v>
      </c>
      <c r="G10" s="978">
        <f t="shared" si="2"/>
        <v>0</v>
      </c>
      <c r="H10" s="978">
        <f t="shared" si="3"/>
        <v>0</v>
      </c>
      <c r="I10" s="1140"/>
      <c r="J10" s="1140">
        <f t="shared" si="0"/>
        <v>0</v>
      </c>
    </row>
    <row r="11" spans="1:10">
      <c r="A11" s="1140">
        <v>1151</v>
      </c>
      <c r="B11" s="21" t="s">
        <v>4296</v>
      </c>
      <c r="C11" s="1140">
        <v>12</v>
      </c>
      <c r="D11" s="1140">
        <v>6.47</v>
      </c>
      <c r="E11" s="1137">
        <v>0.16</v>
      </c>
      <c r="F11" s="1140">
        <f t="shared" si="1"/>
        <v>77.64</v>
      </c>
      <c r="G11" s="978">
        <f t="shared" si="2"/>
        <v>12.4224</v>
      </c>
      <c r="H11" s="978">
        <f t="shared" si="3"/>
        <v>90.062399999999997</v>
      </c>
      <c r="I11" s="1140"/>
      <c r="J11" s="1140">
        <f t="shared" si="0"/>
        <v>0</v>
      </c>
    </row>
    <row r="12" spans="1:10">
      <c r="A12" s="1140">
        <v>1150</v>
      </c>
      <c r="B12" s="21" t="s">
        <v>4297</v>
      </c>
      <c r="C12" s="1140">
        <v>24</v>
      </c>
      <c r="D12" s="1140">
        <v>2.92</v>
      </c>
      <c r="E12" s="1137">
        <v>0.16</v>
      </c>
      <c r="F12" s="1140">
        <f t="shared" si="1"/>
        <v>70.08</v>
      </c>
      <c r="G12" s="978">
        <f t="shared" si="2"/>
        <v>11.2128</v>
      </c>
      <c r="H12" s="978">
        <f t="shared" si="3"/>
        <v>81.2928</v>
      </c>
      <c r="I12" s="1140"/>
      <c r="J12" s="1140">
        <f t="shared" si="0"/>
        <v>0</v>
      </c>
    </row>
    <row r="13" spans="1:10">
      <c r="A13" s="1140">
        <v>1161</v>
      </c>
      <c r="B13" s="21" t="s">
        <v>4298</v>
      </c>
      <c r="C13" s="1140">
        <v>12</v>
      </c>
      <c r="D13" s="1140">
        <v>2.92</v>
      </c>
      <c r="E13" s="1137">
        <v>0.16</v>
      </c>
      <c r="F13" s="1140">
        <f t="shared" si="1"/>
        <v>35.04</v>
      </c>
      <c r="G13" s="978">
        <f t="shared" si="2"/>
        <v>5.6063999999999998</v>
      </c>
      <c r="H13" s="978">
        <f t="shared" si="3"/>
        <v>40.6464</v>
      </c>
      <c r="I13" s="1140"/>
      <c r="J13" s="1140">
        <f t="shared" si="0"/>
        <v>0</v>
      </c>
    </row>
    <row r="14" spans="1:10">
      <c r="A14" s="1140">
        <v>10362</v>
      </c>
      <c r="B14" s="21" t="s">
        <v>4301</v>
      </c>
      <c r="C14" s="1140">
        <v>8</v>
      </c>
      <c r="D14" s="1140">
        <v>12.12</v>
      </c>
      <c r="E14" s="1137">
        <v>0.16</v>
      </c>
      <c r="F14" s="1140">
        <f t="shared" si="1"/>
        <v>96.96</v>
      </c>
      <c r="G14" s="978">
        <f t="shared" si="2"/>
        <v>15.513599999999999</v>
      </c>
      <c r="H14" s="978">
        <f t="shared" si="3"/>
        <v>112.47359999999999</v>
      </c>
      <c r="I14" s="1140"/>
      <c r="J14" s="1140">
        <f t="shared" si="0"/>
        <v>0</v>
      </c>
    </row>
    <row r="15" spans="1:10">
      <c r="A15" s="1140">
        <v>3516</v>
      </c>
      <c r="B15" s="21" t="s">
        <v>4300</v>
      </c>
      <c r="C15" s="1140">
        <v>12</v>
      </c>
      <c r="D15" s="1140">
        <v>1.54</v>
      </c>
      <c r="E15" s="1137">
        <v>0.16</v>
      </c>
      <c r="F15" s="1140">
        <f t="shared" si="1"/>
        <v>18.48</v>
      </c>
      <c r="G15" s="978">
        <f t="shared" si="2"/>
        <v>2.9568000000000003</v>
      </c>
      <c r="H15" s="978">
        <f t="shared" si="3"/>
        <v>21.436800000000002</v>
      </c>
      <c r="I15" s="1140"/>
      <c r="J15" s="1140">
        <f t="shared" si="0"/>
        <v>0</v>
      </c>
    </row>
    <row r="16" spans="1:10">
      <c r="A16" s="1140">
        <v>4946</v>
      </c>
      <c r="B16" s="21" t="s">
        <v>4299</v>
      </c>
      <c r="C16" s="1140">
        <v>36</v>
      </c>
      <c r="D16" s="1140">
        <v>0.83</v>
      </c>
      <c r="E16" s="1137">
        <v>0.16</v>
      </c>
      <c r="F16" s="1140">
        <f t="shared" si="1"/>
        <v>29.88</v>
      </c>
      <c r="G16" s="978">
        <f t="shared" si="2"/>
        <v>4.7808000000000002</v>
      </c>
      <c r="H16" s="978">
        <f t="shared" si="3"/>
        <v>34.660800000000002</v>
      </c>
      <c r="I16" s="1140"/>
      <c r="J16" s="1140">
        <f t="shared" si="0"/>
        <v>0</v>
      </c>
    </row>
    <row r="17" spans="1:10">
      <c r="A17" s="1140">
        <v>12531</v>
      </c>
      <c r="B17" s="21" t="s">
        <v>4346</v>
      </c>
      <c r="C17" s="1140">
        <v>24</v>
      </c>
      <c r="D17" s="1140">
        <v>0.81</v>
      </c>
      <c r="E17" s="1137">
        <v>0</v>
      </c>
      <c r="F17" s="1140">
        <f t="shared" si="1"/>
        <v>19.440000000000001</v>
      </c>
      <c r="G17" s="978">
        <f t="shared" si="2"/>
        <v>0</v>
      </c>
      <c r="H17" s="978">
        <f t="shared" si="3"/>
        <v>19.440000000000001</v>
      </c>
      <c r="I17" s="1140"/>
      <c r="J17" s="1140">
        <f t="shared" si="0"/>
        <v>0</v>
      </c>
    </row>
    <row r="18" spans="1:10">
      <c r="A18" s="1140">
        <v>6284</v>
      </c>
      <c r="B18" s="21" t="s">
        <v>4345</v>
      </c>
      <c r="C18" s="1140">
        <v>24</v>
      </c>
      <c r="D18" s="1140">
        <v>1.1200000000000001</v>
      </c>
      <c r="E18" s="1137">
        <v>0</v>
      </c>
      <c r="F18" s="1140">
        <f t="shared" si="1"/>
        <v>26.880000000000003</v>
      </c>
      <c r="G18" s="978">
        <f t="shared" si="2"/>
        <v>0</v>
      </c>
      <c r="H18" s="978">
        <f t="shared" si="3"/>
        <v>26.880000000000003</v>
      </c>
      <c r="I18" s="1140"/>
      <c r="J18" s="1140">
        <f t="shared" si="0"/>
        <v>0</v>
      </c>
    </row>
    <row r="19" spans="1:10">
      <c r="A19" s="1140">
        <v>2645</v>
      </c>
      <c r="B19" s="21" t="s">
        <v>4345</v>
      </c>
      <c r="C19" s="1140">
        <v>24</v>
      </c>
      <c r="D19" s="1140">
        <v>1.1200000000000001</v>
      </c>
      <c r="E19" s="1137">
        <v>0</v>
      </c>
      <c r="F19" s="1140">
        <f t="shared" si="1"/>
        <v>26.880000000000003</v>
      </c>
      <c r="G19" s="978">
        <f t="shared" si="2"/>
        <v>0</v>
      </c>
      <c r="H19" s="978">
        <f t="shared" si="3"/>
        <v>26.880000000000003</v>
      </c>
      <c r="I19" s="1140"/>
      <c r="J19" s="1140">
        <f t="shared" si="0"/>
        <v>0</v>
      </c>
    </row>
    <row r="20" spans="1:10">
      <c r="A20" s="1140">
        <v>6745</v>
      </c>
      <c r="B20" s="21" t="s">
        <v>1939</v>
      </c>
      <c r="C20" s="1140">
        <v>24</v>
      </c>
      <c r="D20" s="1140">
        <v>1.1200000000000001</v>
      </c>
      <c r="E20" s="1137">
        <v>0</v>
      </c>
      <c r="F20" s="1140">
        <f t="shared" si="1"/>
        <v>26.880000000000003</v>
      </c>
      <c r="G20" s="978">
        <f t="shared" si="2"/>
        <v>0</v>
      </c>
      <c r="H20" s="978">
        <f t="shared" si="3"/>
        <v>26.880000000000003</v>
      </c>
      <c r="I20" s="1140"/>
      <c r="J20" s="1140">
        <f t="shared" si="0"/>
        <v>0</v>
      </c>
    </row>
    <row r="21" spans="1:10">
      <c r="A21" s="1140">
        <v>14670</v>
      </c>
      <c r="B21" s="21" t="s">
        <v>4360</v>
      </c>
      <c r="C21" s="1140">
        <v>35</v>
      </c>
      <c r="D21" s="1140">
        <v>1.24</v>
      </c>
      <c r="E21" s="1137">
        <v>0</v>
      </c>
      <c r="F21" s="1140">
        <f t="shared" si="1"/>
        <v>43.4</v>
      </c>
      <c r="G21" s="978">
        <f t="shared" si="2"/>
        <v>0</v>
      </c>
      <c r="H21" s="978">
        <f t="shared" si="3"/>
        <v>43.4</v>
      </c>
      <c r="I21" s="1140"/>
      <c r="J21" s="1140">
        <f t="shared" si="0"/>
        <v>0</v>
      </c>
    </row>
    <row r="22" spans="1:10">
      <c r="A22" s="1140">
        <v>20795</v>
      </c>
      <c r="B22" s="21" t="s">
        <v>4361</v>
      </c>
      <c r="C22" s="1140">
        <v>35</v>
      </c>
      <c r="D22" s="1140">
        <v>1.24</v>
      </c>
      <c r="E22" s="1137">
        <v>0</v>
      </c>
      <c r="F22" s="1140">
        <f t="shared" si="1"/>
        <v>43.4</v>
      </c>
      <c r="G22" s="978">
        <f t="shared" si="2"/>
        <v>0</v>
      </c>
      <c r="H22" s="978">
        <f t="shared" si="3"/>
        <v>43.4</v>
      </c>
      <c r="I22" s="1140"/>
      <c r="J22" s="1140">
        <f t="shared" si="0"/>
        <v>0</v>
      </c>
    </row>
    <row r="23" spans="1:10">
      <c r="A23" s="1140">
        <v>771</v>
      </c>
      <c r="B23" s="21" t="s">
        <v>4267</v>
      </c>
      <c r="C23" s="1140">
        <v>35</v>
      </c>
      <c r="D23" s="1140">
        <v>1.39</v>
      </c>
      <c r="E23" s="1137">
        <v>0.16</v>
      </c>
      <c r="F23" s="1140">
        <f t="shared" si="1"/>
        <v>48.65</v>
      </c>
      <c r="G23" s="978">
        <f t="shared" si="2"/>
        <v>7.7839999999999998</v>
      </c>
      <c r="H23" s="978">
        <f t="shared" si="3"/>
        <v>56.433999999999997</v>
      </c>
      <c r="I23" s="1140"/>
      <c r="J23" s="1140">
        <f t="shared" si="0"/>
        <v>0</v>
      </c>
    </row>
    <row r="24" spans="1:10">
      <c r="A24" s="1140">
        <v>1422</v>
      </c>
      <c r="B24" s="21" t="s">
        <v>1964</v>
      </c>
      <c r="C24" s="1140">
        <v>24</v>
      </c>
      <c r="D24" s="1140">
        <v>1.53</v>
      </c>
      <c r="E24" s="1137">
        <v>0</v>
      </c>
      <c r="F24" s="1140">
        <f t="shared" si="1"/>
        <v>36.72</v>
      </c>
      <c r="G24" s="978">
        <f t="shared" si="2"/>
        <v>0</v>
      </c>
      <c r="H24" s="978">
        <f t="shared" si="3"/>
        <v>36.72</v>
      </c>
      <c r="I24" s="1140"/>
      <c r="J24" s="1140">
        <f t="shared" si="0"/>
        <v>0</v>
      </c>
    </row>
    <row r="25" spans="1:10">
      <c r="A25" s="1140">
        <v>2467</v>
      </c>
      <c r="B25" s="21" t="s">
        <v>1965</v>
      </c>
      <c r="C25" s="1140">
        <v>12</v>
      </c>
      <c r="D25" s="1140">
        <v>2.65</v>
      </c>
      <c r="E25" s="1137">
        <v>0</v>
      </c>
      <c r="F25" s="1140">
        <f t="shared" si="1"/>
        <v>31.799999999999997</v>
      </c>
      <c r="G25" s="978">
        <f t="shared" si="2"/>
        <v>0</v>
      </c>
      <c r="H25" s="978">
        <f t="shared" si="3"/>
        <v>31.799999999999997</v>
      </c>
      <c r="I25" s="1140"/>
      <c r="J25" s="1140">
        <f t="shared" si="0"/>
        <v>0</v>
      </c>
    </row>
    <row r="26" spans="1:10">
      <c r="A26" s="1140">
        <v>3638</v>
      </c>
      <c r="B26" s="21" t="s">
        <v>4294</v>
      </c>
      <c r="C26" s="1140">
        <v>30</v>
      </c>
      <c r="D26" s="1140">
        <v>0.77</v>
      </c>
      <c r="E26" s="1137">
        <v>0</v>
      </c>
      <c r="F26" s="1140">
        <f t="shared" si="1"/>
        <v>23.1</v>
      </c>
      <c r="G26" s="978">
        <f t="shared" si="2"/>
        <v>0</v>
      </c>
      <c r="H26" s="978">
        <f t="shared" si="3"/>
        <v>23.1</v>
      </c>
      <c r="I26" s="1140"/>
      <c r="J26" s="1140">
        <f t="shared" si="0"/>
        <v>0</v>
      </c>
    </row>
    <row r="27" spans="1:10">
      <c r="A27" s="1140">
        <v>1143</v>
      </c>
      <c r="B27" s="21" t="s">
        <v>4295</v>
      </c>
      <c r="C27" s="1140">
        <v>24</v>
      </c>
      <c r="D27" s="1140">
        <v>0.95</v>
      </c>
      <c r="E27" s="1137">
        <v>0</v>
      </c>
      <c r="F27" s="1140">
        <f t="shared" si="1"/>
        <v>22.799999999999997</v>
      </c>
      <c r="G27" s="978">
        <f t="shared" si="2"/>
        <v>0</v>
      </c>
      <c r="H27" s="978">
        <f t="shared" si="3"/>
        <v>22.799999999999997</v>
      </c>
      <c r="I27" s="1140"/>
      <c r="J27" s="1140">
        <f t="shared" si="0"/>
        <v>0</v>
      </c>
    </row>
    <row r="28" spans="1:10" s="827" customFormat="1">
      <c r="A28" s="1140"/>
      <c r="B28" s="21" t="s">
        <v>4386</v>
      </c>
      <c r="C28" s="1140">
        <v>24</v>
      </c>
      <c r="D28" s="1140">
        <v>0.99</v>
      </c>
      <c r="E28" s="1137"/>
      <c r="F28" s="1140">
        <f t="shared" si="1"/>
        <v>23.759999999999998</v>
      </c>
      <c r="G28" s="978">
        <f t="shared" si="2"/>
        <v>0</v>
      </c>
      <c r="H28" s="978">
        <f t="shared" si="3"/>
        <v>23.759999999999998</v>
      </c>
      <c r="I28" s="1140"/>
      <c r="J28" s="1140"/>
    </row>
    <row r="29" spans="1:10">
      <c r="A29" s="1140">
        <v>2468</v>
      </c>
      <c r="B29" s="21" t="s">
        <v>4348</v>
      </c>
      <c r="C29" s="1140">
        <v>24</v>
      </c>
      <c r="D29" s="1140">
        <v>1.18</v>
      </c>
      <c r="E29" s="1137">
        <v>0</v>
      </c>
      <c r="F29" s="1140">
        <f t="shared" si="1"/>
        <v>28.32</v>
      </c>
      <c r="G29" s="978">
        <f t="shared" si="2"/>
        <v>0</v>
      </c>
      <c r="H29" s="978">
        <f t="shared" si="3"/>
        <v>28.32</v>
      </c>
      <c r="I29" s="1140"/>
      <c r="J29" s="1140">
        <f t="shared" ref="J29:J36" si="4">+I29*H29</f>
        <v>0</v>
      </c>
    </row>
    <row r="30" spans="1:10">
      <c r="A30" s="1140">
        <v>12650</v>
      </c>
      <c r="B30" s="21" t="s">
        <v>4349</v>
      </c>
      <c r="C30" s="1140">
        <v>12</v>
      </c>
      <c r="D30" s="1140">
        <v>1.41</v>
      </c>
      <c r="E30" s="1137">
        <v>0</v>
      </c>
      <c r="F30" s="1140">
        <f t="shared" si="1"/>
        <v>16.919999999999998</v>
      </c>
      <c r="G30" s="978">
        <f t="shared" si="2"/>
        <v>0</v>
      </c>
      <c r="H30" s="978">
        <f t="shared" si="3"/>
        <v>16.919999999999998</v>
      </c>
      <c r="I30" s="1140"/>
      <c r="J30" s="1140">
        <f t="shared" si="4"/>
        <v>0</v>
      </c>
    </row>
    <row r="31" spans="1:10">
      <c r="A31" s="1140">
        <v>4001</v>
      </c>
      <c r="B31" s="21" t="s">
        <v>4350</v>
      </c>
      <c r="C31" s="1140">
        <v>12</v>
      </c>
      <c r="D31" s="1140">
        <v>1.85</v>
      </c>
      <c r="E31" s="1137">
        <v>0</v>
      </c>
      <c r="F31" s="1140">
        <f t="shared" si="1"/>
        <v>22.200000000000003</v>
      </c>
      <c r="G31" s="978">
        <f t="shared" si="2"/>
        <v>0</v>
      </c>
      <c r="H31" s="978">
        <f t="shared" si="3"/>
        <v>22.200000000000003</v>
      </c>
      <c r="I31" s="1140"/>
      <c r="J31" s="1140">
        <f t="shared" si="4"/>
        <v>0</v>
      </c>
    </row>
    <row r="32" spans="1:10">
      <c r="A32" s="1140">
        <v>9096</v>
      </c>
      <c r="B32" s="21" t="s">
        <v>4347</v>
      </c>
      <c r="C32" s="1140">
        <v>34</v>
      </c>
      <c r="D32" s="1140">
        <v>0.49</v>
      </c>
      <c r="E32" s="1137">
        <v>0</v>
      </c>
      <c r="F32" s="1140">
        <f t="shared" si="1"/>
        <v>16.66</v>
      </c>
      <c r="G32" s="978">
        <f t="shared" si="2"/>
        <v>0</v>
      </c>
      <c r="H32" s="978">
        <f t="shared" si="3"/>
        <v>16.66</v>
      </c>
      <c r="I32" s="1140"/>
      <c r="J32" s="1140">
        <f t="shared" si="4"/>
        <v>0</v>
      </c>
    </row>
    <row r="33" spans="1:10">
      <c r="A33" s="1140">
        <v>9097</v>
      </c>
      <c r="B33" s="21" t="s">
        <v>1970</v>
      </c>
      <c r="C33" s="1140">
        <v>24</v>
      </c>
      <c r="D33" s="1140">
        <v>0.89</v>
      </c>
      <c r="E33" s="1137">
        <v>0</v>
      </c>
      <c r="F33" s="1140">
        <f t="shared" si="1"/>
        <v>21.36</v>
      </c>
      <c r="G33" s="978">
        <f t="shared" si="2"/>
        <v>0</v>
      </c>
      <c r="H33" s="978">
        <f t="shared" si="3"/>
        <v>21.36</v>
      </c>
      <c r="I33" s="1140"/>
      <c r="J33" s="1140">
        <f t="shared" si="4"/>
        <v>0</v>
      </c>
    </row>
    <row r="34" spans="1:10">
      <c r="A34" s="1140">
        <v>10410</v>
      </c>
      <c r="B34" s="21" t="s">
        <v>4390</v>
      </c>
      <c r="C34" s="1140">
        <v>12</v>
      </c>
      <c r="D34" s="1140">
        <v>1.92</v>
      </c>
      <c r="E34" s="1137">
        <v>0.16</v>
      </c>
      <c r="F34" s="1140">
        <f t="shared" si="1"/>
        <v>23.04</v>
      </c>
      <c r="G34" s="978">
        <f t="shared" si="2"/>
        <v>3.6863999999999999</v>
      </c>
      <c r="H34" s="978">
        <f t="shared" si="3"/>
        <v>26.726399999999998</v>
      </c>
      <c r="I34" s="1140"/>
      <c r="J34" s="1140">
        <f t="shared" si="4"/>
        <v>0</v>
      </c>
    </row>
    <row r="35" spans="1:10">
      <c r="A35" s="1140">
        <v>12838</v>
      </c>
      <c r="B35" s="21" t="s">
        <v>4391</v>
      </c>
      <c r="C35" s="1140">
        <v>12</v>
      </c>
      <c r="D35" s="1140">
        <v>1.92</v>
      </c>
      <c r="E35" s="1137">
        <v>0.16</v>
      </c>
      <c r="F35" s="1140">
        <f t="shared" si="1"/>
        <v>23.04</v>
      </c>
      <c r="G35" s="978">
        <f t="shared" si="2"/>
        <v>3.6863999999999999</v>
      </c>
      <c r="H35" s="978">
        <f t="shared" si="3"/>
        <v>26.726399999999998</v>
      </c>
      <c r="I35" s="1140"/>
      <c r="J35" s="1140">
        <f t="shared" si="4"/>
        <v>0</v>
      </c>
    </row>
    <row r="36" spans="1:10">
      <c r="A36" s="1140">
        <v>12648</v>
      </c>
      <c r="B36" s="21" t="s">
        <v>4392</v>
      </c>
      <c r="C36" s="1140">
        <v>24</v>
      </c>
      <c r="D36" s="1140">
        <v>1.0900000000000001</v>
      </c>
      <c r="E36" s="1137">
        <v>0.16</v>
      </c>
      <c r="F36" s="1140">
        <f t="shared" si="1"/>
        <v>26.160000000000004</v>
      </c>
      <c r="G36" s="978">
        <f t="shared" si="2"/>
        <v>4.1856000000000009</v>
      </c>
      <c r="H36" s="978">
        <f t="shared" si="3"/>
        <v>30.345600000000005</v>
      </c>
      <c r="I36" s="1140"/>
      <c r="J36" s="1140">
        <f t="shared" si="4"/>
        <v>0</v>
      </c>
    </row>
    <row r="37" spans="1:10">
      <c r="A37" s="1140">
        <v>21274</v>
      </c>
      <c r="B37" s="21" t="s">
        <v>4393</v>
      </c>
      <c r="C37" s="1140">
        <v>24</v>
      </c>
      <c r="D37" s="1140">
        <v>1.92</v>
      </c>
      <c r="E37" s="1137">
        <v>0.16</v>
      </c>
      <c r="F37" s="1140">
        <f t="shared" si="1"/>
        <v>46.08</v>
      </c>
      <c r="G37" s="978">
        <f t="shared" si="2"/>
        <v>7.3727999999999998</v>
      </c>
      <c r="H37" s="978">
        <f t="shared" si="3"/>
        <v>53.452799999999996</v>
      </c>
      <c r="I37" s="1140"/>
      <c r="J37" s="1140"/>
    </row>
    <row r="38" spans="1:10">
      <c r="A38" s="1140">
        <v>6324</v>
      </c>
      <c r="B38" s="21" t="s">
        <v>4394</v>
      </c>
      <c r="C38" s="1140">
        <v>12</v>
      </c>
      <c r="D38" s="1140">
        <v>2.15</v>
      </c>
      <c r="E38" s="1137">
        <v>0.16</v>
      </c>
      <c r="F38" s="1140">
        <f t="shared" si="1"/>
        <v>25.799999999999997</v>
      </c>
      <c r="G38" s="978">
        <f t="shared" si="2"/>
        <v>4.1279999999999992</v>
      </c>
      <c r="H38" s="978">
        <f t="shared" si="3"/>
        <v>29.927999999999997</v>
      </c>
      <c r="I38" s="1140"/>
      <c r="J38" s="1140">
        <f t="shared" ref="J38:J47" si="5">+I38*H38</f>
        <v>0</v>
      </c>
    </row>
    <row r="39" spans="1:10">
      <c r="A39" s="1140">
        <v>3507</v>
      </c>
      <c r="B39" s="21" t="s">
        <v>4247</v>
      </c>
      <c r="C39" s="1140">
        <v>30</v>
      </c>
      <c r="D39" s="1140">
        <v>1.18</v>
      </c>
      <c r="E39" s="1137">
        <v>0.16</v>
      </c>
      <c r="F39" s="1140">
        <f t="shared" si="1"/>
        <v>35.4</v>
      </c>
      <c r="G39" s="978">
        <f t="shared" si="2"/>
        <v>5.6639999999999997</v>
      </c>
      <c r="H39" s="978">
        <f t="shared" si="3"/>
        <v>41.064</v>
      </c>
      <c r="I39" s="1140"/>
      <c r="J39" s="1140">
        <f t="shared" si="5"/>
        <v>0</v>
      </c>
    </row>
    <row r="40" spans="1:10">
      <c r="A40" s="1140">
        <v>5856</v>
      </c>
      <c r="B40" s="21" t="s">
        <v>4248</v>
      </c>
      <c r="C40" s="1140">
        <v>30</v>
      </c>
      <c r="D40" s="1140">
        <v>1.18</v>
      </c>
      <c r="E40" s="1137">
        <v>0.16</v>
      </c>
      <c r="F40" s="1140">
        <f t="shared" si="1"/>
        <v>35.4</v>
      </c>
      <c r="G40" s="978">
        <f t="shared" si="2"/>
        <v>5.6639999999999997</v>
      </c>
      <c r="H40" s="978">
        <f t="shared" si="3"/>
        <v>41.064</v>
      </c>
      <c r="I40" s="1140"/>
      <c r="J40" s="1140">
        <f t="shared" si="5"/>
        <v>0</v>
      </c>
    </row>
    <row r="41" spans="1:10">
      <c r="A41" s="1140">
        <v>1221</v>
      </c>
      <c r="B41" s="21" t="s">
        <v>4249</v>
      </c>
      <c r="C41" s="1140">
        <v>18</v>
      </c>
      <c r="D41" s="1140">
        <v>2.89</v>
      </c>
      <c r="E41" s="1137">
        <v>0.16</v>
      </c>
      <c r="F41" s="1140">
        <f t="shared" si="1"/>
        <v>52.02</v>
      </c>
      <c r="G41" s="978">
        <f t="shared" si="2"/>
        <v>8.3231999999999999</v>
      </c>
      <c r="H41" s="978">
        <f t="shared" si="3"/>
        <v>60.343200000000003</v>
      </c>
      <c r="I41" s="1140"/>
      <c r="J41" s="1140">
        <f t="shared" si="5"/>
        <v>0</v>
      </c>
    </row>
    <row r="42" spans="1:10">
      <c r="A42" s="1140">
        <v>1222</v>
      </c>
      <c r="B42" s="21" t="s">
        <v>4250</v>
      </c>
      <c r="C42" s="1140">
        <v>18</v>
      </c>
      <c r="D42" s="1140">
        <v>2.89</v>
      </c>
      <c r="E42" s="1137">
        <v>0.16</v>
      </c>
      <c r="F42" s="1140">
        <f t="shared" si="1"/>
        <v>52.02</v>
      </c>
      <c r="G42" s="978">
        <f t="shared" si="2"/>
        <v>8.3231999999999999</v>
      </c>
      <c r="H42" s="978">
        <f t="shared" si="3"/>
        <v>60.343200000000003</v>
      </c>
      <c r="I42" s="1140"/>
      <c r="J42" s="1140">
        <f t="shared" si="5"/>
        <v>0</v>
      </c>
    </row>
    <row r="43" spans="1:10">
      <c r="A43" s="1140">
        <v>10361</v>
      </c>
      <c r="B43" s="21" t="s">
        <v>4251</v>
      </c>
      <c r="C43" s="1140">
        <v>18</v>
      </c>
      <c r="D43" s="1140">
        <v>2.89</v>
      </c>
      <c r="E43" s="1137">
        <v>0.16</v>
      </c>
      <c r="F43" s="1140">
        <f t="shared" si="1"/>
        <v>52.02</v>
      </c>
      <c r="G43" s="978">
        <f t="shared" si="2"/>
        <v>8.3231999999999999</v>
      </c>
      <c r="H43" s="978">
        <f t="shared" si="3"/>
        <v>60.343200000000003</v>
      </c>
      <c r="I43" s="1140"/>
      <c r="J43" s="1140">
        <f t="shared" si="5"/>
        <v>0</v>
      </c>
    </row>
    <row r="44" spans="1:10">
      <c r="A44" s="1140">
        <v>10360</v>
      </c>
      <c r="B44" s="21" t="s">
        <v>4252</v>
      </c>
      <c r="C44" s="1140">
        <v>30</v>
      </c>
      <c r="D44" s="1140">
        <v>1.18</v>
      </c>
      <c r="E44" s="1137">
        <v>0.16</v>
      </c>
      <c r="F44" s="1140">
        <f t="shared" si="1"/>
        <v>35.4</v>
      </c>
      <c r="G44" s="978">
        <f t="shared" si="2"/>
        <v>5.6639999999999997</v>
      </c>
      <c r="H44" s="978">
        <f t="shared" si="3"/>
        <v>41.064</v>
      </c>
      <c r="I44" s="1140"/>
      <c r="J44" s="1140">
        <f t="shared" si="5"/>
        <v>0</v>
      </c>
    </row>
    <row r="45" spans="1:10">
      <c r="A45" s="1140">
        <v>14162</v>
      </c>
      <c r="B45" s="21" t="s">
        <v>4262</v>
      </c>
      <c r="C45" s="1140">
        <v>20</v>
      </c>
      <c r="D45" s="1140">
        <v>2.6</v>
      </c>
      <c r="E45" s="1137">
        <v>0.16</v>
      </c>
      <c r="F45" s="1140">
        <f t="shared" si="1"/>
        <v>52</v>
      </c>
      <c r="G45" s="978">
        <f t="shared" si="2"/>
        <v>8.32</v>
      </c>
      <c r="H45" s="978">
        <f t="shared" si="3"/>
        <v>60.32</v>
      </c>
      <c r="I45" s="1140"/>
      <c r="J45" s="1140">
        <f t="shared" si="5"/>
        <v>0</v>
      </c>
    </row>
    <row r="46" spans="1:10">
      <c r="A46" s="1140">
        <v>6374</v>
      </c>
      <c r="B46" s="21" t="s">
        <v>4253</v>
      </c>
      <c r="C46" s="1140">
        <v>18</v>
      </c>
      <c r="D46" s="1140">
        <v>2.89</v>
      </c>
      <c r="E46" s="1137">
        <v>0.16</v>
      </c>
      <c r="F46" s="1140">
        <f t="shared" si="1"/>
        <v>52.02</v>
      </c>
      <c r="G46" s="978">
        <f t="shared" si="2"/>
        <v>8.3231999999999999</v>
      </c>
      <c r="H46" s="978">
        <f t="shared" si="3"/>
        <v>60.343200000000003</v>
      </c>
      <c r="I46" s="1140"/>
      <c r="J46" s="1140">
        <f t="shared" si="5"/>
        <v>0</v>
      </c>
    </row>
    <row r="47" spans="1:10">
      <c r="A47" s="1140">
        <v>13382</v>
      </c>
      <c r="B47" s="21" t="s">
        <v>4254</v>
      </c>
      <c r="C47" s="1140">
        <v>20</v>
      </c>
      <c r="D47" s="1140">
        <v>2.6</v>
      </c>
      <c r="E47" s="1137">
        <v>0.16</v>
      </c>
      <c r="F47" s="1140">
        <f t="shared" si="1"/>
        <v>52</v>
      </c>
      <c r="G47" s="978">
        <f t="shared" si="2"/>
        <v>8.32</v>
      </c>
      <c r="H47" s="978">
        <f t="shared" si="3"/>
        <v>60.32</v>
      </c>
      <c r="I47" s="1140"/>
      <c r="J47" s="1140">
        <f t="shared" si="5"/>
        <v>0</v>
      </c>
    </row>
    <row r="48" spans="1:10">
      <c r="A48" s="1140">
        <v>15447</v>
      </c>
      <c r="B48" s="21" t="s">
        <v>4351</v>
      </c>
      <c r="C48" s="1140"/>
      <c r="D48" s="1140">
        <v>2.6</v>
      </c>
      <c r="E48" s="1137">
        <v>0.16</v>
      </c>
      <c r="F48" s="1140">
        <f t="shared" si="1"/>
        <v>0</v>
      </c>
      <c r="G48" s="978">
        <f t="shared" si="2"/>
        <v>0</v>
      </c>
      <c r="H48" s="978">
        <f t="shared" si="3"/>
        <v>0</v>
      </c>
      <c r="I48" s="1140"/>
      <c r="J48" s="1140"/>
    </row>
    <row r="49" spans="1:10">
      <c r="A49" s="1140">
        <v>6373</v>
      </c>
      <c r="B49" s="21" t="s">
        <v>4255</v>
      </c>
      <c r="C49" s="1140">
        <v>30</v>
      </c>
      <c r="D49" s="1140">
        <v>1.18</v>
      </c>
      <c r="E49" s="1137">
        <v>0.16</v>
      </c>
      <c r="F49" s="1140">
        <f t="shared" si="1"/>
        <v>35.4</v>
      </c>
      <c r="G49" s="978">
        <f t="shared" si="2"/>
        <v>5.6639999999999997</v>
      </c>
      <c r="H49" s="978">
        <f t="shared" si="3"/>
        <v>41.064</v>
      </c>
      <c r="I49" s="1140"/>
      <c r="J49" s="1140">
        <f>+I49*H49</f>
        <v>0</v>
      </c>
    </row>
    <row r="50" spans="1:10">
      <c r="A50" s="1140">
        <v>6371</v>
      </c>
      <c r="B50" s="21" t="s">
        <v>4256</v>
      </c>
      <c r="C50" s="1140">
        <v>30</v>
      </c>
      <c r="D50" s="1140">
        <v>1.18</v>
      </c>
      <c r="E50" s="1137">
        <v>0.16</v>
      </c>
      <c r="F50" s="1140">
        <f t="shared" si="1"/>
        <v>35.4</v>
      </c>
      <c r="G50" s="978">
        <f t="shared" si="2"/>
        <v>5.6639999999999997</v>
      </c>
      <c r="H50" s="978">
        <f t="shared" si="3"/>
        <v>41.064</v>
      </c>
      <c r="I50" s="1140"/>
      <c r="J50" s="1140">
        <f>+I50*H50</f>
        <v>0</v>
      </c>
    </row>
    <row r="51" spans="1:10">
      <c r="A51" s="1140">
        <v>400</v>
      </c>
      <c r="B51" s="21" t="s">
        <v>4257</v>
      </c>
      <c r="C51" s="1140">
        <v>12</v>
      </c>
      <c r="D51" s="1140">
        <v>3.86</v>
      </c>
      <c r="E51" s="1137">
        <v>0.16</v>
      </c>
      <c r="F51" s="1140">
        <f t="shared" si="1"/>
        <v>46.32</v>
      </c>
      <c r="G51" s="978">
        <f t="shared" si="2"/>
        <v>7.4112</v>
      </c>
      <c r="H51" s="978">
        <f t="shared" si="3"/>
        <v>53.731200000000001</v>
      </c>
      <c r="I51" s="1140"/>
      <c r="J51" s="1140">
        <f>+I51*H51</f>
        <v>0</v>
      </c>
    </row>
    <row r="52" spans="1:10">
      <c r="A52" s="1140">
        <v>21071</v>
      </c>
      <c r="B52" s="21" t="s">
        <v>4378</v>
      </c>
      <c r="C52" s="1140">
        <v>20</v>
      </c>
      <c r="D52" s="1140">
        <v>1.34</v>
      </c>
      <c r="E52" s="1137">
        <v>0.16</v>
      </c>
      <c r="F52" s="1140">
        <f t="shared" si="1"/>
        <v>26.8</v>
      </c>
      <c r="G52" s="978">
        <f t="shared" si="2"/>
        <v>4.2880000000000003</v>
      </c>
      <c r="H52" s="978">
        <f t="shared" si="3"/>
        <v>31.088000000000001</v>
      </c>
      <c r="I52" s="1140"/>
      <c r="J52" s="1140">
        <f>+I52*H52</f>
        <v>0</v>
      </c>
    </row>
    <row r="53" spans="1:10" s="827" customFormat="1">
      <c r="A53" s="1140"/>
      <c r="B53" s="21" t="s">
        <v>4389</v>
      </c>
      <c r="C53" s="1140">
        <v>30</v>
      </c>
      <c r="D53" s="1140">
        <v>0.61</v>
      </c>
      <c r="E53" s="1137">
        <v>0.16</v>
      </c>
      <c r="F53" s="1140">
        <f t="shared" si="1"/>
        <v>18.3</v>
      </c>
      <c r="G53" s="978">
        <f t="shared" si="2"/>
        <v>2.9280000000000004</v>
      </c>
      <c r="H53" s="978">
        <f t="shared" si="3"/>
        <v>21.228000000000002</v>
      </c>
      <c r="I53" s="1140"/>
      <c r="J53" s="1140"/>
    </row>
    <row r="54" spans="1:10">
      <c r="A54" s="1140">
        <v>8031</v>
      </c>
      <c r="B54" s="21" t="s">
        <v>4303</v>
      </c>
      <c r="C54" s="1140">
        <v>144</v>
      </c>
      <c r="D54" s="1140">
        <v>0.28000000000000003</v>
      </c>
      <c r="E54" s="1137">
        <v>0.16</v>
      </c>
      <c r="F54" s="1140">
        <f t="shared" si="1"/>
        <v>40.320000000000007</v>
      </c>
      <c r="G54" s="978">
        <f t="shared" si="2"/>
        <v>6.4512000000000009</v>
      </c>
      <c r="H54" s="978">
        <f t="shared" si="3"/>
        <v>46.771200000000007</v>
      </c>
      <c r="I54" s="1140"/>
      <c r="J54" s="1140">
        <f>+I54*H54</f>
        <v>0</v>
      </c>
    </row>
    <row r="55" spans="1:10">
      <c r="A55" s="1140">
        <v>1155</v>
      </c>
      <c r="B55" s="21" t="s">
        <v>4302</v>
      </c>
      <c r="C55" s="1140">
        <v>24</v>
      </c>
      <c r="D55" s="1140">
        <v>1.6800000000000002</v>
      </c>
      <c r="E55" s="1137">
        <v>0.16</v>
      </c>
      <c r="F55" s="1140">
        <f t="shared" si="1"/>
        <v>40.320000000000007</v>
      </c>
      <c r="G55" s="978">
        <f t="shared" si="2"/>
        <v>6.4512000000000009</v>
      </c>
      <c r="H55" s="978">
        <f t="shared" si="3"/>
        <v>46.771200000000007</v>
      </c>
      <c r="I55" s="1140"/>
      <c r="J55" s="1140">
        <f>+I55*H55</f>
        <v>0</v>
      </c>
    </row>
    <row r="56" spans="1:10">
      <c r="A56" s="1140">
        <v>6256</v>
      </c>
      <c r="B56" s="21" t="s">
        <v>4278</v>
      </c>
      <c r="C56" s="1140">
        <v>60</v>
      </c>
      <c r="D56" s="1140">
        <v>1.04</v>
      </c>
      <c r="E56" s="1137">
        <v>0.16</v>
      </c>
      <c r="F56" s="1140">
        <f t="shared" si="1"/>
        <v>62.400000000000006</v>
      </c>
      <c r="G56" s="978">
        <f t="shared" si="2"/>
        <v>9.9840000000000018</v>
      </c>
      <c r="H56" s="978">
        <f t="shared" si="3"/>
        <v>72.384000000000015</v>
      </c>
      <c r="I56" s="1140"/>
      <c r="J56" s="1140">
        <f>+I56*H56</f>
        <v>0</v>
      </c>
    </row>
    <row r="57" spans="1:10">
      <c r="A57" s="1140">
        <v>1081</v>
      </c>
      <c r="B57" s="21" t="s">
        <v>4279</v>
      </c>
      <c r="C57" s="1140">
        <v>60</v>
      </c>
      <c r="D57" s="1140">
        <v>1.04</v>
      </c>
      <c r="E57" s="1137">
        <v>0.16</v>
      </c>
      <c r="F57" s="1140">
        <f t="shared" si="1"/>
        <v>62.400000000000006</v>
      </c>
      <c r="G57" s="978">
        <f t="shared" si="2"/>
        <v>9.9840000000000018</v>
      </c>
      <c r="H57" s="978">
        <f t="shared" si="3"/>
        <v>72.384000000000015</v>
      </c>
      <c r="I57" s="1140"/>
      <c r="J57" s="1140">
        <f>+I57*H57</f>
        <v>0</v>
      </c>
    </row>
    <row r="58" spans="1:10">
      <c r="A58" s="1140">
        <v>863</v>
      </c>
      <c r="B58" s="21" t="s">
        <v>4280</v>
      </c>
      <c r="C58" s="1140">
        <v>60</v>
      </c>
      <c r="D58" s="1140">
        <v>1.04</v>
      </c>
      <c r="E58" s="1137">
        <v>0.16</v>
      </c>
      <c r="F58" s="1140">
        <f t="shared" si="1"/>
        <v>62.400000000000006</v>
      </c>
      <c r="G58" s="978">
        <f t="shared" si="2"/>
        <v>9.9840000000000018</v>
      </c>
      <c r="H58" s="978">
        <f t="shared" si="3"/>
        <v>72.384000000000015</v>
      </c>
      <c r="I58" s="1140"/>
      <c r="J58" s="1140">
        <f>+I58*H58</f>
        <v>0</v>
      </c>
    </row>
    <row r="59" spans="1:10">
      <c r="A59" s="1140">
        <v>863</v>
      </c>
      <c r="B59" s="21" t="s">
        <v>4280</v>
      </c>
      <c r="C59" s="1140">
        <v>60</v>
      </c>
      <c r="D59" s="1140">
        <v>1.04</v>
      </c>
      <c r="E59" s="1137">
        <v>0.16</v>
      </c>
      <c r="F59" s="1140">
        <f t="shared" si="1"/>
        <v>62.400000000000006</v>
      </c>
      <c r="G59" s="978">
        <f t="shared" si="2"/>
        <v>9.9840000000000018</v>
      </c>
      <c r="H59" s="978">
        <f t="shared" si="3"/>
        <v>72.384000000000015</v>
      </c>
      <c r="I59" s="1140"/>
      <c r="J59" s="1140"/>
    </row>
    <row r="60" spans="1:10">
      <c r="A60" s="1140">
        <v>878</v>
      </c>
      <c r="B60" s="21" t="s">
        <v>4281</v>
      </c>
      <c r="C60" s="1140">
        <v>60</v>
      </c>
      <c r="D60" s="1140">
        <v>1.04</v>
      </c>
      <c r="E60" s="1137">
        <v>0.16</v>
      </c>
      <c r="F60" s="1140">
        <f t="shared" si="1"/>
        <v>62.400000000000006</v>
      </c>
      <c r="G60" s="978">
        <f t="shared" si="2"/>
        <v>9.9840000000000018</v>
      </c>
      <c r="H60" s="978">
        <f t="shared" si="3"/>
        <v>72.384000000000015</v>
      </c>
      <c r="I60" s="1140"/>
      <c r="J60" s="1140">
        <f>+I60*H60</f>
        <v>0</v>
      </c>
    </row>
    <row r="61" spans="1:10">
      <c r="A61" s="1140">
        <v>878</v>
      </c>
      <c r="B61" s="21" t="s">
        <v>4281</v>
      </c>
      <c r="C61" s="1140">
        <v>60</v>
      </c>
      <c r="D61" s="1140">
        <v>1.04</v>
      </c>
      <c r="E61" s="1137">
        <v>0.16</v>
      </c>
      <c r="F61" s="1140">
        <f t="shared" si="1"/>
        <v>62.400000000000006</v>
      </c>
      <c r="G61" s="978">
        <f t="shared" si="2"/>
        <v>9.9840000000000018</v>
      </c>
      <c r="H61" s="978">
        <f t="shared" si="3"/>
        <v>72.384000000000015</v>
      </c>
      <c r="I61" s="1140"/>
      <c r="J61" s="1140"/>
    </row>
    <row r="62" spans="1:10">
      <c r="A62" s="1140">
        <v>882</v>
      </c>
      <c r="B62" s="21" t="s">
        <v>4282</v>
      </c>
      <c r="C62" s="1140">
        <v>60</v>
      </c>
      <c r="D62" s="1140">
        <v>1.04</v>
      </c>
      <c r="E62" s="1137">
        <v>0.16</v>
      </c>
      <c r="F62" s="1140">
        <f t="shared" si="1"/>
        <v>62.400000000000006</v>
      </c>
      <c r="G62" s="978">
        <f t="shared" si="2"/>
        <v>9.9840000000000018</v>
      </c>
      <c r="H62" s="978">
        <f t="shared" si="3"/>
        <v>72.384000000000015</v>
      </c>
      <c r="I62" s="1140"/>
      <c r="J62" s="1140">
        <f t="shared" ref="J62:J67" si="6">+I62*H62</f>
        <v>0</v>
      </c>
    </row>
    <row r="63" spans="1:10">
      <c r="A63" s="1140">
        <v>868</v>
      </c>
      <c r="B63" s="21" t="s">
        <v>4283</v>
      </c>
      <c r="C63" s="1140">
        <v>60</v>
      </c>
      <c r="D63" s="1140">
        <v>1.04</v>
      </c>
      <c r="E63" s="1137">
        <v>0.16</v>
      </c>
      <c r="F63" s="1140">
        <f t="shared" si="1"/>
        <v>62.400000000000006</v>
      </c>
      <c r="G63" s="978">
        <f t="shared" si="2"/>
        <v>9.9840000000000018</v>
      </c>
      <c r="H63" s="978">
        <f t="shared" si="3"/>
        <v>72.384000000000015</v>
      </c>
      <c r="I63" s="1140"/>
      <c r="J63" s="1140">
        <f t="shared" si="6"/>
        <v>0</v>
      </c>
    </row>
    <row r="64" spans="1:10">
      <c r="A64" s="297">
        <v>2033</v>
      </c>
      <c r="B64" s="589" t="s">
        <v>4330</v>
      </c>
      <c r="C64" s="1140">
        <v>20</v>
      </c>
      <c r="D64" s="1140">
        <v>1.07</v>
      </c>
      <c r="E64" s="1137">
        <v>0</v>
      </c>
      <c r="F64" s="1140">
        <f t="shared" si="1"/>
        <v>21.400000000000002</v>
      </c>
      <c r="G64" s="978">
        <f t="shared" si="2"/>
        <v>0</v>
      </c>
      <c r="H64" s="978">
        <f t="shared" si="3"/>
        <v>21.400000000000002</v>
      </c>
      <c r="I64" s="1140"/>
      <c r="J64" s="1140">
        <f t="shared" si="6"/>
        <v>0</v>
      </c>
    </row>
    <row r="65" spans="1:10">
      <c r="A65" s="297">
        <v>7465</v>
      </c>
      <c r="B65" s="589" t="s">
        <v>1967</v>
      </c>
      <c r="C65" s="1140">
        <v>20</v>
      </c>
      <c r="D65" s="1140">
        <v>1.07</v>
      </c>
      <c r="E65" s="1137">
        <v>0</v>
      </c>
      <c r="F65" s="1140">
        <f t="shared" si="1"/>
        <v>21.400000000000002</v>
      </c>
      <c r="G65" s="978">
        <f t="shared" si="2"/>
        <v>0</v>
      </c>
      <c r="H65" s="978">
        <f t="shared" si="3"/>
        <v>21.400000000000002</v>
      </c>
      <c r="I65" s="1140"/>
      <c r="J65" s="1140">
        <f t="shared" si="6"/>
        <v>0</v>
      </c>
    </row>
    <row r="66" spans="1:10">
      <c r="A66" s="297">
        <v>6199</v>
      </c>
      <c r="B66" s="589" t="s">
        <v>4362</v>
      </c>
      <c r="C66" s="1140">
        <v>20</v>
      </c>
      <c r="D66" s="1140">
        <v>0.96</v>
      </c>
      <c r="E66" s="1137">
        <v>0</v>
      </c>
      <c r="F66" s="1140">
        <f t="shared" si="1"/>
        <v>19.2</v>
      </c>
      <c r="G66" s="978">
        <f t="shared" si="2"/>
        <v>0</v>
      </c>
      <c r="H66" s="978">
        <f t="shared" si="3"/>
        <v>19.2</v>
      </c>
      <c r="I66" s="1140"/>
      <c r="J66" s="1140">
        <f t="shared" si="6"/>
        <v>0</v>
      </c>
    </row>
    <row r="67" spans="1:10">
      <c r="A67" s="1140">
        <v>11931</v>
      </c>
      <c r="B67" s="21" t="s">
        <v>4258</v>
      </c>
      <c r="C67" s="1140">
        <v>44</v>
      </c>
      <c r="D67" s="1140">
        <v>0.53</v>
      </c>
      <c r="E67" s="1137">
        <v>0.16</v>
      </c>
      <c r="F67" s="1140">
        <f t="shared" si="1"/>
        <v>23.32</v>
      </c>
      <c r="G67" s="978">
        <f t="shared" si="2"/>
        <v>3.7312000000000003</v>
      </c>
      <c r="H67" s="978">
        <f t="shared" si="3"/>
        <v>27.051200000000001</v>
      </c>
      <c r="I67" s="1140"/>
      <c r="J67" s="1140">
        <f t="shared" si="6"/>
        <v>0</v>
      </c>
    </row>
    <row r="68" spans="1:10">
      <c r="A68" s="1140">
        <v>14030</v>
      </c>
      <c r="B68" s="21" t="s">
        <v>4376</v>
      </c>
      <c r="C68" s="1140">
        <v>36</v>
      </c>
      <c r="D68" s="1140">
        <v>0.65</v>
      </c>
      <c r="E68" s="1137">
        <v>0.16</v>
      </c>
      <c r="F68" s="1140">
        <f t="shared" si="1"/>
        <v>23.400000000000002</v>
      </c>
      <c r="G68" s="978">
        <f t="shared" si="2"/>
        <v>3.7440000000000002</v>
      </c>
      <c r="H68" s="978">
        <f t="shared" si="3"/>
        <v>27.144000000000002</v>
      </c>
      <c r="I68" s="1140"/>
      <c r="J68" s="1140"/>
    </row>
    <row r="69" spans="1:10">
      <c r="A69" s="1140">
        <v>105</v>
      </c>
      <c r="B69" s="21" t="s">
        <v>4259</v>
      </c>
      <c r="C69" s="1140">
        <v>48</v>
      </c>
      <c r="D69" s="1140">
        <v>0.53</v>
      </c>
      <c r="E69" s="1137">
        <v>0.16</v>
      </c>
      <c r="F69" s="1140">
        <f t="shared" si="1"/>
        <v>25.44</v>
      </c>
      <c r="G69" s="978">
        <f t="shared" si="2"/>
        <v>4.0704000000000002</v>
      </c>
      <c r="H69" s="978">
        <f t="shared" si="3"/>
        <v>29.510400000000001</v>
      </c>
      <c r="I69" s="1140"/>
      <c r="J69" s="1140">
        <f t="shared" ref="J69:J84" si="7">+I69*H69</f>
        <v>0</v>
      </c>
    </row>
    <row r="70" spans="1:10">
      <c r="A70" s="1140">
        <v>9349</v>
      </c>
      <c r="B70" s="21" t="s">
        <v>4399</v>
      </c>
      <c r="C70" s="1140">
        <v>42</v>
      </c>
      <c r="D70" s="1140">
        <v>0.53</v>
      </c>
      <c r="E70" s="1137">
        <v>0.16</v>
      </c>
      <c r="F70" s="1140">
        <f t="shared" si="1"/>
        <v>22.26</v>
      </c>
      <c r="G70" s="978">
        <f t="shared" si="2"/>
        <v>3.5616000000000003</v>
      </c>
      <c r="H70" s="978">
        <f t="shared" si="3"/>
        <v>25.821600000000004</v>
      </c>
      <c r="I70" s="1140"/>
      <c r="J70" s="1140">
        <f t="shared" si="7"/>
        <v>0</v>
      </c>
    </row>
    <row r="71" spans="1:10">
      <c r="A71" s="1140">
        <v>3506</v>
      </c>
      <c r="B71" s="21" t="s">
        <v>4260</v>
      </c>
      <c r="C71" s="1140">
        <v>36</v>
      </c>
      <c r="D71" s="1140">
        <v>0.61</v>
      </c>
      <c r="E71" s="1137">
        <v>0.16</v>
      </c>
      <c r="F71" s="1140">
        <f t="shared" si="1"/>
        <v>21.96</v>
      </c>
      <c r="G71" s="978">
        <f t="shared" si="2"/>
        <v>3.5136000000000003</v>
      </c>
      <c r="H71" s="978">
        <f t="shared" si="3"/>
        <v>25.473600000000001</v>
      </c>
      <c r="I71" s="1140"/>
      <c r="J71" s="1140">
        <f t="shared" si="7"/>
        <v>0</v>
      </c>
    </row>
    <row r="72" spans="1:10">
      <c r="A72" s="1140">
        <v>3505</v>
      </c>
      <c r="B72" s="21" t="s">
        <v>4261</v>
      </c>
      <c r="C72" s="1140">
        <v>36</v>
      </c>
      <c r="D72" s="1140">
        <v>0.61</v>
      </c>
      <c r="E72" s="1137">
        <v>0.16</v>
      </c>
      <c r="F72" s="1140">
        <f t="shared" ref="F72:F134" si="8">+D72*C72</f>
        <v>21.96</v>
      </c>
      <c r="G72" s="978">
        <f t="shared" ref="G72:G134" si="9">+F72*E72</f>
        <v>3.5136000000000003</v>
      </c>
      <c r="H72" s="978">
        <f t="shared" ref="H72:H134" si="10">+F72+G72</f>
        <v>25.473600000000001</v>
      </c>
      <c r="I72" s="1140"/>
      <c r="J72" s="1140">
        <f t="shared" si="7"/>
        <v>0</v>
      </c>
    </row>
    <row r="73" spans="1:10">
      <c r="A73" s="1140">
        <v>9100</v>
      </c>
      <c r="B73" s="21" t="s">
        <v>1960</v>
      </c>
      <c r="C73" s="1140">
        <v>24</v>
      </c>
      <c r="D73" s="1140">
        <v>0.56999999999999995</v>
      </c>
      <c r="E73" s="1137">
        <v>0.16</v>
      </c>
      <c r="F73" s="1140">
        <f t="shared" si="8"/>
        <v>13.68</v>
      </c>
      <c r="G73" s="978">
        <f t="shared" si="9"/>
        <v>2.1888000000000001</v>
      </c>
      <c r="H73" s="978">
        <f t="shared" si="10"/>
        <v>15.8688</v>
      </c>
      <c r="I73" s="1140"/>
      <c r="J73" s="1140">
        <f t="shared" si="7"/>
        <v>0</v>
      </c>
    </row>
    <row r="74" spans="1:10">
      <c r="A74" s="1140">
        <v>1293</v>
      </c>
      <c r="B74" s="21" t="s">
        <v>1961</v>
      </c>
      <c r="C74" s="1140">
        <v>24</v>
      </c>
      <c r="D74" s="1140">
        <v>0.91</v>
      </c>
      <c r="E74" s="1137">
        <v>0.16</v>
      </c>
      <c r="F74" s="1140">
        <f t="shared" si="8"/>
        <v>21.84</v>
      </c>
      <c r="G74" s="978">
        <f t="shared" si="9"/>
        <v>3.4944000000000002</v>
      </c>
      <c r="H74" s="978">
        <f t="shared" si="10"/>
        <v>25.334399999999999</v>
      </c>
      <c r="I74" s="1140"/>
      <c r="J74" s="1140">
        <f t="shared" si="7"/>
        <v>0</v>
      </c>
    </row>
    <row r="75" spans="1:10">
      <c r="A75" s="1140">
        <v>6255</v>
      </c>
      <c r="B75" s="21" t="s">
        <v>4375</v>
      </c>
      <c r="C75" s="1140">
        <v>24</v>
      </c>
      <c r="D75" s="1140">
        <v>0</v>
      </c>
      <c r="E75" s="1137">
        <v>0.16</v>
      </c>
      <c r="F75" s="1140">
        <f t="shared" si="8"/>
        <v>0</v>
      </c>
      <c r="G75" s="978">
        <f t="shared" si="9"/>
        <v>0</v>
      </c>
      <c r="H75" s="978">
        <f t="shared" si="10"/>
        <v>0</v>
      </c>
      <c r="I75" s="1140"/>
      <c r="J75" s="1140">
        <f t="shared" si="7"/>
        <v>0</v>
      </c>
    </row>
    <row r="76" spans="1:10">
      <c r="A76" s="1140">
        <v>3148</v>
      </c>
      <c r="B76" s="21" t="s">
        <v>4373</v>
      </c>
      <c r="C76" s="1140">
        <v>4</v>
      </c>
      <c r="D76" s="1140">
        <v>8.81</v>
      </c>
      <c r="E76" s="1137">
        <v>0.16</v>
      </c>
      <c r="F76" s="1140">
        <f t="shared" si="8"/>
        <v>35.24</v>
      </c>
      <c r="G76" s="978">
        <f t="shared" si="9"/>
        <v>5.6384000000000007</v>
      </c>
      <c r="H76" s="978">
        <f t="shared" si="10"/>
        <v>40.878399999999999</v>
      </c>
      <c r="I76" s="1140"/>
      <c r="J76" s="1140">
        <f t="shared" si="7"/>
        <v>0</v>
      </c>
    </row>
    <row r="77" spans="1:10">
      <c r="A77" s="1140">
        <v>4356</v>
      </c>
      <c r="B77" s="21" t="s">
        <v>1935</v>
      </c>
      <c r="C77" s="1140">
        <v>20</v>
      </c>
      <c r="D77" s="1140">
        <v>0.66</v>
      </c>
      <c r="E77" s="1137">
        <v>0</v>
      </c>
      <c r="F77" s="1140">
        <f t="shared" si="8"/>
        <v>13.200000000000001</v>
      </c>
      <c r="G77" s="978">
        <f t="shared" si="9"/>
        <v>0</v>
      </c>
      <c r="H77" s="978">
        <f t="shared" si="10"/>
        <v>13.200000000000001</v>
      </c>
      <c r="I77" s="1140"/>
      <c r="J77" s="1140">
        <f t="shared" si="7"/>
        <v>0</v>
      </c>
    </row>
    <row r="78" spans="1:10">
      <c r="A78" s="1140">
        <v>9704</v>
      </c>
      <c r="B78" s="21" t="s">
        <v>1943</v>
      </c>
      <c r="C78" s="1140">
        <v>112</v>
      </c>
      <c r="D78" s="1140">
        <v>0.34</v>
      </c>
      <c r="E78" s="1137">
        <v>0.16</v>
      </c>
      <c r="F78" s="1140">
        <f t="shared" si="8"/>
        <v>38.080000000000005</v>
      </c>
      <c r="G78" s="978">
        <f t="shared" si="9"/>
        <v>6.0928000000000013</v>
      </c>
      <c r="H78" s="978">
        <f t="shared" si="10"/>
        <v>44.172800000000009</v>
      </c>
      <c r="I78" s="1140"/>
      <c r="J78" s="1140">
        <f t="shared" si="7"/>
        <v>0</v>
      </c>
    </row>
    <row r="79" spans="1:10">
      <c r="A79" s="1140">
        <v>9831</v>
      </c>
      <c r="B79" s="21" t="s">
        <v>4285</v>
      </c>
      <c r="C79" s="1140">
        <v>112</v>
      </c>
      <c r="D79" s="1140">
        <v>0.34</v>
      </c>
      <c r="E79" s="1137">
        <v>0.16</v>
      </c>
      <c r="F79" s="1140">
        <f t="shared" si="8"/>
        <v>38.080000000000005</v>
      </c>
      <c r="G79" s="978">
        <f t="shared" si="9"/>
        <v>6.0928000000000013</v>
      </c>
      <c r="H79" s="978">
        <f t="shared" si="10"/>
        <v>44.172800000000009</v>
      </c>
      <c r="I79" s="1140"/>
      <c r="J79" s="1140">
        <f t="shared" si="7"/>
        <v>0</v>
      </c>
    </row>
    <row r="80" spans="1:10">
      <c r="A80" s="1140">
        <v>14039</v>
      </c>
      <c r="B80" s="21" t="s">
        <v>4286</v>
      </c>
      <c r="C80" s="1140">
        <v>112</v>
      </c>
      <c r="D80" s="1140">
        <v>0.34</v>
      </c>
      <c r="E80" s="1137">
        <v>0.16</v>
      </c>
      <c r="F80" s="1140">
        <f t="shared" si="8"/>
        <v>38.080000000000005</v>
      </c>
      <c r="G80" s="978">
        <f t="shared" si="9"/>
        <v>6.0928000000000013</v>
      </c>
      <c r="H80" s="978">
        <f t="shared" si="10"/>
        <v>44.172800000000009</v>
      </c>
      <c r="I80" s="1140"/>
      <c r="J80" s="1140">
        <f t="shared" si="7"/>
        <v>0</v>
      </c>
    </row>
    <row r="81" spans="1:10">
      <c r="A81" s="1140">
        <v>10331</v>
      </c>
      <c r="B81" s="21" t="s">
        <v>4284</v>
      </c>
      <c r="C81" s="1140">
        <v>112</v>
      </c>
      <c r="D81" s="1140">
        <v>0.34</v>
      </c>
      <c r="E81" s="1137">
        <v>0.16</v>
      </c>
      <c r="F81" s="1140">
        <f t="shared" si="8"/>
        <v>38.080000000000005</v>
      </c>
      <c r="G81" s="978">
        <f t="shared" si="9"/>
        <v>6.0928000000000013</v>
      </c>
      <c r="H81" s="978">
        <f t="shared" si="10"/>
        <v>44.172800000000009</v>
      </c>
      <c r="I81" s="1140"/>
      <c r="J81" s="1140">
        <f t="shared" si="7"/>
        <v>0</v>
      </c>
    </row>
    <row r="82" spans="1:10">
      <c r="A82" s="1140">
        <v>4355</v>
      </c>
      <c r="B82" s="21" t="s">
        <v>4395</v>
      </c>
      <c r="C82" s="1140">
        <v>36</v>
      </c>
      <c r="D82" s="1140">
        <v>1.42</v>
      </c>
      <c r="E82" s="1137">
        <v>0.16</v>
      </c>
      <c r="F82" s="1140">
        <f t="shared" si="8"/>
        <v>51.12</v>
      </c>
      <c r="G82" s="978">
        <f t="shared" si="9"/>
        <v>8.1791999999999998</v>
      </c>
      <c r="H82" s="978">
        <f t="shared" si="10"/>
        <v>59.299199999999999</v>
      </c>
      <c r="I82" s="1140"/>
      <c r="J82" s="1140">
        <f t="shared" si="7"/>
        <v>0</v>
      </c>
    </row>
    <row r="83" spans="1:10">
      <c r="A83" s="1140">
        <v>1218</v>
      </c>
      <c r="B83" s="21" t="s">
        <v>4396</v>
      </c>
      <c r="C83" s="1140">
        <v>18</v>
      </c>
      <c r="D83" s="1140">
        <v>2.56</v>
      </c>
      <c r="E83" s="1137">
        <v>0.16</v>
      </c>
      <c r="F83" s="1140">
        <f t="shared" si="8"/>
        <v>46.08</v>
      </c>
      <c r="G83" s="978">
        <f t="shared" si="9"/>
        <v>7.3727999999999998</v>
      </c>
      <c r="H83" s="978">
        <f t="shared" si="10"/>
        <v>53.452799999999996</v>
      </c>
      <c r="I83" s="1140"/>
      <c r="J83" s="1140">
        <f t="shared" si="7"/>
        <v>0</v>
      </c>
    </row>
    <row r="84" spans="1:10">
      <c r="A84" s="1140">
        <v>1215</v>
      </c>
      <c r="B84" s="21" t="s">
        <v>4397</v>
      </c>
      <c r="C84" s="1140">
        <v>18</v>
      </c>
      <c r="D84" s="1140">
        <v>2.17</v>
      </c>
      <c r="E84" s="1137">
        <v>0.16</v>
      </c>
      <c r="F84" s="1140">
        <f t="shared" si="8"/>
        <v>39.06</v>
      </c>
      <c r="G84" s="978">
        <f t="shared" si="9"/>
        <v>6.2496000000000009</v>
      </c>
      <c r="H84" s="978">
        <f t="shared" si="10"/>
        <v>45.309600000000003</v>
      </c>
      <c r="I84" s="1140"/>
      <c r="J84" s="1140">
        <f t="shared" si="7"/>
        <v>0</v>
      </c>
    </row>
    <row r="85" spans="1:10">
      <c r="A85" s="1140">
        <v>15796</v>
      </c>
      <c r="B85" s="21" t="s">
        <v>4398</v>
      </c>
      <c r="C85" s="1140"/>
      <c r="D85" s="1140"/>
      <c r="E85" s="1137">
        <v>0.16</v>
      </c>
      <c r="F85" s="1140">
        <f t="shared" si="8"/>
        <v>0</v>
      </c>
      <c r="G85" s="978">
        <f t="shared" si="9"/>
        <v>0</v>
      </c>
      <c r="H85" s="978">
        <f t="shared" si="10"/>
        <v>0</v>
      </c>
      <c r="I85" s="1140"/>
      <c r="J85" s="1140"/>
    </row>
    <row r="86" spans="1:10">
      <c r="A86" s="1140">
        <v>938</v>
      </c>
      <c r="B86" s="21" t="s">
        <v>4291</v>
      </c>
      <c r="C86" s="1140"/>
      <c r="D86" s="1140"/>
      <c r="E86" s="1137">
        <v>0.16</v>
      </c>
      <c r="F86" s="1140">
        <f t="shared" si="8"/>
        <v>0</v>
      </c>
      <c r="G86" s="978">
        <f t="shared" si="9"/>
        <v>0</v>
      </c>
      <c r="H86" s="978">
        <f t="shared" si="10"/>
        <v>0</v>
      </c>
      <c r="I86" s="1140"/>
      <c r="J86" s="1140">
        <f t="shared" ref="J86:J97" si="11">+I86*H86</f>
        <v>0</v>
      </c>
    </row>
    <row r="87" spans="1:10">
      <c r="A87" s="1140">
        <v>925</v>
      </c>
      <c r="B87" s="21" t="s">
        <v>4287</v>
      </c>
      <c r="C87" s="1140"/>
      <c r="D87" s="1140"/>
      <c r="E87" s="1137">
        <v>0.16</v>
      </c>
      <c r="F87" s="1140">
        <f t="shared" si="8"/>
        <v>0</v>
      </c>
      <c r="G87" s="978">
        <f t="shared" si="9"/>
        <v>0</v>
      </c>
      <c r="H87" s="978">
        <f t="shared" si="10"/>
        <v>0</v>
      </c>
      <c r="I87" s="1140"/>
      <c r="J87" s="1140">
        <f t="shared" si="11"/>
        <v>0</v>
      </c>
    </row>
    <row r="88" spans="1:10">
      <c r="A88" s="1140">
        <v>927</v>
      </c>
      <c r="B88" s="21" t="s">
        <v>4288</v>
      </c>
      <c r="C88" s="1140"/>
      <c r="D88" s="1140"/>
      <c r="E88" s="1137">
        <v>0.16</v>
      </c>
      <c r="F88" s="1140">
        <f t="shared" si="8"/>
        <v>0</v>
      </c>
      <c r="G88" s="978">
        <f t="shared" si="9"/>
        <v>0</v>
      </c>
      <c r="H88" s="978">
        <f t="shared" si="10"/>
        <v>0</v>
      </c>
      <c r="I88" s="1140"/>
      <c r="J88" s="1140">
        <f t="shared" si="11"/>
        <v>0</v>
      </c>
    </row>
    <row r="89" spans="1:10">
      <c r="A89" s="1140">
        <v>5859</v>
      </c>
      <c r="B89" s="21" t="s">
        <v>4292</v>
      </c>
      <c r="C89" s="1140"/>
      <c r="D89" s="1140"/>
      <c r="E89" s="1137">
        <v>0.16</v>
      </c>
      <c r="F89" s="1140">
        <f t="shared" si="8"/>
        <v>0</v>
      </c>
      <c r="G89" s="978">
        <f t="shared" si="9"/>
        <v>0</v>
      </c>
      <c r="H89" s="978">
        <f t="shared" si="10"/>
        <v>0</v>
      </c>
      <c r="I89" s="1140"/>
      <c r="J89" s="1140">
        <f t="shared" si="11"/>
        <v>0</v>
      </c>
    </row>
    <row r="90" spans="1:10">
      <c r="A90" s="1140">
        <v>387</v>
      </c>
      <c r="B90" s="21" t="s">
        <v>4384</v>
      </c>
      <c r="C90" s="1140">
        <v>1</v>
      </c>
      <c r="D90" s="1140">
        <v>15.11</v>
      </c>
      <c r="E90" s="1137">
        <v>0</v>
      </c>
      <c r="F90" s="1140">
        <f t="shared" si="8"/>
        <v>15.11</v>
      </c>
      <c r="G90" s="978">
        <f t="shared" si="9"/>
        <v>0</v>
      </c>
      <c r="H90" s="978">
        <f t="shared" si="10"/>
        <v>15.11</v>
      </c>
      <c r="I90" s="1140"/>
      <c r="J90" s="1140">
        <f t="shared" si="11"/>
        <v>0</v>
      </c>
    </row>
    <row r="91" spans="1:10">
      <c r="A91" s="1140">
        <v>9253</v>
      </c>
      <c r="B91" s="21" t="s">
        <v>4323</v>
      </c>
      <c r="C91" s="1140">
        <v>24</v>
      </c>
      <c r="D91" s="1140">
        <v>0.86</v>
      </c>
      <c r="E91" s="1137">
        <v>0</v>
      </c>
      <c r="F91" s="1140">
        <f t="shared" si="8"/>
        <v>20.64</v>
      </c>
      <c r="G91" s="978">
        <f t="shared" si="9"/>
        <v>0</v>
      </c>
      <c r="H91" s="978">
        <f t="shared" si="10"/>
        <v>20.64</v>
      </c>
      <c r="I91" s="1140"/>
      <c r="J91" s="1140">
        <f t="shared" si="11"/>
        <v>0</v>
      </c>
    </row>
    <row r="92" spans="1:10">
      <c r="A92" s="1140">
        <v>3814</v>
      </c>
      <c r="B92" s="21" t="s">
        <v>1958</v>
      </c>
      <c r="C92" s="1140">
        <v>12</v>
      </c>
      <c r="D92" s="1140">
        <v>1.65</v>
      </c>
      <c r="E92" s="1137">
        <v>0</v>
      </c>
      <c r="F92" s="1140">
        <f t="shared" si="8"/>
        <v>19.799999999999997</v>
      </c>
      <c r="G92" s="978">
        <f t="shared" si="9"/>
        <v>0</v>
      </c>
      <c r="H92" s="978">
        <f t="shared" si="10"/>
        <v>19.799999999999997</v>
      </c>
      <c r="I92" s="1140"/>
      <c r="J92" s="1140">
        <f t="shared" si="11"/>
        <v>0</v>
      </c>
    </row>
    <row r="93" spans="1:10">
      <c r="A93" s="1140">
        <v>1362</v>
      </c>
      <c r="B93" s="21" t="s">
        <v>4324</v>
      </c>
      <c r="C93" s="1140">
        <v>12</v>
      </c>
      <c r="D93" s="1140">
        <v>1.65</v>
      </c>
      <c r="E93" s="1137">
        <v>0</v>
      </c>
      <c r="F93" s="1140">
        <f t="shared" si="8"/>
        <v>19.799999999999997</v>
      </c>
      <c r="G93" s="978">
        <f t="shared" si="9"/>
        <v>0</v>
      </c>
      <c r="H93" s="978">
        <f t="shared" si="10"/>
        <v>19.799999999999997</v>
      </c>
      <c r="I93" s="1140"/>
      <c r="J93" s="1140">
        <f t="shared" si="11"/>
        <v>0</v>
      </c>
    </row>
    <row r="94" spans="1:10">
      <c r="A94" s="1140">
        <v>1363</v>
      </c>
      <c r="B94" s="21" t="s">
        <v>4325</v>
      </c>
      <c r="C94" s="1140">
        <v>6</v>
      </c>
      <c r="D94" s="1140">
        <v>3.19</v>
      </c>
      <c r="E94" s="1137">
        <v>0</v>
      </c>
      <c r="F94" s="1140">
        <f t="shared" si="8"/>
        <v>19.14</v>
      </c>
      <c r="G94" s="978">
        <f t="shared" si="9"/>
        <v>0</v>
      </c>
      <c r="H94" s="978">
        <f t="shared" si="10"/>
        <v>19.14</v>
      </c>
      <c r="I94" s="1140"/>
      <c r="J94" s="1140">
        <f t="shared" si="11"/>
        <v>0</v>
      </c>
    </row>
    <row r="95" spans="1:10">
      <c r="A95" s="1140">
        <v>2024</v>
      </c>
      <c r="B95" s="21" t="s">
        <v>4326</v>
      </c>
      <c r="C95" s="1140">
        <v>12</v>
      </c>
      <c r="D95" s="1140">
        <v>1.64</v>
      </c>
      <c r="E95" s="1137">
        <v>0</v>
      </c>
      <c r="F95" s="1140">
        <f t="shared" si="8"/>
        <v>19.68</v>
      </c>
      <c r="G95" s="978">
        <f t="shared" si="9"/>
        <v>0</v>
      </c>
      <c r="H95" s="978">
        <f t="shared" si="10"/>
        <v>19.68</v>
      </c>
      <c r="I95" s="1140"/>
      <c r="J95" s="1140">
        <f t="shared" si="11"/>
        <v>0</v>
      </c>
    </row>
    <row r="96" spans="1:10">
      <c r="A96" s="1140">
        <v>15581</v>
      </c>
      <c r="B96" s="21" t="s">
        <v>4328</v>
      </c>
      <c r="C96" s="1140">
        <v>12</v>
      </c>
      <c r="D96" s="1140">
        <v>1.42</v>
      </c>
      <c r="E96" s="1137">
        <v>0</v>
      </c>
      <c r="F96" s="1140">
        <f t="shared" si="8"/>
        <v>17.04</v>
      </c>
      <c r="G96" s="978">
        <f t="shared" si="9"/>
        <v>0</v>
      </c>
      <c r="H96" s="978">
        <f t="shared" si="10"/>
        <v>17.04</v>
      </c>
      <c r="I96" s="1140"/>
      <c r="J96" s="1140">
        <f t="shared" si="11"/>
        <v>0</v>
      </c>
    </row>
    <row r="97" spans="1:10">
      <c r="A97" s="1140">
        <v>15364</v>
      </c>
      <c r="B97" s="21" t="s">
        <v>4327</v>
      </c>
      <c r="C97" s="1140">
        <v>24</v>
      </c>
      <c r="D97" s="1140">
        <v>0.7</v>
      </c>
      <c r="E97" s="1137">
        <v>0</v>
      </c>
      <c r="F97" s="1140">
        <f t="shared" si="8"/>
        <v>16.799999999999997</v>
      </c>
      <c r="G97" s="978">
        <f t="shared" si="9"/>
        <v>0</v>
      </c>
      <c r="H97" s="978">
        <f>+F97+G97</f>
        <v>16.799999999999997</v>
      </c>
      <c r="I97" s="1140"/>
      <c r="J97" s="1140">
        <f t="shared" si="11"/>
        <v>0</v>
      </c>
    </row>
    <row r="98" spans="1:10" s="827" customFormat="1">
      <c r="A98" s="1140"/>
      <c r="B98" s="21" t="s">
        <v>4385</v>
      </c>
      <c r="C98" s="1140">
        <v>12</v>
      </c>
      <c r="D98" s="1140">
        <v>1.4</v>
      </c>
      <c r="E98" s="1137"/>
      <c r="F98" s="1140">
        <f t="shared" si="8"/>
        <v>16.799999999999997</v>
      </c>
      <c r="G98" s="978">
        <f t="shared" si="9"/>
        <v>0</v>
      </c>
      <c r="H98" s="978">
        <f>+F98+G98</f>
        <v>16.799999999999997</v>
      </c>
      <c r="I98" s="1140"/>
      <c r="J98" s="1140"/>
    </row>
    <row r="99" spans="1:10">
      <c r="A99" s="1140">
        <v>15955</v>
      </c>
      <c r="B99" s="21" t="s">
        <v>4377</v>
      </c>
      <c r="C99" s="1140">
        <v>24</v>
      </c>
      <c r="D99" s="1140">
        <v>0.85</v>
      </c>
      <c r="E99" s="1137">
        <v>0</v>
      </c>
      <c r="F99" s="1140">
        <f t="shared" si="8"/>
        <v>20.399999999999999</v>
      </c>
      <c r="G99" s="978">
        <f t="shared" si="9"/>
        <v>0</v>
      </c>
      <c r="H99" s="978">
        <f t="shared" si="10"/>
        <v>20.399999999999999</v>
      </c>
      <c r="I99" s="1140"/>
      <c r="J99" s="1140">
        <f t="shared" ref="J99:J130" si="12">+I99*H99</f>
        <v>0</v>
      </c>
    </row>
    <row r="100" spans="1:10">
      <c r="A100" s="1140">
        <v>9254</v>
      </c>
      <c r="B100" s="21" t="s">
        <v>1974</v>
      </c>
      <c r="C100" s="1140">
        <v>24</v>
      </c>
      <c r="D100" s="1140">
        <v>1.1299999999999999</v>
      </c>
      <c r="E100" s="1137">
        <v>0</v>
      </c>
      <c r="F100" s="1140">
        <f t="shared" si="8"/>
        <v>27.119999999999997</v>
      </c>
      <c r="G100" s="978">
        <f t="shared" si="9"/>
        <v>0</v>
      </c>
      <c r="H100" s="978">
        <f t="shared" si="10"/>
        <v>27.119999999999997</v>
      </c>
      <c r="I100" s="1140"/>
      <c r="J100" s="1140">
        <f t="shared" si="12"/>
        <v>0</v>
      </c>
    </row>
    <row r="101" spans="1:10">
      <c r="A101" s="1140">
        <v>2469</v>
      </c>
      <c r="B101" s="21" t="s">
        <v>1948</v>
      </c>
      <c r="C101" s="1140">
        <v>12</v>
      </c>
      <c r="D101" s="1140">
        <v>2.39</v>
      </c>
      <c r="E101" s="1137">
        <v>0</v>
      </c>
      <c r="F101" s="1140">
        <f t="shared" si="8"/>
        <v>28.68</v>
      </c>
      <c r="G101" s="978">
        <f t="shared" si="9"/>
        <v>0</v>
      </c>
      <c r="H101" s="978">
        <f t="shared" si="10"/>
        <v>28.68</v>
      </c>
      <c r="I101" s="1140"/>
      <c r="J101" s="1140">
        <f t="shared" si="12"/>
        <v>0</v>
      </c>
    </row>
    <row r="102" spans="1:10">
      <c r="A102" s="1140">
        <v>12883</v>
      </c>
      <c r="B102" s="21" t="s">
        <v>4329</v>
      </c>
      <c r="C102" s="1140">
        <v>12</v>
      </c>
      <c r="D102" s="1140">
        <v>2.39</v>
      </c>
      <c r="E102" s="1137">
        <v>0</v>
      </c>
      <c r="F102" s="1140">
        <f t="shared" si="8"/>
        <v>28.68</v>
      </c>
      <c r="G102" s="978">
        <f t="shared" si="9"/>
        <v>0</v>
      </c>
      <c r="H102" s="978">
        <f t="shared" si="10"/>
        <v>28.68</v>
      </c>
      <c r="I102" s="1140"/>
      <c r="J102" s="1140">
        <f t="shared" si="12"/>
        <v>0</v>
      </c>
    </row>
    <row r="103" spans="1:10">
      <c r="A103" s="1140">
        <v>2470</v>
      </c>
      <c r="B103" s="21" t="s">
        <v>1945</v>
      </c>
      <c r="C103" s="1140">
        <v>6</v>
      </c>
      <c r="D103" s="1140">
        <v>4.4800000000000004</v>
      </c>
      <c r="E103" s="1137">
        <v>0</v>
      </c>
      <c r="F103" s="1140">
        <f t="shared" si="8"/>
        <v>26.880000000000003</v>
      </c>
      <c r="G103" s="978">
        <f t="shared" si="9"/>
        <v>0</v>
      </c>
      <c r="H103" s="978">
        <f t="shared" si="10"/>
        <v>26.880000000000003</v>
      </c>
      <c r="I103" s="1140"/>
      <c r="J103" s="1140">
        <f t="shared" si="12"/>
        <v>0</v>
      </c>
    </row>
    <row r="104" spans="1:10">
      <c r="A104" s="1140">
        <v>3546</v>
      </c>
      <c r="B104" s="21" t="s">
        <v>1949</v>
      </c>
      <c r="C104" s="1140">
        <v>4</v>
      </c>
      <c r="D104" s="1140">
        <v>16.350000000000001</v>
      </c>
      <c r="E104" s="1137">
        <v>0</v>
      </c>
      <c r="F104" s="1140">
        <f t="shared" si="8"/>
        <v>65.400000000000006</v>
      </c>
      <c r="G104" s="978">
        <f t="shared" si="9"/>
        <v>0</v>
      </c>
      <c r="H104" s="978">
        <f t="shared" si="10"/>
        <v>65.400000000000006</v>
      </c>
      <c r="I104" s="1140"/>
      <c r="J104" s="1140">
        <f t="shared" si="12"/>
        <v>0</v>
      </c>
    </row>
    <row r="105" spans="1:10">
      <c r="A105" s="1140">
        <v>3221</v>
      </c>
      <c r="B105" s="1086" t="s">
        <v>4275</v>
      </c>
      <c r="C105" s="1140">
        <v>0</v>
      </c>
      <c r="D105" s="1140">
        <v>0</v>
      </c>
      <c r="E105" s="1137">
        <v>0.16</v>
      </c>
      <c r="F105" s="1140">
        <f t="shared" si="8"/>
        <v>0</v>
      </c>
      <c r="G105" s="978">
        <f t="shared" si="9"/>
        <v>0</v>
      </c>
      <c r="H105" s="978">
        <f t="shared" si="10"/>
        <v>0</v>
      </c>
      <c r="I105" s="1140"/>
      <c r="J105" s="1140">
        <f t="shared" si="12"/>
        <v>0</v>
      </c>
    </row>
    <row r="106" spans="1:10">
      <c r="A106" s="1140">
        <v>8652</v>
      </c>
      <c r="B106" s="21" t="s">
        <v>1979</v>
      </c>
      <c r="C106" s="1140">
        <v>18</v>
      </c>
      <c r="D106" s="1140">
        <v>1.51</v>
      </c>
      <c r="E106" s="1137">
        <v>0.16</v>
      </c>
      <c r="F106" s="1140">
        <f t="shared" si="8"/>
        <v>27.18</v>
      </c>
      <c r="G106" s="978">
        <f t="shared" si="9"/>
        <v>4.3487999999999998</v>
      </c>
      <c r="H106" s="978">
        <f t="shared" si="10"/>
        <v>31.5288</v>
      </c>
      <c r="I106" s="1140"/>
      <c r="J106" s="1140">
        <f t="shared" si="12"/>
        <v>0</v>
      </c>
    </row>
    <row r="107" spans="1:10">
      <c r="A107" s="1140">
        <v>2302</v>
      </c>
      <c r="B107" s="1086" t="s">
        <v>4274</v>
      </c>
      <c r="C107" s="1140">
        <v>0</v>
      </c>
      <c r="D107" s="1140">
        <v>0</v>
      </c>
      <c r="E107" s="1137">
        <v>0.16</v>
      </c>
      <c r="F107" s="1140">
        <f t="shared" si="8"/>
        <v>0</v>
      </c>
      <c r="G107" s="978">
        <f t="shared" si="9"/>
        <v>0</v>
      </c>
      <c r="H107" s="978">
        <f t="shared" si="10"/>
        <v>0</v>
      </c>
      <c r="I107" s="1140"/>
      <c r="J107" s="1140">
        <f t="shared" si="12"/>
        <v>0</v>
      </c>
    </row>
    <row r="108" spans="1:10">
      <c r="A108" s="1140">
        <v>8922</v>
      </c>
      <c r="B108" s="21" t="s">
        <v>4273</v>
      </c>
      <c r="C108" s="1140">
        <v>18</v>
      </c>
      <c r="D108" s="1140">
        <v>1.51</v>
      </c>
      <c r="E108" s="1137">
        <v>0.16</v>
      </c>
      <c r="F108" s="1140">
        <f t="shared" si="8"/>
        <v>27.18</v>
      </c>
      <c r="G108" s="978">
        <f t="shared" si="9"/>
        <v>4.3487999999999998</v>
      </c>
      <c r="H108" s="978">
        <f t="shared" si="10"/>
        <v>31.5288</v>
      </c>
      <c r="I108" s="1140"/>
      <c r="J108" s="1140">
        <f t="shared" si="12"/>
        <v>0</v>
      </c>
    </row>
    <row r="109" spans="1:10">
      <c r="A109" s="1140">
        <v>3214</v>
      </c>
      <c r="B109" s="21" t="s">
        <v>1937</v>
      </c>
      <c r="C109" s="1140">
        <v>12</v>
      </c>
      <c r="D109" s="1140">
        <v>1.1299999999999999</v>
      </c>
      <c r="E109" s="1137">
        <v>0.16</v>
      </c>
      <c r="F109" s="1140">
        <f t="shared" si="8"/>
        <v>13.559999999999999</v>
      </c>
      <c r="G109" s="978">
        <f t="shared" si="9"/>
        <v>2.1696</v>
      </c>
      <c r="H109" s="978">
        <f t="shared" si="10"/>
        <v>15.729599999999998</v>
      </c>
      <c r="I109" s="1140"/>
      <c r="J109" s="1140">
        <f t="shared" si="12"/>
        <v>0</v>
      </c>
    </row>
    <row r="110" spans="1:10">
      <c r="A110" s="1140">
        <v>7591</v>
      </c>
      <c r="B110" s="21" t="s">
        <v>4331</v>
      </c>
      <c r="C110" s="1140">
        <v>12</v>
      </c>
      <c r="D110" s="1140">
        <v>1.29</v>
      </c>
      <c r="E110" s="1137">
        <v>0</v>
      </c>
      <c r="F110" s="1140">
        <f t="shared" si="8"/>
        <v>15.48</v>
      </c>
      <c r="G110" s="978">
        <f t="shared" si="9"/>
        <v>0</v>
      </c>
      <c r="H110" s="978">
        <f t="shared" si="10"/>
        <v>15.48</v>
      </c>
      <c r="I110" s="1140"/>
      <c r="J110" s="1140">
        <f t="shared" si="12"/>
        <v>0</v>
      </c>
    </row>
    <row r="111" spans="1:10">
      <c r="A111" s="1140">
        <v>6182</v>
      </c>
      <c r="B111" s="21" t="s">
        <v>4337</v>
      </c>
      <c r="C111" s="1140">
        <v>12</v>
      </c>
      <c r="D111" s="1140">
        <v>1.29</v>
      </c>
      <c r="E111" s="1137">
        <v>0</v>
      </c>
      <c r="F111" s="1140">
        <f t="shared" si="8"/>
        <v>15.48</v>
      </c>
      <c r="G111" s="978">
        <f t="shared" si="9"/>
        <v>0</v>
      </c>
      <c r="H111" s="978">
        <f t="shared" si="10"/>
        <v>15.48</v>
      </c>
      <c r="I111" s="1140"/>
      <c r="J111" s="1140">
        <f t="shared" si="12"/>
        <v>0</v>
      </c>
    </row>
    <row r="112" spans="1:10">
      <c r="A112" s="1140" t="s">
        <v>4333</v>
      </c>
      <c r="B112" s="21" t="s">
        <v>4334</v>
      </c>
      <c r="C112" s="1140">
        <v>12</v>
      </c>
      <c r="D112" s="1140">
        <v>0.66</v>
      </c>
      <c r="E112" s="1137">
        <v>0</v>
      </c>
      <c r="F112" s="1140">
        <f t="shared" si="8"/>
        <v>7.92</v>
      </c>
      <c r="G112" s="978">
        <f t="shared" si="9"/>
        <v>0</v>
      </c>
      <c r="H112" s="978">
        <f t="shared" si="10"/>
        <v>7.92</v>
      </c>
      <c r="I112" s="1140"/>
      <c r="J112" s="1140">
        <f t="shared" si="12"/>
        <v>0</v>
      </c>
    </row>
    <row r="113" spans="1:10">
      <c r="A113" s="1140">
        <v>9348</v>
      </c>
      <c r="B113" s="21" t="s">
        <v>4334</v>
      </c>
      <c r="C113" s="1140"/>
      <c r="D113" s="1140">
        <v>0.66</v>
      </c>
      <c r="E113" s="1137">
        <v>0</v>
      </c>
      <c r="F113" s="1140">
        <f t="shared" si="8"/>
        <v>0</v>
      </c>
      <c r="G113" s="978">
        <f t="shared" si="9"/>
        <v>0</v>
      </c>
      <c r="H113" s="978">
        <f t="shared" si="10"/>
        <v>0</v>
      </c>
      <c r="I113" s="1140"/>
      <c r="J113" s="1140">
        <f t="shared" si="12"/>
        <v>0</v>
      </c>
    </row>
    <row r="114" spans="1:10">
      <c r="A114" s="1140">
        <v>5432</v>
      </c>
      <c r="B114" s="21" t="s">
        <v>4332</v>
      </c>
      <c r="C114" s="1140">
        <v>12</v>
      </c>
      <c r="D114" s="1140">
        <v>1.29</v>
      </c>
      <c r="E114" s="1137">
        <v>0</v>
      </c>
      <c r="F114" s="1140">
        <f t="shared" si="8"/>
        <v>15.48</v>
      </c>
      <c r="G114" s="978">
        <f t="shared" si="9"/>
        <v>0</v>
      </c>
      <c r="H114" s="978">
        <f t="shared" si="10"/>
        <v>15.48</v>
      </c>
      <c r="I114" s="1140"/>
      <c r="J114" s="1140">
        <f t="shared" si="12"/>
        <v>0</v>
      </c>
    </row>
    <row r="115" spans="1:10">
      <c r="A115" s="1140">
        <v>3504</v>
      </c>
      <c r="B115" s="21" t="s">
        <v>1971</v>
      </c>
      <c r="C115" s="1140">
        <v>12</v>
      </c>
      <c r="D115" s="1140">
        <v>1.29</v>
      </c>
      <c r="E115" s="1137">
        <v>0</v>
      </c>
      <c r="F115" s="1140">
        <f t="shared" si="8"/>
        <v>15.48</v>
      </c>
      <c r="G115" s="978">
        <f t="shared" si="9"/>
        <v>0</v>
      </c>
      <c r="H115" s="978">
        <f t="shared" si="10"/>
        <v>15.48</v>
      </c>
      <c r="I115" s="1140"/>
      <c r="J115" s="1140">
        <f t="shared" si="12"/>
        <v>0</v>
      </c>
    </row>
    <row r="116" spans="1:10">
      <c r="A116" s="1140">
        <v>8656</v>
      </c>
      <c r="B116" s="21" t="s">
        <v>1940</v>
      </c>
      <c r="C116" s="1140">
        <v>12</v>
      </c>
      <c r="D116" s="1140">
        <v>1.29</v>
      </c>
      <c r="E116" s="1137">
        <v>0</v>
      </c>
      <c r="F116" s="1140">
        <f t="shared" si="8"/>
        <v>15.48</v>
      </c>
      <c r="G116" s="978">
        <f t="shared" si="9"/>
        <v>0</v>
      </c>
      <c r="H116" s="978">
        <f t="shared" si="10"/>
        <v>15.48</v>
      </c>
      <c r="I116" s="1140"/>
      <c r="J116" s="1140">
        <f t="shared" si="12"/>
        <v>0</v>
      </c>
    </row>
    <row r="117" spans="1:10">
      <c r="A117" s="1140">
        <v>8089</v>
      </c>
      <c r="B117" s="21" t="s">
        <v>1972</v>
      </c>
      <c r="C117" s="1140">
        <v>12</v>
      </c>
      <c r="D117" s="1140">
        <v>0.66</v>
      </c>
      <c r="E117" s="1137">
        <v>0</v>
      </c>
      <c r="F117" s="1140">
        <f t="shared" si="8"/>
        <v>7.92</v>
      </c>
      <c r="G117" s="978">
        <f t="shared" si="9"/>
        <v>0</v>
      </c>
      <c r="H117" s="978">
        <f t="shared" si="10"/>
        <v>7.92</v>
      </c>
      <c r="I117" s="1140"/>
      <c r="J117" s="1140">
        <f t="shared" si="12"/>
        <v>0</v>
      </c>
    </row>
    <row r="118" spans="1:10">
      <c r="A118" s="1140">
        <v>12104</v>
      </c>
      <c r="B118" s="21" t="s">
        <v>4342</v>
      </c>
      <c r="C118" s="1140">
        <v>12</v>
      </c>
      <c r="D118" s="1140">
        <v>1.29</v>
      </c>
      <c r="E118" s="1137">
        <v>0</v>
      </c>
      <c r="F118" s="1140">
        <f t="shared" si="8"/>
        <v>15.48</v>
      </c>
      <c r="G118" s="978">
        <f t="shared" si="9"/>
        <v>0</v>
      </c>
      <c r="H118" s="978">
        <f t="shared" si="10"/>
        <v>15.48</v>
      </c>
      <c r="I118" s="1140"/>
      <c r="J118" s="1140">
        <f t="shared" si="12"/>
        <v>0</v>
      </c>
    </row>
    <row r="119" spans="1:10">
      <c r="A119" s="1140" t="s">
        <v>4343</v>
      </c>
      <c r="B119" s="21" t="s">
        <v>4344</v>
      </c>
      <c r="C119" s="1140">
        <v>12</v>
      </c>
      <c r="D119" s="1140">
        <v>0.66</v>
      </c>
      <c r="E119" s="1137">
        <v>0</v>
      </c>
      <c r="F119" s="1140">
        <f t="shared" si="8"/>
        <v>7.92</v>
      </c>
      <c r="G119" s="978">
        <f t="shared" si="9"/>
        <v>0</v>
      </c>
      <c r="H119" s="978">
        <f t="shared" si="10"/>
        <v>7.92</v>
      </c>
      <c r="I119" s="1140"/>
      <c r="J119" s="1140">
        <f t="shared" si="12"/>
        <v>0</v>
      </c>
    </row>
    <row r="120" spans="1:10">
      <c r="A120" s="1140">
        <v>12532</v>
      </c>
      <c r="B120" s="21" t="s">
        <v>4340</v>
      </c>
      <c r="C120" s="1140">
        <v>12</v>
      </c>
      <c r="D120" s="1140">
        <v>1.29</v>
      </c>
      <c r="E120" s="1137">
        <v>0</v>
      </c>
      <c r="F120" s="1140">
        <f t="shared" si="8"/>
        <v>15.48</v>
      </c>
      <c r="G120" s="978">
        <f t="shared" si="9"/>
        <v>0</v>
      </c>
      <c r="H120" s="978">
        <f t="shared" si="10"/>
        <v>15.48</v>
      </c>
      <c r="I120" s="1140"/>
      <c r="J120" s="1140">
        <f t="shared" si="12"/>
        <v>0</v>
      </c>
    </row>
    <row r="121" spans="1:10">
      <c r="A121" s="1140">
        <v>12346</v>
      </c>
      <c r="B121" s="21" t="s">
        <v>4341</v>
      </c>
      <c r="C121" s="1140">
        <v>12</v>
      </c>
      <c r="D121" s="1140">
        <v>0.66</v>
      </c>
      <c r="E121" s="1137">
        <v>0</v>
      </c>
      <c r="F121" s="1140">
        <f t="shared" si="8"/>
        <v>7.92</v>
      </c>
      <c r="G121" s="978">
        <f t="shared" si="9"/>
        <v>0</v>
      </c>
      <c r="H121" s="978">
        <f t="shared" si="10"/>
        <v>7.92</v>
      </c>
      <c r="I121" s="1140"/>
      <c r="J121" s="1140">
        <f t="shared" si="12"/>
        <v>0</v>
      </c>
    </row>
    <row r="122" spans="1:10">
      <c r="A122" s="1140">
        <v>2644</v>
      </c>
      <c r="B122" s="21" t="s">
        <v>4338</v>
      </c>
      <c r="C122" s="1140">
        <v>12</v>
      </c>
      <c r="D122" s="1140">
        <v>1.29</v>
      </c>
      <c r="E122" s="1137">
        <v>0</v>
      </c>
      <c r="F122" s="1140">
        <f t="shared" si="8"/>
        <v>15.48</v>
      </c>
      <c r="G122" s="978">
        <f t="shared" si="9"/>
        <v>0</v>
      </c>
      <c r="H122" s="978">
        <f t="shared" si="10"/>
        <v>15.48</v>
      </c>
      <c r="I122" s="1140"/>
      <c r="J122" s="1140">
        <f t="shared" si="12"/>
        <v>0</v>
      </c>
    </row>
    <row r="123" spans="1:10">
      <c r="A123" s="1140">
        <v>8090</v>
      </c>
      <c r="B123" s="21" t="s">
        <v>4339</v>
      </c>
      <c r="C123" s="1140">
        <v>12</v>
      </c>
      <c r="D123" s="1140">
        <v>0.66</v>
      </c>
      <c r="E123" s="1137">
        <v>0</v>
      </c>
      <c r="F123" s="1140">
        <f t="shared" si="8"/>
        <v>7.92</v>
      </c>
      <c r="G123" s="978">
        <f t="shared" si="9"/>
        <v>0</v>
      </c>
      <c r="H123" s="978">
        <f t="shared" si="10"/>
        <v>7.92</v>
      </c>
      <c r="I123" s="1140"/>
      <c r="J123" s="1140">
        <f t="shared" si="12"/>
        <v>0</v>
      </c>
    </row>
    <row r="124" spans="1:10">
      <c r="A124" s="1140">
        <v>2029</v>
      </c>
      <c r="B124" s="21" t="s">
        <v>4335</v>
      </c>
      <c r="C124" s="1140">
        <v>12</v>
      </c>
      <c r="D124" s="1140">
        <v>1.29</v>
      </c>
      <c r="E124" s="1137">
        <v>0</v>
      </c>
      <c r="F124" s="1140">
        <f t="shared" si="8"/>
        <v>15.48</v>
      </c>
      <c r="G124" s="978">
        <f t="shared" si="9"/>
        <v>0</v>
      </c>
      <c r="H124" s="978">
        <f t="shared" si="10"/>
        <v>15.48</v>
      </c>
      <c r="I124" s="1140"/>
      <c r="J124" s="1140">
        <f t="shared" si="12"/>
        <v>0</v>
      </c>
    </row>
    <row r="125" spans="1:10">
      <c r="A125" s="1140">
        <v>6002</v>
      </c>
      <c r="B125" s="21" t="s">
        <v>4336</v>
      </c>
      <c r="C125" s="1140">
        <v>12</v>
      </c>
      <c r="D125" s="1140">
        <v>0.66</v>
      </c>
      <c r="E125" s="1137">
        <v>0</v>
      </c>
      <c r="F125" s="1140">
        <f t="shared" si="8"/>
        <v>7.92</v>
      </c>
      <c r="G125" s="978">
        <f t="shared" si="9"/>
        <v>0</v>
      </c>
      <c r="H125" s="978">
        <f t="shared" si="10"/>
        <v>7.92</v>
      </c>
      <c r="I125" s="1140"/>
      <c r="J125" s="1140">
        <f t="shared" si="12"/>
        <v>0</v>
      </c>
    </row>
    <row r="126" spans="1:10">
      <c r="A126" s="1140">
        <v>3213</v>
      </c>
      <c r="B126" s="21" t="s">
        <v>1934</v>
      </c>
      <c r="C126" s="1140">
        <v>35</v>
      </c>
      <c r="D126" s="1140">
        <v>1.1000000000000001</v>
      </c>
      <c r="E126" s="1137">
        <v>0.16</v>
      </c>
      <c r="F126" s="1140">
        <f t="shared" si="8"/>
        <v>38.5</v>
      </c>
      <c r="G126" s="978">
        <f t="shared" si="9"/>
        <v>6.16</v>
      </c>
      <c r="H126" s="978">
        <f t="shared" si="10"/>
        <v>44.66</v>
      </c>
      <c r="I126" s="1140"/>
      <c r="J126" s="1140">
        <f t="shared" si="12"/>
        <v>0</v>
      </c>
    </row>
    <row r="127" spans="1:10">
      <c r="A127" s="1140">
        <v>5072</v>
      </c>
      <c r="B127" s="21" t="s">
        <v>4358</v>
      </c>
      <c r="C127" s="1140">
        <v>5</v>
      </c>
      <c r="D127" s="1140">
        <v>7.95</v>
      </c>
      <c r="E127" s="1137">
        <v>0.16</v>
      </c>
      <c r="F127" s="1140">
        <f t="shared" si="8"/>
        <v>39.75</v>
      </c>
      <c r="G127" s="978">
        <f t="shared" si="9"/>
        <v>6.36</v>
      </c>
      <c r="H127" s="978">
        <f t="shared" si="10"/>
        <v>46.11</v>
      </c>
      <c r="I127" s="1140"/>
      <c r="J127" s="1140">
        <f t="shared" si="12"/>
        <v>0</v>
      </c>
    </row>
    <row r="128" spans="1:10">
      <c r="A128" s="1140">
        <v>2491</v>
      </c>
      <c r="B128" s="21" t="s">
        <v>4359</v>
      </c>
      <c r="C128" s="1140">
        <v>1</v>
      </c>
      <c r="D128" s="1140">
        <v>34.200000000000003</v>
      </c>
      <c r="E128" s="1137">
        <v>0.16</v>
      </c>
      <c r="F128" s="1140">
        <f t="shared" si="8"/>
        <v>34.200000000000003</v>
      </c>
      <c r="G128" s="978">
        <f t="shared" si="9"/>
        <v>5.4720000000000004</v>
      </c>
      <c r="H128" s="978">
        <f t="shared" si="10"/>
        <v>39.672000000000004</v>
      </c>
      <c r="I128" s="1140"/>
      <c r="J128" s="1140">
        <f t="shared" si="12"/>
        <v>0</v>
      </c>
    </row>
    <row r="129" spans="1:10">
      <c r="A129" s="1140">
        <v>3886</v>
      </c>
      <c r="B129" s="21" t="s">
        <v>4304</v>
      </c>
      <c r="C129" s="1140"/>
      <c r="D129" s="1140">
        <v>2.2599999999999998</v>
      </c>
      <c r="E129" s="1137">
        <v>0.16</v>
      </c>
      <c r="F129" s="1140">
        <f t="shared" si="8"/>
        <v>0</v>
      </c>
      <c r="G129" s="978">
        <f t="shared" si="9"/>
        <v>0</v>
      </c>
      <c r="H129" s="978">
        <f t="shared" si="10"/>
        <v>0</v>
      </c>
      <c r="I129" s="1140"/>
      <c r="J129" s="1140">
        <f t="shared" si="12"/>
        <v>0</v>
      </c>
    </row>
    <row r="130" spans="1:10">
      <c r="A130" s="1140">
        <v>3372</v>
      </c>
      <c r="B130" s="21" t="s">
        <v>4363</v>
      </c>
      <c r="C130" s="1140">
        <v>1</v>
      </c>
      <c r="D130" s="1140">
        <v>19.04</v>
      </c>
      <c r="E130" s="1137">
        <v>0.16</v>
      </c>
      <c r="F130" s="1140">
        <f t="shared" si="8"/>
        <v>19.04</v>
      </c>
      <c r="G130" s="978">
        <f t="shared" si="9"/>
        <v>3.0463999999999998</v>
      </c>
      <c r="H130" s="978">
        <f t="shared" si="10"/>
        <v>22.086399999999998</v>
      </c>
      <c r="I130" s="1140"/>
      <c r="J130" s="1140">
        <f t="shared" si="12"/>
        <v>0</v>
      </c>
    </row>
    <row r="131" spans="1:10">
      <c r="A131" s="1140">
        <v>3310</v>
      </c>
      <c r="B131" s="21" t="s">
        <v>4364</v>
      </c>
      <c r="C131" s="1140">
        <v>6</v>
      </c>
      <c r="D131" s="1140">
        <v>5.03</v>
      </c>
      <c r="E131" s="1137">
        <v>0.16</v>
      </c>
      <c r="F131" s="1140">
        <f t="shared" si="8"/>
        <v>30.18</v>
      </c>
      <c r="G131" s="978">
        <f t="shared" si="9"/>
        <v>4.8288000000000002</v>
      </c>
      <c r="H131" s="978">
        <f t="shared" si="10"/>
        <v>35.008800000000001</v>
      </c>
      <c r="I131" s="1140"/>
      <c r="J131" s="1140">
        <f t="shared" ref="J131:J162" si="13">+I131*H131</f>
        <v>0</v>
      </c>
    </row>
    <row r="132" spans="1:10">
      <c r="A132" s="1140">
        <v>1183</v>
      </c>
      <c r="B132" s="21" t="s">
        <v>4365</v>
      </c>
      <c r="C132" s="1140">
        <v>1</v>
      </c>
      <c r="D132" s="1140">
        <v>30.37</v>
      </c>
      <c r="E132" s="1137">
        <v>0.16</v>
      </c>
      <c r="F132" s="1140">
        <f t="shared" si="8"/>
        <v>30.37</v>
      </c>
      <c r="G132" s="978">
        <f t="shared" si="9"/>
        <v>4.8592000000000004</v>
      </c>
      <c r="H132" s="978">
        <f t="shared" si="10"/>
        <v>35.229199999999999</v>
      </c>
      <c r="I132" s="1140"/>
      <c r="J132" s="1140">
        <f t="shared" si="13"/>
        <v>0</v>
      </c>
    </row>
    <row r="133" spans="1:10">
      <c r="A133" s="1140">
        <v>1160</v>
      </c>
      <c r="B133" s="21" t="s">
        <v>4366</v>
      </c>
      <c r="C133" s="1140">
        <v>6</v>
      </c>
      <c r="D133" s="1140">
        <v>4.53</v>
      </c>
      <c r="E133" s="1137">
        <v>0.16</v>
      </c>
      <c r="F133" s="1140">
        <f t="shared" si="8"/>
        <v>27.18</v>
      </c>
      <c r="G133" s="978">
        <f t="shared" si="9"/>
        <v>4.3487999999999998</v>
      </c>
      <c r="H133" s="978">
        <f t="shared" si="10"/>
        <v>31.5288</v>
      </c>
      <c r="I133" s="1140"/>
      <c r="J133" s="1140">
        <f t="shared" si="13"/>
        <v>0</v>
      </c>
    </row>
    <row r="134" spans="1:10">
      <c r="A134" s="1140">
        <v>1187</v>
      </c>
      <c r="B134" s="21" t="s">
        <v>4367</v>
      </c>
      <c r="C134" s="1140">
        <v>1</v>
      </c>
      <c r="D134" s="1140">
        <v>17.36</v>
      </c>
      <c r="E134" s="1137">
        <v>0.16</v>
      </c>
      <c r="F134" s="1140">
        <f t="shared" si="8"/>
        <v>17.36</v>
      </c>
      <c r="G134" s="978">
        <f t="shared" si="9"/>
        <v>2.7776000000000001</v>
      </c>
      <c r="H134" s="978">
        <f t="shared" si="10"/>
        <v>20.137599999999999</v>
      </c>
      <c r="I134" s="1140"/>
      <c r="J134" s="1140">
        <f t="shared" si="13"/>
        <v>0</v>
      </c>
    </row>
    <row r="135" spans="1:10">
      <c r="A135" s="1140">
        <v>5855</v>
      </c>
      <c r="B135" s="21" t="s">
        <v>4368</v>
      </c>
      <c r="C135" s="1140">
        <v>10</v>
      </c>
      <c r="D135" s="1140">
        <v>2.38</v>
      </c>
      <c r="E135" s="1137">
        <v>0.16</v>
      </c>
      <c r="F135" s="1140">
        <f t="shared" ref="F135:F182" si="14">+D135*C135</f>
        <v>23.799999999999997</v>
      </c>
      <c r="G135" s="978">
        <f t="shared" ref="G135:G182" si="15">+F135*E135</f>
        <v>3.8079999999999998</v>
      </c>
      <c r="H135" s="978">
        <f t="shared" ref="H135:H182" si="16">+F135+G135</f>
        <v>27.607999999999997</v>
      </c>
      <c r="I135" s="1140"/>
      <c r="J135" s="1140">
        <f t="shared" si="13"/>
        <v>0</v>
      </c>
    </row>
    <row r="136" spans="1:10">
      <c r="A136" s="1140">
        <v>1176</v>
      </c>
      <c r="B136" s="21" t="s">
        <v>4369</v>
      </c>
      <c r="C136" s="1140">
        <v>1</v>
      </c>
      <c r="D136" s="1140">
        <v>30.37</v>
      </c>
      <c r="E136" s="1137">
        <v>0.16</v>
      </c>
      <c r="F136" s="1140">
        <f t="shared" si="14"/>
        <v>30.37</v>
      </c>
      <c r="G136" s="978">
        <f t="shared" si="15"/>
        <v>4.8592000000000004</v>
      </c>
      <c r="H136" s="978">
        <f t="shared" si="16"/>
        <v>35.229199999999999</v>
      </c>
      <c r="I136" s="1140"/>
      <c r="J136" s="1140">
        <f t="shared" si="13"/>
        <v>0</v>
      </c>
    </row>
    <row r="137" spans="1:10">
      <c r="A137" s="1140">
        <v>1157</v>
      </c>
      <c r="B137" s="21" t="s">
        <v>4370</v>
      </c>
      <c r="C137" s="1140">
        <v>5</v>
      </c>
      <c r="D137" s="1140">
        <v>7.95</v>
      </c>
      <c r="E137" s="1137">
        <v>0.16</v>
      </c>
      <c r="F137" s="1140">
        <f t="shared" si="14"/>
        <v>39.75</v>
      </c>
      <c r="G137" s="978">
        <f t="shared" si="15"/>
        <v>6.36</v>
      </c>
      <c r="H137" s="978">
        <f t="shared" si="16"/>
        <v>46.11</v>
      </c>
      <c r="I137" s="1140"/>
      <c r="J137" s="1140">
        <f t="shared" si="13"/>
        <v>0</v>
      </c>
    </row>
    <row r="138" spans="1:10">
      <c r="A138" s="1140">
        <v>1154</v>
      </c>
      <c r="B138" s="21" t="s">
        <v>4371</v>
      </c>
      <c r="C138" s="1140">
        <v>5</v>
      </c>
      <c r="D138" s="1140">
        <v>7.95</v>
      </c>
      <c r="E138" s="1137">
        <v>0.16</v>
      </c>
      <c r="F138" s="1140">
        <f t="shared" si="14"/>
        <v>39.75</v>
      </c>
      <c r="G138" s="978">
        <f t="shared" si="15"/>
        <v>6.36</v>
      </c>
      <c r="H138" s="978">
        <f t="shared" si="16"/>
        <v>46.11</v>
      </c>
      <c r="I138" s="1140"/>
      <c r="J138" s="1140">
        <f t="shared" si="13"/>
        <v>0</v>
      </c>
    </row>
    <row r="139" spans="1:10">
      <c r="A139" s="1140">
        <v>1181</v>
      </c>
      <c r="B139" s="21" t="s">
        <v>4372</v>
      </c>
      <c r="C139" s="1140">
        <v>1</v>
      </c>
      <c r="D139" s="1140">
        <v>30.37</v>
      </c>
      <c r="E139" s="1137">
        <v>0.16</v>
      </c>
      <c r="F139" s="1140">
        <f t="shared" si="14"/>
        <v>30.37</v>
      </c>
      <c r="G139" s="978">
        <f t="shared" si="15"/>
        <v>4.8592000000000004</v>
      </c>
      <c r="H139" s="978">
        <f t="shared" si="16"/>
        <v>35.229199999999999</v>
      </c>
      <c r="I139" s="1140"/>
      <c r="J139" s="1140">
        <f t="shared" si="13"/>
        <v>0</v>
      </c>
    </row>
    <row r="140" spans="1:10">
      <c r="A140" s="1140">
        <v>7586</v>
      </c>
      <c r="B140" s="21" t="s">
        <v>4357</v>
      </c>
      <c r="C140" s="1140">
        <v>1</v>
      </c>
      <c r="D140" s="1140">
        <v>22.82</v>
      </c>
      <c r="E140" s="1137">
        <v>0.16</v>
      </c>
      <c r="F140" s="1140">
        <f t="shared" si="14"/>
        <v>22.82</v>
      </c>
      <c r="G140" s="978">
        <f t="shared" si="15"/>
        <v>3.6512000000000002</v>
      </c>
      <c r="H140" s="978">
        <f t="shared" si="16"/>
        <v>26.4712</v>
      </c>
      <c r="I140" s="1140"/>
      <c r="J140" s="1140">
        <f t="shared" si="13"/>
        <v>0</v>
      </c>
    </row>
    <row r="141" spans="1:10">
      <c r="A141" s="1140">
        <v>1189</v>
      </c>
      <c r="B141" s="21" t="s">
        <v>4352</v>
      </c>
      <c r="C141" s="1140">
        <v>1</v>
      </c>
      <c r="D141" s="1140">
        <v>13.32</v>
      </c>
      <c r="E141" s="1137">
        <v>0.16</v>
      </c>
      <c r="F141" s="1140">
        <f t="shared" si="14"/>
        <v>13.32</v>
      </c>
      <c r="G141" s="978">
        <f t="shared" si="15"/>
        <v>2.1312000000000002</v>
      </c>
      <c r="H141" s="978">
        <f t="shared" si="16"/>
        <v>15.4512</v>
      </c>
      <c r="I141" s="1140"/>
      <c r="J141" s="1140">
        <f t="shared" si="13"/>
        <v>0</v>
      </c>
    </row>
    <row r="142" spans="1:10">
      <c r="A142" s="1140">
        <v>5433</v>
      </c>
      <c r="B142" s="21" t="s">
        <v>4353</v>
      </c>
      <c r="C142" s="1140">
        <v>1</v>
      </c>
      <c r="D142" s="1140">
        <v>22.82</v>
      </c>
      <c r="E142" s="1137">
        <v>0.16</v>
      </c>
      <c r="F142" s="1140">
        <f t="shared" si="14"/>
        <v>22.82</v>
      </c>
      <c r="G142" s="978">
        <f t="shared" si="15"/>
        <v>3.6512000000000002</v>
      </c>
      <c r="H142" s="978">
        <f t="shared" si="16"/>
        <v>26.4712</v>
      </c>
      <c r="I142" s="1140"/>
      <c r="J142" s="1140">
        <f t="shared" si="13"/>
        <v>0</v>
      </c>
    </row>
    <row r="143" spans="1:10">
      <c r="A143" s="1140">
        <v>6375</v>
      </c>
      <c r="B143" s="21" t="s">
        <v>4354</v>
      </c>
      <c r="C143" s="1140">
        <v>6</v>
      </c>
      <c r="D143" s="1140">
        <v>3</v>
      </c>
      <c r="E143" s="1137">
        <v>0.16</v>
      </c>
      <c r="F143" s="1140">
        <f t="shared" si="14"/>
        <v>18</v>
      </c>
      <c r="G143" s="978">
        <f t="shared" si="15"/>
        <v>2.88</v>
      </c>
      <c r="H143" s="978">
        <f t="shared" si="16"/>
        <v>20.88</v>
      </c>
      <c r="I143" s="1140"/>
      <c r="J143" s="1140">
        <f t="shared" si="13"/>
        <v>0</v>
      </c>
    </row>
    <row r="144" spans="1:10">
      <c r="A144" s="1140">
        <v>1169</v>
      </c>
      <c r="B144" s="21" t="s">
        <v>4355</v>
      </c>
      <c r="C144" s="1140">
        <v>5</v>
      </c>
      <c r="D144" s="1140">
        <v>5.9</v>
      </c>
      <c r="E144" s="1137">
        <v>0.16</v>
      </c>
      <c r="F144" s="1140">
        <f t="shared" si="14"/>
        <v>29.5</v>
      </c>
      <c r="G144" s="978">
        <f t="shared" si="15"/>
        <v>4.72</v>
      </c>
      <c r="H144" s="978">
        <f t="shared" si="16"/>
        <v>34.22</v>
      </c>
      <c r="I144" s="1140"/>
      <c r="J144" s="1140">
        <f t="shared" si="13"/>
        <v>0</v>
      </c>
    </row>
    <row r="145" spans="1:10">
      <c r="A145" s="1140">
        <v>1191</v>
      </c>
      <c r="B145" s="21" t="s">
        <v>4356</v>
      </c>
      <c r="C145" s="1140">
        <v>1</v>
      </c>
      <c r="D145" s="1140">
        <v>22.82</v>
      </c>
      <c r="E145" s="1137">
        <v>0.16</v>
      </c>
      <c r="F145" s="1140">
        <f t="shared" si="14"/>
        <v>22.82</v>
      </c>
      <c r="G145" s="978">
        <f t="shared" si="15"/>
        <v>3.6512000000000002</v>
      </c>
      <c r="H145" s="978">
        <f t="shared" si="16"/>
        <v>26.4712</v>
      </c>
      <c r="I145" s="1140"/>
      <c r="J145" s="1140">
        <f t="shared" si="13"/>
        <v>0</v>
      </c>
    </row>
    <row r="146" spans="1:10">
      <c r="A146" s="1140">
        <v>5853</v>
      </c>
      <c r="B146" s="21" t="s">
        <v>4276</v>
      </c>
      <c r="C146" s="1140">
        <v>12</v>
      </c>
      <c r="D146" s="1140">
        <v>2.3199999999999998</v>
      </c>
      <c r="E146" s="1137">
        <v>0.16</v>
      </c>
      <c r="F146" s="1140">
        <f t="shared" si="14"/>
        <v>27.839999999999996</v>
      </c>
      <c r="G146" s="978">
        <f t="shared" si="15"/>
        <v>4.4543999999999997</v>
      </c>
      <c r="H146" s="978">
        <f t="shared" si="16"/>
        <v>32.294399999999996</v>
      </c>
      <c r="I146" s="1140"/>
      <c r="J146" s="1140">
        <f t="shared" si="13"/>
        <v>0</v>
      </c>
    </row>
    <row r="147" spans="1:10">
      <c r="A147" s="1140">
        <v>5854</v>
      </c>
      <c r="B147" s="21" t="s">
        <v>4277</v>
      </c>
      <c r="C147" s="1140">
        <v>12</v>
      </c>
      <c r="D147" s="1140">
        <v>2.3199999999999998</v>
      </c>
      <c r="E147" s="1137">
        <v>0.16</v>
      </c>
      <c r="F147" s="1140">
        <f t="shared" si="14"/>
        <v>27.839999999999996</v>
      </c>
      <c r="G147" s="978">
        <f t="shared" si="15"/>
        <v>4.4543999999999997</v>
      </c>
      <c r="H147" s="978">
        <f t="shared" si="16"/>
        <v>32.294399999999996</v>
      </c>
      <c r="I147" s="1140"/>
      <c r="J147" s="1140">
        <f t="shared" si="13"/>
        <v>0</v>
      </c>
    </row>
    <row r="148" spans="1:10">
      <c r="A148" s="1140">
        <v>821</v>
      </c>
      <c r="B148" s="904" t="s">
        <v>4374</v>
      </c>
      <c r="C148" s="1140">
        <v>18</v>
      </c>
      <c r="D148" s="1140">
        <v>1.68</v>
      </c>
      <c r="E148" s="1137">
        <v>0.16</v>
      </c>
      <c r="F148" s="1140">
        <f t="shared" si="14"/>
        <v>30.24</v>
      </c>
      <c r="G148" s="978">
        <f t="shared" si="15"/>
        <v>4.8384</v>
      </c>
      <c r="H148" s="978">
        <f t="shared" si="16"/>
        <v>35.078400000000002</v>
      </c>
      <c r="I148" s="1140"/>
      <c r="J148" s="1140">
        <f t="shared" si="13"/>
        <v>0</v>
      </c>
    </row>
    <row r="149" spans="1:10">
      <c r="A149" s="1140">
        <v>823</v>
      </c>
      <c r="B149" s="904" t="s">
        <v>4379</v>
      </c>
      <c r="C149" s="1140">
        <v>18</v>
      </c>
      <c r="D149" s="1140">
        <v>1.68</v>
      </c>
      <c r="E149" s="1137">
        <v>0.16</v>
      </c>
      <c r="F149" s="1140">
        <f t="shared" si="14"/>
        <v>30.24</v>
      </c>
      <c r="G149" s="978">
        <f t="shared" si="15"/>
        <v>4.8384</v>
      </c>
      <c r="H149" s="978">
        <f t="shared" si="16"/>
        <v>35.078400000000002</v>
      </c>
      <c r="I149" s="1140"/>
      <c r="J149" s="1140">
        <f t="shared" si="13"/>
        <v>0</v>
      </c>
    </row>
    <row r="150" spans="1:10">
      <c r="A150" s="1140">
        <v>824</v>
      </c>
      <c r="B150" s="904" t="s">
        <v>4380</v>
      </c>
      <c r="C150" s="1140">
        <v>12</v>
      </c>
      <c r="D150" s="1140">
        <v>2.3199999999999998</v>
      </c>
      <c r="E150" s="1137">
        <v>0.16</v>
      </c>
      <c r="F150" s="1140">
        <f t="shared" si="14"/>
        <v>27.839999999999996</v>
      </c>
      <c r="G150" s="978">
        <f t="shared" si="15"/>
        <v>4.4543999999999997</v>
      </c>
      <c r="H150" s="978">
        <f t="shared" si="16"/>
        <v>32.294399999999996</v>
      </c>
      <c r="I150" s="1140"/>
      <c r="J150" s="1140">
        <f t="shared" si="13"/>
        <v>0</v>
      </c>
    </row>
    <row r="151" spans="1:10">
      <c r="A151" s="1140">
        <v>817</v>
      </c>
      <c r="B151" s="904" t="s">
        <v>4381</v>
      </c>
      <c r="C151" s="1140">
        <v>12</v>
      </c>
      <c r="D151" s="1140">
        <v>2.3199999999999998</v>
      </c>
      <c r="E151" s="1137">
        <v>0.16</v>
      </c>
      <c r="F151" s="1140">
        <f t="shared" si="14"/>
        <v>27.839999999999996</v>
      </c>
      <c r="G151" s="978">
        <f t="shared" si="15"/>
        <v>4.4543999999999997</v>
      </c>
      <c r="H151" s="978">
        <f t="shared" si="16"/>
        <v>32.294399999999996</v>
      </c>
      <c r="I151" s="1140"/>
      <c r="J151" s="1140">
        <f t="shared" si="13"/>
        <v>0</v>
      </c>
    </row>
    <row r="152" spans="1:10">
      <c r="A152" s="1140">
        <v>820</v>
      </c>
      <c r="B152" s="21" t="s">
        <v>4382</v>
      </c>
      <c r="C152" s="1140">
        <v>18</v>
      </c>
      <c r="D152" s="1140">
        <v>1.68</v>
      </c>
      <c r="E152" s="1137">
        <v>0.16</v>
      </c>
      <c r="F152" s="1140">
        <f t="shared" si="14"/>
        <v>30.24</v>
      </c>
      <c r="G152" s="978">
        <f t="shared" si="15"/>
        <v>4.8384</v>
      </c>
      <c r="H152" s="978">
        <f t="shared" si="16"/>
        <v>35.078400000000002</v>
      </c>
      <c r="I152" s="1140"/>
      <c r="J152" s="1140">
        <f t="shared" si="13"/>
        <v>0</v>
      </c>
    </row>
    <row r="153" spans="1:10">
      <c r="A153" s="1140">
        <v>13056</v>
      </c>
      <c r="B153" s="904" t="s">
        <v>4383</v>
      </c>
      <c r="C153" s="1140">
        <v>18</v>
      </c>
      <c r="D153" s="1140">
        <v>2.3199999999999998</v>
      </c>
      <c r="E153" s="1137">
        <v>0.16</v>
      </c>
      <c r="F153" s="1140">
        <f t="shared" si="14"/>
        <v>41.76</v>
      </c>
      <c r="G153" s="978">
        <f t="shared" si="15"/>
        <v>6.6815999999999995</v>
      </c>
      <c r="H153" s="978">
        <f t="shared" si="16"/>
        <v>48.441599999999994</v>
      </c>
      <c r="I153" s="1140"/>
      <c r="J153" s="1140">
        <f t="shared" si="13"/>
        <v>0</v>
      </c>
    </row>
    <row r="154" spans="1:10">
      <c r="A154" s="1140">
        <v>2466</v>
      </c>
      <c r="B154" s="21" t="s">
        <v>4266</v>
      </c>
      <c r="C154" s="1140">
        <v>20</v>
      </c>
      <c r="D154" s="1140">
        <v>0.79</v>
      </c>
      <c r="E154" s="1137">
        <v>0</v>
      </c>
      <c r="F154" s="1140">
        <f t="shared" si="14"/>
        <v>15.8</v>
      </c>
      <c r="G154" s="978">
        <f t="shared" si="15"/>
        <v>0</v>
      </c>
      <c r="H154" s="978">
        <f t="shared" si="16"/>
        <v>15.8</v>
      </c>
      <c r="I154" s="1140"/>
      <c r="J154" s="1140">
        <f t="shared" si="13"/>
        <v>0</v>
      </c>
    </row>
    <row r="155" spans="1:10">
      <c r="A155" s="1140">
        <v>2465</v>
      </c>
      <c r="B155" s="21" t="s">
        <v>1936</v>
      </c>
      <c r="C155" s="1140">
        <v>20</v>
      </c>
      <c r="D155" s="1140">
        <v>0.79</v>
      </c>
      <c r="E155" s="1137">
        <v>0</v>
      </c>
      <c r="F155" s="1140">
        <f t="shared" si="14"/>
        <v>15.8</v>
      </c>
      <c r="G155" s="978">
        <f t="shared" si="15"/>
        <v>0</v>
      </c>
      <c r="H155" s="978">
        <f t="shared" si="16"/>
        <v>15.8</v>
      </c>
      <c r="I155" s="1140"/>
      <c r="J155" s="1140">
        <f t="shared" si="13"/>
        <v>0</v>
      </c>
    </row>
    <row r="156" spans="1:10">
      <c r="A156" s="1140">
        <v>9519</v>
      </c>
      <c r="B156" s="21" t="s">
        <v>4263</v>
      </c>
      <c r="C156" s="1140">
        <v>12</v>
      </c>
      <c r="D156" s="1140">
        <v>2.68</v>
      </c>
      <c r="E156" s="1137">
        <v>0.16</v>
      </c>
      <c r="F156" s="1140">
        <f t="shared" si="14"/>
        <v>32.160000000000004</v>
      </c>
      <c r="G156" s="978">
        <f t="shared" si="15"/>
        <v>5.1456000000000008</v>
      </c>
      <c r="H156" s="978">
        <f t="shared" si="16"/>
        <v>37.305600000000005</v>
      </c>
      <c r="I156" s="1140"/>
      <c r="J156" s="1140">
        <f t="shared" si="13"/>
        <v>0</v>
      </c>
    </row>
    <row r="157" spans="1:10">
      <c r="A157" s="1140">
        <v>9633</v>
      </c>
      <c r="B157" s="21" t="s">
        <v>4265</v>
      </c>
      <c r="C157" s="1140">
        <v>12</v>
      </c>
      <c r="D157" s="1140">
        <v>1.56</v>
      </c>
      <c r="E157" s="1137">
        <v>0.16</v>
      </c>
      <c r="F157" s="1140">
        <f t="shared" si="14"/>
        <v>18.72</v>
      </c>
      <c r="G157" s="978">
        <f t="shared" si="15"/>
        <v>2.9952000000000001</v>
      </c>
      <c r="H157" s="978">
        <f t="shared" si="16"/>
        <v>21.715199999999999</v>
      </c>
      <c r="I157" s="1140"/>
      <c r="J157" s="1140">
        <f t="shared" si="13"/>
        <v>0</v>
      </c>
    </row>
    <row r="158" spans="1:10">
      <c r="A158" s="1140">
        <v>13530</v>
      </c>
      <c r="B158" s="21" t="s">
        <v>4264</v>
      </c>
      <c r="C158" s="1140">
        <v>12</v>
      </c>
      <c r="D158" s="1140">
        <v>1.61</v>
      </c>
      <c r="E158" s="1137">
        <v>0.16</v>
      </c>
      <c r="F158" s="1140">
        <f t="shared" si="14"/>
        <v>19.32</v>
      </c>
      <c r="G158" s="978">
        <f t="shared" si="15"/>
        <v>3.0912000000000002</v>
      </c>
      <c r="H158" s="978">
        <f t="shared" si="16"/>
        <v>22.411200000000001</v>
      </c>
      <c r="I158" s="1140"/>
      <c r="J158" s="1140">
        <f t="shared" si="13"/>
        <v>0</v>
      </c>
    </row>
    <row r="159" spans="1:10">
      <c r="A159" s="1140">
        <v>9665</v>
      </c>
      <c r="B159" s="21" t="s">
        <v>4293</v>
      </c>
      <c r="C159" s="1140"/>
      <c r="D159" s="1140"/>
      <c r="E159" s="1137">
        <v>0.16</v>
      </c>
      <c r="F159" s="1140">
        <f t="shared" si="14"/>
        <v>0</v>
      </c>
      <c r="G159" s="978">
        <f t="shared" si="15"/>
        <v>0</v>
      </c>
      <c r="H159" s="978">
        <f t="shared" si="16"/>
        <v>0</v>
      </c>
      <c r="I159" s="1140"/>
      <c r="J159" s="1140">
        <f t="shared" si="13"/>
        <v>0</v>
      </c>
    </row>
    <row r="160" spans="1:10">
      <c r="A160" s="1140">
        <v>2253</v>
      </c>
      <c r="B160" s="21" t="s">
        <v>4289</v>
      </c>
      <c r="C160" s="1140"/>
      <c r="D160" s="1140"/>
      <c r="E160" s="1137">
        <v>0.16</v>
      </c>
      <c r="F160" s="1140">
        <f t="shared" si="14"/>
        <v>0</v>
      </c>
      <c r="G160" s="978">
        <f t="shared" si="15"/>
        <v>0</v>
      </c>
      <c r="H160" s="978">
        <f t="shared" si="16"/>
        <v>0</v>
      </c>
      <c r="I160" s="1140"/>
      <c r="J160" s="1140">
        <f t="shared" si="13"/>
        <v>0</v>
      </c>
    </row>
    <row r="161" spans="1:13">
      <c r="A161" s="1140">
        <v>2869</v>
      </c>
      <c r="B161" s="21" t="s">
        <v>4290</v>
      </c>
      <c r="C161" s="1140"/>
      <c r="D161" s="1140"/>
      <c r="E161" s="1137">
        <v>0.16</v>
      </c>
      <c r="F161" s="1140">
        <f t="shared" si="14"/>
        <v>0</v>
      </c>
      <c r="G161" s="978">
        <f t="shared" si="15"/>
        <v>0</v>
      </c>
      <c r="H161" s="978">
        <f t="shared" si="16"/>
        <v>0</v>
      </c>
      <c r="I161" s="1140"/>
      <c r="J161" s="1140">
        <f t="shared" si="13"/>
        <v>0</v>
      </c>
    </row>
    <row r="162" spans="1:13">
      <c r="A162" s="1140">
        <v>1321</v>
      </c>
      <c r="B162" s="21" t="s">
        <v>4320</v>
      </c>
      <c r="C162" s="1140">
        <v>12</v>
      </c>
      <c r="D162" s="1140">
        <v>0.93</v>
      </c>
      <c r="E162" s="1137">
        <v>0.16</v>
      </c>
      <c r="F162" s="1140">
        <f t="shared" si="14"/>
        <v>11.16</v>
      </c>
      <c r="G162" s="978">
        <f t="shared" si="15"/>
        <v>1.7856000000000001</v>
      </c>
      <c r="H162" s="978">
        <f t="shared" si="16"/>
        <v>12.945600000000001</v>
      </c>
      <c r="I162" s="1140"/>
      <c r="J162" s="1140">
        <f t="shared" si="13"/>
        <v>0</v>
      </c>
    </row>
    <row r="163" spans="1:13">
      <c r="A163" s="1140">
        <v>1323</v>
      </c>
      <c r="B163" s="21" t="s">
        <v>4321</v>
      </c>
      <c r="C163" s="1140">
        <v>4</v>
      </c>
      <c r="D163" s="1140">
        <v>3.7</v>
      </c>
      <c r="E163" s="1137">
        <v>0.16</v>
      </c>
      <c r="F163" s="1140">
        <f t="shared" si="14"/>
        <v>14.8</v>
      </c>
      <c r="G163" s="978">
        <f t="shared" si="15"/>
        <v>2.3680000000000003</v>
      </c>
      <c r="H163" s="978">
        <f t="shared" si="16"/>
        <v>17.167999999999999</v>
      </c>
      <c r="I163" s="1140"/>
      <c r="J163" s="1140">
        <f t="shared" ref="J163:J182" si="17">+I163*H163</f>
        <v>0</v>
      </c>
    </row>
    <row r="164" spans="1:13">
      <c r="A164" s="1140">
        <v>2445</v>
      </c>
      <c r="B164" s="21" t="s">
        <v>4322</v>
      </c>
      <c r="C164" s="1140">
        <v>4</v>
      </c>
      <c r="D164" s="1140">
        <v>3.7</v>
      </c>
      <c r="E164" s="1137">
        <v>0.16</v>
      </c>
      <c r="F164" s="1140">
        <f t="shared" si="14"/>
        <v>14.8</v>
      </c>
      <c r="G164" s="978">
        <f t="shared" si="15"/>
        <v>2.3680000000000003</v>
      </c>
      <c r="H164" s="978">
        <f t="shared" si="16"/>
        <v>17.167999999999999</v>
      </c>
      <c r="I164" s="1140"/>
      <c r="J164" s="1140">
        <f t="shared" si="17"/>
        <v>0</v>
      </c>
    </row>
    <row r="165" spans="1:13">
      <c r="A165" s="1140">
        <v>3056</v>
      </c>
      <c r="B165" s="21" t="s">
        <v>4319</v>
      </c>
      <c r="C165" s="1140">
        <v>24</v>
      </c>
      <c r="D165" s="1140">
        <v>0.54</v>
      </c>
      <c r="E165" s="1137">
        <v>0.16</v>
      </c>
      <c r="F165" s="1140">
        <f t="shared" si="14"/>
        <v>12.96</v>
      </c>
      <c r="G165" s="978">
        <f t="shared" si="15"/>
        <v>2.0736000000000003</v>
      </c>
      <c r="H165" s="978">
        <f t="shared" si="16"/>
        <v>15.033600000000002</v>
      </c>
      <c r="I165" s="1140"/>
      <c r="J165" s="1140">
        <f t="shared" si="17"/>
        <v>0</v>
      </c>
    </row>
    <row r="166" spans="1:13">
      <c r="A166" s="1140">
        <v>1585</v>
      </c>
      <c r="B166" s="21" t="s">
        <v>4307</v>
      </c>
      <c r="C166" s="1140">
        <v>24</v>
      </c>
      <c r="D166" s="1140">
        <v>1</v>
      </c>
      <c r="E166" s="1137">
        <v>0.16</v>
      </c>
      <c r="F166" s="1140">
        <f t="shared" si="14"/>
        <v>24</v>
      </c>
      <c r="G166" s="978">
        <f t="shared" si="15"/>
        <v>3.84</v>
      </c>
      <c r="H166" s="978">
        <f t="shared" si="16"/>
        <v>27.84</v>
      </c>
      <c r="I166" s="1140"/>
      <c r="J166" s="1140">
        <f t="shared" si="17"/>
        <v>0</v>
      </c>
    </row>
    <row r="167" spans="1:13">
      <c r="A167" s="1140">
        <v>1583</v>
      </c>
      <c r="B167" s="21" t="s">
        <v>4306</v>
      </c>
      <c r="C167" s="1140">
        <v>24</v>
      </c>
      <c r="D167" s="1140">
        <v>1</v>
      </c>
      <c r="E167" s="1137">
        <v>0.16</v>
      </c>
      <c r="F167" s="1140">
        <f t="shared" si="14"/>
        <v>24</v>
      </c>
      <c r="G167" s="978">
        <f t="shared" si="15"/>
        <v>3.84</v>
      </c>
      <c r="H167" s="978">
        <f t="shared" si="16"/>
        <v>27.84</v>
      </c>
      <c r="I167" s="1140"/>
      <c r="J167" s="1140">
        <f t="shared" si="17"/>
        <v>0</v>
      </c>
    </row>
    <row r="168" spans="1:13">
      <c r="A168" s="1140">
        <v>1588</v>
      </c>
      <c r="B168" s="21" t="s">
        <v>4308</v>
      </c>
      <c r="C168" s="1140">
        <v>24</v>
      </c>
      <c r="D168" s="1140">
        <v>1</v>
      </c>
      <c r="E168" s="1137">
        <v>0.16</v>
      </c>
      <c r="F168" s="1140">
        <f t="shared" si="14"/>
        <v>24</v>
      </c>
      <c r="G168" s="978">
        <f t="shared" si="15"/>
        <v>3.84</v>
      </c>
      <c r="H168" s="978">
        <f t="shared" si="16"/>
        <v>27.84</v>
      </c>
      <c r="I168" s="1140"/>
      <c r="J168" s="1140">
        <f t="shared" si="17"/>
        <v>0</v>
      </c>
    </row>
    <row r="169" spans="1:13">
      <c r="A169" s="1140">
        <v>1595</v>
      </c>
      <c r="B169" s="21" t="s">
        <v>4318</v>
      </c>
      <c r="C169" s="1140">
        <v>12</v>
      </c>
      <c r="D169" s="1140">
        <v>4.5999999999999996</v>
      </c>
      <c r="E169" s="1137">
        <v>0.16</v>
      </c>
      <c r="F169" s="1140">
        <f t="shared" si="14"/>
        <v>55.199999999999996</v>
      </c>
      <c r="G169" s="978">
        <f t="shared" si="15"/>
        <v>8.831999999999999</v>
      </c>
      <c r="H169" s="978">
        <f t="shared" si="16"/>
        <v>64.031999999999996</v>
      </c>
      <c r="I169" s="1140"/>
      <c r="J169" s="1140">
        <f t="shared" si="17"/>
        <v>0</v>
      </c>
    </row>
    <row r="170" spans="1:13">
      <c r="A170" s="1140">
        <v>1590</v>
      </c>
      <c r="B170" s="21" t="s">
        <v>1959</v>
      </c>
      <c r="C170" s="1140">
        <v>12</v>
      </c>
      <c r="D170" s="1140">
        <v>4.5999999999999996</v>
      </c>
      <c r="E170" s="1137">
        <v>0.16</v>
      </c>
      <c r="F170" s="1140">
        <f t="shared" si="14"/>
        <v>55.199999999999996</v>
      </c>
      <c r="G170" s="978">
        <f t="shared" si="15"/>
        <v>8.831999999999999</v>
      </c>
      <c r="H170" s="978">
        <f t="shared" si="16"/>
        <v>64.031999999999996</v>
      </c>
      <c r="I170" s="1140"/>
      <c r="J170" s="1140">
        <f t="shared" si="17"/>
        <v>0</v>
      </c>
    </row>
    <row r="171" spans="1:13">
      <c r="A171" s="1140">
        <v>1591</v>
      </c>
      <c r="B171" s="21" t="s">
        <v>4316</v>
      </c>
      <c r="C171" s="1140">
        <v>12</v>
      </c>
      <c r="D171" s="1140">
        <v>4.5999999999999996</v>
      </c>
      <c r="E171" s="1137">
        <v>0.16</v>
      </c>
      <c r="F171" s="1140">
        <f t="shared" si="14"/>
        <v>55.199999999999996</v>
      </c>
      <c r="G171" s="978">
        <f t="shared" si="15"/>
        <v>8.831999999999999</v>
      </c>
      <c r="H171" s="978">
        <f t="shared" si="16"/>
        <v>64.031999999999996</v>
      </c>
      <c r="I171" s="1140"/>
      <c r="J171" s="1140">
        <f t="shared" si="17"/>
        <v>0</v>
      </c>
    </row>
    <row r="172" spans="1:13">
      <c r="A172" s="1140">
        <v>1593</v>
      </c>
      <c r="B172" s="21" t="s">
        <v>4317</v>
      </c>
      <c r="C172" s="1140">
        <v>12</v>
      </c>
      <c r="D172" s="1140">
        <v>4.5999999999999996</v>
      </c>
      <c r="E172" s="1137">
        <v>0.16</v>
      </c>
      <c r="F172" s="1140">
        <f t="shared" si="14"/>
        <v>55.199999999999996</v>
      </c>
      <c r="G172" s="978">
        <f t="shared" si="15"/>
        <v>8.831999999999999</v>
      </c>
      <c r="H172" s="978">
        <f t="shared" si="16"/>
        <v>64.031999999999996</v>
      </c>
      <c r="I172" s="1140"/>
      <c r="J172" s="1140">
        <f t="shared" si="17"/>
        <v>0</v>
      </c>
    </row>
    <row r="173" spans="1:13">
      <c r="A173" s="1140">
        <v>5857</v>
      </c>
      <c r="B173" s="21" t="s">
        <v>4310</v>
      </c>
      <c r="C173" s="1140">
        <v>24</v>
      </c>
      <c r="D173" s="1140">
        <v>1.49</v>
      </c>
      <c r="E173" s="1137">
        <v>0.16</v>
      </c>
      <c r="F173" s="1140">
        <f t="shared" si="14"/>
        <v>35.76</v>
      </c>
      <c r="G173" s="978">
        <f t="shared" si="15"/>
        <v>5.7215999999999996</v>
      </c>
      <c r="H173" s="978">
        <f t="shared" si="16"/>
        <v>41.4816</v>
      </c>
      <c r="I173" s="1140"/>
      <c r="J173" s="1140">
        <f t="shared" si="17"/>
        <v>0</v>
      </c>
    </row>
    <row r="174" spans="1:13">
      <c r="A174" s="1140">
        <v>5858</v>
      </c>
      <c r="B174" s="21" t="s">
        <v>4313</v>
      </c>
      <c r="C174" s="1140">
        <v>12</v>
      </c>
      <c r="D174" s="1140">
        <v>3.65</v>
      </c>
      <c r="E174" s="1137">
        <v>0.16</v>
      </c>
      <c r="F174" s="1140">
        <f t="shared" si="14"/>
        <v>43.8</v>
      </c>
      <c r="G174" s="978">
        <f t="shared" si="15"/>
        <v>7.008</v>
      </c>
      <c r="H174" s="978">
        <f t="shared" si="16"/>
        <v>50.808</v>
      </c>
      <c r="I174" s="1140"/>
      <c r="J174" s="1140">
        <f t="shared" si="17"/>
        <v>0</v>
      </c>
    </row>
    <row r="175" spans="1:13">
      <c r="A175" s="1140">
        <v>2376</v>
      </c>
      <c r="B175" s="21" t="s">
        <v>4305</v>
      </c>
      <c r="C175" s="1140">
        <v>0</v>
      </c>
      <c r="D175" s="1140">
        <v>0</v>
      </c>
      <c r="E175" s="1137">
        <v>0.16</v>
      </c>
      <c r="F175" s="1140">
        <f t="shared" si="14"/>
        <v>0</v>
      </c>
      <c r="G175" s="978">
        <f t="shared" si="15"/>
        <v>0</v>
      </c>
      <c r="H175" s="978">
        <f t="shared" si="16"/>
        <v>0</v>
      </c>
      <c r="I175" s="1140"/>
      <c r="J175" s="1140">
        <f t="shared" si="17"/>
        <v>0</v>
      </c>
    </row>
    <row r="176" spans="1:13">
      <c r="A176" s="1140">
        <v>6326</v>
      </c>
      <c r="B176" s="21" t="s">
        <v>4315</v>
      </c>
      <c r="C176" s="1140">
        <v>12</v>
      </c>
      <c r="D176" s="1140">
        <v>3.65</v>
      </c>
      <c r="E176" s="1137">
        <v>0.16</v>
      </c>
      <c r="F176" s="1140">
        <f t="shared" si="14"/>
        <v>43.8</v>
      </c>
      <c r="G176" s="978">
        <f t="shared" si="15"/>
        <v>7.008</v>
      </c>
      <c r="H176" s="978">
        <f t="shared" si="16"/>
        <v>50.808</v>
      </c>
      <c r="I176" s="1140"/>
      <c r="J176" s="1140">
        <f t="shared" si="17"/>
        <v>0</v>
      </c>
      <c r="M176" t="s">
        <v>65</v>
      </c>
    </row>
    <row r="177" spans="1:10">
      <c r="A177" s="1140">
        <v>6325</v>
      </c>
      <c r="B177" s="21" t="s">
        <v>4314</v>
      </c>
      <c r="C177" s="1140">
        <v>12</v>
      </c>
      <c r="D177" s="1140">
        <v>3.65</v>
      </c>
      <c r="E177" s="1137">
        <v>0.16</v>
      </c>
      <c r="F177" s="1140">
        <f t="shared" si="14"/>
        <v>43.8</v>
      </c>
      <c r="G177" s="978">
        <f t="shared" si="15"/>
        <v>7.008</v>
      </c>
      <c r="H177" s="978">
        <f t="shared" si="16"/>
        <v>50.808</v>
      </c>
      <c r="I177" s="1140"/>
      <c r="J177" s="1140">
        <f t="shared" si="17"/>
        <v>0</v>
      </c>
    </row>
    <row r="178" spans="1:10">
      <c r="A178" s="1140">
        <v>8002</v>
      </c>
      <c r="B178" s="21" t="s">
        <v>4309</v>
      </c>
      <c r="C178" s="1140">
        <v>24</v>
      </c>
      <c r="D178" s="1140">
        <v>1.49</v>
      </c>
      <c r="E178" s="1137">
        <v>0.16</v>
      </c>
      <c r="F178" s="1140">
        <f t="shared" si="14"/>
        <v>35.76</v>
      </c>
      <c r="G178" s="978">
        <f t="shared" si="15"/>
        <v>5.7215999999999996</v>
      </c>
      <c r="H178" s="978">
        <f t="shared" si="16"/>
        <v>41.4816</v>
      </c>
      <c r="I178" s="1140"/>
      <c r="J178" s="1140">
        <f t="shared" si="17"/>
        <v>0</v>
      </c>
    </row>
    <row r="179" spans="1:10">
      <c r="A179" s="1140">
        <v>1310</v>
      </c>
      <c r="B179" s="21" t="s">
        <v>4312</v>
      </c>
      <c r="C179" s="1140">
        <v>24</v>
      </c>
      <c r="D179" s="1140">
        <v>1.84</v>
      </c>
      <c r="E179" s="1137">
        <v>0.16</v>
      </c>
      <c r="F179" s="1140">
        <f t="shared" si="14"/>
        <v>44.160000000000004</v>
      </c>
      <c r="G179" s="978">
        <f t="shared" si="15"/>
        <v>7.0656000000000008</v>
      </c>
      <c r="H179" s="978">
        <f t="shared" si="16"/>
        <v>51.225600000000007</v>
      </c>
      <c r="I179" s="1140"/>
      <c r="J179" s="1140">
        <f t="shared" si="17"/>
        <v>0</v>
      </c>
    </row>
    <row r="180" spans="1:10">
      <c r="A180" s="1140">
        <v>1306</v>
      </c>
      <c r="B180" s="21" t="s">
        <v>4311</v>
      </c>
      <c r="C180" s="1140">
        <v>24</v>
      </c>
      <c r="D180" s="1140">
        <v>1.84</v>
      </c>
      <c r="E180" s="1137">
        <v>0.16</v>
      </c>
      <c r="F180" s="1140">
        <f t="shared" si="14"/>
        <v>44.160000000000004</v>
      </c>
      <c r="G180" s="978">
        <f t="shared" si="15"/>
        <v>7.0656000000000008</v>
      </c>
      <c r="H180" s="978">
        <f t="shared" si="16"/>
        <v>51.225600000000007</v>
      </c>
      <c r="I180" s="1140"/>
      <c r="J180" s="1140">
        <f t="shared" si="17"/>
        <v>0</v>
      </c>
    </row>
    <row r="181" spans="1:10">
      <c r="A181" s="1140">
        <v>1298</v>
      </c>
      <c r="B181" s="21" t="s">
        <v>4388</v>
      </c>
      <c r="C181" s="1140">
        <v>24</v>
      </c>
      <c r="D181" s="1140">
        <v>1</v>
      </c>
      <c r="E181" s="1137">
        <v>0.16</v>
      </c>
      <c r="F181" s="1140">
        <f t="shared" si="14"/>
        <v>24</v>
      </c>
      <c r="G181" s="978">
        <f t="shared" si="15"/>
        <v>3.84</v>
      </c>
      <c r="H181" s="978">
        <f t="shared" si="16"/>
        <v>27.84</v>
      </c>
      <c r="I181" s="1140"/>
      <c r="J181" s="1140">
        <f t="shared" si="17"/>
        <v>0</v>
      </c>
    </row>
    <row r="182" spans="1:10">
      <c r="A182" s="1140">
        <v>1302</v>
      </c>
      <c r="B182" s="21" t="s">
        <v>4387</v>
      </c>
      <c r="C182" s="1140">
        <v>24</v>
      </c>
      <c r="D182" s="1140">
        <v>1</v>
      </c>
      <c r="E182" s="1137">
        <v>0.16</v>
      </c>
      <c r="F182" s="1140">
        <f t="shared" si="14"/>
        <v>24</v>
      </c>
      <c r="G182" s="978">
        <f t="shared" si="15"/>
        <v>3.84</v>
      </c>
      <c r="H182" s="978">
        <f t="shared" si="16"/>
        <v>27.84</v>
      </c>
      <c r="I182" s="1140"/>
      <c r="J182" s="1140">
        <f t="shared" si="17"/>
        <v>0</v>
      </c>
    </row>
    <row r="183" spans="1:10">
      <c r="A183"/>
      <c r="B183"/>
      <c r="C183"/>
      <c r="D183"/>
      <c r="E183"/>
      <c r="F183"/>
      <c r="G183" s="118"/>
      <c r="H183"/>
      <c r="I183"/>
      <c r="J183"/>
    </row>
    <row r="184" spans="1:10">
      <c r="A184"/>
      <c r="B184"/>
      <c r="C184"/>
      <c r="D184"/>
      <c r="E184"/>
      <c r="F184"/>
      <c r="G184" s="118"/>
      <c r="H184"/>
      <c r="I184"/>
      <c r="J184"/>
    </row>
    <row r="185" spans="1:10">
      <c r="A185"/>
      <c r="B185"/>
      <c r="C185"/>
      <c r="D185"/>
      <c r="E185"/>
      <c r="F185"/>
      <c r="G185" s="118"/>
      <c r="H185"/>
      <c r="I185"/>
      <c r="J185"/>
    </row>
    <row r="186" spans="1:10">
      <c r="A186"/>
      <c r="B186"/>
      <c r="C186"/>
      <c r="D186"/>
      <c r="E186"/>
      <c r="F186"/>
      <c r="G186" s="118"/>
      <c r="H186"/>
      <c r="I186"/>
      <c r="J186"/>
    </row>
    <row r="187" spans="1:10">
      <c r="A187"/>
      <c r="B187"/>
      <c r="C187"/>
      <c r="D187"/>
      <c r="E187"/>
      <c r="F187"/>
      <c r="G187" s="118"/>
      <c r="H187"/>
      <c r="I187"/>
      <c r="J187"/>
    </row>
    <row r="188" spans="1:10">
      <c r="A188"/>
      <c r="B188"/>
      <c r="C188"/>
      <c r="D188"/>
      <c r="E188"/>
      <c r="F188"/>
      <c r="G188" s="118"/>
      <c r="H188"/>
      <c r="I188"/>
      <c r="J188"/>
    </row>
    <row r="189" spans="1:10">
      <c r="A189"/>
      <c r="B189"/>
      <c r="C189"/>
      <c r="D189"/>
      <c r="E189"/>
      <c r="F189"/>
      <c r="G189" s="118"/>
      <c r="H189"/>
      <c r="I189"/>
      <c r="J189"/>
    </row>
    <row r="190" spans="1:10">
      <c r="A190"/>
      <c r="B190"/>
      <c r="C190"/>
      <c r="D190"/>
      <c r="E190"/>
      <c r="F190"/>
      <c r="G190" s="118"/>
      <c r="H190"/>
      <c r="I190"/>
      <c r="J190"/>
    </row>
    <row r="191" spans="1:10">
      <c r="A191"/>
      <c r="B191"/>
      <c r="C191"/>
      <c r="D191"/>
      <c r="E191"/>
      <c r="F191"/>
      <c r="G191" s="118"/>
      <c r="H191"/>
      <c r="I191"/>
      <c r="J191"/>
    </row>
    <row r="192" spans="1:10">
      <c r="A192"/>
      <c r="B192"/>
      <c r="C192"/>
      <c r="D192"/>
      <c r="E192"/>
      <c r="F192"/>
      <c r="G192" s="118"/>
      <c r="H192"/>
      <c r="I192"/>
      <c r="J192"/>
    </row>
    <row r="193" spans="1:10">
      <c r="A193"/>
      <c r="B193"/>
      <c r="C193"/>
      <c r="D193"/>
      <c r="E193"/>
      <c r="F193"/>
      <c r="G193" s="118"/>
      <c r="H193"/>
      <c r="I193"/>
      <c r="J193"/>
    </row>
    <row r="194" spans="1:10">
      <c r="A194"/>
      <c r="B194"/>
      <c r="C194"/>
      <c r="D194"/>
      <c r="E194"/>
      <c r="F194"/>
      <c r="G194" s="118"/>
      <c r="H194"/>
      <c r="I194"/>
      <c r="J194"/>
    </row>
    <row r="195" spans="1:10">
      <c r="A195"/>
      <c r="B195"/>
      <c r="C195"/>
      <c r="D195"/>
      <c r="E195"/>
      <c r="F195"/>
      <c r="G195" s="118"/>
      <c r="H195"/>
      <c r="I195"/>
      <c r="J195"/>
    </row>
    <row r="196" spans="1:10">
      <c r="A196"/>
      <c r="B196"/>
      <c r="C196"/>
      <c r="D196"/>
      <c r="E196"/>
      <c r="F196"/>
      <c r="G196" s="118"/>
      <c r="H196"/>
      <c r="I196"/>
      <c r="J196"/>
    </row>
    <row r="197" spans="1:10">
      <c r="A197"/>
      <c r="B197"/>
      <c r="C197"/>
      <c r="D197"/>
      <c r="E197"/>
      <c r="F197"/>
      <c r="G197" s="118"/>
      <c r="H197"/>
      <c r="I197"/>
      <c r="J197"/>
    </row>
    <row r="198" spans="1:10">
      <c r="A198"/>
      <c r="B198"/>
      <c r="C198"/>
      <c r="D198"/>
      <c r="E198"/>
      <c r="F198"/>
      <c r="G198" s="118"/>
      <c r="H198"/>
      <c r="I198"/>
      <c r="J198"/>
    </row>
    <row r="199" spans="1:10">
      <c r="A199"/>
      <c r="B199"/>
      <c r="C199"/>
      <c r="D199"/>
      <c r="E199"/>
      <c r="F199"/>
      <c r="G199" s="118"/>
      <c r="H199"/>
      <c r="I199"/>
      <c r="J199"/>
    </row>
    <row r="200" spans="1:10">
      <c r="A200"/>
      <c r="B200"/>
      <c r="C200"/>
      <c r="D200"/>
      <c r="E200"/>
      <c r="F200"/>
      <c r="G200" s="118"/>
      <c r="H200"/>
      <c r="I200"/>
      <c r="J200"/>
    </row>
    <row r="201" spans="1:10">
      <c r="A201"/>
      <c r="B201"/>
      <c r="C201"/>
      <c r="D201"/>
      <c r="E201"/>
      <c r="F201"/>
      <c r="G201" s="118"/>
      <c r="H201"/>
      <c r="I201"/>
      <c r="J201"/>
    </row>
    <row r="202" spans="1:10">
      <c r="A202"/>
      <c r="B202"/>
      <c r="C202"/>
      <c r="D202"/>
      <c r="E202"/>
      <c r="F202"/>
      <c r="G202" s="118"/>
      <c r="H202"/>
      <c r="I202"/>
      <c r="J202"/>
    </row>
    <row r="203" spans="1:10">
      <c r="A203"/>
      <c r="B203"/>
      <c r="C203"/>
      <c r="D203"/>
      <c r="E203"/>
      <c r="F203"/>
      <c r="G203" s="118"/>
      <c r="H203"/>
      <c r="I203"/>
      <c r="J203"/>
    </row>
    <row r="204" spans="1:10">
      <c r="A204"/>
      <c r="B204"/>
      <c r="C204"/>
      <c r="D204"/>
      <c r="E204"/>
      <c r="F204"/>
      <c r="G204" s="118"/>
      <c r="H204"/>
      <c r="I204"/>
      <c r="J204"/>
    </row>
    <row r="205" spans="1:10">
      <c r="A205"/>
      <c r="B205"/>
      <c r="C205"/>
      <c r="D205"/>
      <c r="E205"/>
      <c r="F205"/>
      <c r="G205" s="118"/>
      <c r="H205"/>
      <c r="I205"/>
      <c r="J205"/>
    </row>
    <row r="206" spans="1:10">
      <c r="A206"/>
      <c r="B206"/>
      <c r="C206"/>
      <c r="D206"/>
      <c r="E206"/>
      <c r="F206"/>
      <c r="G206" s="118"/>
      <c r="H206"/>
      <c r="I206"/>
      <c r="J206"/>
    </row>
    <row r="207" spans="1:10">
      <c r="A207"/>
      <c r="B207"/>
      <c r="C207"/>
      <c r="D207"/>
      <c r="E207"/>
      <c r="F207"/>
      <c r="G207" s="118"/>
      <c r="H207"/>
      <c r="I207"/>
      <c r="J207"/>
    </row>
    <row r="208" spans="1:10">
      <c r="A208"/>
      <c r="B208"/>
      <c r="C208"/>
      <c r="D208"/>
      <c r="E208"/>
      <c r="F208"/>
      <c r="G208" s="118"/>
      <c r="H208"/>
      <c r="I208"/>
      <c r="J208"/>
    </row>
    <row r="209" spans="1:10">
      <c r="A209"/>
      <c r="B209"/>
      <c r="C209"/>
      <c r="D209"/>
      <c r="E209"/>
      <c r="F209"/>
      <c r="G209" s="118"/>
      <c r="H209"/>
      <c r="I209"/>
      <c r="J209"/>
    </row>
    <row r="210" spans="1:10">
      <c r="A210"/>
      <c r="B210"/>
      <c r="C210"/>
      <c r="D210"/>
      <c r="E210"/>
      <c r="F210"/>
      <c r="G210" s="118"/>
      <c r="H210"/>
      <c r="I210"/>
      <c r="J210"/>
    </row>
    <row r="211" spans="1:10">
      <c r="A211"/>
      <c r="B211"/>
      <c r="C211"/>
      <c r="D211"/>
      <c r="E211"/>
      <c r="F211"/>
      <c r="G211" s="118"/>
      <c r="H211"/>
      <c r="I211"/>
      <c r="J211"/>
    </row>
    <row r="212" spans="1:10">
      <c r="A212"/>
      <c r="B212"/>
      <c r="C212"/>
      <c r="D212"/>
      <c r="E212"/>
      <c r="F212"/>
      <c r="G212" s="118"/>
      <c r="H212"/>
      <c r="I212"/>
      <c r="J212"/>
    </row>
    <row r="213" spans="1:10">
      <c r="A213"/>
      <c r="B213"/>
      <c r="C213"/>
      <c r="D213"/>
      <c r="E213"/>
      <c r="F213"/>
      <c r="G213" s="118"/>
      <c r="H213"/>
      <c r="I213"/>
      <c r="J213"/>
    </row>
    <row r="214" spans="1:10">
      <c r="A214"/>
      <c r="B214"/>
      <c r="C214"/>
      <c r="D214"/>
      <c r="E214"/>
      <c r="F214"/>
      <c r="G214" s="118"/>
      <c r="H214"/>
      <c r="I214"/>
      <c r="J214"/>
    </row>
    <row r="215" spans="1:10">
      <c r="A215"/>
      <c r="B215"/>
      <c r="C215"/>
      <c r="D215"/>
      <c r="E215"/>
      <c r="F215"/>
      <c r="G215" s="118"/>
      <c r="H215"/>
      <c r="I215"/>
      <c r="J215"/>
    </row>
    <row r="216" spans="1:10">
      <c r="A216"/>
      <c r="B216"/>
      <c r="C216"/>
      <c r="D216"/>
      <c r="E216"/>
      <c r="F216"/>
      <c r="G216" s="118"/>
      <c r="H216"/>
      <c r="I216"/>
      <c r="J216"/>
    </row>
    <row r="217" spans="1:10">
      <c r="A217"/>
      <c r="B217"/>
      <c r="C217"/>
      <c r="D217"/>
      <c r="E217"/>
      <c r="F217"/>
      <c r="G217" s="118"/>
      <c r="H217"/>
      <c r="I217"/>
      <c r="J217"/>
    </row>
    <row r="218" spans="1:10">
      <c r="A218"/>
      <c r="B218"/>
      <c r="C218"/>
      <c r="D218"/>
      <c r="E218"/>
      <c r="F218"/>
      <c r="G218" s="118"/>
      <c r="H218"/>
      <c r="I218"/>
      <c r="J218"/>
    </row>
    <row r="219" spans="1:10">
      <c r="A219"/>
      <c r="B219"/>
      <c r="C219"/>
      <c r="D219"/>
      <c r="E219"/>
      <c r="F219"/>
      <c r="G219" s="118"/>
      <c r="H219"/>
      <c r="I219"/>
      <c r="J219"/>
    </row>
    <row r="220" spans="1:10">
      <c r="A220"/>
      <c r="B220"/>
      <c r="C220"/>
      <c r="D220"/>
      <c r="E220"/>
      <c r="F220"/>
      <c r="G220" s="118"/>
      <c r="H220"/>
      <c r="I220"/>
      <c r="J220"/>
    </row>
    <row r="221" spans="1:10">
      <c r="A221"/>
      <c r="B221"/>
      <c r="C221"/>
      <c r="D221"/>
      <c r="E221"/>
      <c r="F221"/>
      <c r="G221" s="118"/>
      <c r="H221"/>
      <c r="I221"/>
      <c r="J221"/>
    </row>
    <row r="222" spans="1:10">
      <c r="A222"/>
      <c r="B222"/>
      <c r="C222"/>
      <c r="D222"/>
      <c r="E222"/>
      <c r="F222"/>
      <c r="G222" s="118"/>
      <c r="H222"/>
      <c r="I222"/>
      <c r="J222"/>
    </row>
    <row r="223" spans="1:10">
      <c r="A223"/>
      <c r="B223"/>
      <c r="C223"/>
      <c r="D223"/>
      <c r="E223"/>
      <c r="F223"/>
      <c r="G223" s="118"/>
      <c r="H223"/>
      <c r="I223"/>
      <c r="J223"/>
    </row>
    <row r="224" spans="1:10">
      <c r="A224"/>
      <c r="B224"/>
      <c r="C224"/>
      <c r="D224"/>
      <c r="E224"/>
      <c r="F224"/>
      <c r="G224" s="118"/>
      <c r="H224"/>
      <c r="I224"/>
      <c r="J224"/>
    </row>
    <row r="225" spans="1:10">
      <c r="A225"/>
      <c r="B225"/>
      <c r="C225"/>
      <c r="D225"/>
      <c r="E225"/>
      <c r="F225"/>
      <c r="G225" s="118"/>
      <c r="H225"/>
      <c r="I225"/>
      <c r="J225"/>
    </row>
    <row r="226" spans="1:10">
      <c r="A226"/>
      <c r="B226"/>
      <c r="C226"/>
      <c r="D226"/>
      <c r="E226"/>
      <c r="F226"/>
      <c r="G226" s="118"/>
      <c r="H226"/>
      <c r="I226"/>
      <c r="J226"/>
    </row>
    <row r="227" spans="1:10">
      <c r="A227"/>
      <c r="B227"/>
      <c r="C227"/>
      <c r="D227"/>
      <c r="E227"/>
      <c r="F227"/>
      <c r="G227" s="118"/>
      <c r="H227"/>
      <c r="I227"/>
      <c r="J227"/>
    </row>
    <row r="228" spans="1:10">
      <c r="A228"/>
      <c r="B228"/>
      <c r="C228"/>
      <c r="D228"/>
      <c r="E228"/>
      <c r="F228"/>
      <c r="G228" s="118"/>
      <c r="H228"/>
      <c r="I228"/>
      <c r="J228"/>
    </row>
    <row r="229" spans="1:10">
      <c r="A229"/>
      <c r="B229"/>
      <c r="C229"/>
      <c r="D229"/>
      <c r="E229"/>
      <c r="F229"/>
      <c r="G229" s="118"/>
      <c r="H229"/>
      <c r="I229"/>
      <c r="J229"/>
    </row>
    <row r="230" spans="1:10">
      <c r="A230"/>
      <c r="B230"/>
      <c r="C230"/>
      <c r="D230"/>
      <c r="E230"/>
      <c r="F230"/>
      <c r="G230" s="118"/>
      <c r="H230"/>
      <c r="I230"/>
      <c r="J230"/>
    </row>
    <row r="231" spans="1:10">
      <c r="A231"/>
      <c r="B231"/>
      <c r="C231"/>
      <c r="D231"/>
      <c r="E231"/>
      <c r="F231"/>
      <c r="G231" s="118"/>
      <c r="H231"/>
      <c r="I231"/>
      <c r="J231"/>
    </row>
    <row r="232" spans="1:10">
      <c r="A232"/>
      <c r="B232"/>
      <c r="C232"/>
      <c r="D232"/>
      <c r="E232"/>
      <c r="F232"/>
      <c r="G232" s="118"/>
      <c r="H232"/>
      <c r="I232"/>
      <c r="J232"/>
    </row>
    <row r="233" spans="1:10">
      <c r="A233"/>
      <c r="B233"/>
      <c r="C233"/>
      <c r="D233"/>
      <c r="E233"/>
      <c r="F233"/>
      <c r="G233" s="118"/>
      <c r="H233"/>
      <c r="I233"/>
      <c r="J233"/>
    </row>
    <row r="234" spans="1:10">
      <c r="A234"/>
      <c r="B234"/>
      <c r="C234"/>
      <c r="D234"/>
      <c r="E234"/>
      <c r="F234"/>
      <c r="G234" s="118"/>
      <c r="H234"/>
      <c r="I234"/>
      <c r="J234"/>
    </row>
    <row r="235" spans="1:10">
      <c r="A235"/>
      <c r="B235"/>
      <c r="C235"/>
      <c r="D235"/>
      <c r="E235"/>
      <c r="F235"/>
      <c r="G235" s="118"/>
      <c r="H235"/>
      <c r="I235"/>
      <c r="J235"/>
    </row>
    <row r="236" spans="1:10">
      <c r="A236"/>
      <c r="B236"/>
      <c r="C236"/>
      <c r="D236"/>
      <c r="E236"/>
      <c r="F236"/>
      <c r="G236" s="118"/>
      <c r="H236"/>
      <c r="I236"/>
      <c r="J236"/>
    </row>
    <row r="237" spans="1:10">
      <c r="A237"/>
      <c r="B237"/>
      <c r="C237"/>
      <c r="D237"/>
      <c r="E237"/>
      <c r="F237"/>
      <c r="G237" s="118"/>
      <c r="H237"/>
      <c r="I237"/>
      <c r="J237"/>
    </row>
    <row r="238" spans="1:10">
      <c r="A238"/>
      <c r="B238"/>
      <c r="C238"/>
      <c r="D238"/>
      <c r="E238"/>
      <c r="F238"/>
      <c r="G238" s="118"/>
      <c r="H238"/>
      <c r="I238"/>
      <c r="J238"/>
    </row>
    <row r="239" spans="1:10">
      <c r="A239"/>
      <c r="B239"/>
      <c r="C239"/>
      <c r="D239"/>
      <c r="E239"/>
      <c r="F239"/>
      <c r="G239" s="118"/>
      <c r="H239"/>
      <c r="I239"/>
      <c r="J239"/>
    </row>
    <row r="240" spans="1:10">
      <c r="A240"/>
      <c r="B240"/>
      <c r="C240"/>
      <c r="D240"/>
      <c r="E240"/>
      <c r="F240"/>
      <c r="G240" s="118"/>
      <c r="H240"/>
      <c r="I240"/>
      <c r="J240"/>
    </row>
    <row r="241" spans="1:10">
      <c r="A241"/>
      <c r="B241"/>
      <c r="C241"/>
      <c r="D241"/>
      <c r="E241"/>
      <c r="F241"/>
      <c r="G241" s="118"/>
      <c r="H241"/>
      <c r="I241"/>
      <c r="J241"/>
    </row>
    <row r="242" spans="1:10">
      <c r="A242"/>
      <c r="B242"/>
      <c r="C242"/>
      <c r="D242"/>
      <c r="E242"/>
      <c r="F242"/>
      <c r="G242" s="118"/>
      <c r="H242"/>
      <c r="I242"/>
      <c r="J242"/>
    </row>
    <row r="243" spans="1:10">
      <c r="A243"/>
      <c r="B243"/>
      <c r="C243"/>
      <c r="D243"/>
      <c r="E243"/>
      <c r="F243"/>
      <c r="G243" s="118"/>
      <c r="H243"/>
      <c r="I243"/>
      <c r="J243"/>
    </row>
    <row r="244" spans="1:10">
      <c r="A244"/>
      <c r="B244"/>
      <c r="C244"/>
      <c r="D244"/>
      <c r="E244"/>
      <c r="F244"/>
      <c r="G244" s="118"/>
      <c r="H244"/>
      <c r="I244"/>
      <c r="J244"/>
    </row>
    <row r="245" spans="1:10">
      <c r="A245"/>
      <c r="B245"/>
      <c r="C245"/>
      <c r="D245"/>
      <c r="E245"/>
      <c r="F245"/>
      <c r="G245" s="118"/>
      <c r="H245"/>
      <c r="I245"/>
      <c r="J245"/>
    </row>
    <row r="246" spans="1:10">
      <c r="A246"/>
      <c r="B246"/>
      <c r="C246"/>
      <c r="D246"/>
      <c r="E246"/>
      <c r="F246"/>
      <c r="G246" s="118"/>
      <c r="H246"/>
      <c r="I246"/>
      <c r="J246"/>
    </row>
    <row r="247" spans="1:10">
      <c r="A247"/>
      <c r="B247"/>
      <c r="C247"/>
      <c r="D247"/>
      <c r="E247"/>
      <c r="F247"/>
      <c r="G247" s="118"/>
      <c r="H247"/>
      <c r="I247"/>
      <c r="J247"/>
    </row>
    <row r="248" spans="1:10">
      <c r="A248"/>
      <c r="B248"/>
      <c r="C248"/>
      <c r="D248"/>
      <c r="E248"/>
      <c r="F248"/>
      <c r="G248" s="118"/>
      <c r="H248"/>
      <c r="I248"/>
      <c r="J248"/>
    </row>
    <row r="249" spans="1:10">
      <c r="A249"/>
      <c r="B249"/>
      <c r="C249"/>
      <c r="D249"/>
      <c r="E249"/>
      <c r="F249"/>
      <c r="G249" s="118"/>
      <c r="H249"/>
      <c r="I249"/>
      <c r="J249"/>
    </row>
    <row r="250" spans="1:10">
      <c r="A250"/>
      <c r="B250"/>
      <c r="C250"/>
      <c r="D250"/>
      <c r="E250"/>
      <c r="F250"/>
      <c r="G250" s="118"/>
      <c r="H250"/>
      <c r="I250"/>
      <c r="J250"/>
    </row>
    <row r="251" spans="1:10">
      <c r="A251"/>
      <c r="B251"/>
      <c r="C251"/>
      <c r="D251"/>
      <c r="E251"/>
      <c r="F251"/>
      <c r="G251" s="118"/>
      <c r="H251"/>
      <c r="I251"/>
      <c r="J251"/>
    </row>
    <row r="252" spans="1:10">
      <c r="A252"/>
      <c r="B252"/>
      <c r="C252"/>
      <c r="D252"/>
      <c r="E252"/>
      <c r="F252"/>
      <c r="G252" s="118"/>
      <c r="H252"/>
      <c r="I252"/>
      <c r="J252"/>
    </row>
    <row r="253" spans="1:10">
      <c r="A253"/>
      <c r="B253"/>
      <c r="C253"/>
      <c r="D253"/>
      <c r="E253"/>
      <c r="F253"/>
      <c r="G253" s="118"/>
      <c r="H253"/>
      <c r="I253"/>
      <c r="J253"/>
    </row>
    <row r="254" spans="1:10">
      <c r="A254"/>
      <c r="B254"/>
      <c r="C254"/>
      <c r="D254"/>
      <c r="E254"/>
      <c r="F254"/>
      <c r="G254" s="118"/>
      <c r="H254"/>
      <c r="I254"/>
      <c r="J254"/>
    </row>
    <row r="255" spans="1:10">
      <c r="A255"/>
      <c r="B255"/>
      <c r="C255"/>
      <c r="D255"/>
      <c r="E255"/>
      <c r="F255"/>
      <c r="G255" s="118"/>
      <c r="H255"/>
      <c r="I255"/>
      <c r="J255"/>
    </row>
    <row r="256" spans="1:10">
      <c r="A256"/>
      <c r="B256"/>
      <c r="C256"/>
      <c r="D256"/>
      <c r="E256"/>
      <c r="F256"/>
      <c r="G256" s="118"/>
      <c r="H256"/>
      <c r="I256"/>
      <c r="J256"/>
    </row>
    <row r="257" spans="1:10">
      <c r="A257"/>
      <c r="B257"/>
      <c r="C257"/>
      <c r="D257"/>
      <c r="E257"/>
      <c r="F257"/>
      <c r="G257" s="118"/>
      <c r="H257"/>
      <c r="I257"/>
      <c r="J257"/>
    </row>
    <row r="258" spans="1:10">
      <c r="A258"/>
      <c r="B258"/>
      <c r="C258"/>
      <c r="D258"/>
      <c r="E258"/>
      <c r="F258"/>
      <c r="G258" s="118"/>
      <c r="H258"/>
      <c r="I258"/>
      <c r="J258"/>
    </row>
    <row r="259" spans="1:10">
      <c r="A259"/>
      <c r="B259"/>
      <c r="C259"/>
      <c r="D259"/>
      <c r="E259"/>
      <c r="F259"/>
      <c r="G259" s="118"/>
      <c r="H259"/>
      <c r="I259"/>
      <c r="J259"/>
    </row>
    <row r="260" spans="1:10">
      <c r="A260"/>
      <c r="B260"/>
      <c r="C260"/>
      <c r="D260"/>
      <c r="E260"/>
      <c r="F260"/>
      <c r="G260" s="118"/>
      <c r="H260"/>
      <c r="I260"/>
      <c r="J260"/>
    </row>
    <row r="261" spans="1:10">
      <c r="A261"/>
      <c r="B261"/>
      <c r="C261"/>
      <c r="D261"/>
      <c r="E261"/>
      <c r="F261"/>
      <c r="G261" s="118"/>
      <c r="H261"/>
      <c r="I261"/>
      <c r="J261"/>
    </row>
    <row r="262" spans="1:10">
      <c r="A262"/>
      <c r="B262"/>
      <c r="C262"/>
      <c r="D262"/>
      <c r="E262"/>
      <c r="F262"/>
      <c r="G262" s="118"/>
      <c r="H262"/>
      <c r="I262"/>
      <c r="J262"/>
    </row>
    <row r="263" spans="1:10">
      <c r="A263"/>
      <c r="B263"/>
      <c r="C263"/>
      <c r="D263"/>
      <c r="E263"/>
      <c r="F263"/>
      <c r="G263" s="118"/>
      <c r="H263"/>
      <c r="I263"/>
      <c r="J263"/>
    </row>
    <row r="264" spans="1:10">
      <c r="A264"/>
      <c r="B264"/>
      <c r="C264"/>
      <c r="D264"/>
      <c r="E264"/>
      <c r="F264"/>
      <c r="G264" s="118"/>
      <c r="H264"/>
      <c r="I264"/>
      <c r="J264"/>
    </row>
    <row r="265" spans="1:10">
      <c r="A265"/>
      <c r="B265"/>
      <c r="C265"/>
      <c r="D265"/>
      <c r="E265"/>
      <c r="F265"/>
      <c r="G265" s="118"/>
      <c r="H265"/>
      <c r="I265"/>
      <c r="J265"/>
    </row>
    <row r="266" spans="1:10">
      <c r="A266"/>
      <c r="B266"/>
      <c r="C266"/>
      <c r="D266"/>
      <c r="E266"/>
      <c r="F266"/>
      <c r="G266" s="118"/>
      <c r="H266"/>
      <c r="I266"/>
      <c r="J266"/>
    </row>
    <row r="267" spans="1:10">
      <c r="A267"/>
      <c r="B267"/>
      <c r="C267"/>
      <c r="D267"/>
      <c r="E267"/>
      <c r="F267"/>
      <c r="G267" s="118"/>
      <c r="H267"/>
      <c r="I267"/>
      <c r="J267"/>
    </row>
    <row r="268" spans="1:10">
      <c r="A268"/>
      <c r="B268"/>
      <c r="C268"/>
      <c r="D268"/>
      <c r="E268"/>
      <c r="F268"/>
      <c r="G268" s="118"/>
      <c r="H268"/>
      <c r="I268"/>
      <c r="J268"/>
    </row>
    <row r="269" spans="1:10">
      <c r="A269"/>
      <c r="B269"/>
      <c r="C269"/>
      <c r="D269"/>
      <c r="E269"/>
      <c r="F269"/>
      <c r="G269" s="118"/>
      <c r="H269"/>
      <c r="I269"/>
      <c r="J269"/>
    </row>
    <row r="270" spans="1:10">
      <c r="A270"/>
      <c r="B270"/>
      <c r="C270"/>
      <c r="D270"/>
      <c r="E270"/>
      <c r="F270"/>
      <c r="G270" s="118"/>
      <c r="H270"/>
      <c r="I270"/>
      <c r="J270"/>
    </row>
    <row r="271" spans="1:10">
      <c r="A271"/>
      <c r="B271"/>
      <c r="C271"/>
      <c r="D271"/>
      <c r="E271"/>
      <c r="F271"/>
      <c r="G271" s="118"/>
      <c r="H271"/>
      <c r="I271"/>
      <c r="J271"/>
    </row>
    <row r="272" spans="1:10">
      <c r="A272"/>
      <c r="B272"/>
      <c r="C272"/>
      <c r="D272"/>
      <c r="E272"/>
      <c r="F272"/>
      <c r="G272" s="118"/>
      <c r="H272"/>
      <c r="I272"/>
      <c r="J272"/>
    </row>
    <row r="273" spans="1:10">
      <c r="A273"/>
      <c r="B273"/>
      <c r="C273"/>
      <c r="D273"/>
      <c r="E273"/>
      <c r="F273"/>
      <c r="G273" s="118"/>
      <c r="H273"/>
      <c r="I273"/>
      <c r="J273"/>
    </row>
    <row r="274" spans="1:10">
      <c r="A274"/>
      <c r="B274"/>
      <c r="C274"/>
      <c r="D274"/>
      <c r="E274"/>
      <c r="F274"/>
      <c r="G274" s="118"/>
      <c r="H274"/>
      <c r="I274"/>
      <c r="J274"/>
    </row>
  </sheetData>
  <sortState ref="A6:J184">
    <sortCondition ref="B6:B184"/>
  </sortState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5:F30"/>
  <sheetViews>
    <sheetView topLeftCell="A7" workbookViewId="0">
      <selection activeCell="D7" sqref="D7:F23"/>
    </sheetView>
  </sheetViews>
  <sheetFormatPr baseColWidth="10" defaultRowHeight="15"/>
  <cols>
    <col min="1" max="3" width="11.42578125" style="404"/>
    <col min="4" max="4" width="59.42578125" customWidth="1"/>
    <col min="5" max="5" width="17.42578125" style="408" hidden="1" customWidth="1"/>
    <col min="6" max="6" width="16.85546875" customWidth="1"/>
  </cols>
  <sheetData>
    <row r="5" spans="1:6">
      <c r="D5" s="588" t="s">
        <v>2639</v>
      </c>
    </row>
    <row r="7" spans="1:6" ht="129" customHeight="1">
      <c r="A7" s="21" t="s">
        <v>119</v>
      </c>
      <c r="B7" s="106" t="s">
        <v>2647</v>
      </c>
      <c r="C7" s="1391" t="s">
        <v>559</v>
      </c>
      <c r="D7" s="1391" t="s">
        <v>5541</v>
      </c>
      <c r="F7" s="310" t="s">
        <v>19</v>
      </c>
    </row>
    <row r="8" spans="1:6" ht="30">
      <c r="A8" s="21">
        <v>1895</v>
      </c>
      <c r="B8" s="1393" t="s">
        <v>2646</v>
      </c>
      <c r="C8" s="1391">
        <v>9.1999999999999993</v>
      </c>
      <c r="D8" s="326" t="s">
        <v>680</v>
      </c>
      <c r="E8" s="326" t="s">
        <v>65</v>
      </c>
      <c r="F8" s="326" t="s">
        <v>556</v>
      </c>
    </row>
    <row r="9" spans="1:6" hidden="1">
      <c r="A9" s="21"/>
      <c r="B9" s="1393"/>
      <c r="C9" s="1391">
        <v>9.1999999999999993</v>
      </c>
      <c r="D9" s="1391" t="s">
        <v>681</v>
      </c>
      <c r="E9" s="1391"/>
      <c r="F9" s="1391"/>
    </row>
    <row r="10" spans="1:6" ht="30">
      <c r="A10" s="21">
        <v>14235</v>
      </c>
      <c r="B10" s="1393" t="s">
        <v>2646</v>
      </c>
      <c r="C10" s="1391">
        <v>6.97</v>
      </c>
      <c r="D10" s="326" t="s">
        <v>2641</v>
      </c>
      <c r="E10" s="326" t="s">
        <v>556</v>
      </c>
      <c r="F10" s="326" t="s">
        <v>556</v>
      </c>
    </row>
    <row r="11" spans="1:6" ht="15" hidden="1" customHeight="1">
      <c r="A11" s="21"/>
      <c r="B11" s="1393"/>
      <c r="C11" s="1391">
        <v>6.97</v>
      </c>
      <c r="D11" s="1391" t="s">
        <v>682</v>
      </c>
      <c r="E11" s="1391" t="s">
        <v>557</v>
      </c>
      <c r="F11" s="1391"/>
    </row>
    <row r="12" spans="1:6" ht="15" hidden="1" customHeight="1">
      <c r="A12" s="21"/>
      <c r="B12" s="1393"/>
      <c r="C12" s="1391" t="s">
        <v>65</v>
      </c>
      <c r="D12" s="1391" t="s">
        <v>683</v>
      </c>
      <c r="E12" s="1391"/>
      <c r="F12" s="1391"/>
    </row>
    <row r="13" spans="1:6" ht="15" hidden="1" customHeight="1">
      <c r="A13" s="21"/>
      <c r="B13" s="1393"/>
      <c r="C13" s="1391"/>
      <c r="D13" s="1391" t="s">
        <v>65</v>
      </c>
      <c r="E13" s="1391"/>
      <c r="F13" s="1391"/>
    </row>
    <row r="14" spans="1:6" ht="30">
      <c r="A14" s="21">
        <v>1818</v>
      </c>
      <c r="B14" s="1393" t="s">
        <v>2646</v>
      </c>
      <c r="C14" s="1391">
        <v>10.96</v>
      </c>
      <c r="D14" s="326" t="s">
        <v>2640</v>
      </c>
      <c r="E14" s="326" t="s">
        <v>3257</v>
      </c>
      <c r="F14" s="326" t="s">
        <v>556</v>
      </c>
    </row>
    <row r="15" spans="1:6" hidden="1">
      <c r="A15" s="21"/>
      <c r="B15" s="1393"/>
      <c r="C15" s="1391">
        <v>12.09</v>
      </c>
      <c r="D15" s="1391" t="s">
        <v>684</v>
      </c>
      <c r="E15" s="1391"/>
      <c r="F15" s="1391"/>
    </row>
    <row r="16" spans="1:6" ht="45" hidden="1">
      <c r="A16" s="21">
        <v>1838</v>
      </c>
      <c r="B16" s="1393" t="s">
        <v>2645</v>
      </c>
      <c r="C16" s="1391">
        <v>10.96</v>
      </c>
      <c r="D16" s="1391" t="s">
        <v>2642</v>
      </c>
      <c r="E16" s="1391" t="s">
        <v>557</v>
      </c>
      <c r="F16" s="1391" t="s">
        <v>65</v>
      </c>
    </row>
    <row r="17" spans="1:6" hidden="1">
      <c r="A17" s="21"/>
      <c r="B17" s="1393"/>
      <c r="C17" s="1391"/>
      <c r="D17" s="1391"/>
      <c r="E17" s="1391"/>
      <c r="F17" s="1391"/>
    </row>
    <row r="18" spans="1:6" ht="30">
      <c r="A18" s="21">
        <v>1791</v>
      </c>
      <c r="B18" s="1393" t="s">
        <v>2644</v>
      </c>
      <c r="C18" s="1391">
        <v>24.96</v>
      </c>
      <c r="D18" s="326" t="s">
        <v>685</v>
      </c>
      <c r="E18" s="326" t="s">
        <v>556</v>
      </c>
      <c r="F18" s="326" t="s">
        <v>556</v>
      </c>
    </row>
    <row r="19" spans="1:6" hidden="1">
      <c r="A19" s="21"/>
      <c r="B19" s="1393"/>
      <c r="C19" s="1391"/>
      <c r="D19" s="1391" t="s">
        <v>686</v>
      </c>
      <c r="E19" s="1391"/>
      <c r="F19" s="1391"/>
    </row>
    <row r="20" spans="1:6" hidden="1">
      <c r="A20" s="21"/>
      <c r="B20" s="1393"/>
      <c r="C20" s="1391"/>
      <c r="D20" s="1391" t="s">
        <v>687</v>
      </c>
      <c r="E20" s="1391"/>
      <c r="F20" s="1391"/>
    </row>
    <row r="21" spans="1:6" hidden="1">
      <c r="A21" s="21">
        <v>20065</v>
      </c>
      <c r="B21" s="1393" t="s">
        <v>1534</v>
      </c>
      <c r="C21" s="1391">
        <v>5.74</v>
      </c>
      <c r="D21" s="1391" t="s">
        <v>688</v>
      </c>
      <c r="E21" s="1391" t="s">
        <v>65</v>
      </c>
      <c r="F21" s="1391" t="s">
        <v>65</v>
      </c>
    </row>
    <row r="22" spans="1:6">
      <c r="A22" s="21">
        <v>13931</v>
      </c>
      <c r="B22" s="1393" t="s">
        <v>585</v>
      </c>
      <c r="C22" s="1391">
        <v>3.12</v>
      </c>
      <c r="D22" s="326" t="s">
        <v>689</v>
      </c>
      <c r="E22" s="326" t="s">
        <v>557</v>
      </c>
      <c r="F22" s="326" t="s">
        <v>556</v>
      </c>
    </row>
    <row r="23" spans="1:6" ht="25.5" customHeight="1">
      <c r="A23" s="21">
        <v>1803</v>
      </c>
      <c r="B23" s="1393" t="s">
        <v>2643</v>
      </c>
      <c r="C23" s="1391">
        <v>31.67</v>
      </c>
      <c r="D23" s="326" t="s">
        <v>2638</v>
      </c>
      <c r="E23" s="326" t="s">
        <v>557</v>
      </c>
      <c r="F23" s="326" t="s">
        <v>556</v>
      </c>
    </row>
    <row r="24" spans="1:6" ht="14.25" hidden="1" customHeight="1">
      <c r="C24" s="1391"/>
      <c r="D24" s="1391"/>
      <c r="E24" s="1391"/>
      <c r="F24" s="1391"/>
    </row>
    <row r="25" spans="1:6" hidden="1">
      <c r="C25" s="1391">
        <v>24.74</v>
      </c>
      <c r="D25" s="1391" t="s">
        <v>3814</v>
      </c>
      <c r="E25" s="1391" t="s">
        <v>557</v>
      </c>
      <c r="F25" s="1391"/>
    </row>
    <row r="26" spans="1:6" hidden="1">
      <c r="C26" s="1391">
        <v>24.74</v>
      </c>
      <c r="D26" s="1391" t="s">
        <v>3813</v>
      </c>
      <c r="E26" s="1391" t="s">
        <v>557</v>
      </c>
      <c r="F26" s="1391"/>
    </row>
    <row r="27" spans="1:6" hidden="1">
      <c r="C27" s="1391">
        <v>29.52</v>
      </c>
      <c r="D27" s="1391" t="s">
        <v>3815</v>
      </c>
      <c r="E27" s="1391"/>
      <c r="F27" s="1391"/>
    </row>
    <row r="28" spans="1:6" hidden="1">
      <c r="C28" s="1391">
        <v>28.25</v>
      </c>
      <c r="D28" s="1391" t="s">
        <v>3816</v>
      </c>
      <c r="E28" s="1391" t="s">
        <v>585</v>
      </c>
      <c r="F28" s="1391" t="s">
        <v>557</v>
      </c>
    </row>
    <row r="29" spans="1:6" hidden="1"/>
    <row r="30" spans="1:6" hidden="1"/>
  </sheetData>
  <pageMargins left="0.7" right="0.7" top="0.75" bottom="0.75" header="0.3" footer="0.3"/>
  <pageSetup paperSize="119" orientation="landscape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2:Q36"/>
  <sheetViews>
    <sheetView workbookViewId="0">
      <selection activeCell="E4" sqref="E4:I18"/>
    </sheetView>
  </sheetViews>
  <sheetFormatPr baseColWidth="10" defaultRowHeight="15"/>
  <cols>
    <col min="2" max="4" width="11.42578125" customWidth="1"/>
    <col min="5" max="5" width="51.28515625" customWidth="1"/>
    <col min="6" max="6" width="17.5703125" hidden="1" customWidth="1"/>
    <col min="7" max="8" width="15.28515625" style="357" hidden="1" customWidth="1"/>
    <col min="9" max="9" width="13.42578125" customWidth="1"/>
    <col min="10" max="11" width="13.42578125" style="357" customWidth="1"/>
    <col min="12" max="16" width="11.42578125" customWidth="1"/>
  </cols>
  <sheetData>
    <row r="2" spans="2:17">
      <c r="E2" t="s">
        <v>1242</v>
      </c>
    </row>
    <row r="3" spans="2:17" ht="66" customHeight="1">
      <c r="E3" s="21"/>
      <c r="F3" s="275" t="s">
        <v>65</v>
      </c>
      <c r="G3" s="275"/>
      <c r="H3" s="275"/>
      <c r="I3" s="275"/>
      <c r="J3" s="275"/>
      <c r="K3" s="275"/>
      <c r="L3" s="275"/>
      <c r="M3" s="314"/>
      <c r="N3" s="314"/>
      <c r="O3" s="314"/>
      <c r="P3" s="314"/>
    </row>
    <row r="4" spans="2:17" ht="45">
      <c r="B4" s="87" t="s">
        <v>119</v>
      </c>
      <c r="C4" s="3" t="s">
        <v>1573</v>
      </c>
      <c r="D4" s="858" t="s">
        <v>547</v>
      </c>
      <c r="E4" s="852" t="s">
        <v>5191</v>
      </c>
      <c r="F4" s="93" t="s">
        <v>19</v>
      </c>
      <c r="G4" s="93" t="s">
        <v>110</v>
      </c>
      <c r="H4" s="93" t="s">
        <v>111</v>
      </c>
      <c r="I4" s="93" t="s">
        <v>20</v>
      </c>
      <c r="J4" s="93" t="s">
        <v>110</v>
      </c>
      <c r="K4" s="93" t="s">
        <v>111</v>
      </c>
      <c r="L4" s="93" t="s">
        <v>21</v>
      </c>
      <c r="M4" s="823" t="s">
        <v>110</v>
      </c>
      <c r="N4" s="372" t="s">
        <v>111</v>
      </c>
      <c r="O4" s="93" t="s">
        <v>245</v>
      </c>
      <c r="P4" s="93" t="s">
        <v>1585</v>
      </c>
    </row>
    <row r="5" spans="2:17" s="827" customFormat="1" hidden="1">
      <c r="B5" s="566">
        <v>20081</v>
      </c>
      <c r="C5" s="693">
        <v>20</v>
      </c>
      <c r="D5" s="1304">
        <v>0.95</v>
      </c>
      <c r="E5" s="642" t="s">
        <v>2494</v>
      </c>
      <c r="F5" s="326" t="s">
        <v>5195</v>
      </c>
      <c r="G5" s="1298">
        <v>2826</v>
      </c>
      <c r="H5" s="1298">
        <v>54</v>
      </c>
      <c r="I5" s="1298"/>
      <c r="J5" s="1298"/>
      <c r="K5" s="1298"/>
      <c r="L5" s="1301" t="s">
        <v>4643</v>
      </c>
      <c r="M5" s="1305">
        <v>260</v>
      </c>
      <c r="N5" s="1303">
        <v>54</v>
      </c>
      <c r="O5" s="1303"/>
      <c r="P5" s="693"/>
      <c r="Q5" s="827">
        <f>+G5/C5</f>
        <v>141.30000000000001</v>
      </c>
    </row>
    <row r="6" spans="2:17">
      <c r="B6" s="87">
        <v>6586</v>
      </c>
      <c r="C6" s="87">
        <v>20</v>
      </c>
      <c r="D6" s="905">
        <v>0.9</v>
      </c>
      <c r="E6" s="21" t="s">
        <v>18</v>
      </c>
      <c r="F6" s="326" t="s">
        <v>5194</v>
      </c>
      <c r="G6" s="852">
        <v>3585</v>
      </c>
      <c r="H6" s="852">
        <v>3415</v>
      </c>
      <c r="I6" s="852" t="s">
        <v>5195</v>
      </c>
      <c r="J6" s="852"/>
      <c r="K6" s="852"/>
      <c r="L6" s="1301">
        <v>0</v>
      </c>
      <c r="M6" s="859"/>
      <c r="N6" s="27"/>
      <c r="O6" s="87"/>
      <c r="P6" s="356"/>
      <c r="Q6" s="827">
        <f t="shared" ref="Q6:Q14" si="0">+G6/C6</f>
        <v>179.25</v>
      </c>
    </row>
    <row r="7" spans="2:17" hidden="1">
      <c r="B7" s="87">
        <v>806</v>
      </c>
      <c r="C7" s="87">
        <v>12</v>
      </c>
      <c r="D7" s="905">
        <v>4.04</v>
      </c>
      <c r="E7" s="21" t="s">
        <v>1565</v>
      </c>
      <c r="F7" s="326">
        <v>0</v>
      </c>
      <c r="G7" s="852">
        <v>4</v>
      </c>
      <c r="H7" s="852">
        <v>45</v>
      </c>
      <c r="I7" s="852" t="s">
        <v>677</v>
      </c>
      <c r="J7" s="852"/>
      <c r="K7" s="852"/>
      <c r="L7" s="1301" t="s">
        <v>677</v>
      </c>
      <c r="M7" s="859"/>
      <c r="N7" s="27"/>
      <c r="O7" s="87"/>
      <c r="P7" s="356"/>
      <c r="Q7" s="827">
        <f t="shared" si="0"/>
        <v>0.33333333333333331</v>
      </c>
    </row>
    <row r="8" spans="2:17" hidden="1">
      <c r="B8" s="87">
        <v>811</v>
      </c>
      <c r="C8" s="87">
        <v>20</v>
      </c>
      <c r="D8" s="905">
        <v>2.0499999999999998</v>
      </c>
      <c r="E8" s="21" t="s">
        <v>1566</v>
      </c>
      <c r="F8" s="326" t="s">
        <v>557</v>
      </c>
      <c r="G8" s="852">
        <v>18</v>
      </c>
      <c r="H8" s="852">
        <v>25</v>
      </c>
      <c r="I8" s="852" t="s">
        <v>591</v>
      </c>
      <c r="J8" s="852"/>
      <c r="K8" s="852"/>
      <c r="L8" s="1301" t="s">
        <v>65</v>
      </c>
      <c r="M8" s="859"/>
      <c r="N8" s="27"/>
      <c r="O8" s="87"/>
      <c r="P8" s="356"/>
      <c r="Q8" s="827">
        <f t="shared" si="0"/>
        <v>0.9</v>
      </c>
    </row>
    <row r="9" spans="2:17" hidden="1">
      <c r="B9" s="87">
        <v>10144</v>
      </c>
      <c r="C9" s="87">
        <v>20</v>
      </c>
      <c r="D9" s="905">
        <v>1.7</v>
      </c>
      <c r="E9" s="21" t="s">
        <v>1567</v>
      </c>
      <c r="F9" s="326">
        <v>0</v>
      </c>
      <c r="G9" s="852">
        <v>18</v>
      </c>
      <c r="H9" s="852">
        <v>82</v>
      </c>
      <c r="I9" s="852"/>
      <c r="J9" s="852"/>
      <c r="K9" s="852"/>
      <c r="L9" s="1301" t="s">
        <v>677</v>
      </c>
      <c r="M9" s="859"/>
      <c r="N9" s="27"/>
      <c r="O9" s="87"/>
      <c r="P9" s="356"/>
      <c r="Q9" s="827">
        <f t="shared" si="0"/>
        <v>0.9</v>
      </c>
    </row>
    <row r="10" spans="2:17" hidden="1">
      <c r="B10" s="87">
        <v>7615</v>
      </c>
      <c r="C10" s="87">
        <v>20</v>
      </c>
      <c r="D10" s="905">
        <v>1.64</v>
      </c>
      <c r="E10" s="21" t="s">
        <v>1568</v>
      </c>
      <c r="F10" s="326" t="s">
        <v>677</v>
      </c>
      <c r="G10" s="852">
        <v>22</v>
      </c>
      <c r="H10" s="852">
        <v>19</v>
      </c>
      <c r="I10" s="852"/>
      <c r="J10" s="852"/>
      <c r="K10" s="852"/>
      <c r="L10" s="1301" t="s">
        <v>65</v>
      </c>
      <c r="M10" s="859"/>
      <c r="N10" s="27"/>
      <c r="O10" s="87"/>
      <c r="P10" s="356"/>
      <c r="Q10" s="827">
        <f t="shared" si="0"/>
        <v>1.1000000000000001</v>
      </c>
    </row>
    <row r="11" spans="2:17" hidden="1">
      <c r="B11" s="87">
        <v>14498</v>
      </c>
      <c r="C11" s="87">
        <v>72</v>
      </c>
      <c r="D11" s="905">
        <v>0.47</v>
      </c>
      <c r="E11" s="21" t="s">
        <v>1569</v>
      </c>
      <c r="F11" s="326">
        <v>0</v>
      </c>
      <c r="G11" s="852">
        <v>100</v>
      </c>
      <c r="H11" s="852">
        <v>144</v>
      </c>
      <c r="I11" s="852"/>
      <c r="J11" s="852"/>
      <c r="K11" s="852"/>
      <c r="L11" s="1301" t="s">
        <v>677</v>
      </c>
      <c r="M11" s="859"/>
      <c r="N11" s="27"/>
      <c r="O11" s="87"/>
      <c r="P11" s="356"/>
      <c r="Q11" s="827">
        <f t="shared" si="0"/>
        <v>1.3888888888888888</v>
      </c>
    </row>
    <row r="12" spans="2:17" hidden="1">
      <c r="B12" s="87">
        <v>15355</v>
      </c>
      <c r="C12" s="87">
        <v>20</v>
      </c>
      <c r="D12" s="905">
        <v>1.43</v>
      </c>
      <c r="E12" s="21" t="s">
        <v>1570</v>
      </c>
      <c r="F12" s="326">
        <v>0</v>
      </c>
      <c r="G12" s="852">
        <v>3</v>
      </c>
      <c r="H12" s="852">
        <v>99</v>
      </c>
      <c r="I12" s="852"/>
      <c r="J12" s="852"/>
      <c r="K12" s="852"/>
      <c r="L12" s="1301" t="s">
        <v>677</v>
      </c>
      <c r="M12" s="859"/>
      <c r="N12" s="27"/>
      <c r="O12" s="87"/>
      <c r="P12" s="356"/>
      <c r="Q12" s="827">
        <f t="shared" si="0"/>
        <v>0.15</v>
      </c>
    </row>
    <row r="13" spans="2:17" hidden="1">
      <c r="B13" s="562">
        <v>15374</v>
      </c>
      <c r="C13" s="562">
        <v>72</v>
      </c>
      <c r="D13" s="905">
        <v>1.31</v>
      </c>
      <c r="E13" s="21" t="s">
        <v>1571</v>
      </c>
      <c r="F13" s="326">
        <v>0</v>
      </c>
      <c r="G13" s="852">
        <v>5</v>
      </c>
      <c r="H13" s="852">
        <v>42</v>
      </c>
      <c r="I13" s="852"/>
      <c r="J13" s="852"/>
      <c r="K13" s="852"/>
      <c r="L13" s="852" t="s">
        <v>591</v>
      </c>
      <c r="M13" s="859"/>
      <c r="N13" s="562"/>
      <c r="O13" s="562"/>
      <c r="P13" s="405"/>
      <c r="Q13" s="827">
        <f t="shared" si="0"/>
        <v>6.9444444444444448E-2</v>
      </c>
    </row>
    <row r="14" spans="2:17" hidden="1">
      <c r="B14" s="562">
        <v>814</v>
      </c>
      <c r="C14" s="562">
        <v>20</v>
      </c>
      <c r="D14" s="905">
        <v>2.7</v>
      </c>
      <c r="E14" s="21" t="s">
        <v>1572</v>
      </c>
      <c r="F14" s="326">
        <v>0</v>
      </c>
      <c r="G14" s="852">
        <v>0</v>
      </c>
      <c r="H14" s="852">
        <v>0</v>
      </c>
      <c r="I14" s="852"/>
      <c r="J14" s="852"/>
      <c r="K14" s="852"/>
      <c r="L14" s="852" t="s">
        <v>591</v>
      </c>
      <c r="M14" s="859"/>
      <c r="N14" s="562"/>
      <c r="O14" s="562"/>
      <c r="P14" s="405"/>
      <c r="Q14" s="827">
        <f t="shared" si="0"/>
        <v>0</v>
      </c>
    </row>
    <row r="15" spans="2:17" hidden="1"/>
    <row r="16" spans="2:17" s="357" customFormat="1" hidden="1">
      <c r="B16" s="305">
        <v>9690</v>
      </c>
      <c r="C16" s="693"/>
      <c r="D16" s="693"/>
      <c r="E16" s="567" t="s">
        <v>2298</v>
      </c>
      <c r="F16" s="857"/>
      <c r="G16" s="857">
        <v>430</v>
      </c>
      <c r="H16" s="857">
        <v>207</v>
      </c>
      <c r="I16" s="857"/>
      <c r="J16" s="857"/>
      <c r="K16" s="857"/>
      <c r="L16" s="857"/>
      <c r="M16" s="857"/>
      <c r="N16" s="857"/>
      <c r="O16" s="857"/>
      <c r="P16" s="693"/>
    </row>
    <row r="17" spans="2:16" s="827" customFormat="1" hidden="1">
      <c r="B17" s="305"/>
      <c r="C17" s="693"/>
      <c r="D17" s="693"/>
      <c r="E17" s="891" t="s">
        <v>3716</v>
      </c>
      <c r="F17" s="857"/>
      <c r="G17" s="857">
        <v>3960</v>
      </c>
      <c r="H17" s="857">
        <v>984</v>
      </c>
      <c r="I17" s="857"/>
      <c r="J17" s="857"/>
      <c r="K17" s="857"/>
      <c r="L17" s="857"/>
      <c r="M17" s="857"/>
      <c r="N17" s="857"/>
      <c r="O17" s="857"/>
      <c r="P17" s="693"/>
    </row>
    <row r="18" spans="2:16" s="827" customFormat="1">
      <c r="B18" s="135"/>
      <c r="E18" s="890"/>
      <c r="F18" s="853"/>
      <c r="G18" s="853"/>
      <c r="H18" s="853"/>
      <c r="I18" s="853"/>
      <c r="J18" s="853"/>
      <c r="K18" s="853"/>
      <c r="L18" s="853"/>
      <c r="M18" s="853"/>
      <c r="N18" s="853"/>
      <c r="O18" s="860"/>
    </row>
    <row r="19" spans="2:16">
      <c r="F19" s="2365" t="s">
        <v>65</v>
      </c>
      <c r="G19" s="2365"/>
      <c r="H19" s="2365"/>
      <c r="I19" s="2365"/>
      <c r="J19" s="2365"/>
      <c r="K19" s="2365"/>
      <c r="L19" s="2365"/>
      <c r="M19" s="2365"/>
      <c r="N19" s="2365"/>
      <c r="O19" s="2365"/>
      <c r="P19" s="2365"/>
    </row>
    <row r="20" spans="2:16" ht="45">
      <c r="B20" s="87" t="s">
        <v>119</v>
      </c>
      <c r="C20" s="3" t="s">
        <v>1573</v>
      </c>
      <c r="D20" s="356" t="s">
        <v>547</v>
      </c>
      <c r="E20" s="87" t="s">
        <v>793</v>
      </c>
      <c r="F20" s="93" t="s">
        <v>19</v>
      </c>
      <c r="G20" s="93" t="s">
        <v>110</v>
      </c>
      <c r="H20" s="93" t="s">
        <v>111</v>
      </c>
      <c r="I20" s="93" t="s">
        <v>20</v>
      </c>
      <c r="J20" s="93" t="s">
        <v>110</v>
      </c>
      <c r="K20" s="93" t="s">
        <v>111</v>
      </c>
      <c r="L20" s="93" t="s">
        <v>21</v>
      </c>
      <c r="M20" s="93" t="s">
        <v>110</v>
      </c>
      <c r="N20" s="372" t="s">
        <v>111</v>
      </c>
      <c r="O20" s="93" t="s">
        <v>245</v>
      </c>
      <c r="P20" s="371" t="s">
        <v>1585</v>
      </c>
    </row>
    <row r="21" spans="2:16" s="357" customFormat="1">
      <c r="B21" s="87"/>
      <c r="C21" s="3">
        <v>48</v>
      </c>
      <c r="D21" s="356"/>
      <c r="E21" s="356" t="s">
        <v>1584</v>
      </c>
      <c r="F21" s="93">
        <v>5</v>
      </c>
      <c r="G21" s="93"/>
      <c r="H21" s="93"/>
      <c r="I21" s="93">
        <v>1</v>
      </c>
      <c r="J21" s="93"/>
      <c r="K21" s="93"/>
      <c r="L21" s="93">
        <v>1</v>
      </c>
      <c r="M21" s="93"/>
      <c r="N21" s="372"/>
      <c r="O21" s="22">
        <v>32.5</v>
      </c>
      <c r="P21" s="373">
        <f>O21/C21</f>
        <v>0.67708333333333337</v>
      </c>
    </row>
    <row r="22" spans="2:16">
      <c r="B22" s="87">
        <v>16317</v>
      </c>
      <c r="C22" s="87">
        <v>48</v>
      </c>
      <c r="D22" s="356">
        <v>0.68</v>
      </c>
      <c r="E22" s="356" t="s">
        <v>1575</v>
      </c>
      <c r="F22" s="22">
        <v>5</v>
      </c>
      <c r="G22" s="22"/>
      <c r="H22" s="22"/>
      <c r="I22" s="22" t="s">
        <v>591</v>
      </c>
      <c r="J22" s="22"/>
      <c r="K22" s="22"/>
      <c r="L22" s="22" t="s">
        <v>591</v>
      </c>
      <c r="M22" s="22"/>
      <c r="N22" s="374"/>
      <c r="O22" s="22">
        <v>36.75</v>
      </c>
      <c r="P22" s="373">
        <f t="shared" ref="P22:P30" si="1">O22/C22</f>
        <v>0.765625</v>
      </c>
    </row>
    <row r="23" spans="2:16">
      <c r="B23" s="87">
        <v>2797</v>
      </c>
      <c r="C23" s="87">
        <v>35</v>
      </c>
      <c r="D23" s="356">
        <v>0.48</v>
      </c>
      <c r="E23" s="356" t="s">
        <v>1576</v>
      </c>
      <c r="F23" s="22">
        <v>0</v>
      </c>
      <c r="G23" s="22"/>
      <c r="H23" s="22"/>
      <c r="I23" s="22"/>
      <c r="J23" s="22"/>
      <c r="K23" s="22"/>
      <c r="L23" s="22"/>
      <c r="M23" s="22"/>
      <c r="N23" s="374"/>
      <c r="O23" s="22">
        <v>12.5</v>
      </c>
      <c r="P23" s="373">
        <f t="shared" si="1"/>
        <v>0.35714285714285715</v>
      </c>
    </row>
    <row r="24" spans="2:16">
      <c r="B24" s="87">
        <v>16316</v>
      </c>
      <c r="C24" s="87">
        <v>20</v>
      </c>
      <c r="D24" s="356">
        <v>0.81</v>
      </c>
      <c r="E24" s="356" t="s">
        <v>1577</v>
      </c>
      <c r="F24" s="22" t="s">
        <v>1696</v>
      </c>
      <c r="G24" s="22"/>
      <c r="H24" s="22"/>
      <c r="I24" s="101" t="s">
        <v>590</v>
      </c>
      <c r="J24" s="22"/>
      <c r="K24" s="22"/>
      <c r="L24" s="22" t="s">
        <v>590</v>
      </c>
      <c r="M24" s="22"/>
      <c r="N24" s="374"/>
      <c r="O24" s="375">
        <v>20</v>
      </c>
      <c r="P24" s="373">
        <f t="shared" si="1"/>
        <v>1</v>
      </c>
    </row>
    <row r="25" spans="2:16">
      <c r="B25" s="87">
        <v>16319</v>
      </c>
      <c r="C25" s="87">
        <v>35</v>
      </c>
      <c r="D25" s="356">
        <v>0.48</v>
      </c>
      <c r="E25" s="356" t="s">
        <v>1578</v>
      </c>
      <c r="F25" s="22"/>
      <c r="G25" s="22"/>
      <c r="H25" s="22"/>
      <c r="I25" s="22"/>
      <c r="J25" s="22"/>
      <c r="K25" s="22"/>
      <c r="L25" s="22" t="s">
        <v>65</v>
      </c>
      <c r="M25" s="22"/>
      <c r="N25" s="374"/>
      <c r="O25" s="22">
        <v>12.5</v>
      </c>
      <c r="P25" s="373">
        <f t="shared" si="1"/>
        <v>0.35714285714285715</v>
      </c>
    </row>
    <row r="26" spans="2:16">
      <c r="B26" s="87">
        <v>16318</v>
      </c>
      <c r="C26" s="87">
        <v>35</v>
      </c>
      <c r="D26" s="356">
        <v>0.48</v>
      </c>
      <c r="E26" s="356" t="s">
        <v>1579</v>
      </c>
      <c r="F26" s="22"/>
      <c r="G26" s="22"/>
      <c r="H26" s="22"/>
      <c r="I26" s="22"/>
      <c r="J26" s="22"/>
      <c r="K26" s="22"/>
      <c r="L26" s="22"/>
      <c r="M26" s="22"/>
      <c r="N26" s="374"/>
      <c r="O26" s="22">
        <v>12.5</v>
      </c>
      <c r="P26" s="373">
        <f t="shared" si="1"/>
        <v>0.35714285714285715</v>
      </c>
    </row>
    <row r="27" spans="2:16">
      <c r="B27" s="87">
        <v>9209</v>
      </c>
      <c r="C27" s="87">
        <v>25</v>
      </c>
      <c r="D27" s="356">
        <v>1.5</v>
      </c>
      <c r="E27" s="356" t="s">
        <v>1580</v>
      </c>
      <c r="F27" s="22"/>
      <c r="G27" s="22"/>
      <c r="H27" s="22"/>
      <c r="I27" s="22"/>
      <c r="J27" s="22"/>
      <c r="K27" s="22"/>
      <c r="L27" s="22"/>
      <c r="M27" s="22"/>
      <c r="N27" s="374"/>
      <c r="O27" s="22"/>
      <c r="P27" s="373">
        <f t="shared" si="1"/>
        <v>0</v>
      </c>
    </row>
    <row r="28" spans="2:16">
      <c r="B28" s="87">
        <v>9207</v>
      </c>
      <c r="C28" s="87">
        <v>25</v>
      </c>
      <c r="D28" s="356">
        <v>1.75</v>
      </c>
      <c r="E28" s="356" t="s">
        <v>1581</v>
      </c>
      <c r="F28" s="22"/>
      <c r="G28" s="22"/>
      <c r="H28" s="22"/>
      <c r="I28" s="22"/>
      <c r="J28" s="22"/>
      <c r="K28" s="22"/>
      <c r="L28" s="22"/>
      <c r="M28" s="22"/>
      <c r="N28" s="374"/>
      <c r="O28" s="22"/>
      <c r="P28" s="373">
        <f t="shared" si="1"/>
        <v>0</v>
      </c>
    </row>
    <row r="29" spans="2:16">
      <c r="B29" s="87">
        <v>9198</v>
      </c>
      <c r="C29" s="87">
        <v>50</v>
      </c>
      <c r="D29" s="356">
        <v>0.88</v>
      </c>
      <c r="E29" s="356" t="s">
        <v>1582</v>
      </c>
      <c r="F29" s="22"/>
      <c r="G29" s="22"/>
      <c r="H29" s="22"/>
      <c r="I29" s="22"/>
      <c r="J29" s="22"/>
      <c r="K29" s="22"/>
      <c r="L29" s="22"/>
      <c r="M29" s="22"/>
      <c r="N29" s="374"/>
      <c r="O29" s="22"/>
      <c r="P29" s="373">
        <f t="shared" si="1"/>
        <v>0</v>
      </c>
    </row>
    <row r="30" spans="2:16">
      <c r="B30" s="87">
        <v>10853</v>
      </c>
      <c r="C30" s="87">
        <v>20</v>
      </c>
      <c r="D30" s="356">
        <v>1.25</v>
      </c>
      <c r="E30" s="356" t="s">
        <v>1583</v>
      </c>
      <c r="F30" s="22"/>
      <c r="G30" s="22"/>
      <c r="H30" s="22"/>
      <c r="I30" s="22"/>
      <c r="J30" s="22"/>
      <c r="K30" s="22"/>
      <c r="L30" s="22"/>
      <c r="M30" s="22"/>
      <c r="N30" s="374"/>
      <c r="O30" s="22"/>
      <c r="P30" s="373">
        <f t="shared" si="1"/>
        <v>0</v>
      </c>
    </row>
    <row r="36" spans="5:5">
      <c r="E36" t="s">
        <v>3265</v>
      </c>
    </row>
  </sheetData>
  <mergeCells count="1">
    <mergeCell ref="F19:P19"/>
  </mergeCells>
  <pageMargins left="0.7" right="0.7" top="0.75" bottom="0.75" header="0.3" footer="0.3"/>
  <pageSetup paperSize="9" orientation="landscape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K35"/>
  <sheetViews>
    <sheetView workbookViewId="0">
      <selection activeCell="C12" sqref="C12"/>
    </sheetView>
  </sheetViews>
  <sheetFormatPr baseColWidth="10" defaultRowHeight="15"/>
  <cols>
    <col min="2" max="2" width="11.42578125" style="404"/>
    <col min="3" max="3" width="40.5703125" customWidth="1"/>
    <col min="5" max="5" width="16.28515625" style="345" customWidth="1"/>
    <col min="6" max="6" width="11.140625" customWidth="1"/>
    <col min="7" max="7" width="11.42578125" hidden="1" customWidth="1"/>
    <col min="9" max="9" width="11.42578125" customWidth="1"/>
  </cols>
  <sheetData>
    <row r="1" spans="1:11">
      <c r="A1" t="s">
        <v>232</v>
      </c>
    </row>
    <row r="2" spans="1:11">
      <c r="A2" s="25"/>
      <c r="B2" s="25"/>
      <c r="C2" s="101" t="s">
        <v>232</v>
      </c>
      <c r="D2" s="25"/>
      <c r="E2" s="101"/>
      <c r="F2" s="25"/>
      <c r="G2" s="25"/>
      <c r="H2" s="25"/>
    </row>
    <row r="3" spans="1:11">
      <c r="A3" s="25"/>
      <c r="B3" s="25"/>
      <c r="C3" s="101" t="s">
        <v>1564</v>
      </c>
      <c r="D3" s="25"/>
      <c r="E3" s="101"/>
      <c r="F3" s="25"/>
      <c r="G3" s="25"/>
      <c r="H3" s="25"/>
    </row>
    <row r="4" spans="1:11" ht="75">
      <c r="A4" s="92" t="s">
        <v>239</v>
      </c>
      <c r="B4" s="102" t="s">
        <v>2545</v>
      </c>
      <c r="C4" s="102" t="s">
        <v>107</v>
      </c>
      <c r="D4" s="93" t="s">
        <v>19</v>
      </c>
      <c r="E4" s="93" t="s">
        <v>20</v>
      </c>
      <c r="F4" s="93" t="s">
        <v>21</v>
      </c>
      <c r="G4" s="93" t="s">
        <v>22</v>
      </c>
      <c r="H4" s="93" t="s">
        <v>23</v>
      </c>
      <c r="I4" s="3" t="s">
        <v>24</v>
      </c>
    </row>
    <row r="5" spans="1:11">
      <c r="A5" s="21">
        <v>2868</v>
      </c>
      <c r="B5" s="21">
        <v>1.4</v>
      </c>
      <c r="C5" s="21" t="s">
        <v>233</v>
      </c>
      <c r="D5" s="22" t="s">
        <v>1354</v>
      </c>
      <c r="E5" s="22" t="s">
        <v>65</v>
      </c>
      <c r="F5" s="22" t="s">
        <v>237</v>
      </c>
      <c r="G5" s="22"/>
      <c r="H5" s="22" t="s">
        <v>236</v>
      </c>
      <c r="I5" s="1"/>
    </row>
    <row r="6" spans="1:11">
      <c r="A6" s="21">
        <v>14985</v>
      </c>
      <c r="B6" s="21">
        <v>1.99</v>
      </c>
      <c r="C6" s="21" t="s">
        <v>234</v>
      </c>
      <c r="D6" s="22" t="s">
        <v>237</v>
      </c>
      <c r="E6" s="22" t="s">
        <v>65</v>
      </c>
      <c r="F6" s="22" t="s">
        <v>591</v>
      </c>
      <c r="G6" s="22"/>
      <c r="H6" s="22" t="s">
        <v>695</v>
      </c>
      <c r="I6" s="1"/>
    </row>
    <row r="7" spans="1:11">
      <c r="A7" s="21">
        <v>14986</v>
      </c>
      <c r="B7" s="21">
        <v>2.7</v>
      </c>
      <c r="C7" s="21" t="s">
        <v>235</v>
      </c>
      <c r="D7" s="22" t="s">
        <v>237</v>
      </c>
      <c r="E7" s="22" t="s">
        <v>65</v>
      </c>
      <c r="F7" s="22" t="s">
        <v>591</v>
      </c>
      <c r="G7" s="22"/>
      <c r="H7" s="22" t="s">
        <v>695</v>
      </c>
      <c r="I7" s="1"/>
    </row>
    <row r="9" spans="1:11" s="89" customFormat="1">
      <c r="B9" s="404"/>
      <c r="C9" s="377" t="s">
        <v>1389</v>
      </c>
      <c r="E9" s="345"/>
    </row>
    <row r="10" spans="1:11" s="89" customFormat="1">
      <c r="B10" s="404"/>
      <c r="C10" s="98">
        <v>4.32</v>
      </c>
      <c r="E10" s="345"/>
    </row>
    <row r="11" spans="1:11" s="89" customFormat="1">
      <c r="B11" s="404"/>
      <c r="C11" s="98">
        <v>9.5399999999999991</v>
      </c>
      <c r="D11" s="89" t="s">
        <v>3333</v>
      </c>
      <c r="E11" s="345"/>
    </row>
    <row r="12" spans="1:11" s="89" customFormat="1">
      <c r="B12" s="404"/>
      <c r="C12" s="57">
        <f>+C11/C10</f>
        <v>2.208333333333333</v>
      </c>
      <c r="D12" s="89" t="s">
        <v>1560</v>
      </c>
      <c r="E12" s="345"/>
      <c r="F12" s="89">
        <v>40</v>
      </c>
      <c r="H12" s="89">
        <v>6</v>
      </c>
      <c r="I12" s="89">
        <f>+F12*H12</f>
        <v>240</v>
      </c>
      <c r="J12" s="89">
        <v>1340.26</v>
      </c>
      <c r="K12" s="57">
        <f>J12/I12</f>
        <v>5.5844166666666668</v>
      </c>
    </row>
    <row r="13" spans="1:11" s="89" customFormat="1">
      <c r="B13" s="404" t="s">
        <v>65</v>
      </c>
      <c r="C13" s="57">
        <f>C12*10%</f>
        <v>0.22083333333333333</v>
      </c>
      <c r="D13" s="89" t="s">
        <v>5170</v>
      </c>
      <c r="E13" s="345"/>
    </row>
    <row r="14" spans="1:11" s="89" customFormat="1">
      <c r="B14" s="404"/>
      <c r="C14" s="1544">
        <f>C12-C13</f>
        <v>1.9874999999999998</v>
      </c>
      <c r="D14" s="89" t="s">
        <v>1560</v>
      </c>
      <c r="E14" s="345"/>
    </row>
    <row r="15" spans="1:11" s="89" customFormat="1">
      <c r="B15" s="404"/>
      <c r="E15" s="345"/>
    </row>
    <row r="16" spans="1:11" s="89" customFormat="1">
      <c r="B16" s="404"/>
      <c r="E16" s="345"/>
    </row>
    <row r="17" spans="1:8">
      <c r="A17" s="25"/>
      <c r="B17" s="25"/>
      <c r="C17" s="101" t="s">
        <v>1341</v>
      </c>
      <c r="D17" s="25"/>
      <c r="E17" s="101"/>
      <c r="F17" s="25"/>
    </row>
    <row r="18" spans="1:8" ht="75">
      <c r="A18" s="91" t="s">
        <v>0</v>
      </c>
      <c r="B18" s="569"/>
      <c r="C18" s="102" t="s">
        <v>107</v>
      </c>
      <c r="D18" s="93" t="s">
        <v>19</v>
      </c>
      <c r="E18" s="93" t="s">
        <v>20</v>
      </c>
      <c r="F18" s="93" t="s">
        <v>21</v>
      </c>
      <c r="G18" s="3" t="s">
        <v>22</v>
      </c>
      <c r="H18" s="3" t="s">
        <v>23</v>
      </c>
    </row>
    <row r="19" spans="1:8">
      <c r="A19" s="21">
        <v>16223</v>
      </c>
      <c r="B19" s="21"/>
      <c r="C19" s="21" t="s">
        <v>691</v>
      </c>
      <c r="D19" s="22" t="s">
        <v>236</v>
      </c>
      <c r="E19" s="22" t="s">
        <v>238</v>
      </c>
      <c r="F19" s="21" t="s">
        <v>236</v>
      </c>
      <c r="G19" s="86"/>
      <c r="H19" s="86"/>
    </row>
    <row r="20" spans="1:8" s="89" customFormat="1">
      <c r="A20" s="103"/>
      <c r="B20" s="103"/>
      <c r="C20" s="103"/>
      <c r="D20" s="104"/>
      <c r="E20" s="104"/>
      <c r="F20" s="103"/>
      <c r="G20" s="105"/>
      <c r="H20" s="105"/>
    </row>
    <row r="21" spans="1:8" s="89" customFormat="1">
      <c r="A21" s="103"/>
      <c r="B21" s="103"/>
      <c r="C21" s="103"/>
      <c r="D21" s="104"/>
      <c r="E21" s="104"/>
      <c r="F21" s="103"/>
      <c r="G21" s="105"/>
      <c r="H21" s="105"/>
    </row>
    <row r="22" spans="1:8" s="89" customFormat="1">
      <c r="A22" s="103"/>
      <c r="B22" s="103"/>
      <c r="C22" s="103"/>
      <c r="D22" s="104"/>
      <c r="E22" s="104"/>
      <c r="F22" s="103"/>
      <c r="G22" s="105"/>
      <c r="H22" s="105"/>
    </row>
    <row r="23" spans="1:8" s="89" customFormat="1">
      <c r="A23" s="103"/>
      <c r="B23" s="103"/>
      <c r="C23" s="103"/>
      <c r="D23" s="104"/>
      <c r="E23" s="104"/>
      <c r="F23" s="103"/>
      <c r="G23" s="105"/>
      <c r="H23" s="105"/>
    </row>
    <row r="24" spans="1:8" s="89" customFormat="1">
      <c r="A24" s="103"/>
      <c r="B24" s="103"/>
      <c r="C24" s="103"/>
      <c r="D24" s="104"/>
      <c r="E24" s="104"/>
      <c r="F24" s="103"/>
      <c r="G24" s="105"/>
      <c r="H24" s="105"/>
    </row>
    <row r="25" spans="1:8" s="89" customFormat="1">
      <c r="A25" s="103"/>
      <c r="B25" s="103"/>
      <c r="C25" s="103"/>
      <c r="D25" s="104"/>
      <c r="E25" s="104"/>
      <c r="F25" s="103"/>
      <c r="G25" s="105"/>
      <c r="H25" s="105"/>
    </row>
    <row r="26" spans="1:8" s="89" customFormat="1">
      <c r="A26" s="103"/>
      <c r="B26" s="103"/>
      <c r="C26" s="103"/>
      <c r="D26" s="104"/>
      <c r="E26" s="104"/>
      <c r="F26" s="103"/>
      <c r="G26" s="105"/>
      <c r="H26" s="105"/>
    </row>
    <row r="27" spans="1:8" s="89" customFormat="1">
      <c r="A27" s="103"/>
      <c r="B27" s="103"/>
      <c r="C27" s="103"/>
      <c r="D27" s="104"/>
      <c r="E27" s="104"/>
      <c r="F27" s="103"/>
      <c r="G27" s="105"/>
      <c r="H27" s="105"/>
    </row>
    <row r="28" spans="1:8" s="89" customFormat="1">
      <c r="A28" s="103"/>
      <c r="B28" s="103"/>
      <c r="C28" s="103"/>
      <c r="D28" s="104"/>
      <c r="E28" s="104"/>
      <c r="F28" s="103"/>
      <c r="G28" s="105"/>
      <c r="H28" s="105"/>
    </row>
    <row r="29" spans="1:8" s="89" customFormat="1">
      <c r="A29" s="103"/>
      <c r="B29" s="103"/>
      <c r="C29" s="103"/>
      <c r="D29" s="104"/>
      <c r="E29" s="104"/>
      <c r="F29" s="103"/>
      <c r="G29" s="105"/>
      <c r="H29" s="105"/>
    </row>
    <row r="31" spans="1:8">
      <c r="A31" s="25"/>
      <c r="B31" s="25"/>
      <c r="C31" s="25" t="s">
        <v>694</v>
      </c>
      <c r="D31" s="25"/>
      <c r="E31" s="101"/>
      <c r="F31" s="25"/>
      <c r="G31" s="25"/>
      <c r="H31" s="25"/>
    </row>
    <row r="32" spans="1:8" ht="75">
      <c r="A32" s="91" t="s">
        <v>0</v>
      </c>
      <c r="B32" s="569"/>
      <c r="C32" s="102" t="s">
        <v>107</v>
      </c>
      <c r="D32" s="93" t="s">
        <v>19</v>
      </c>
      <c r="E32" s="93" t="s">
        <v>20</v>
      </c>
      <c r="F32" s="93" t="s">
        <v>21</v>
      </c>
      <c r="G32" s="93" t="s">
        <v>22</v>
      </c>
      <c r="H32" s="93" t="s">
        <v>23</v>
      </c>
    </row>
    <row r="33" spans="1:8">
      <c r="A33" s="21">
        <v>12805</v>
      </c>
      <c r="B33" s="106"/>
      <c r="C33" s="106" t="s">
        <v>692</v>
      </c>
      <c r="D33" s="21"/>
      <c r="E33" s="22" t="s">
        <v>696</v>
      </c>
      <c r="F33" s="21"/>
      <c r="G33" s="21"/>
      <c r="H33" s="21"/>
    </row>
    <row r="34" spans="1:8">
      <c r="A34" s="21">
        <v>16258</v>
      </c>
      <c r="B34" s="106"/>
      <c r="C34" s="106" t="s">
        <v>693</v>
      </c>
      <c r="D34" s="21"/>
      <c r="E34" s="22" t="s">
        <v>696</v>
      </c>
      <c r="F34" s="21"/>
      <c r="G34" s="21"/>
      <c r="H34" s="21"/>
    </row>
    <row r="35" spans="1:8">
      <c r="D35" s="86"/>
      <c r="E35" s="87"/>
      <c r="F35" s="86"/>
      <c r="G35" s="86"/>
      <c r="H35" s="86"/>
    </row>
  </sheetData>
  <pageMargins left="0.7" right="0.7" top="0.75" bottom="0.75" header="0.3" footer="0.3"/>
  <pageSetup paperSize="119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J651"/>
  <sheetViews>
    <sheetView topLeftCell="C631" workbookViewId="0">
      <selection activeCell="C639" sqref="C639:M651"/>
    </sheetView>
  </sheetViews>
  <sheetFormatPr baseColWidth="10" defaultRowHeight="15"/>
  <cols>
    <col min="1" max="1" width="0" style="1594" hidden="1" customWidth="1"/>
    <col min="2" max="2" width="9.85546875" style="827" hidden="1" customWidth="1"/>
    <col min="3" max="3" width="9.85546875" style="1594" customWidth="1"/>
    <col min="4" max="4" width="9.42578125" style="57" customWidth="1"/>
    <col min="5" max="5" width="52.5703125" style="31" customWidth="1"/>
    <col min="6" max="6" width="12.42578125" style="1699" hidden="1" customWidth="1"/>
    <col min="7" max="7" width="10.85546875" style="35" hidden="1" customWidth="1"/>
    <col min="8" max="8" width="12.7109375" style="780" hidden="1" customWidth="1"/>
    <col min="9" max="9" width="10.42578125" style="780" hidden="1" customWidth="1"/>
    <col min="10" max="10" width="11.5703125" style="1141" customWidth="1"/>
    <col min="11" max="11" width="12.140625" style="31" customWidth="1"/>
    <col min="12" max="12" width="14.140625" style="766" customWidth="1"/>
    <col min="13" max="13" width="16.5703125" style="333" customWidth="1"/>
    <col min="14" max="14" width="7.7109375" style="1058" customWidth="1"/>
    <col min="15" max="15" width="8.42578125" style="1181" customWidth="1"/>
    <col min="16" max="16" width="12.28515625" style="333" customWidth="1"/>
    <col min="17" max="17" width="10.140625" style="333" customWidth="1"/>
    <col min="18" max="18" width="8.42578125" style="422" customWidth="1"/>
    <col min="19" max="19" width="50.28515625" style="413" customWidth="1"/>
    <col min="20" max="20" width="9.140625" style="422" customWidth="1"/>
    <col min="21" max="21" width="19.85546875" style="333" customWidth="1"/>
    <col min="24" max="24" width="11.85546875" bestFit="1" customWidth="1"/>
  </cols>
  <sheetData>
    <row r="1" spans="1:21" ht="15" customHeight="1">
      <c r="E1" s="2"/>
      <c r="F1" s="1704"/>
      <c r="G1" s="2"/>
      <c r="H1" s="783"/>
      <c r="I1" s="783"/>
      <c r="J1" s="1148"/>
      <c r="K1" s="2"/>
      <c r="L1" s="769"/>
      <c r="M1" s="334"/>
      <c r="N1" s="1066"/>
      <c r="O1" s="1195"/>
      <c r="P1" s="334"/>
      <c r="Q1" s="334"/>
      <c r="R1" s="420"/>
      <c r="S1" s="414"/>
      <c r="T1" s="420"/>
      <c r="U1" s="334"/>
    </row>
    <row r="2" spans="1:21" s="357" customFormat="1">
      <c r="A2" s="1594"/>
      <c r="B2" s="827"/>
      <c r="C2" s="1594"/>
      <c r="D2" s="57"/>
      <c r="E2" s="365"/>
      <c r="F2" s="1704"/>
      <c r="G2" s="365"/>
      <c r="H2" s="783"/>
      <c r="I2" s="783"/>
      <c r="J2" s="1148"/>
      <c r="K2" s="365"/>
      <c r="L2" s="769"/>
      <c r="M2" s="365"/>
      <c r="N2" s="1066"/>
      <c r="O2" s="1195"/>
      <c r="P2" s="365"/>
      <c r="Q2" s="365"/>
      <c r="R2" s="420"/>
      <c r="S2" s="414"/>
      <c r="T2" s="420"/>
      <c r="U2" s="365"/>
    </row>
    <row r="3" spans="1:21">
      <c r="E3" s="2"/>
      <c r="F3" s="1704"/>
      <c r="G3" s="2"/>
      <c r="H3" s="783"/>
      <c r="I3" s="783"/>
      <c r="J3" s="1148"/>
      <c r="K3" s="2"/>
      <c r="L3" s="769"/>
      <c r="M3" s="334"/>
      <c r="N3" s="1066"/>
      <c r="O3" s="1195"/>
      <c r="P3" s="334"/>
      <c r="Q3" s="334"/>
      <c r="R3" s="420"/>
      <c r="S3" s="414"/>
      <c r="T3" s="420"/>
      <c r="U3" s="334"/>
    </row>
    <row r="4" spans="1:21">
      <c r="U4" s="423"/>
    </row>
    <row r="5" spans="1:21" ht="39.75" customHeight="1">
      <c r="E5" s="309" t="s">
        <v>65</v>
      </c>
      <c r="F5" s="309"/>
      <c r="G5" s="309" t="s">
        <v>1563</v>
      </c>
      <c r="H5" s="309"/>
      <c r="I5" s="309"/>
      <c r="J5" s="309"/>
      <c r="K5" s="309" t="s">
        <v>1881</v>
      </c>
      <c r="L5" s="309"/>
      <c r="M5" s="309" t="s">
        <v>246</v>
      </c>
      <c r="N5" s="309"/>
      <c r="O5" s="309"/>
      <c r="P5" s="309" t="s">
        <v>245</v>
      </c>
      <c r="Q5" s="511" t="s">
        <v>1588</v>
      </c>
      <c r="R5" s="309" t="s">
        <v>68</v>
      </c>
      <c r="S5" s="512" t="s">
        <v>1882</v>
      </c>
      <c r="U5" s="3" t="s">
        <v>1587</v>
      </c>
    </row>
    <row r="6" spans="1:21" s="357" customFormat="1">
      <c r="A6" s="1594"/>
      <c r="B6" s="827"/>
      <c r="C6" s="1594"/>
      <c r="D6" s="57"/>
      <c r="E6" s="297" t="s">
        <v>2815</v>
      </c>
      <c r="F6" s="297"/>
      <c r="G6" s="509">
        <v>1</v>
      </c>
      <c r="H6" s="781"/>
      <c r="I6" s="781"/>
      <c r="J6" s="1142"/>
      <c r="K6" s="471">
        <v>0</v>
      </c>
      <c r="L6" s="471"/>
      <c r="M6" s="514" t="e">
        <f>#REF!</f>
        <v>#REF!</v>
      </c>
      <c r="N6" s="514"/>
      <c r="O6" s="514"/>
      <c r="P6" s="510"/>
      <c r="Q6" s="471"/>
      <c r="R6" s="513">
        <v>150</v>
      </c>
      <c r="S6" s="471">
        <v>924</v>
      </c>
      <c r="T6" s="513"/>
      <c r="U6" s="606">
        <v>5.22</v>
      </c>
    </row>
    <row r="7" spans="1:21">
      <c r="E7" s="601" t="s">
        <v>1879</v>
      </c>
      <c r="F7" s="1607"/>
      <c r="G7" s="509">
        <v>1</v>
      </c>
      <c r="H7" s="781"/>
      <c r="I7" s="781"/>
      <c r="J7" s="1142"/>
      <c r="K7" s="471">
        <v>0</v>
      </c>
      <c r="L7" s="471"/>
      <c r="M7" s="514" t="e">
        <f>#REF!</f>
        <v>#REF!</v>
      </c>
      <c r="N7" s="514"/>
      <c r="O7" s="514"/>
      <c r="P7" s="514"/>
      <c r="Q7" s="508"/>
      <c r="R7" s="268">
        <v>150</v>
      </c>
      <c r="S7" s="471" t="e">
        <f t="shared" ref="S7:S12" si="0">M7*R7</f>
        <v>#REF!</v>
      </c>
      <c r="T7" s="268"/>
      <c r="U7" s="16">
        <v>6.2</v>
      </c>
    </row>
    <row r="8" spans="1:21">
      <c r="E8" s="310" t="s">
        <v>1880</v>
      </c>
      <c r="F8" s="310"/>
      <c r="G8" s="310">
        <v>0</v>
      </c>
      <c r="H8" s="310"/>
      <c r="I8" s="310"/>
      <c r="J8" s="310"/>
      <c r="K8" s="515">
        <v>0</v>
      </c>
      <c r="L8" s="515"/>
      <c r="M8" s="514" t="e">
        <f>#REF!</f>
        <v>#REF!</v>
      </c>
      <c r="N8" s="514"/>
      <c r="O8" s="514"/>
      <c r="P8" s="515"/>
      <c r="Q8" s="515"/>
      <c r="R8" s="516">
        <v>0</v>
      </c>
      <c r="S8" s="471" t="e">
        <f t="shared" si="0"/>
        <v>#REF!</v>
      </c>
      <c r="T8" s="516">
        <v>0</v>
      </c>
      <c r="U8" s="41">
        <v>6</v>
      </c>
    </row>
    <row r="9" spans="1:21">
      <c r="E9" s="310" t="s">
        <v>269</v>
      </c>
      <c r="F9" s="310"/>
      <c r="G9" s="517">
        <v>0</v>
      </c>
      <c r="H9" s="517"/>
      <c r="I9" s="517"/>
      <c r="J9" s="517"/>
      <c r="K9" s="515">
        <v>0</v>
      </c>
      <c r="L9" s="515"/>
      <c r="M9" s="514" t="e">
        <f>#REF!</f>
        <v>#REF!</v>
      </c>
      <c r="N9" s="514"/>
      <c r="O9" s="514"/>
      <c r="P9" s="515"/>
      <c r="Q9" s="515"/>
      <c r="R9" s="516">
        <v>0</v>
      </c>
      <c r="S9" s="471" t="e">
        <f t="shared" si="0"/>
        <v>#REF!</v>
      </c>
      <c r="T9" s="516">
        <f>R9*K9</f>
        <v>0</v>
      </c>
      <c r="U9" s="41">
        <v>8.6999999999999993</v>
      </c>
    </row>
    <row r="10" spans="1:21">
      <c r="E10" s="310" t="s">
        <v>1586</v>
      </c>
      <c r="F10" s="310"/>
      <c r="G10" s="517">
        <v>0</v>
      </c>
      <c r="H10" s="517"/>
      <c r="I10" s="517"/>
      <c r="J10" s="517"/>
      <c r="K10" s="515" t="e">
        <f>#REF!*0.5</f>
        <v>#REF!</v>
      </c>
      <c r="L10" s="515"/>
      <c r="M10" s="514" t="e">
        <f>#REF!</f>
        <v>#REF!</v>
      </c>
      <c r="N10" s="514"/>
      <c r="O10" s="514"/>
      <c r="P10" s="515"/>
      <c r="Q10" s="515"/>
      <c r="R10" s="516">
        <v>0</v>
      </c>
      <c r="S10" s="471" t="e">
        <f t="shared" si="0"/>
        <v>#REF!</v>
      </c>
      <c r="T10" s="516">
        <v>0</v>
      </c>
      <c r="U10" s="41">
        <v>3.64</v>
      </c>
    </row>
    <row r="11" spans="1:21">
      <c r="E11" s="310" t="s">
        <v>1589</v>
      </c>
      <c r="F11" s="310"/>
      <c r="G11" s="517">
        <v>0</v>
      </c>
      <c r="H11" s="517"/>
      <c r="I11" s="517"/>
      <c r="J11" s="517"/>
      <c r="K11" s="515">
        <v>0</v>
      </c>
      <c r="L11" s="515"/>
      <c r="M11" s="514" t="e">
        <f>#REF!</f>
        <v>#REF!</v>
      </c>
      <c r="N11" s="514"/>
      <c r="O11" s="514"/>
      <c r="P11" s="515"/>
      <c r="Q11" s="515"/>
      <c r="R11" s="516">
        <v>0</v>
      </c>
      <c r="S11" s="471" t="e">
        <f t="shared" si="0"/>
        <v>#REF!</v>
      </c>
      <c r="T11" s="516">
        <f>R11*K11</f>
        <v>0</v>
      </c>
      <c r="U11" s="41">
        <v>3.6</v>
      </c>
    </row>
    <row r="12" spans="1:21">
      <c r="E12" s="310" t="s">
        <v>2542</v>
      </c>
      <c r="F12" s="310"/>
      <c r="G12" s="517">
        <v>0</v>
      </c>
      <c r="H12" s="517"/>
      <c r="I12" s="517"/>
      <c r="J12" s="517"/>
      <c r="K12" s="515" t="e">
        <f>#REF!*0.25</f>
        <v>#REF!</v>
      </c>
      <c r="L12" s="515"/>
      <c r="M12" s="514" t="e">
        <f>#REF!</f>
        <v>#REF!</v>
      </c>
      <c r="N12" s="514"/>
      <c r="O12" s="514"/>
      <c r="P12" s="515"/>
      <c r="Q12" s="515"/>
      <c r="R12" s="516">
        <v>0</v>
      </c>
      <c r="S12" s="471" t="e">
        <f t="shared" si="0"/>
        <v>#REF!</v>
      </c>
      <c r="T12" s="516" t="e">
        <f>R12*K12</f>
        <v>#REF!</v>
      </c>
      <c r="U12" s="41">
        <v>9.41</v>
      </c>
    </row>
    <row r="13" spans="1:21">
      <c r="E13" s="297" t="s">
        <v>2814</v>
      </c>
      <c r="F13" s="297"/>
      <c r="G13" s="612">
        <v>1</v>
      </c>
      <c r="H13" s="612"/>
      <c r="I13" s="612"/>
      <c r="J13" s="612"/>
      <c r="K13" s="515">
        <v>0</v>
      </c>
      <c r="L13" s="515"/>
      <c r="M13" s="514" t="e">
        <f>#REF!</f>
        <v>#REF!</v>
      </c>
      <c r="N13" s="514"/>
      <c r="O13" s="514"/>
      <c r="P13" s="516" t="e">
        <f>K13*M13</f>
        <v>#REF!</v>
      </c>
      <c r="Q13" s="515"/>
      <c r="R13" s="516">
        <v>150</v>
      </c>
      <c r="S13" s="471">
        <v>190.5</v>
      </c>
      <c r="T13" s="516">
        <v>0</v>
      </c>
      <c r="U13" s="606">
        <v>1.1000000000000001</v>
      </c>
    </row>
    <row r="14" spans="1:21">
      <c r="E14" s="601" t="s">
        <v>270</v>
      </c>
      <c r="F14" s="1607"/>
      <c r="G14" s="310">
        <v>1</v>
      </c>
      <c r="H14" s="310"/>
      <c r="I14" s="310"/>
      <c r="J14" s="310"/>
      <c r="K14" s="515">
        <v>0</v>
      </c>
      <c r="L14" s="515"/>
      <c r="M14" s="514" t="e">
        <f>#REF!</f>
        <v>#REF!</v>
      </c>
      <c r="N14" s="514"/>
      <c r="O14" s="514"/>
      <c r="P14" s="515"/>
      <c r="Q14" s="515"/>
      <c r="R14" s="516">
        <v>150</v>
      </c>
      <c r="S14" s="471">
        <v>495</v>
      </c>
      <c r="T14" s="516">
        <f>R14*K14</f>
        <v>0</v>
      </c>
      <c r="U14" s="606">
        <v>2.87</v>
      </c>
    </row>
    <row r="15" spans="1:21" s="404" customFormat="1">
      <c r="A15" s="1594"/>
      <c r="B15" s="827"/>
      <c r="C15" s="1594"/>
      <c r="D15" s="57"/>
      <c r="E15" s="518" t="s">
        <v>1353</v>
      </c>
      <c r="F15" s="1703"/>
      <c r="G15" s="310">
        <v>0</v>
      </c>
      <c r="H15" s="310"/>
      <c r="I15" s="310"/>
      <c r="J15" s="310"/>
      <c r="K15" s="515">
        <v>0</v>
      </c>
      <c r="L15" s="515"/>
      <c r="M15" s="514" t="e">
        <f>#REF!</f>
        <v>#REF!</v>
      </c>
      <c r="N15" s="514"/>
      <c r="O15" s="514"/>
      <c r="P15" s="515"/>
      <c r="Q15" s="515"/>
      <c r="R15" s="516">
        <v>0</v>
      </c>
      <c r="S15" s="471" t="e">
        <f>M15*R15</f>
        <v>#REF!</v>
      </c>
      <c r="T15" s="516">
        <f>K15*R15</f>
        <v>0</v>
      </c>
      <c r="U15" s="41">
        <v>0.3</v>
      </c>
    </row>
    <row r="16" spans="1:21">
      <c r="E16" s="601" t="s">
        <v>271</v>
      </c>
      <c r="F16" s="1607"/>
      <c r="G16" s="310">
        <v>1</v>
      </c>
      <c r="H16" s="310"/>
      <c r="I16" s="310"/>
      <c r="J16" s="310"/>
      <c r="K16" s="515">
        <v>0</v>
      </c>
      <c r="L16" s="515"/>
      <c r="M16" s="514" t="e">
        <f>#REF!</f>
        <v>#REF!</v>
      </c>
      <c r="N16" s="514"/>
      <c r="O16" s="514"/>
      <c r="P16" s="515"/>
      <c r="Q16" s="515"/>
      <c r="R16" s="516">
        <v>150</v>
      </c>
      <c r="S16" s="471" t="e">
        <f>M16*R16</f>
        <v>#REF!</v>
      </c>
      <c r="T16" s="516">
        <v>0</v>
      </c>
      <c r="U16" s="606">
        <v>3.17</v>
      </c>
    </row>
    <row r="17" spans="1:21" ht="15.75" thickBot="1">
      <c r="E17" s="310" t="s">
        <v>1590</v>
      </c>
      <c r="F17" s="310"/>
      <c r="G17" s="310">
        <v>0</v>
      </c>
      <c r="H17" s="792"/>
      <c r="I17" s="792"/>
      <c r="J17" s="792"/>
      <c r="K17" s="609">
        <v>0</v>
      </c>
      <c r="L17" s="609"/>
      <c r="M17" s="609"/>
      <c r="N17" s="609"/>
      <c r="O17" s="609"/>
      <c r="P17" s="609"/>
      <c r="Q17" s="609"/>
      <c r="R17" s="610">
        <v>0</v>
      </c>
      <c r="S17" s="471">
        <f>R17</f>
        <v>0</v>
      </c>
      <c r="T17" s="516">
        <f>K17*R17</f>
        <v>0</v>
      </c>
      <c r="U17" s="41">
        <v>9.1300000000000008</v>
      </c>
    </row>
    <row r="18" spans="1:21" s="404" customFormat="1" ht="15.75" thickBot="1">
      <c r="A18" s="1594"/>
      <c r="B18" s="827"/>
      <c r="C18" s="1594"/>
      <c r="D18" s="57"/>
      <c r="E18" s="607"/>
      <c r="F18" s="607"/>
      <c r="G18" s="607"/>
      <c r="H18" s="607"/>
      <c r="I18" s="607"/>
      <c r="J18" s="607"/>
      <c r="K18" s="2406" t="s">
        <v>2816</v>
      </c>
      <c r="L18" s="2407"/>
      <c r="M18" s="2407"/>
      <c r="N18" s="2407"/>
      <c r="O18" s="2407"/>
      <c r="P18" s="2407"/>
      <c r="Q18" s="2407"/>
      <c r="R18" s="2407"/>
      <c r="S18" s="611" t="e">
        <f>SUM(S6:S17)</f>
        <v>#REF!</v>
      </c>
      <c r="T18" s="608"/>
      <c r="U18" s="340"/>
    </row>
    <row r="19" spans="1:21">
      <c r="E19" s="518" t="s">
        <v>2365</v>
      </c>
      <c r="F19" s="1703"/>
      <c r="G19" s="518"/>
      <c r="H19" s="784"/>
      <c r="I19" s="784"/>
      <c r="J19" s="1146"/>
      <c r="K19" s="519"/>
      <c r="L19" s="519"/>
      <c r="M19" s="519"/>
      <c r="N19" s="519"/>
      <c r="O19" s="519"/>
      <c r="P19" s="519"/>
      <c r="Q19" s="519"/>
      <c r="R19" s="520"/>
      <c r="S19" s="519"/>
      <c r="T19" s="520"/>
      <c r="U19" s="42"/>
    </row>
    <row r="20" spans="1:21" s="404" customFormat="1">
      <c r="A20" s="1594"/>
      <c r="B20" s="827"/>
      <c r="C20" s="1594"/>
      <c r="D20" s="57"/>
      <c r="E20" s="412" t="s">
        <v>65</v>
      </c>
      <c r="F20" s="1704"/>
      <c r="G20" s="412"/>
      <c r="H20" s="783"/>
      <c r="I20" s="783"/>
      <c r="J20" s="1148"/>
      <c r="K20" s="42"/>
      <c r="L20" s="42"/>
      <c r="M20" s="42"/>
      <c r="N20" s="42"/>
      <c r="O20" s="42"/>
      <c r="P20" s="42"/>
      <c r="Q20" s="42"/>
      <c r="R20" s="420"/>
      <c r="S20" s="42">
        <v>3253.5</v>
      </c>
      <c r="T20" s="420"/>
      <c r="U20" s="42"/>
    </row>
    <row r="21" spans="1:21" s="404" customFormat="1" ht="15.75" thickBot="1">
      <c r="A21" s="1594"/>
      <c r="B21" s="827"/>
      <c r="C21" s="1594"/>
      <c r="D21" s="57"/>
      <c r="E21" s="412"/>
      <c r="F21" s="1704"/>
      <c r="G21" s="412"/>
      <c r="H21" s="783"/>
      <c r="I21" s="783"/>
      <c r="J21" s="1148"/>
      <c r="K21" s="42"/>
      <c r="L21" s="42"/>
      <c r="M21" s="42"/>
      <c r="N21" s="42"/>
      <c r="O21" s="42"/>
      <c r="P21" s="42"/>
      <c r="Q21" s="42"/>
      <c r="R21" s="420"/>
      <c r="S21" s="42"/>
      <c r="T21" s="420"/>
      <c r="U21" s="42"/>
    </row>
    <row r="22" spans="1:21" s="404" customFormat="1" ht="42" customHeight="1">
      <c r="A22" s="1594"/>
      <c r="B22" s="827"/>
      <c r="C22" s="1594"/>
      <c r="D22" s="57"/>
      <c r="E22" s="623" t="s">
        <v>65</v>
      </c>
      <c r="F22" s="1719"/>
      <c r="G22" s="624" t="s">
        <v>1563</v>
      </c>
      <c r="H22" s="624"/>
      <c r="I22" s="624"/>
      <c r="J22" s="624"/>
      <c r="K22" s="624" t="s">
        <v>1881</v>
      </c>
      <c r="L22" s="624"/>
      <c r="M22" s="624" t="s">
        <v>246</v>
      </c>
      <c r="N22" s="624"/>
      <c r="O22" s="624"/>
      <c r="P22" s="624" t="s">
        <v>245</v>
      </c>
      <c r="Q22" s="625" t="s">
        <v>1588</v>
      </c>
      <c r="R22" s="624" t="s">
        <v>68</v>
      </c>
      <c r="S22" s="512" t="s">
        <v>1882</v>
      </c>
      <c r="T22" s="420"/>
      <c r="U22" s="42"/>
    </row>
    <row r="23" spans="1:21" s="404" customFormat="1" ht="15.75" thickBot="1">
      <c r="A23" s="1594"/>
      <c r="B23" s="827"/>
      <c r="C23" s="1594"/>
      <c r="D23" s="57"/>
      <c r="E23" s="626" t="s">
        <v>271</v>
      </c>
      <c r="F23" s="1720"/>
      <c r="G23" s="627">
        <v>1</v>
      </c>
      <c r="H23" s="627"/>
      <c r="I23" s="627"/>
      <c r="J23" s="627"/>
      <c r="K23" s="628">
        <v>0</v>
      </c>
      <c r="L23" s="628"/>
      <c r="M23" s="628">
        <v>3.74</v>
      </c>
      <c r="N23" s="628"/>
      <c r="O23" s="628"/>
      <c r="P23" s="628"/>
      <c r="Q23" s="628"/>
      <c r="R23" s="629">
        <v>4000</v>
      </c>
      <c r="S23" s="630">
        <f>M23*R23</f>
        <v>14960</v>
      </c>
      <c r="T23" s="420"/>
      <c r="U23" s="42"/>
    </row>
    <row r="24" spans="1:21" s="404" customFormat="1">
      <c r="A24" s="1594"/>
      <c r="B24" s="827"/>
      <c r="C24" s="1594"/>
      <c r="D24" s="57"/>
      <c r="E24" s="412" t="s">
        <v>1590</v>
      </c>
      <c r="F24" s="1704"/>
      <c r="G24" s="412">
        <v>0</v>
      </c>
      <c r="H24" s="783"/>
      <c r="I24" s="783"/>
      <c r="J24" s="1148"/>
      <c r="K24" s="42">
        <v>0</v>
      </c>
      <c r="L24" s="42"/>
      <c r="M24" s="42"/>
      <c r="N24" s="42"/>
      <c r="O24" s="42"/>
      <c r="P24" s="42"/>
      <c r="Q24" s="42"/>
      <c r="R24" s="420">
        <v>0</v>
      </c>
      <c r="S24" s="42">
        <v>0</v>
      </c>
      <c r="T24" s="420"/>
      <c r="U24" s="42"/>
    </row>
    <row r="25" spans="1:21" s="404" customFormat="1">
      <c r="A25" s="1594"/>
      <c r="B25" s="827"/>
      <c r="C25" s="1594"/>
      <c r="D25" s="57"/>
      <c r="E25" s="518" t="s">
        <v>2365</v>
      </c>
      <c r="F25" s="1703"/>
      <c r="G25" s="412"/>
      <c r="H25" s="783"/>
      <c r="I25" s="783"/>
      <c r="J25" s="1148"/>
      <c r="K25" s="42" t="s">
        <v>2816</v>
      </c>
      <c r="L25" s="42"/>
      <c r="M25" s="42"/>
      <c r="N25" s="42"/>
      <c r="O25" s="42"/>
      <c r="P25" s="42"/>
      <c r="Q25" s="42"/>
      <c r="R25" s="420"/>
      <c r="S25" s="42" t="s">
        <v>65</v>
      </c>
      <c r="T25" s="420"/>
      <c r="U25" s="42"/>
    </row>
    <row r="26" spans="1:21" s="404" customFormat="1">
      <c r="A26" s="1594"/>
      <c r="B26" s="827"/>
      <c r="C26" s="1594"/>
      <c r="D26" s="57"/>
      <c r="E26" s="412"/>
      <c r="F26" s="1704"/>
      <c r="G26" s="412"/>
      <c r="H26" s="783"/>
      <c r="I26" s="783"/>
      <c r="J26" s="1148"/>
      <c r="K26" s="42"/>
      <c r="L26" s="42"/>
      <c r="M26" s="42"/>
      <c r="N26" s="42"/>
      <c r="O26" s="42"/>
      <c r="P26" s="42"/>
      <c r="Q26" s="42"/>
      <c r="R26" s="420"/>
      <c r="S26" s="42"/>
      <c r="T26" s="420"/>
      <c r="U26" s="42"/>
    </row>
    <row r="27" spans="1:21" s="404" customFormat="1" ht="15.75" thickBot="1">
      <c r="A27" s="1594"/>
      <c r="B27" s="827"/>
      <c r="C27" s="1594"/>
      <c r="D27" s="57"/>
      <c r="E27" s="646"/>
      <c r="F27" s="646"/>
      <c r="G27" s="646"/>
      <c r="H27" s="646"/>
      <c r="I27" s="646"/>
      <c r="J27" s="646"/>
      <c r="K27" s="647"/>
      <c r="L27" s="647"/>
      <c r="M27" s="648"/>
      <c r="N27" s="648"/>
      <c r="O27" s="648"/>
      <c r="P27" s="42"/>
      <c r="Q27" s="42"/>
      <c r="R27" s="420"/>
      <c r="S27" s="42"/>
      <c r="T27" s="420"/>
      <c r="U27" s="42"/>
    </row>
    <row r="28" spans="1:21" s="404" customFormat="1" ht="42.75" customHeight="1">
      <c r="A28" s="1594"/>
      <c r="B28" s="827"/>
      <c r="C28" s="1594"/>
      <c r="D28" s="57"/>
      <c r="E28" s="623" t="s">
        <v>65</v>
      </c>
      <c r="F28" s="1719"/>
      <c r="G28" s="624" t="s">
        <v>1563</v>
      </c>
      <c r="H28" s="624"/>
      <c r="I28" s="624"/>
      <c r="J28" s="624"/>
      <c r="K28" s="624" t="s">
        <v>1881</v>
      </c>
      <c r="L28" s="624"/>
      <c r="M28" s="624" t="s">
        <v>3132</v>
      </c>
      <c r="N28" s="624"/>
      <c r="O28" s="624"/>
      <c r="P28" s="624" t="s">
        <v>245</v>
      </c>
      <c r="Q28" s="625" t="s">
        <v>1588</v>
      </c>
      <c r="R28" s="624" t="s">
        <v>68</v>
      </c>
      <c r="S28" s="512" t="s">
        <v>1882</v>
      </c>
      <c r="T28" s="420"/>
      <c r="U28" s="42"/>
    </row>
    <row r="29" spans="1:21" s="404" customFormat="1">
      <c r="A29" s="1594"/>
      <c r="B29" s="827"/>
      <c r="C29" s="1594"/>
      <c r="D29" s="57"/>
      <c r="E29" s="640" t="s">
        <v>39</v>
      </c>
      <c r="F29" s="1696"/>
      <c r="G29" s="640">
        <v>1</v>
      </c>
      <c r="H29" s="781"/>
      <c r="I29" s="781"/>
      <c r="J29" s="1142"/>
      <c r="K29" s="471">
        <v>0</v>
      </c>
      <c r="L29" s="471"/>
      <c r="M29" s="471">
        <v>5.95</v>
      </c>
      <c r="N29" s="471"/>
      <c r="O29" s="471"/>
      <c r="P29" s="471"/>
      <c r="Q29" s="471"/>
      <c r="R29" s="513">
        <v>0</v>
      </c>
      <c r="S29" s="471">
        <f>M29*R29</f>
        <v>0</v>
      </c>
      <c r="T29" s="420"/>
      <c r="U29" s="42"/>
    </row>
    <row r="30" spans="1:21" s="404" customFormat="1">
      <c r="A30" s="1594"/>
      <c r="B30" s="827"/>
      <c r="C30" s="1594"/>
      <c r="D30" s="57"/>
      <c r="E30" s="342" t="s">
        <v>26</v>
      </c>
      <c r="F30" s="342"/>
      <c r="G30" s="342"/>
      <c r="H30" s="342"/>
      <c r="I30" s="342"/>
      <c r="J30" s="342"/>
      <c r="K30" s="343"/>
      <c r="L30" s="343"/>
      <c r="M30" s="515">
        <v>9.33</v>
      </c>
      <c r="N30" s="515"/>
      <c r="O30" s="515"/>
      <c r="P30" s="41"/>
      <c r="Q30" s="41"/>
      <c r="R30" s="421"/>
      <c r="S30" s="41"/>
      <c r="T30" s="420"/>
      <c r="U30" s="42"/>
    </row>
    <row r="31" spans="1:21" s="404" customFormat="1">
      <c r="A31" s="1594"/>
      <c r="B31" s="827"/>
      <c r="C31" s="1594"/>
      <c r="D31" s="57"/>
      <c r="E31" s="342" t="s">
        <v>2831</v>
      </c>
      <c r="F31" s="342"/>
      <c r="G31" s="342"/>
      <c r="H31" s="342"/>
      <c r="I31" s="342"/>
      <c r="J31" s="342"/>
      <c r="K31" s="343"/>
      <c r="L31" s="343"/>
      <c r="M31" s="515">
        <v>7.7</v>
      </c>
      <c r="N31" s="515"/>
      <c r="O31" s="515"/>
      <c r="P31" s="41"/>
      <c r="Q31" s="41"/>
      <c r="R31" s="421"/>
      <c r="S31" s="41"/>
      <c r="T31" s="420"/>
      <c r="U31" s="42"/>
    </row>
    <row r="32" spans="1:21" s="404" customFormat="1">
      <c r="A32" s="1594"/>
      <c r="B32" s="827"/>
      <c r="C32" s="1594"/>
      <c r="D32" s="57"/>
      <c r="E32" s="646"/>
      <c r="F32" s="646"/>
      <c r="G32" s="646"/>
      <c r="H32" s="646"/>
      <c r="I32" s="646"/>
      <c r="J32" s="646"/>
      <c r="K32" s="647"/>
      <c r="L32" s="647"/>
      <c r="M32" s="648"/>
      <c r="N32" s="648"/>
      <c r="O32" s="648"/>
      <c r="P32" s="42"/>
      <c r="Q32" s="42"/>
      <c r="R32" s="420"/>
      <c r="S32" s="42"/>
      <c r="T32" s="420"/>
      <c r="U32" s="42"/>
    </row>
    <row r="33" spans="1:21" s="110" customFormat="1">
      <c r="A33" s="1594"/>
      <c r="B33" s="827"/>
      <c r="C33" s="1594"/>
      <c r="D33" s="57"/>
      <c r="E33" s="327"/>
      <c r="F33" s="1699"/>
      <c r="G33" s="327"/>
      <c r="H33" s="780"/>
      <c r="I33" s="780"/>
      <c r="J33" s="1141"/>
      <c r="K33" s="327"/>
      <c r="L33" s="766"/>
      <c r="M33" s="333"/>
      <c r="N33" s="1058"/>
      <c r="O33" s="1181"/>
      <c r="P33" s="333"/>
      <c r="Q33" s="333"/>
      <c r="R33" s="422"/>
      <c r="S33" s="413"/>
      <c r="T33" s="422"/>
      <c r="U33" s="333"/>
    </row>
    <row r="34" spans="1:21" s="110" customFormat="1">
      <c r="A34" s="1594"/>
      <c r="B34" s="827"/>
      <c r="C34" s="1594"/>
      <c r="D34" s="57"/>
      <c r="E34" s="327"/>
      <c r="F34" s="1699"/>
      <c r="G34" s="327"/>
      <c r="H34" s="780"/>
      <c r="I34" s="780"/>
      <c r="J34" s="1141"/>
      <c r="K34" s="327"/>
      <c r="L34" s="766"/>
      <c r="M34" s="333"/>
      <c r="N34" s="1058"/>
      <c r="O34" s="1181"/>
      <c r="P34" s="333"/>
      <c r="Q34" s="333"/>
      <c r="R34" s="422"/>
      <c r="S34" s="413"/>
      <c r="T34" s="422"/>
      <c r="U34" s="333"/>
    </row>
    <row r="35" spans="1:21" s="110" customFormat="1" ht="40.5" customHeight="1">
      <c r="A35" s="1594"/>
      <c r="B35" s="827"/>
      <c r="C35" s="1594"/>
      <c r="D35" s="916" t="s">
        <v>116</v>
      </c>
      <c r="E35" s="704" t="s">
        <v>65</v>
      </c>
      <c r="F35" s="1695"/>
      <c r="G35" s="704" t="s">
        <v>559</v>
      </c>
      <c r="H35" s="782"/>
      <c r="I35" s="782"/>
      <c r="J35" s="1143"/>
      <c r="K35" s="704" t="s">
        <v>3342</v>
      </c>
      <c r="L35" s="768" t="s">
        <v>3341</v>
      </c>
      <c r="M35" s="704" t="s">
        <v>2547</v>
      </c>
      <c r="N35" s="1062"/>
      <c r="O35" s="1186"/>
      <c r="P35" s="704" t="s">
        <v>246</v>
      </c>
      <c r="Q35" s="704" t="s">
        <v>3343</v>
      </c>
      <c r="R35" s="422"/>
      <c r="S35" s="413"/>
      <c r="T35" s="422"/>
      <c r="U35" s="333"/>
    </row>
    <row r="36" spans="1:21">
      <c r="D36" s="917">
        <v>5828</v>
      </c>
      <c r="E36" s="62" t="s">
        <v>3335</v>
      </c>
      <c r="F36" s="62"/>
      <c r="G36" s="62">
        <v>0.85</v>
      </c>
      <c r="H36" s="62"/>
      <c r="I36" s="62"/>
      <c r="J36" s="62"/>
      <c r="K36" s="771">
        <v>0.12</v>
      </c>
      <c r="L36" s="707">
        <f t="shared" ref="L36:L42" si="1">G36*K36</f>
        <v>0.10199999999999999</v>
      </c>
      <c r="M36" s="707">
        <f t="shared" ref="M36:M42" si="2">G36+L36</f>
        <v>0.95199999999999996</v>
      </c>
      <c r="N36" s="707"/>
      <c r="O36" s="707"/>
      <c r="P36" s="62">
        <v>2</v>
      </c>
      <c r="Q36" s="707">
        <f t="shared" ref="Q36:Q42" si="3">M36*P36</f>
        <v>1.9039999999999999</v>
      </c>
    </row>
    <row r="37" spans="1:21">
      <c r="D37" s="917" t="s">
        <v>65</v>
      </c>
      <c r="E37" s="62" t="s">
        <v>3340</v>
      </c>
      <c r="F37" s="62"/>
      <c r="G37" s="62">
        <v>0.63</v>
      </c>
      <c r="H37" s="62"/>
      <c r="I37" s="62"/>
      <c r="J37" s="62"/>
      <c r="K37" s="771">
        <v>0.12</v>
      </c>
      <c r="L37" s="707">
        <f t="shared" si="1"/>
        <v>7.5600000000000001E-2</v>
      </c>
      <c r="M37" s="707">
        <f t="shared" si="2"/>
        <v>0.7056</v>
      </c>
      <c r="N37" s="707"/>
      <c r="O37" s="707"/>
      <c r="P37" s="62">
        <v>2</v>
      </c>
      <c r="Q37" s="707">
        <f t="shared" si="3"/>
        <v>1.4112</v>
      </c>
    </row>
    <row r="38" spans="1:21">
      <c r="D38" s="917">
        <v>1975</v>
      </c>
      <c r="E38" s="62" t="s">
        <v>3336</v>
      </c>
      <c r="F38" s="62"/>
      <c r="G38" s="62">
        <v>1.85</v>
      </c>
      <c r="H38" s="62"/>
      <c r="I38" s="62"/>
      <c r="J38" s="62"/>
      <c r="K38" s="771">
        <v>0.12</v>
      </c>
      <c r="L38" s="707">
        <f t="shared" si="1"/>
        <v>0.222</v>
      </c>
      <c r="M38" s="707">
        <f t="shared" si="2"/>
        <v>2.0720000000000001</v>
      </c>
      <c r="N38" s="707"/>
      <c r="O38" s="707"/>
      <c r="P38" s="62">
        <v>1</v>
      </c>
      <c r="Q38" s="707">
        <f t="shared" si="3"/>
        <v>2.0720000000000001</v>
      </c>
    </row>
    <row r="39" spans="1:21">
      <c r="D39" s="918">
        <v>2033</v>
      </c>
      <c r="E39" s="58" t="s">
        <v>2554</v>
      </c>
      <c r="F39" s="58"/>
      <c r="G39" s="58">
        <v>0.97</v>
      </c>
      <c r="H39" s="58"/>
      <c r="I39" s="58"/>
      <c r="J39" s="58"/>
      <c r="K39" s="771">
        <v>0.08</v>
      </c>
      <c r="L39" s="707">
        <f t="shared" si="1"/>
        <v>7.7600000000000002E-2</v>
      </c>
      <c r="M39" s="707">
        <f t="shared" si="2"/>
        <v>1.0476000000000001</v>
      </c>
      <c r="N39" s="707"/>
      <c r="O39" s="707"/>
      <c r="P39" s="58">
        <v>3</v>
      </c>
      <c r="Q39" s="707">
        <f t="shared" si="3"/>
        <v>3.1428000000000003</v>
      </c>
    </row>
    <row r="40" spans="1:21">
      <c r="D40" s="918">
        <v>19921</v>
      </c>
      <c r="E40" s="58" t="s">
        <v>3337</v>
      </c>
      <c r="F40" s="58"/>
      <c r="G40" s="58">
        <v>1</v>
      </c>
      <c r="H40" s="58"/>
      <c r="I40" s="58"/>
      <c r="J40" s="58"/>
      <c r="K40" s="771">
        <v>0.12</v>
      </c>
      <c r="L40" s="707">
        <f t="shared" si="1"/>
        <v>0.12</v>
      </c>
      <c r="M40" s="707">
        <f t="shared" si="2"/>
        <v>1.1200000000000001</v>
      </c>
      <c r="N40" s="707"/>
      <c r="O40" s="707"/>
      <c r="P40" s="58">
        <v>1</v>
      </c>
      <c r="Q40" s="707">
        <f t="shared" si="3"/>
        <v>1.1200000000000001</v>
      </c>
    </row>
    <row r="41" spans="1:21">
      <c r="D41" s="918">
        <v>836</v>
      </c>
      <c r="E41" s="58" t="s">
        <v>3338</v>
      </c>
      <c r="F41" s="58"/>
      <c r="G41" s="58">
        <v>0.55000000000000004</v>
      </c>
      <c r="H41" s="58"/>
      <c r="I41" s="58"/>
      <c r="J41" s="58"/>
      <c r="K41" s="771">
        <v>0.12</v>
      </c>
      <c r="L41" s="707">
        <f t="shared" si="1"/>
        <v>6.6000000000000003E-2</v>
      </c>
      <c r="M41" s="707">
        <f t="shared" si="2"/>
        <v>0.6160000000000001</v>
      </c>
      <c r="N41" s="707"/>
      <c r="O41" s="707"/>
      <c r="P41" s="58">
        <v>1</v>
      </c>
      <c r="Q41" s="707">
        <f t="shared" si="3"/>
        <v>0.6160000000000001</v>
      </c>
    </row>
    <row r="42" spans="1:21" ht="15.75" thickBot="1">
      <c r="D42" s="918">
        <v>840</v>
      </c>
      <c r="E42" s="58" t="s">
        <v>3339</v>
      </c>
      <c r="F42" s="58"/>
      <c r="G42" s="58">
        <v>0.55000000000000004</v>
      </c>
      <c r="H42" s="58"/>
      <c r="I42" s="58"/>
      <c r="J42" s="58"/>
      <c r="K42" s="771">
        <v>0.12</v>
      </c>
      <c r="L42" s="707">
        <f t="shared" si="1"/>
        <v>6.6000000000000003E-2</v>
      </c>
      <c r="M42" s="707">
        <f t="shared" si="2"/>
        <v>0.6160000000000001</v>
      </c>
      <c r="N42" s="707"/>
      <c r="O42" s="707"/>
      <c r="P42" s="58">
        <v>1</v>
      </c>
      <c r="Q42" s="707">
        <f t="shared" si="3"/>
        <v>0.6160000000000001</v>
      </c>
    </row>
    <row r="43" spans="1:21" ht="15.75" thickBot="1">
      <c r="P43" s="705" t="s">
        <v>560</v>
      </c>
      <c r="Q43" s="708">
        <f>SUM(Q36:Q42)</f>
        <v>10.882000000000001</v>
      </c>
    </row>
    <row r="47" spans="1:21" ht="30">
      <c r="D47" s="917" t="s">
        <v>116</v>
      </c>
      <c r="E47" s="309" t="s">
        <v>65</v>
      </c>
      <c r="F47" s="309"/>
      <c r="G47" s="309" t="s">
        <v>2547</v>
      </c>
      <c r="H47" s="309"/>
      <c r="I47" s="309"/>
      <c r="J47" s="309"/>
      <c r="K47" s="309" t="s">
        <v>3285</v>
      </c>
      <c r="L47" s="309" t="s">
        <v>3343</v>
      </c>
      <c r="M47" s="772"/>
      <c r="N47" s="772"/>
      <c r="O47" s="772"/>
      <c r="P47" s="422"/>
      <c r="Q47" s="413"/>
      <c r="S47" s="333"/>
      <c r="T47"/>
      <c r="U47"/>
    </row>
    <row r="48" spans="1:21">
      <c r="D48" s="865"/>
      <c r="E48" s="765" t="s">
        <v>2550</v>
      </c>
      <c r="F48" s="1689"/>
      <c r="G48" s="765">
        <v>6.51</v>
      </c>
      <c r="H48" s="779"/>
      <c r="I48" s="779"/>
      <c r="J48" s="1140"/>
      <c r="K48" s="765">
        <v>700</v>
      </c>
      <c r="L48" s="765">
        <f t="shared" ref="L48:L58" si="4">G48*K48</f>
        <v>4557</v>
      </c>
      <c r="P48" s="422"/>
      <c r="Q48" s="413"/>
      <c r="S48" s="333"/>
      <c r="T48"/>
      <c r="U48"/>
    </row>
    <row r="49" spans="4:21">
      <c r="D49" s="865"/>
      <c r="E49" s="765" t="s">
        <v>2546</v>
      </c>
      <c r="F49" s="1689"/>
      <c r="G49" s="765">
        <v>4.95</v>
      </c>
      <c r="H49" s="779"/>
      <c r="I49" s="779"/>
      <c r="J49" s="1140"/>
      <c r="K49" s="765">
        <v>700</v>
      </c>
      <c r="L49" s="765">
        <f t="shared" si="4"/>
        <v>3465</v>
      </c>
      <c r="P49" s="422"/>
      <c r="Q49" s="413"/>
      <c r="S49" s="333"/>
      <c r="T49"/>
      <c r="U49"/>
    </row>
    <row r="50" spans="4:21">
      <c r="D50" s="865"/>
      <c r="E50" s="765" t="s">
        <v>2549</v>
      </c>
      <c r="F50" s="1689"/>
      <c r="G50" s="765">
        <v>7.1</v>
      </c>
      <c r="H50" s="779"/>
      <c r="I50" s="779"/>
      <c r="J50" s="1140"/>
      <c r="K50" s="765">
        <v>700</v>
      </c>
      <c r="L50" s="765">
        <f t="shared" si="4"/>
        <v>4970</v>
      </c>
      <c r="P50" s="422"/>
      <c r="Q50" s="413"/>
      <c r="S50" s="333"/>
      <c r="T50"/>
      <c r="U50"/>
    </row>
    <row r="51" spans="4:21">
      <c r="D51" s="865"/>
      <c r="E51" s="765" t="s">
        <v>2554</v>
      </c>
      <c r="F51" s="1689"/>
      <c r="G51" s="765">
        <v>1.05</v>
      </c>
      <c r="H51" s="779"/>
      <c r="I51" s="779"/>
      <c r="J51" s="1140"/>
      <c r="K51" s="765">
        <v>700</v>
      </c>
      <c r="L51" s="765">
        <f t="shared" si="4"/>
        <v>735</v>
      </c>
      <c r="P51" s="422"/>
      <c r="Q51" s="413"/>
      <c r="S51" s="333"/>
      <c r="T51"/>
      <c r="U51"/>
    </row>
    <row r="52" spans="4:21">
      <c r="D52" s="865"/>
      <c r="E52" s="765" t="s">
        <v>3344</v>
      </c>
      <c r="F52" s="1689"/>
      <c r="G52" s="765">
        <v>2.73</v>
      </c>
      <c r="H52" s="779"/>
      <c r="I52" s="779"/>
      <c r="J52" s="1140"/>
      <c r="K52" s="765">
        <v>700</v>
      </c>
      <c r="L52" s="765">
        <f t="shared" si="4"/>
        <v>1911</v>
      </c>
      <c r="P52" s="422"/>
      <c r="Q52" s="413"/>
      <c r="S52" s="333"/>
      <c r="T52"/>
      <c r="U52"/>
    </row>
    <row r="53" spans="4:21">
      <c r="D53" s="865"/>
      <c r="E53" s="765" t="s">
        <v>2551</v>
      </c>
      <c r="F53" s="1689"/>
      <c r="G53" s="765">
        <v>1.21</v>
      </c>
      <c r="H53" s="779"/>
      <c r="I53" s="779"/>
      <c r="J53" s="1140"/>
      <c r="K53" s="765">
        <v>700</v>
      </c>
      <c r="L53" s="765">
        <f t="shared" si="4"/>
        <v>847</v>
      </c>
      <c r="P53" s="422"/>
      <c r="Q53" s="413"/>
      <c r="S53" s="333"/>
      <c r="T53"/>
      <c r="U53"/>
    </row>
    <row r="54" spans="4:21">
      <c r="D54" s="865"/>
      <c r="E54" s="765" t="s">
        <v>2553</v>
      </c>
      <c r="F54" s="1689"/>
      <c r="G54" s="765">
        <v>0.71</v>
      </c>
      <c r="H54" s="779"/>
      <c r="I54" s="779"/>
      <c r="J54" s="1140"/>
      <c r="K54" s="765">
        <v>700</v>
      </c>
      <c r="L54" s="765">
        <f t="shared" si="4"/>
        <v>497</v>
      </c>
      <c r="P54" s="422"/>
      <c r="Q54" s="413"/>
      <c r="S54" s="333"/>
      <c r="T54"/>
      <c r="U54"/>
    </row>
    <row r="55" spans="4:21">
      <c r="D55" s="865"/>
      <c r="E55" s="765" t="s">
        <v>2552</v>
      </c>
      <c r="F55" s="1689"/>
      <c r="G55" s="765">
        <v>0.76</v>
      </c>
      <c r="H55" s="779"/>
      <c r="I55" s="779"/>
      <c r="J55" s="1140"/>
      <c r="K55" s="765">
        <v>700</v>
      </c>
      <c r="L55" s="765">
        <f t="shared" si="4"/>
        <v>532</v>
      </c>
      <c r="P55" s="422"/>
      <c r="Q55" s="413"/>
      <c r="S55" s="333"/>
      <c r="T55"/>
      <c r="U55"/>
    </row>
    <row r="56" spans="4:21">
      <c r="D56" s="865"/>
      <c r="E56" s="765" t="s">
        <v>3287</v>
      </c>
      <c r="F56" s="1689"/>
      <c r="G56" s="765">
        <v>1.1299999999999999</v>
      </c>
      <c r="H56" s="779"/>
      <c r="I56" s="779"/>
      <c r="J56" s="1140"/>
      <c r="K56" s="765">
        <v>700</v>
      </c>
      <c r="L56" s="765">
        <f t="shared" si="4"/>
        <v>790.99999999999989</v>
      </c>
      <c r="P56" s="422"/>
      <c r="Q56" s="413"/>
      <c r="S56" s="333"/>
      <c r="T56"/>
      <c r="U56"/>
    </row>
    <row r="57" spans="4:21">
      <c r="D57" s="865"/>
      <c r="E57" s="765" t="s">
        <v>3345</v>
      </c>
      <c r="F57" s="1689"/>
      <c r="G57" s="765">
        <v>3.6</v>
      </c>
      <c r="H57" s="779"/>
      <c r="I57" s="779"/>
      <c r="J57" s="1140"/>
      <c r="K57" s="765">
        <v>700</v>
      </c>
      <c r="L57" s="765">
        <f t="shared" si="4"/>
        <v>2520</v>
      </c>
      <c r="P57" s="422"/>
      <c r="Q57" s="413"/>
      <c r="S57" s="333"/>
      <c r="T57"/>
      <c r="U57"/>
    </row>
    <row r="58" spans="4:21">
      <c r="D58" s="865"/>
      <c r="E58" s="765" t="s">
        <v>627</v>
      </c>
      <c r="F58" s="1689"/>
      <c r="G58" s="765">
        <v>0.41</v>
      </c>
      <c r="H58" s="779"/>
      <c r="I58" s="779"/>
      <c r="J58" s="1140"/>
      <c r="K58" s="765">
        <v>700</v>
      </c>
      <c r="L58" s="765">
        <f t="shared" si="4"/>
        <v>287</v>
      </c>
      <c r="P58" s="422"/>
      <c r="Q58" s="413"/>
      <c r="S58" s="333"/>
      <c r="T58"/>
      <c r="U58"/>
    </row>
    <row r="59" spans="4:21">
      <c r="E59" s="101"/>
      <c r="F59" s="1692"/>
      <c r="G59" s="101"/>
      <c r="H59" s="101"/>
      <c r="I59" s="101"/>
      <c r="J59" s="101"/>
      <c r="K59" s="101" t="s">
        <v>1882</v>
      </c>
      <c r="L59" s="101">
        <f>SUM(L48:L58)</f>
        <v>21112</v>
      </c>
    </row>
    <row r="60" spans="4:21">
      <c r="E60" s="2408" t="s">
        <v>2365</v>
      </c>
      <c r="F60" s="2408"/>
      <c r="G60" s="2408"/>
      <c r="H60" s="784"/>
      <c r="I60" s="784"/>
      <c r="J60" s="1146"/>
      <c r="K60" s="101" t="s">
        <v>1389</v>
      </c>
      <c r="L60" s="101">
        <v>4.63</v>
      </c>
    </row>
    <row r="61" spans="4:21">
      <c r="E61" s="101"/>
      <c r="F61" s="1692"/>
      <c r="G61" s="101"/>
      <c r="H61" s="101"/>
      <c r="I61" s="101"/>
      <c r="J61" s="101"/>
      <c r="K61" s="101" t="s">
        <v>3346</v>
      </c>
      <c r="L61" s="101">
        <f>L59*L60</f>
        <v>97748.56</v>
      </c>
    </row>
    <row r="62" spans="4:21" ht="15.75" thickBot="1">
      <c r="E62" s="101"/>
      <c r="F62" s="1692"/>
      <c r="G62" s="101"/>
      <c r="H62" s="101"/>
      <c r="I62" s="101"/>
      <c r="J62" s="101"/>
      <c r="K62" s="101"/>
      <c r="L62" s="101"/>
    </row>
    <row r="63" spans="4:21" ht="30.75" thickBot="1">
      <c r="E63" s="776" t="s">
        <v>3347</v>
      </c>
      <c r="F63" s="954"/>
    </row>
    <row r="64" spans="4:21" ht="15.75" thickBot="1"/>
    <row r="65" spans="4:22">
      <c r="E65" s="773" t="s">
        <v>3348</v>
      </c>
      <c r="F65" s="104"/>
    </row>
    <row r="66" spans="4:22">
      <c r="E66" s="774" t="s">
        <v>3349</v>
      </c>
      <c r="F66" s="104"/>
    </row>
    <row r="67" spans="4:22">
      <c r="E67" s="774" t="s">
        <v>3350</v>
      </c>
      <c r="F67" s="104"/>
    </row>
    <row r="68" spans="4:22">
      <c r="E68" s="774" t="s">
        <v>3351</v>
      </c>
      <c r="F68" s="104"/>
    </row>
    <row r="69" spans="4:22">
      <c r="E69" s="774" t="s">
        <v>3352</v>
      </c>
      <c r="F69" s="104"/>
    </row>
    <row r="70" spans="4:22">
      <c r="E70" s="774" t="s">
        <v>3353</v>
      </c>
      <c r="F70" s="104"/>
    </row>
    <row r="71" spans="4:22">
      <c r="E71" s="774" t="s">
        <v>3354</v>
      </c>
      <c r="F71" s="104"/>
    </row>
    <row r="72" spans="4:22">
      <c r="E72" s="774" t="s">
        <v>3352</v>
      </c>
      <c r="F72" s="104"/>
    </row>
    <row r="73" spans="4:22" ht="15.75" thickBot="1">
      <c r="E73" s="775" t="s">
        <v>3355</v>
      </c>
      <c r="F73" s="104"/>
    </row>
    <row r="76" spans="4:22" ht="30">
      <c r="D76" s="917" t="s">
        <v>116</v>
      </c>
      <c r="E76" s="309" t="s">
        <v>65</v>
      </c>
      <c r="F76" s="309"/>
      <c r="G76" s="309" t="s">
        <v>2547</v>
      </c>
      <c r="H76" s="309" t="s">
        <v>3372</v>
      </c>
      <c r="I76" s="309" t="s">
        <v>3373</v>
      </c>
      <c r="J76" s="309"/>
      <c r="K76" s="309" t="s">
        <v>3285</v>
      </c>
      <c r="L76" s="309" t="s">
        <v>3343</v>
      </c>
      <c r="M76" s="772"/>
      <c r="N76" s="772"/>
      <c r="O76" s="772"/>
    </row>
    <row r="77" spans="4:22">
      <c r="D77" s="865"/>
      <c r="E77" s="779" t="s">
        <v>2550</v>
      </c>
      <c r="F77" s="1689"/>
      <c r="G77" s="779">
        <v>2.82</v>
      </c>
      <c r="H77" s="779">
        <v>5.6</v>
      </c>
      <c r="I77" s="52">
        <f>G77*H77</f>
        <v>15.791999999999998</v>
      </c>
      <c r="J77" s="52"/>
      <c r="K77" s="779">
        <v>750</v>
      </c>
      <c r="L77" s="779">
        <f>I77*K77</f>
        <v>11843.999999999998</v>
      </c>
      <c r="M77" s="780"/>
      <c r="V77">
        <f>L77+L78+L79+L80+L81+L82+L83+L84+L85+L86+L87</f>
        <v>41589</v>
      </c>
    </row>
    <row r="78" spans="4:22">
      <c r="D78" s="865"/>
      <c r="E78" s="779" t="s">
        <v>2546</v>
      </c>
      <c r="F78" s="1689"/>
      <c r="G78" s="779">
        <v>4.2</v>
      </c>
      <c r="H78" s="779" t="s">
        <v>65</v>
      </c>
      <c r="I78" s="779"/>
      <c r="J78" s="1140"/>
      <c r="K78" s="779">
        <v>750</v>
      </c>
      <c r="L78" s="779">
        <f>G78*K78</f>
        <v>3150</v>
      </c>
      <c r="M78" s="780"/>
      <c r="Q78" s="333" t="s">
        <v>65</v>
      </c>
    </row>
    <row r="79" spans="4:22">
      <c r="D79" s="865"/>
      <c r="E79" s="779" t="s">
        <v>3374</v>
      </c>
      <c r="F79" s="1689"/>
      <c r="G79" s="779">
        <v>5.2</v>
      </c>
      <c r="H79" s="779">
        <v>4</v>
      </c>
      <c r="I79" s="779">
        <f>G79*H79</f>
        <v>20.8</v>
      </c>
      <c r="J79" s="1140"/>
      <c r="K79" s="779">
        <v>750</v>
      </c>
      <c r="L79" s="779">
        <f>I79*K79</f>
        <v>15600</v>
      </c>
      <c r="M79" s="780"/>
    </row>
    <row r="80" spans="4:22" ht="19.5" customHeight="1">
      <c r="D80" s="865"/>
      <c r="E80" s="779" t="s">
        <v>2554</v>
      </c>
      <c r="F80" s="1689"/>
      <c r="G80" s="779">
        <v>1.05</v>
      </c>
      <c r="H80" s="779">
        <v>2</v>
      </c>
      <c r="I80" s="779">
        <f>G80*H80</f>
        <v>2.1</v>
      </c>
      <c r="J80" s="1140"/>
      <c r="K80" s="779">
        <v>750</v>
      </c>
      <c r="L80" s="779">
        <f>I80*K80</f>
        <v>1575</v>
      </c>
      <c r="M80" s="780"/>
      <c r="P80" s="362" t="s">
        <v>3381</v>
      </c>
    </row>
    <row r="81" spans="1:22">
      <c r="D81" s="865"/>
      <c r="E81" s="779" t="s">
        <v>3344</v>
      </c>
      <c r="F81" s="1689"/>
      <c r="G81" s="779">
        <v>2.5499999999999998</v>
      </c>
      <c r="H81" s="779"/>
      <c r="I81" s="779"/>
      <c r="J81" s="1140"/>
      <c r="K81" s="779">
        <v>750</v>
      </c>
      <c r="L81" s="779">
        <f t="shared" ref="L81:L87" si="5">G81*K81</f>
        <v>1912.4999999999998</v>
      </c>
      <c r="M81" s="780"/>
      <c r="Q81" s="333" t="s">
        <v>3197</v>
      </c>
      <c r="R81" s="422" t="s">
        <v>1663</v>
      </c>
      <c r="T81" s="422" t="s">
        <v>3380</v>
      </c>
    </row>
    <row r="82" spans="1:22">
      <c r="D82" s="865"/>
      <c r="E82" s="779" t="s">
        <v>3376</v>
      </c>
      <c r="F82" s="1689"/>
      <c r="G82" s="779">
        <v>1.21</v>
      </c>
      <c r="H82" s="779"/>
      <c r="I82" s="779"/>
      <c r="J82" s="1140"/>
      <c r="K82" s="779">
        <v>750</v>
      </c>
      <c r="L82" s="779">
        <f t="shared" si="5"/>
        <v>907.5</v>
      </c>
      <c r="M82" s="780"/>
      <c r="Q82" s="333">
        <v>4.4400000000000004</v>
      </c>
      <c r="R82" s="422">
        <v>6.13</v>
      </c>
      <c r="S82" s="336">
        <f>R82/Q82</f>
        <v>1.3806306306306304</v>
      </c>
      <c r="T82" s="336">
        <f>R82*0.25</f>
        <v>1.5325</v>
      </c>
      <c r="U82" s="336">
        <f>T82/G82</f>
        <v>1.2665289256198347</v>
      </c>
    </row>
    <row r="83" spans="1:22">
      <c r="D83" s="865"/>
      <c r="E83" s="779" t="s">
        <v>3377</v>
      </c>
      <c r="F83" s="1689"/>
      <c r="G83" s="779">
        <v>0.71</v>
      </c>
      <c r="H83" s="779"/>
      <c r="I83" s="779"/>
      <c r="J83" s="1140"/>
      <c r="K83" s="779">
        <v>750</v>
      </c>
      <c r="L83" s="779">
        <f t="shared" si="5"/>
        <v>532.5</v>
      </c>
      <c r="M83" s="780"/>
      <c r="Q83" s="333">
        <v>2.04</v>
      </c>
      <c r="R83" s="422">
        <v>2.85</v>
      </c>
      <c r="S83" s="336">
        <f>R83/Q83</f>
        <v>1.3970588235294117</v>
      </c>
      <c r="T83" s="336">
        <f>R83*0.25</f>
        <v>0.71250000000000002</v>
      </c>
      <c r="U83" s="336">
        <f>T83/G83</f>
        <v>1.0035211267605635</v>
      </c>
    </row>
    <row r="84" spans="1:22">
      <c r="D84" s="865"/>
      <c r="E84" s="528" t="s">
        <v>3378</v>
      </c>
      <c r="F84" s="1694"/>
      <c r="G84" s="528">
        <v>0.97</v>
      </c>
      <c r="H84" s="779"/>
      <c r="I84" s="779"/>
      <c r="J84" s="1140"/>
      <c r="K84" s="779">
        <v>750</v>
      </c>
      <c r="L84" s="779">
        <f t="shared" si="5"/>
        <v>727.5</v>
      </c>
      <c r="M84" s="780"/>
      <c r="Q84" s="333">
        <v>3.18</v>
      </c>
      <c r="R84" s="422">
        <v>4.45</v>
      </c>
      <c r="S84" s="336">
        <f>R84/Q84</f>
        <v>1.39937106918239</v>
      </c>
      <c r="T84" s="336">
        <f>R84*0.25</f>
        <v>1.1125</v>
      </c>
      <c r="U84" s="336">
        <f>T84/G84</f>
        <v>1.1469072164948455</v>
      </c>
    </row>
    <row r="85" spans="1:22">
      <c r="D85" s="865"/>
      <c r="E85" s="297" t="s">
        <v>3375</v>
      </c>
      <c r="F85" s="297"/>
      <c r="G85" s="297">
        <v>3.6</v>
      </c>
      <c r="H85" s="779"/>
      <c r="I85" s="779"/>
      <c r="J85" s="1140"/>
      <c r="K85" s="779">
        <v>750</v>
      </c>
      <c r="L85" s="779">
        <f t="shared" si="5"/>
        <v>2700</v>
      </c>
      <c r="M85" s="780"/>
    </row>
    <row r="86" spans="1:22" s="692" customFormat="1">
      <c r="A86" s="1594"/>
      <c r="B86" s="827"/>
      <c r="C86" s="1594"/>
      <c r="D86" s="865"/>
      <c r="E86" s="779" t="s">
        <v>3379</v>
      </c>
      <c r="F86" s="1689"/>
      <c r="G86" s="779">
        <v>2.7</v>
      </c>
      <c r="H86" s="779"/>
      <c r="I86" s="779"/>
      <c r="J86" s="1140"/>
      <c r="K86" s="779">
        <v>750</v>
      </c>
      <c r="L86" s="779">
        <f t="shared" si="5"/>
        <v>2025.0000000000002</v>
      </c>
      <c r="M86" s="780"/>
      <c r="N86" s="1058"/>
      <c r="O86" s="1181"/>
      <c r="P86" s="780"/>
      <c r="Q86" s="780"/>
      <c r="R86" s="422"/>
      <c r="S86" s="780"/>
      <c r="T86" s="422"/>
      <c r="U86" s="780"/>
    </row>
    <row r="87" spans="1:22">
      <c r="D87" s="865"/>
      <c r="E87" s="779" t="s">
        <v>3371</v>
      </c>
      <c r="F87" s="1689"/>
      <c r="G87" s="779">
        <v>0.82</v>
      </c>
      <c r="H87" s="779"/>
      <c r="I87" s="779"/>
      <c r="J87" s="1140"/>
      <c r="K87" s="779">
        <v>750</v>
      </c>
      <c r="L87" s="779">
        <f t="shared" si="5"/>
        <v>615</v>
      </c>
      <c r="M87" s="780"/>
    </row>
    <row r="88" spans="1:22">
      <c r="E88" s="101"/>
      <c r="F88" s="1692"/>
      <c r="G88" s="101"/>
      <c r="H88" s="101"/>
      <c r="I88" s="101"/>
      <c r="J88" s="101"/>
      <c r="K88" s="101" t="s">
        <v>1882</v>
      </c>
      <c r="L88" s="101">
        <f>SUM(L77:L87)</f>
        <v>41589</v>
      </c>
      <c r="M88" s="780"/>
    </row>
    <row r="89" spans="1:22">
      <c r="E89" s="2408" t="s">
        <v>2365</v>
      </c>
      <c r="F89" s="2408"/>
      <c r="G89" s="2408"/>
      <c r="H89" s="784"/>
      <c r="I89" s="784"/>
      <c r="J89" s="1146"/>
      <c r="K89" s="101" t="s">
        <v>1389</v>
      </c>
      <c r="L89" s="101">
        <v>4.63</v>
      </c>
      <c r="M89" s="780"/>
    </row>
    <row r="90" spans="1:22">
      <c r="E90" s="101"/>
      <c r="F90" s="1692"/>
      <c r="G90" s="101"/>
      <c r="H90" s="101"/>
      <c r="I90" s="101"/>
      <c r="J90" s="101"/>
      <c r="K90" s="101" t="s">
        <v>3346</v>
      </c>
      <c r="L90" s="101">
        <f>L88*L89</f>
        <v>192557.07</v>
      </c>
      <c r="M90" s="780"/>
    </row>
    <row r="95" spans="1:22" s="692" customFormat="1" ht="30">
      <c r="A95" s="1594"/>
      <c r="B95" s="827"/>
      <c r="C95" s="1594"/>
      <c r="D95" s="917" t="s">
        <v>116</v>
      </c>
      <c r="E95" s="309" t="s">
        <v>65</v>
      </c>
      <c r="F95" s="309"/>
      <c r="G95" s="309" t="s">
        <v>3407</v>
      </c>
      <c r="H95" s="309" t="s">
        <v>3372</v>
      </c>
      <c r="I95" s="309" t="s">
        <v>3373</v>
      </c>
      <c r="J95" s="309"/>
      <c r="K95" s="309" t="s">
        <v>3285</v>
      </c>
      <c r="L95" s="309" t="s">
        <v>3343</v>
      </c>
      <c r="M95" s="811"/>
      <c r="N95" s="811"/>
      <c r="O95" s="811"/>
      <c r="P95" s="794"/>
      <c r="Q95" s="794"/>
      <c r="R95" s="422"/>
      <c r="S95" s="794"/>
      <c r="T95" s="422"/>
      <c r="U95" s="794"/>
    </row>
    <row r="96" spans="1:22" s="692" customFormat="1">
      <c r="A96" s="1594"/>
      <c r="B96" s="827"/>
      <c r="C96" s="1594"/>
      <c r="D96" s="865"/>
      <c r="E96" s="297" t="s">
        <v>593</v>
      </c>
      <c r="F96" s="297"/>
      <c r="G96" s="297">
        <v>2.7</v>
      </c>
      <c r="H96" s="297">
        <v>5.6</v>
      </c>
      <c r="I96" s="809">
        <f>G96*H96</f>
        <v>15.12</v>
      </c>
      <c r="J96" s="809"/>
      <c r="K96" s="297">
        <v>750</v>
      </c>
      <c r="L96" s="297">
        <f>I96*K96</f>
        <v>11340</v>
      </c>
      <c r="M96" s="101"/>
      <c r="N96" s="101"/>
      <c r="O96" s="101"/>
      <c r="P96" s="794"/>
      <c r="Q96" s="794"/>
      <c r="R96" s="422"/>
      <c r="S96" s="794"/>
      <c r="T96" s="422"/>
      <c r="U96" s="794"/>
      <c r="V96" s="692" t="e">
        <f>L96+L97+L98+L99+L100+L101+L102+L103+#REF!+#REF!+#REF!</f>
        <v>#REF!</v>
      </c>
    </row>
    <row r="97" spans="1:28" s="692" customFormat="1">
      <c r="A97" s="1594"/>
      <c r="B97" s="827"/>
      <c r="C97" s="1594"/>
      <c r="D97" s="865"/>
      <c r="E97" s="297" t="s">
        <v>3406</v>
      </c>
      <c r="F97" s="297"/>
      <c r="G97" s="297">
        <v>4.5</v>
      </c>
      <c r="H97" s="297" t="s">
        <v>65</v>
      </c>
      <c r="I97" s="297"/>
      <c r="J97" s="297"/>
      <c r="K97" s="297">
        <v>750</v>
      </c>
      <c r="L97" s="297">
        <f>G97*K97</f>
        <v>3375</v>
      </c>
      <c r="M97" s="101"/>
      <c r="N97" s="101"/>
      <c r="O97" s="101"/>
      <c r="P97" s="794"/>
      <c r="Q97" s="794" t="s">
        <v>65</v>
      </c>
      <c r="R97" s="422"/>
      <c r="S97" s="794"/>
      <c r="T97" s="422"/>
      <c r="U97" s="794"/>
    </row>
    <row r="98" spans="1:28" s="692" customFormat="1">
      <c r="A98" s="1594"/>
      <c r="B98" s="827"/>
      <c r="C98" s="1594"/>
      <c r="D98" s="865"/>
      <c r="E98" s="297" t="s">
        <v>2549</v>
      </c>
      <c r="F98" s="297"/>
      <c r="G98" s="297">
        <v>5.9</v>
      </c>
      <c r="H98" s="297">
        <v>4</v>
      </c>
      <c r="I98" s="297">
        <f>G98*H98</f>
        <v>23.6</v>
      </c>
      <c r="J98" s="297"/>
      <c r="K98" s="297">
        <v>750</v>
      </c>
      <c r="L98" s="297">
        <f>I98*K98</f>
        <v>17700</v>
      </c>
      <c r="M98" s="101"/>
      <c r="N98" s="101"/>
      <c r="O98" s="101"/>
      <c r="P98" s="794"/>
      <c r="Q98" s="794"/>
      <c r="R98" s="422"/>
      <c r="S98" s="794"/>
      <c r="T98" s="422"/>
      <c r="U98" s="794"/>
    </row>
    <row r="99" spans="1:28" s="692" customFormat="1" ht="19.5" customHeight="1">
      <c r="A99" s="1594"/>
      <c r="B99" s="827"/>
      <c r="C99" s="1594"/>
      <c r="D99" s="865"/>
      <c r="E99" s="297" t="s">
        <v>2554</v>
      </c>
      <c r="F99" s="297"/>
      <c r="G99" s="297">
        <v>1.05</v>
      </c>
      <c r="H99" s="297">
        <v>2</v>
      </c>
      <c r="I99" s="297">
        <f>G99*H99</f>
        <v>2.1</v>
      </c>
      <c r="J99" s="297"/>
      <c r="K99" s="297">
        <v>750</v>
      </c>
      <c r="L99" s="297">
        <f>I99*K99</f>
        <v>1575</v>
      </c>
      <c r="M99" s="101"/>
      <c r="N99" s="101"/>
      <c r="O99" s="101"/>
      <c r="P99" s="362" t="s">
        <v>3381</v>
      </c>
      <c r="Q99" s="794"/>
      <c r="R99" s="422"/>
      <c r="S99" s="794"/>
      <c r="T99" s="422"/>
      <c r="U99" s="794"/>
    </row>
    <row r="100" spans="1:28" s="692" customFormat="1">
      <c r="A100" s="1594"/>
      <c r="B100" s="827"/>
      <c r="C100" s="1594"/>
      <c r="D100" s="865"/>
      <c r="E100" s="297" t="s">
        <v>3344</v>
      </c>
      <c r="F100" s="297"/>
      <c r="G100" s="297">
        <v>2.73</v>
      </c>
      <c r="H100" s="297"/>
      <c r="I100" s="297"/>
      <c r="J100" s="297"/>
      <c r="K100" s="297">
        <v>750</v>
      </c>
      <c r="L100" s="297">
        <f>G100*K100</f>
        <v>2047.5</v>
      </c>
      <c r="M100" s="101"/>
      <c r="N100" s="101"/>
      <c r="O100" s="101"/>
      <c r="P100" s="794"/>
      <c r="Q100" s="794" t="s">
        <v>3197</v>
      </c>
      <c r="R100" s="422" t="s">
        <v>1663</v>
      </c>
      <c r="S100" s="794"/>
      <c r="T100" s="422" t="s">
        <v>3380</v>
      </c>
      <c r="U100" s="794"/>
    </row>
    <row r="101" spans="1:28" s="692" customFormat="1">
      <c r="A101" s="1594"/>
      <c r="B101" s="827"/>
      <c r="C101" s="1594"/>
      <c r="D101" s="865"/>
      <c r="E101" s="297" t="s">
        <v>3403</v>
      </c>
      <c r="F101" s="297"/>
      <c r="G101" s="297">
        <v>1.21</v>
      </c>
      <c r="H101" s="297"/>
      <c r="I101" s="297"/>
      <c r="J101" s="297"/>
      <c r="K101" s="297">
        <v>750</v>
      </c>
      <c r="L101" s="297">
        <f>G101*K101</f>
        <v>907.5</v>
      </c>
      <c r="M101" s="101"/>
      <c r="N101" s="101"/>
      <c r="O101" s="101"/>
      <c r="P101" s="794"/>
      <c r="Q101" s="794">
        <v>4.4400000000000004</v>
      </c>
      <c r="R101" s="422">
        <v>6.13</v>
      </c>
      <c r="S101" s="336">
        <f>R101/Q101</f>
        <v>1.3806306306306304</v>
      </c>
      <c r="T101" s="336">
        <f>R101*0.25</f>
        <v>1.5325</v>
      </c>
      <c r="U101" s="336">
        <f>T101/G101</f>
        <v>1.2665289256198347</v>
      </c>
    </row>
    <row r="102" spans="1:28" s="692" customFormat="1">
      <c r="A102" s="1594"/>
      <c r="B102" s="827"/>
      <c r="C102" s="1594"/>
      <c r="D102" s="865"/>
      <c r="E102" s="297" t="s">
        <v>3404</v>
      </c>
      <c r="F102" s="297"/>
      <c r="G102" s="297">
        <v>0.71</v>
      </c>
      <c r="H102" s="297"/>
      <c r="I102" s="297"/>
      <c r="J102" s="297"/>
      <c r="K102" s="297">
        <v>750</v>
      </c>
      <c r="L102" s="297">
        <f>G102*K102</f>
        <v>532.5</v>
      </c>
      <c r="M102" s="101"/>
      <c r="N102" s="101"/>
      <c r="O102" s="101"/>
      <c r="P102" s="794"/>
      <c r="Q102" s="794">
        <v>2.04</v>
      </c>
      <c r="R102" s="422">
        <v>2.85</v>
      </c>
      <c r="S102" s="336">
        <f>R102/Q102</f>
        <v>1.3970588235294117</v>
      </c>
      <c r="T102" s="336">
        <f>R102*0.25</f>
        <v>0.71250000000000002</v>
      </c>
      <c r="U102" s="336">
        <f>T102/G102</f>
        <v>1.0035211267605635</v>
      </c>
    </row>
    <row r="103" spans="1:28" s="692" customFormat="1">
      <c r="A103" s="1594"/>
      <c r="B103" s="827"/>
      <c r="C103" s="1594"/>
      <c r="D103" s="865"/>
      <c r="E103" s="297" t="s">
        <v>3405</v>
      </c>
      <c r="F103" s="297"/>
      <c r="G103" s="297">
        <v>0.97</v>
      </c>
      <c r="H103" s="297"/>
      <c r="I103" s="297"/>
      <c r="J103" s="297"/>
      <c r="K103" s="297">
        <v>750</v>
      </c>
      <c r="L103" s="297">
        <f>G103*K103</f>
        <v>727.5</v>
      </c>
      <c r="M103" s="101"/>
      <c r="N103" s="101"/>
      <c r="O103" s="101"/>
      <c r="P103" s="794"/>
      <c r="Q103" s="794">
        <v>3.18</v>
      </c>
      <c r="R103" s="422">
        <v>4.45</v>
      </c>
      <c r="S103" s="336">
        <f>R103/Q103</f>
        <v>1.39937106918239</v>
      </c>
      <c r="T103" s="336">
        <f>R103*0.25</f>
        <v>1.1125</v>
      </c>
      <c r="U103" s="336">
        <f>T103/G103</f>
        <v>1.1469072164948455</v>
      </c>
    </row>
    <row r="104" spans="1:28" s="692" customFormat="1">
      <c r="A104" s="1594"/>
      <c r="B104" s="827"/>
      <c r="C104" s="1594"/>
      <c r="D104" s="809">
        <v>20749</v>
      </c>
      <c r="E104" s="297" t="s">
        <v>2555</v>
      </c>
      <c r="F104" s="810"/>
      <c r="G104" s="810">
        <v>2.8</v>
      </c>
      <c r="H104" s="810"/>
      <c r="I104" s="810"/>
      <c r="J104" s="810"/>
      <c r="K104" s="810"/>
      <c r="L104" s="810"/>
      <c r="M104" s="101"/>
      <c r="N104" s="101"/>
      <c r="O104" s="101"/>
      <c r="P104" s="794"/>
      <c r="Q104" s="794"/>
      <c r="R104" s="422"/>
      <c r="S104" s="794"/>
      <c r="T104" s="422"/>
      <c r="U104" s="794"/>
    </row>
    <row r="105" spans="1:28" s="692" customFormat="1">
      <c r="A105" s="1594"/>
      <c r="B105" s="827"/>
      <c r="C105" s="1594"/>
      <c r="D105" s="57"/>
      <c r="E105" s="101"/>
      <c r="F105" s="1692"/>
      <c r="G105" s="793">
        <f>SUM(G96:G104)</f>
        <v>22.570000000000004</v>
      </c>
      <c r="H105" s="793"/>
      <c r="I105" s="793"/>
      <c r="J105" s="1140"/>
      <c r="K105" s="793" t="s">
        <v>1882</v>
      </c>
      <c r="L105" s="793">
        <f>SUM(L96:L104)</f>
        <v>38205</v>
      </c>
      <c r="M105" s="793" t="s">
        <v>1882</v>
      </c>
      <c r="N105" s="104"/>
      <c r="O105" s="104"/>
      <c r="P105" s="794"/>
      <c r="Q105" s="794"/>
      <c r="R105" s="422"/>
      <c r="S105" s="794"/>
      <c r="T105" s="422"/>
      <c r="U105" s="794"/>
    </row>
    <row r="106" spans="1:28" s="692" customFormat="1" hidden="1">
      <c r="A106" s="1594"/>
      <c r="B106" s="827"/>
      <c r="C106" s="1594"/>
      <c r="D106" s="57"/>
      <c r="E106" s="2408" t="s">
        <v>2365</v>
      </c>
      <c r="F106" s="2408"/>
      <c r="G106" s="2408"/>
      <c r="H106" s="797"/>
      <c r="I106" s="797"/>
      <c r="J106" s="1146"/>
      <c r="K106" s="101" t="s">
        <v>1389</v>
      </c>
      <c r="L106" s="101">
        <v>4.63</v>
      </c>
      <c r="M106" s="794"/>
      <c r="N106" s="1058"/>
      <c r="O106" s="1181"/>
      <c r="P106" s="794"/>
      <c r="Q106" s="794"/>
      <c r="R106" s="422"/>
      <c r="S106" s="794"/>
      <c r="T106" s="422"/>
      <c r="U106" s="794"/>
    </row>
    <row r="107" spans="1:28" s="692" customFormat="1">
      <c r="A107" s="1594"/>
      <c r="B107" s="827"/>
      <c r="C107" s="1594"/>
      <c r="D107" s="57"/>
      <c r="E107" s="101"/>
      <c r="F107" s="1692"/>
      <c r="G107" s="101"/>
      <c r="H107" s="101"/>
      <c r="I107" s="101"/>
      <c r="J107" s="101"/>
      <c r="K107" s="101" t="s">
        <v>3346</v>
      </c>
      <c r="L107" s="101">
        <f>L105*L106</f>
        <v>176889.15</v>
      </c>
      <c r="M107" s="794"/>
      <c r="N107" s="1058"/>
      <c r="O107" s="1181"/>
      <c r="P107" s="794"/>
      <c r="Q107" s="794"/>
      <c r="R107" s="422"/>
      <c r="S107" s="794"/>
      <c r="T107" s="422"/>
      <c r="U107" s="794"/>
    </row>
    <row r="108" spans="1:28" s="692" customFormat="1">
      <c r="A108" s="1594"/>
      <c r="B108" s="827"/>
      <c r="C108" s="1594"/>
      <c r="D108" s="57"/>
      <c r="E108" s="794" t="s">
        <v>3425</v>
      </c>
      <c r="F108" s="1699"/>
      <c r="G108" s="794"/>
      <c r="H108" s="794"/>
      <c r="I108" s="794"/>
      <c r="J108" s="1141"/>
      <c r="K108" s="794"/>
      <c r="L108" s="794"/>
      <c r="M108" s="794"/>
      <c r="N108" s="1058"/>
      <c r="O108" s="1181"/>
      <c r="P108" s="794"/>
      <c r="Q108" s="794"/>
      <c r="R108" s="422"/>
      <c r="S108" s="794"/>
      <c r="T108" s="422"/>
      <c r="U108" s="794"/>
    </row>
    <row r="109" spans="1:28" ht="30">
      <c r="D109" s="917" t="s">
        <v>116</v>
      </c>
      <c r="E109" s="309" t="s">
        <v>65</v>
      </c>
      <c r="F109" s="309"/>
      <c r="G109" s="309" t="s">
        <v>2547</v>
      </c>
      <c r="H109" s="309" t="s">
        <v>246</v>
      </c>
      <c r="I109" s="309" t="s">
        <v>1662</v>
      </c>
      <c r="J109" s="309"/>
      <c r="K109" s="309" t="s">
        <v>3343</v>
      </c>
      <c r="L109" s="808"/>
      <c r="M109" s="646"/>
      <c r="N109" s="646"/>
      <c r="O109" s="646"/>
      <c r="P109" s="422"/>
      <c r="Y109" s="693"/>
      <c r="Z109" s="693" t="s">
        <v>3408</v>
      </c>
      <c r="AA109" s="795" t="s">
        <v>3409</v>
      </c>
      <c r="AB109" s="796" t="s">
        <v>3410</v>
      </c>
    </row>
    <row r="110" spans="1:28">
      <c r="D110" s="919"/>
      <c r="E110" s="528" t="s">
        <v>3421</v>
      </c>
      <c r="F110" s="1694"/>
      <c r="G110" s="528">
        <v>0.18</v>
      </c>
      <c r="H110" s="528">
        <v>1950</v>
      </c>
      <c r="I110" s="528"/>
      <c r="J110" s="528"/>
      <c r="K110" s="528">
        <f>H110*G110</f>
        <v>351</v>
      </c>
      <c r="L110" s="668"/>
      <c r="M110" s="325"/>
      <c r="N110" s="325"/>
      <c r="O110" s="325"/>
      <c r="P110" s="422"/>
      <c r="V110">
        <v>664</v>
      </c>
    </row>
    <row r="111" spans="1:28" s="692" customFormat="1">
      <c r="A111" s="1594"/>
      <c r="B111" s="827"/>
      <c r="C111" s="1594"/>
      <c r="D111" s="920"/>
      <c r="E111" s="310" t="s">
        <v>3417</v>
      </c>
      <c r="F111" s="310"/>
      <c r="G111" s="310">
        <v>0.45</v>
      </c>
      <c r="H111" s="310">
        <v>1950</v>
      </c>
      <c r="I111" s="310"/>
      <c r="J111" s="310"/>
      <c r="K111" s="528">
        <f>H111*G111</f>
        <v>877.5</v>
      </c>
      <c r="L111" s="607"/>
      <c r="M111" s="646"/>
      <c r="N111" s="646"/>
      <c r="O111" s="646"/>
      <c r="P111" s="422"/>
      <c r="Q111" s="805"/>
      <c r="R111" s="422"/>
      <c r="S111" s="805"/>
      <c r="T111" s="422"/>
      <c r="U111" s="805"/>
      <c r="Y111" s="693"/>
      <c r="Z111" s="693"/>
      <c r="AA111" s="806"/>
      <c r="AB111" s="807"/>
    </row>
    <row r="112" spans="1:28" s="692" customFormat="1">
      <c r="A112" s="1594"/>
      <c r="B112" s="827"/>
      <c r="C112" s="1594"/>
      <c r="D112" s="920"/>
      <c r="E112" s="310" t="s">
        <v>3418</v>
      </c>
      <c r="F112" s="310"/>
      <c r="G112" s="310">
        <v>0.19</v>
      </c>
      <c r="H112" s="310">
        <v>1950</v>
      </c>
      <c r="I112" s="310"/>
      <c r="J112" s="310"/>
      <c r="K112" s="528">
        <f>H112*G112</f>
        <v>370.5</v>
      </c>
      <c r="L112" s="607"/>
      <c r="M112" s="646"/>
      <c r="N112" s="646"/>
      <c r="O112" s="646"/>
      <c r="P112" s="422"/>
      <c r="Q112" s="805"/>
      <c r="R112" s="422"/>
      <c r="S112" s="805"/>
      <c r="T112" s="422"/>
      <c r="U112" s="805"/>
      <c r="Y112" s="693"/>
      <c r="Z112" s="693"/>
      <c r="AA112" s="806"/>
      <c r="AB112" s="807"/>
    </row>
    <row r="113" spans="1:36">
      <c r="D113" s="865"/>
      <c r="E113" s="804" t="s">
        <v>3424</v>
      </c>
      <c r="F113" s="1689"/>
      <c r="G113" s="804">
        <v>3.72</v>
      </c>
      <c r="H113" s="804"/>
      <c r="I113" s="804">
        <v>292.5</v>
      </c>
      <c r="J113" s="1140"/>
      <c r="K113" s="528">
        <f>I113*G113</f>
        <v>1088.1000000000001</v>
      </c>
      <c r="L113" s="668"/>
      <c r="M113" s="805"/>
      <c r="P113" s="422"/>
      <c r="Y113" s="57" t="e">
        <f>Y114/24</f>
        <v>#REF!</v>
      </c>
    </row>
    <row r="114" spans="1:36">
      <c r="D114" s="865"/>
      <c r="E114" s="804" t="s">
        <v>3422</v>
      </c>
      <c r="F114" s="1689"/>
      <c r="G114" s="52">
        <v>2.6</v>
      </c>
      <c r="H114" s="804"/>
      <c r="I114" s="804">
        <v>210.2</v>
      </c>
      <c r="J114" s="1140"/>
      <c r="K114" s="528">
        <f>I114*G114</f>
        <v>546.52</v>
      </c>
      <c r="L114" s="668"/>
      <c r="M114" s="805"/>
      <c r="P114" s="422"/>
      <c r="Y114" s="336" t="e">
        <f>#REF!/#REF!</f>
        <v>#REF!</v>
      </c>
      <c r="Z114" s="135">
        <v>250</v>
      </c>
      <c r="AJ114" s="57" t="e">
        <f>AJ115/24</f>
        <v>#REF!</v>
      </c>
    </row>
    <row r="115" spans="1:36">
      <c r="D115" s="865"/>
      <c r="E115" s="804" t="s">
        <v>3423</v>
      </c>
      <c r="F115" s="1689"/>
      <c r="G115" s="52">
        <v>5.0999999999999996</v>
      </c>
      <c r="H115" s="804"/>
      <c r="I115" s="804">
        <v>317</v>
      </c>
      <c r="J115" s="1140"/>
      <c r="K115" s="528">
        <f>I115*G115</f>
        <v>1616.6999999999998</v>
      </c>
      <c r="L115" s="668"/>
      <c r="M115" s="805"/>
      <c r="P115" s="422"/>
      <c r="Y115" t="s">
        <v>3410</v>
      </c>
      <c r="AJ115" t="e">
        <f>#REF!/2</f>
        <v>#REF!</v>
      </c>
    </row>
    <row r="116" spans="1:36">
      <c r="D116" s="865"/>
      <c r="E116" s="804" t="s">
        <v>3419</v>
      </c>
      <c r="F116" s="1689"/>
      <c r="G116" s="52">
        <v>5.8</v>
      </c>
      <c r="H116" s="804"/>
      <c r="I116" s="804">
        <v>3770</v>
      </c>
      <c r="J116" s="1140"/>
      <c r="K116" s="528">
        <f>I116*G116</f>
        <v>21866</v>
      </c>
      <c r="L116" s="668"/>
      <c r="M116" s="805"/>
      <c r="P116" s="422"/>
      <c r="Y116" s="693">
        <v>1920.3</v>
      </c>
      <c r="Z116" s="796">
        <v>600</v>
      </c>
      <c r="AA116" s="796">
        <f>Z116/12</f>
        <v>50</v>
      </c>
      <c r="AB116" s="6">
        <f>Y116/AA116</f>
        <v>38.405999999999999</v>
      </c>
      <c r="AF116" t="e">
        <f>SUM(#REF!)</f>
        <v>#REF!</v>
      </c>
      <c r="AG116">
        <v>150</v>
      </c>
      <c r="AI116" t="e">
        <f>SUM(#REF!)</f>
        <v>#REF!</v>
      </c>
      <c r="AJ116">
        <v>100</v>
      </c>
    </row>
    <row r="117" spans="1:36" s="692" customFormat="1">
      <c r="A117" s="1594"/>
      <c r="B117" s="827"/>
      <c r="C117" s="1594"/>
      <c r="D117" s="865"/>
      <c r="E117" s="804" t="s">
        <v>3420</v>
      </c>
      <c r="F117" s="1689"/>
      <c r="G117" s="52">
        <v>4</v>
      </c>
      <c r="H117" s="804"/>
      <c r="I117" s="804">
        <v>5883.4</v>
      </c>
      <c r="J117" s="1140"/>
      <c r="K117" s="528">
        <f>I117*G117</f>
        <v>23533.599999999999</v>
      </c>
      <c r="L117" s="668"/>
      <c r="M117" s="805"/>
      <c r="N117" s="1058"/>
      <c r="O117" s="1181"/>
      <c r="P117" s="422"/>
      <c r="Q117" s="805"/>
      <c r="R117" s="422"/>
      <c r="S117" s="805"/>
      <c r="T117" s="422"/>
      <c r="U117" s="805"/>
      <c r="Y117" s="57"/>
    </row>
    <row r="118" spans="1:36">
      <c r="K118" s="101">
        <f>SUM(K110:K117)</f>
        <v>50249.919999999998</v>
      </c>
    </row>
    <row r="119" spans="1:36">
      <c r="E119" s="31" t="s">
        <v>22</v>
      </c>
    </row>
    <row r="120" spans="1:36" ht="42.75" customHeight="1">
      <c r="E120" s="814"/>
      <c r="F120" s="1689"/>
      <c r="G120" s="309" t="s">
        <v>246</v>
      </c>
      <c r="H120" s="309" t="s">
        <v>3343</v>
      </c>
    </row>
    <row r="121" spans="1:36">
      <c r="E121" s="814" t="s">
        <v>3429</v>
      </c>
      <c r="F121" s="1689"/>
      <c r="G121" s="814">
        <v>4</v>
      </c>
      <c r="H121" s="814">
        <v>4.4000000000000004</v>
      </c>
      <c r="V121">
        <f>6.13*15</f>
        <v>91.95</v>
      </c>
      <c r="X121">
        <v>6.13</v>
      </c>
    </row>
    <row r="122" spans="1:36">
      <c r="E122" s="814" t="s">
        <v>3427</v>
      </c>
      <c r="F122" s="1689"/>
      <c r="G122" s="814">
        <v>2</v>
      </c>
      <c r="H122" s="814">
        <v>2.96</v>
      </c>
      <c r="K122" s="31">
        <f>H122/G121:G122</f>
        <v>1.48</v>
      </c>
    </row>
    <row r="123" spans="1:36">
      <c r="E123" s="814" t="s">
        <v>3428</v>
      </c>
      <c r="F123" s="1689"/>
      <c r="G123" s="814">
        <v>2</v>
      </c>
      <c r="H123" s="814">
        <v>3.26</v>
      </c>
    </row>
    <row r="124" spans="1:36">
      <c r="E124" s="814" t="s">
        <v>3430</v>
      </c>
      <c r="F124" s="1689"/>
      <c r="G124" s="814">
        <v>2</v>
      </c>
      <c r="H124" s="814">
        <v>1.4</v>
      </c>
      <c r="X124">
        <f>4.44*15</f>
        <v>66.600000000000009</v>
      </c>
    </row>
    <row r="125" spans="1:36">
      <c r="E125" s="814" t="s">
        <v>3431</v>
      </c>
      <c r="F125" s="1689"/>
      <c r="G125" s="814">
        <v>1</v>
      </c>
      <c r="H125" s="814">
        <v>2.99</v>
      </c>
    </row>
    <row r="126" spans="1:36">
      <c r="E126" s="814" t="s">
        <v>3432</v>
      </c>
      <c r="F126" s="1689"/>
      <c r="G126" s="814">
        <v>1</v>
      </c>
      <c r="H126" s="814">
        <v>0.3</v>
      </c>
      <c r="W126">
        <f>4.45*10</f>
        <v>44.5</v>
      </c>
    </row>
    <row r="127" spans="1:36">
      <c r="E127" s="814" t="s">
        <v>3433</v>
      </c>
      <c r="F127" s="1689"/>
      <c r="G127" s="814">
        <v>2</v>
      </c>
      <c r="H127" s="814">
        <v>2.2999999999999998</v>
      </c>
    </row>
    <row r="128" spans="1:36">
      <c r="E128" s="814" t="s">
        <v>3287</v>
      </c>
      <c r="F128" s="1689"/>
      <c r="G128" s="814">
        <v>1</v>
      </c>
      <c r="H128" s="814">
        <v>1.38</v>
      </c>
      <c r="L128" s="766">
        <v>1000</v>
      </c>
      <c r="M128" s="333">
        <v>1000</v>
      </c>
    </row>
    <row r="129" spans="1:21">
      <c r="E129" s="814" t="s">
        <v>1343</v>
      </c>
      <c r="F129" s="1689"/>
      <c r="G129" s="814">
        <v>1</v>
      </c>
      <c r="H129" s="814">
        <v>1.35</v>
      </c>
      <c r="L129" s="766">
        <v>21.69</v>
      </c>
      <c r="M129" s="333">
        <v>23.2</v>
      </c>
    </row>
    <row r="130" spans="1:21">
      <c r="E130" s="814" t="s">
        <v>3434</v>
      </c>
      <c r="F130" s="1689"/>
      <c r="G130" s="814">
        <v>1</v>
      </c>
      <c r="H130" s="814">
        <v>1.35</v>
      </c>
      <c r="L130" s="766">
        <f>+L128*L129</f>
        <v>21690</v>
      </c>
      <c r="M130" s="333">
        <f>+M128*M129</f>
        <v>23200</v>
      </c>
    </row>
    <row r="131" spans="1:21">
      <c r="E131" s="101"/>
      <c r="F131" s="1692"/>
      <c r="G131" s="101"/>
      <c r="H131" s="101">
        <f>SUM(H121:H130)</f>
        <v>21.690000000000005</v>
      </c>
    </row>
    <row r="132" spans="1:21" ht="15.75" thickBot="1"/>
    <row r="133" spans="1:21" ht="30">
      <c r="D133" s="921" t="s">
        <v>116</v>
      </c>
      <c r="E133" s="624" t="s">
        <v>65</v>
      </c>
      <c r="F133" s="624"/>
      <c r="G133" s="624" t="s">
        <v>3407</v>
      </c>
      <c r="H133" s="624" t="s">
        <v>1662</v>
      </c>
      <c r="I133" s="831" t="s">
        <v>3343</v>
      </c>
      <c r="J133" s="1166"/>
      <c r="K133" s="811"/>
      <c r="L133" s="333"/>
      <c r="P133" s="422"/>
      <c r="Q133" s="413"/>
      <c r="S133" s="333"/>
      <c r="T133"/>
      <c r="U133"/>
    </row>
    <row r="134" spans="1:21">
      <c r="D134" s="922"/>
      <c r="E134" s="297" t="s">
        <v>2554</v>
      </c>
      <c r="F134" s="297"/>
      <c r="G134" s="297">
        <v>1.05</v>
      </c>
      <c r="H134" s="297">
        <v>1400</v>
      </c>
      <c r="I134" s="832">
        <f>G134*H134</f>
        <v>1470</v>
      </c>
      <c r="J134" s="1170"/>
      <c r="K134" s="101"/>
      <c r="L134" s="333"/>
      <c r="P134" s="422"/>
      <c r="Q134" s="413"/>
      <c r="S134" s="333"/>
      <c r="T134"/>
      <c r="U134"/>
    </row>
    <row r="135" spans="1:21">
      <c r="D135" s="922"/>
      <c r="E135" s="297" t="s">
        <v>3477</v>
      </c>
      <c r="F135" s="297"/>
      <c r="G135" s="297">
        <v>4.84</v>
      </c>
      <c r="H135" s="297">
        <v>88</v>
      </c>
      <c r="I135" s="832">
        <f>G135*H135</f>
        <v>425.91999999999996</v>
      </c>
      <c r="J135" s="1170"/>
      <c r="K135" s="101"/>
      <c r="L135" s="333"/>
      <c r="P135" s="422"/>
      <c r="Q135" s="413"/>
      <c r="S135" s="333"/>
      <c r="T135"/>
      <c r="U135"/>
    </row>
    <row r="136" spans="1:21">
      <c r="D136" s="922"/>
      <c r="E136" s="297" t="s">
        <v>3476</v>
      </c>
      <c r="F136" s="297"/>
      <c r="G136" s="297">
        <v>2.84</v>
      </c>
      <c r="H136" s="297">
        <v>88</v>
      </c>
      <c r="I136" s="832">
        <f>G136*H136</f>
        <v>249.92</v>
      </c>
      <c r="J136" s="1170"/>
      <c r="K136" s="101"/>
      <c r="L136" s="333"/>
      <c r="P136" s="422"/>
      <c r="Q136" s="413"/>
      <c r="S136" s="333"/>
      <c r="T136"/>
      <c r="U136"/>
    </row>
    <row r="137" spans="1:21">
      <c r="D137" s="922"/>
      <c r="E137" s="297" t="s">
        <v>3475</v>
      </c>
      <c r="F137" s="297"/>
      <c r="G137" s="297">
        <v>3.88</v>
      </c>
      <c r="H137" s="297">
        <v>88</v>
      </c>
      <c r="I137" s="832">
        <f>G137*H137</f>
        <v>341.44</v>
      </c>
      <c r="J137" s="1170"/>
      <c r="K137" s="101"/>
      <c r="L137" s="333"/>
      <c r="P137" s="422"/>
      <c r="Q137" s="413"/>
      <c r="S137" s="333"/>
      <c r="T137"/>
      <c r="U137"/>
    </row>
    <row r="138" spans="1:21" ht="15.75" thickBot="1">
      <c r="D138" s="923">
        <v>20749</v>
      </c>
      <c r="E138" s="800" t="s">
        <v>3474</v>
      </c>
      <c r="F138" s="800"/>
      <c r="G138" s="834">
        <v>0.9</v>
      </c>
      <c r="H138" s="800">
        <v>1400</v>
      </c>
      <c r="I138" s="833">
        <f>G138*H138</f>
        <v>1260</v>
      </c>
      <c r="J138" s="1170"/>
      <c r="K138" s="101"/>
      <c r="L138" s="333"/>
      <c r="P138" s="422"/>
      <c r="Q138" s="413"/>
      <c r="S138" s="333"/>
      <c r="T138"/>
      <c r="U138"/>
    </row>
    <row r="139" spans="1:21" ht="17.25" customHeight="1">
      <c r="H139" s="524" t="s">
        <v>1882</v>
      </c>
      <c r="I139" s="101">
        <f>SUM(I134:I138)</f>
        <v>3747.28</v>
      </c>
      <c r="J139" s="101"/>
    </row>
    <row r="140" spans="1:21" s="827" customFormat="1" ht="17.25" customHeight="1">
      <c r="A140" s="1594"/>
      <c r="C140" s="1594"/>
      <c r="D140" s="57"/>
      <c r="E140" s="830"/>
      <c r="F140" s="1699"/>
      <c r="G140" s="830"/>
      <c r="H140" s="104"/>
      <c r="I140" s="101"/>
      <c r="J140" s="101"/>
      <c r="K140" s="830"/>
      <c r="L140" s="830"/>
      <c r="M140" s="830"/>
      <c r="N140" s="1058"/>
      <c r="O140" s="1181"/>
      <c r="P140" s="830"/>
      <c r="Q140" s="830"/>
      <c r="R140" s="422"/>
      <c r="S140" s="830"/>
      <c r="T140" s="422"/>
      <c r="U140" s="830"/>
    </row>
    <row r="141" spans="1:21" s="827" customFormat="1" ht="17.25" customHeight="1">
      <c r="A141" s="1594"/>
      <c r="C141" s="1594"/>
      <c r="D141" s="57"/>
      <c r="E141" s="830"/>
      <c r="F141" s="1699"/>
      <c r="G141" s="830"/>
      <c r="H141" s="104"/>
      <c r="I141" s="101"/>
      <c r="J141" s="101"/>
      <c r="K141" s="830"/>
      <c r="L141" s="830"/>
      <c r="M141" s="830"/>
      <c r="N141" s="1058"/>
      <c r="O141" s="1181"/>
      <c r="P141" s="830"/>
      <c r="Q141" s="830"/>
      <c r="R141" s="422"/>
      <c r="S141" s="830"/>
      <c r="T141" s="422"/>
      <c r="U141" s="830"/>
    </row>
    <row r="142" spans="1:21" s="827" customFormat="1" ht="17.25" customHeight="1">
      <c r="A142" s="1594"/>
      <c r="C142" s="1594"/>
      <c r="D142" s="57"/>
      <c r="E142" s="830"/>
      <c r="F142" s="1699"/>
      <c r="G142" s="830"/>
      <c r="H142" s="104"/>
      <c r="I142" s="101"/>
      <c r="J142" s="101"/>
      <c r="K142" s="830"/>
      <c r="L142" s="830"/>
      <c r="M142" s="830"/>
      <c r="N142" s="1058"/>
      <c r="O142" s="1181"/>
      <c r="P142" s="830"/>
      <c r="Q142" s="830"/>
      <c r="R142" s="422"/>
      <c r="S142" s="830"/>
      <c r="T142" s="422"/>
      <c r="U142" s="830"/>
    </row>
    <row r="143" spans="1:21" s="827" customFormat="1" ht="17.25" customHeight="1" thickBot="1">
      <c r="A143" s="1594"/>
      <c r="C143" s="1594"/>
      <c r="D143" s="57"/>
      <c r="E143" s="830"/>
      <c r="F143" s="1699"/>
      <c r="G143" s="830"/>
      <c r="H143" s="104"/>
      <c r="I143" s="101"/>
      <c r="J143" s="101"/>
      <c r="K143" s="830"/>
      <c r="L143" s="830"/>
      <c r="M143" s="830"/>
      <c r="N143" s="1058"/>
      <c r="O143" s="1181"/>
      <c r="P143" s="830"/>
      <c r="Q143" s="830"/>
      <c r="R143" s="422"/>
      <c r="S143" s="830"/>
      <c r="T143" s="422"/>
      <c r="U143" s="830"/>
    </row>
    <row r="144" spans="1:21" s="827" customFormat="1" ht="45" customHeight="1">
      <c r="A144" s="1594"/>
      <c r="C144" s="1594"/>
      <c r="D144" s="921" t="s">
        <v>116</v>
      </c>
      <c r="E144" s="624" t="s">
        <v>65</v>
      </c>
      <c r="F144" s="624"/>
      <c r="G144" s="624" t="s">
        <v>3407</v>
      </c>
      <c r="H144" s="624" t="s">
        <v>1662</v>
      </c>
      <c r="I144" s="831" t="s">
        <v>3343</v>
      </c>
      <c r="J144" s="1166"/>
      <c r="K144" s="830"/>
      <c r="L144" s="830"/>
      <c r="M144" s="830"/>
      <c r="N144" s="1058"/>
      <c r="O144" s="1181"/>
      <c r="P144" s="830"/>
      <c r="Q144" s="830"/>
      <c r="R144" s="422"/>
      <c r="S144" s="830"/>
      <c r="T144" s="422"/>
      <c r="U144" s="830"/>
    </row>
    <row r="145" spans="1:21" s="827" customFormat="1" ht="17.25" customHeight="1">
      <c r="A145" s="1594"/>
      <c r="C145" s="1594"/>
      <c r="D145" s="57"/>
      <c r="E145" s="830"/>
      <c r="F145" s="1699"/>
      <c r="G145" s="830"/>
      <c r="H145" s="104"/>
      <c r="I145" s="101"/>
      <c r="J145" s="101"/>
      <c r="K145" s="830"/>
      <c r="L145" s="830"/>
      <c r="M145" s="830"/>
      <c r="N145" s="1058"/>
      <c r="O145" s="1181"/>
      <c r="P145" s="830"/>
      <c r="Q145" s="830"/>
      <c r="R145" s="422"/>
      <c r="S145" s="830"/>
      <c r="T145" s="422"/>
      <c r="U145" s="830"/>
    </row>
    <row r="146" spans="1:21" s="827" customFormat="1" ht="17.25" customHeight="1">
      <c r="A146" s="1594"/>
      <c r="C146" s="1594"/>
      <c r="D146" s="57"/>
      <c r="E146" s="830"/>
      <c r="F146" s="1699"/>
      <c r="G146" s="830"/>
      <c r="H146" s="104"/>
      <c r="I146" s="101"/>
      <c r="J146" s="101"/>
      <c r="K146" s="830"/>
      <c r="L146" s="830"/>
      <c r="M146" s="830"/>
      <c r="N146" s="1058"/>
      <c r="O146" s="1181"/>
      <c r="P146" s="830"/>
      <c r="Q146" s="830"/>
      <c r="R146" s="422"/>
      <c r="S146" s="830"/>
      <c r="T146" s="422"/>
      <c r="U146" s="830"/>
    </row>
    <row r="151" spans="1:21">
      <c r="E151" s="101"/>
      <c r="F151" s="1692"/>
      <c r="G151" s="820"/>
      <c r="H151" s="820"/>
      <c r="I151" s="820"/>
      <c r="J151" s="104"/>
      <c r="L151" s="820">
        <f>SUM(I134:I138)</f>
        <v>3747.28</v>
      </c>
      <c r="M151" s="820" t="s">
        <v>1882</v>
      </c>
      <c r="N151" s="104"/>
      <c r="O151" s="104"/>
    </row>
    <row r="152" spans="1:21">
      <c r="E152" s="2408" t="s">
        <v>2365</v>
      </c>
      <c r="F152" s="2408"/>
      <c r="G152" s="2408"/>
      <c r="H152" s="822"/>
      <c r="I152" s="822"/>
      <c r="J152" s="1146"/>
      <c r="K152" s="101" t="s">
        <v>1389</v>
      </c>
      <c r="L152" s="101">
        <v>4.63</v>
      </c>
      <c r="M152" s="821"/>
    </row>
    <row r="153" spans="1:21">
      <c r="E153" s="101"/>
      <c r="F153" s="1692"/>
      <c r="G153" s="101"/>
      <c r="H153" s="101"/>
      <c r="I153" s="101"/>
      <c r="J153" s="101"/>
      <c r="K153" s="101" t="s">
        <v>3346</v>
      </c>
      <c r="L153" s="101">
        <f>L151*L152</f>
        <v>17349.9064</v>
      </c>
      <c r="M153" s="821"/>
    </row>
    <row r="156" spans="1:21" ht="15.75" thickBot="1"/>
    <row r="157" spans="1:21" ht="30">
      <c r="D157" s="921" t="s">
        <v>116</v>
      </c>
      <c r="E157" s="624" t="s">
        <v>65</v>
      </c>
      <c r="F157" s="624"/>
      <c r="G157" s="624" t="s">
        <v>3407</v>
      </c>
      <c r="H157" s="624" t="s">
        <v>1662</v>
      </c>
      <c r="I157" s="831" t="s">
        <v>3343</v>
      </c>
      <c r="J157" s="1166"/>
    </row>
    <row r="158" spans="1:21">
      <c r="D158" s="922"/>
      <c r="E158" s="297" t="s">
        <v>2554</v>
      </c>
      <c r="F158" s="297"/>
      <c r="G158" s="297">
        <v>1.05</v>
      </c>
      <c r="H158" s="297">
        <v>1400</v>
      </c>
      <c r="I158" s="832">
        <f>G158*H158</f>
        <v>1470</v>
      </c>
      <c r="J158" s="1170"/>
    </row>
    <row r="159" spans="1:21">
      <c r="D159" s="922"/>
      <c r="E159" s="297" t="s">
        <v>3477</v>
      </c>
      <c r="F159" s="297"/>
      <c r="G159" s="297">
        <v>4.84</v>
      </c>
      <c r="H159" s="297">
        <v>105</v>
      </c>
      <c r="I159" s="832">
        <f>G159*H159</f>
        <v>508.2</v>
      </c>
      <c r="J159" s="1170"/>
    </row>
    <row r="160" spans="1:21">
      <c r="D160" s="922"/>
      <c r="E160" s="297" t="s">
        <v>3476</v>
      </c>
      <c r="F160" s="297"/>
      <c r="G160" s="297">
        <v>2.84</v>
      </c>
      <c r="H160" s="297">
        <v>105</v>
      </c>
      <c r="I160" s="832">
        <f>G160*H160</f>
        <v>298.2</v>
      </c>
      <c r="J160" s="1170"/>
    </row>
    <row r="161" spans="4:21">
      <c r="D161" s="922"/>
      <c r="E161" s="297" t="s">
        <v>3475</v>
      </c>
      <c r="F161" s="297"/>
      <c r="G161" s="297">
        <v>3.88</v>
      </c>
      <c r="H161" s="297">
        <v>105</v>
      </c>
      <c r="I161" s="832">
        <f>G161*H161</f>
        <v>407.4</v>
      </c>
      <c r="J161" s="1170"/>
    </row>
    <row r="162" spans="4:21" ht="15.75" thickBot="1">
      <c r="D162" s="923">
        <v>20749</v>
      </c>
      <c r="E162" s="800" t="s">
        <v>3474</v>
      </c>
      <c r="F162" s="800"/>
      <c r="G162" s="834">
        <v>0.9</v>
      </c>
      <c r="H162" s="800">
        <v>1400</v>
      </c>
      <c r="I162" s="833">
        <f>G162*H162</f>
        <v>1260</v>
      </c>
      <c r="J162" s="1170"/>
    </row>
    <row r="163" spans="4:21">
      <c r="E163" s="821"/>
      <c r="G163" s="821"/>
      <c r="H163" s="524" t="s">
        <v>1882</v>
      </c>
      <c r="I163" s="101">
        <f>SUM(I158:I162)</f>
        <v>3943.8</v>
      </c>
      <c r="J163" s="101"/>
    </row>
    <row r="165" spans="4:21">
      <c r="D165" s="924"/>
      <c r="E165" s="101"/>
      <c r="F165" s="1692"/>
      <c r="G165" s="101"/>
      <c r="H165" s="101"/>
      <c r="I165" s="101"/>
      <c r="J165" s="101"/>
      <c r="K165" s="101"/>
      <c r="L165" s="101"/>
    </row>
    <row r="166" spans="4:21" ht="15.75" thickBot="1">
      <c r="D166" s="924"/>
      <c r="E166" s="101"/>
      <c r="F166" s="1692"/>
      <c r="G166" s="101"/>
      <c r="H166" s="101"/>
      <c r="I166" s="101"/>
      <c r="J166" s="101"/>
      <c r="K166" s="101"/>
      <c r="L166" s="101"/>
    </row>
    <row r="167" spans="4:21" ht="30">
      <c r="D167" s="925" t="s">
        <v>65</v>
      </c>
      <c r="E167" s="624" t="s">
        <v>65</v>
      </c>
      <c r="F167" s="624"/>
      <c r="G167" s="624" t="s">
        <v>3407</v>
      </c>
      <c r="H167" s="624" t="s">
        <v>3372</v>
      </c>
      <c r="I167" s="624" t="s">
        <v>3285</v>
      </c>
      <c r="J167" s="1167"/>
      <c r="K167" s="831" t="s">
        <v>3343</v>
      </c>
      <c r="L167" s="811"/>
      <c r="Q167" s="422"/>
      <c r="R167" s="413"/>
      <c r="S167" s="422"/>
      <c r="T167" s="333"/>
      <c r="U167"/>
    </row>
    <row r="168" spans="4:21">
      <c r="D168" s="926"/>
      <c r="E168" s="297" t="s">
        <v>2554</v>
      </c>
      <c r="F168" s="297"/>
      <c r="G168" s="297">
        <v>1.05</v>
      </c>
      <c r="H168" s="297">
        <v>1400</v>
      </c>
      <c r="I168" s="297">
        <v>1400</v>
      </c>
      <c r="J168" s="1168"/>
      <c r="K168" s="832">
        <f>+H168*G168</f>
        <v>1470</v>
      </c>
      <c r="L168" s="101"/>
      <c r="Q168" s="422"/>
      <c r="R168" s="413"/>
      <c r="S168" s="422"/>
      <c r="T168" s="333"/>
      <c r="U168"/>
    </row>
    <row r="169" spans="4:21">
      <c r="D169" s="926"/>
      <c r="E169" s="297" t="s">
        <v>3479</v>
      </c>
      <c r="F169" s="297"/>
      <c r="G169" s="297">
        <v>4.84</v>
      </c>
      <c r="H169" s="297">
        <v>140</v>
      </c>
      <c r="I169" s="297" t="s">
        <v>3478</v>
      </c>
      <c r="J169" s="1168"/>
      <c r="K169" s="832">
        <f>+H169*G169</f>
        <v>677.6</v>
      </c>
      <c r="L169" s="101"/>
      <c r="Q169" s="422"/>
      <c r="R169" s="413"/>
      <c r="S169" s="422"/>
      <c r="T169" s="333"/>
      <c r="U169"/>
    </row>
    <row r="170" spans="4:21">
      <c r="D170" s="926"/>
      <c r="E170" s="297" t="s">
        <v>3480</v>
      </c>
      <c r="F170" s="297"/>
      <c r="G170" s="297">
        <v>2.84</v>
      </c>
      <c r="H170" s="297">
        <v>140</v>
      </c>
      <c r="I170" s="297" t="s">
        <v>3478</v>
      </c>
      <c r="J170" s="1168"/>
      <c r="K170" s="832">
        <f>+H170*G170</f>
        <v>397.59999999999997</v>
      </c>
      <c r="L170" s="101"/>
      <c r="Q170" s="422"/>
      <c r="R170" s="413"/>
      <c r="S170" s="422"/>
      <c r="T170" s="333"/>
      <c r="U170"/>
    </row>
    <row r="171" spans="4:21">
      <c r="D171" s="926"/>
      <c r="E171" s="297" t="s">
        <v>3481</v>
      </c>
      <c r="F171" s="297"/>
      <c r="G171" s="297">
        <v>3.88</v>
      </c>
      <c r="H171" s="297">
        <v>140</v>
      </c>
      <c r="I171" s="297" t="s">
        <v>3478</v>
      </c>
      <c r="J171" s="1168"/>
      <c r="K171" s="832">
        <f>+H171*G171</f>
        <v>543.19999999999993</v>
      </c>
      <c r="L171" s="101"/>
      <c r="Q171" s="422"/>
      <c r="R171" s="413"/>
      <c r="S171" s="422"/>
      <c r="T171" s="333"/>
      <c r="U171"/>
    </row>
    <row r="172" spans="4:21" ht="15.75" thickBot="1">
      <c r="D172" s="927" t="s">
        <v>65</v>
      </c>
      <c r="E172" s="800" t="s">
        <v>3474</v>
      </c>
      <c r="F172" s="800"/>
      <c r="G172" s="834">
        <v>0.9</v>
      </c>
      <c r="H172" s="800">
        <v>1400</v>
      </c>
      <c r="I172" s="800">
        <v>1400</v>
      </c>
      <c r="J172" s="1169"/>
      <c r="K172" s="833">
        <f>+H172*G172</f>
        <v>1260</v>
      </c>
      <c r="L172" s="101"/>
      <c r="Q172" s="422"/>
      <c r="R172" s="413"/>
      <c r="S172" s="422"/>
      <c r="T172" s="333"/>
      <c r="U172"/>
    </row>
    <row r="173" spans="4:21" ht="15.75" thickBot="1">
      <c r="D173" s="924"/>
      <c r="E173" s="101"/>
      <c r="F173" s="1692"/>
      <c r="G173" s="101"/>
      <c r="H173" s="101"/>
      <c r="I173" s="402" t="s">
        <v>1882</v>
      </c>
      <c r="J173" s="1144"/>
      <c r="K173" s="835">
        <f>SUM(K168:K172)</f>
        <v>4348.3999999999996</v>
      </c>
      <c r="L173" s="101"/>
    </row>
    <row r="178" spans="4:22" ht="19.5">
      <c r="E178" s="884" t="s">
        <v>3688</v>
      </c>
      <c r="F178" s="1721"/>
      <c r="Q178" s="885">
        <v>0.1</v>
      </c>
    </row>
    <row r="179" spans="4:22" ht="45">
      <c r="D179" s="928" t="s">
        <v>65</v>
      </c>
      <c r="E179" s="309" t="s">
        <v>65</v>
      </c>
      <c r="F179" s="309"/>
      <c r="G179" s="309" t="s">
        <v>3407</v>
      </c>
      <c r="H179" s="309" t="s">
        <v>3372</v>
      </c>
      <c r="I179" s="309" t="s">
        <v>3285</v>
      </c>
      <c r="J179" s="309"/>
      <c r="K179" s="309" t="s">
        <v>3343</v>
      </c>
      <c r="P179" s="857" t="s">
        <v>559</v>
      </c>
      <c r="Q179" s="857" t="s">
        <v>3694</v>
      </c>
      <c r="R179" s="888" t="s">
        <v>2547</v>
      </c>
    </row>
    <row r="180" spans="4:22">
      <c r="D180" s="865"/>
      <c r="E180" s="643" t="s">
        <v>2554</v>
      </c>
      <c r="F180" s="643"/>
      <c r="G180" s="6">
        <f t="shared" ref="G180:G185" si="6">R180</f>
        <v>1.05</v>
      </c>
      <c r="H180" s="857"/>
      <c r="I180" s="857">
        <v>13</v>
      </c>
      <c r="J180" s="1145"/>
      <c r="K180" s="857">
        <f t="shared" ref="K180:K186" si="7">G180*I180</f>
        <v>13.65</v>
      </c>
      <c r="P180" s="857">
        <v>0.99</v>
      </c>
      <c r="Q180" s="886">
        <f>+R180/P180</f>
        <v>1.0606060606060606</v>
      </c>
      <c r="R180" s="889">
        <v>1.05</v>
      </c>
      <c r="S180" s="643" t="s">
        <v>2554</v>
      </c>
    </row>
    <row r="181" spans="4:22">
      <c r="D181" s="865"/>
      <c r="E181" s="857" t="s">
        <v>3700</v>
      </c>
      <c r="F181" s="1701"/>
      <c r="G181" s="6">
        <f t="shared" si="6"/>
        <v>0.93499999999999994</v>
      </c>
      <c r="H181" s="857"/>
      <c r="I181" s="857">
        <v>2</v>
      </c>
      <c r="J181" s="1145"/>
      <c r="K181" s="857">
        <f t="shared" si="7"/>
        <v>1.8699999999999999</v>
      </c>
      <c r="P181" s="857">
        <v>0.85</v>
      </c>
      <c r="Q181" s="857">
        <f>P181*Q$178</f>
        <v>8.5000000000000006E-2</v>
      </c>
      <c r="R181" s="889">
        <f>P181+Q181</f>
        <v>0.93499999999999994</v>
      </c>
      <c r="S181" s="857" t="s">
        <v>3691</v>
      </c>
    </row>
    <row r="182" spans="4:22">
      <c r="D182" s="865"/>
      <c r="E182" s="857" t="s">
        <v>3690</v>
      </c>
      <c r="F182" s="1701"/>
      <c r="G182" s="6">
        <f t="shared" si="6"/>
        <v>1.0545</v>
      </c>
      <c r="H182" s="857"/>
      <c r="I182" s="857">
        <v>1</v>
      </c>
      <c r="J182" s="1145"/>
      <c r="K182" s="857">
        <f t="shared" si="7"/>
        <v>1.0545</v>
      </c>
      <c r="P182" s="857">
        <v>0.95</v>
      </c>
      <c r="Q182" s="857">
        <f>+P182*11%</f>
        <v>0.1045</v>
      </c>
      <c r="R182" s="889">
        <f t="shared" ref="R182:R187" si="8">P182+Q182</f>
        <v>1.0545</v>
      </c>
      <c r="S182" s="857" t="s">
        <v>3690</v>
      </c>
    </row>
    <row r="183" spans="4:22">
      <c r="D183" s="865"/>
      <c r="E183" s="857" t="s">
        <v>3699</v>
      </c>
      <c r="F183" s="1701"/>
      <c r="G183" s="6">
        <f t="shared" si="6"/>
        <v>2.4200000000000004</v>
      </c>
      <c r="H183" s="857"/>
      <c r="I183" s="857">
        <v>1</v>
      </c>
      <c r="J183" s="1145"/>
      <c r="K183" s="857">
        <f t="shared" si="7"/>
        <v>2.4200000000000004</v>
      </c>
      <c r="P183" s="857">
        <v>2.2000000000000002</v>
      </c>
      <c r="Q183" s="857">
        <f>P183*Q$178</f>
        <v>0.22000000000000003</v>
      </c>
      <c r="R183" s="889">
        <f t="shared" si="8"/>
        <v>2.4200000000000004</v>
      </c>
      <c r="S183" s="857" t="s">
        <v>3689</v>
      </c>
    </row>
    <row r="184" spans="4:22">
      <c r="D184" s="865"/>
      <c r="E184" s="857" t="s">
        <v>3698</v>
      </c>
      <c r="F184" s="1701"/>
      <c r="G184" s="6">
        <f t="shared" si="6"/>
        <v>1.1990000000000001</v>
      </c>
      <c r="H184" s="857"/>
      <c r="I184" s="857">
        <v>2</v>
      </c>
      <c r="J184" s="1145"/>
      <c r="K184" s="857">
        <f t="shared" si="7"/>
        <v>2.3980000000000001</v>
      </c>
      <c r="P184" s="857">
        <v>1.0900000000000001</v>
      </c>
      <c r="Q184" s="857">
        <f>P184*Q$178</f>
        <v>0.10900000000000001</v>
      </c>
      <c r="R184" s="889">
        <f t="shared" si="8"/>
        <v>1.1990000000000001</v>
      </c>
      <c r="S184" s="857" t="s">
        <v>3428</v>
      </c>
    </row>
    <row r="185" spans="4:22">
      <c r="D185" s="865"/>
      <c r="E185" s="857" t="s">
        <v>3697</v>
      </c>
      <c r="F185" s="1701"/>
      <c r="G185" s="6">
        <f t="shared" si="6"/>
        <v>0.98309999999999997</v>
      </c>
      <c r="H185" s="857"/>
      <c r="I185" s="857">
        <v>2</v>
      </c>
      <c r="J185" s="1145"/>
      <c r="K185" s="857">
        <f t="shared" si="7"/>
        <v>1.9661999999999999</v>
      </c>
      <c r="P185" s="857">
        <v>0.87</v>
      </c>
      <c r="Q185" s="857">
        <f>+P185*13%</f>
        <v>0.11310000000000001</v>
      </c>
      <c r="R185" s="889">
        <f t="shared" si="8"/>
        <v>0.98309999999999997</v>
      </c>
      <c r="S185" s="857" t="s">
        <v>3287</v>
      </c>
    </row>
    <row r="186" spans="4:22">
      <c r="D186" s="865"/>
      <c r="E186" s="857" t="s">
        <v>3696</v>
      </c>
      <c r="F186" s="1701"/>
      <c r="G186" s="6">
        <f>+R186</f>
        <v>0.65999999999999992</v>
      </c>
      <c r="H186" s="857"/>
      <c r="I186" s="857">
        <v>2</v>
      </c>
      <c r="J186" s="1145"/>
      <c r="K186" s="857">
        <f t="shared" si="7"/>
        <v>1.3199999999999998</v>
      </c>
      <c r="P186" s="857">
        <v>0.6</v>
      </c>
      <c r="Q186" s="857">
        <f>P186*Q$178</f>
        <v>0.06</v>
      </c>
      <c r="R186" s="6">
        <f t="shared" si="8"/>
        <v>0.65999999999999992</v>
      </c>
      <c r="S186" s="853" t="s">
        <v>12</v>
      </c>
    </row>
    <row r="187" spans="4:22">
      <c r="D187" s="865"/>
      <c r="K187" s="6">
        <f>SUM(K180:K186)</f>
        <v>24.678700000000003</v>
      </c>
      <c r="P187" s="857">
        <v>0.55000000000000004</v>
      </c>
      <c r="Q187" s="857">
        <f>+P187*12%</f>
        <v>6.6000000000000003E-2</v>
      </c>
      <c r="R187" s="6">
        <f t="shared" si="8"/>
        <v>0.6160000000000001</v>
      </c>
      <c r="S187" s="853" t="s">
        <v>3701</v>
      </c>
    </row>
    <row r="188" spans="4:22" hidden="1"/>
    <row r="189" spans="4:22" ht="15.75" thickBot="1"/>
    <row r="190" spans="4:22" ht="20.25" thickBot="1">
      <c r="E190" s="884" t="s">
        <v>3692</v>
      </c>
      <c r="F190" s="1721"/>
      <c r="P190" s="2320" t="s">
        <v>3695</v>
      </c>
      <c r="Q190" s="2321"/>
      <c r="R190" s="2405"/>
    </row>
    <row r="191" spans="4:22" ht="30">
      <c r="D191" s="928" t="s">
        <v>65</v>
      </c>
      <c r="E191" s="309" t="s">
        <v>65</v>
      </c>
      <c r="F191" s="309"/>
      <c r="G191" s="309" t="s">
        <v>3407</v>
      </c>
      <c r="H191" s="309" t="s">
        <v>3372</v>
      </c>
      <c r="I191" s="309" t="s">
        <v>3285</v>
      </c>
      <c r="J191" s="309"/>
      <c r="K191" s="309" t="s">
        <v>3343</v>
      </c>
    </row>
    <row r="192" spans="4:22">
      <c r="D192" s="865"/>
      <c r="E192" s="643" t="s">
        <v>2554</v>
      </c>
      <c r="F192" s="643"/>
      <c r="G192" s="6">
        <f>+R180</f>
        <v>1.05</v>
      </c>
      <c r="H192" s="857"/>
      <c r="I192" s="857">
        <v>3</v>
      </c>
      <c r="J192" s="1145"/>
      <c r="K192" s="857">
        <f t="shared" ref="K192:K197" si="9">+G192*I192</f>
        <v>3.1500000000000004</v>
      </c>
      <c r="V192">
        <v>600</v>
      </c>
    </row>
    <row r="193" spans="4:22">
      <c r="D193" s="865"/>
      <c r="E193" s="857" t="s">
        <v>3700</v>
      </c>
      <c r="F193" s="1701"/>
      <c r="G193" s="6">
        <f>+R181</f>
        <v>0.93499999999999994</v>
      </c>
      <c r="H193" s="857"/>
      <c r="I193" s="857">
        <v>2</v>
      </c>
      <c r="J193" s="1145"/>
      <c r="K193" s="857">
        <f t="shared" si="9"/>
        <v>1.8699999999999999</v>
      </c>
      <c r="V193">
        <v>50</v>
      </c>
    </row>
    <row r="194" spans="4:22">
      <c r="D194" s="865"/>
      <c r="E194" s="857" t="s">
        <v>3690</v>
      </c>
      <c r="F194" s="1701"/>
      <c r="G194" s="6">
        <f>+R182</f>
        <v>1.0545</v>
      </c>
      <c r="H194" s="857"/>
      <c r="I194" s="857">
        <v>1</v>
      </c>
      <c r="J194" s="1145"/>
      <c r="K194" s="857">
        <f t="shared" si="9"/>
        <v>1.0545</v>
      </c>
      <c r="V194">
        <v>1000</v>
      </c>
    </row>
    <row r="195" spans="4:22">
      <c r="D195" s="865"/>
      <c r="E195" s="857" t="s">
        <v>3698</v>
      </c>
      <c r="F195" s="1701"/>
      <c r="G195" s="6">
        <f>+R184</f>
        <v>1.1990000000000001</v>
      </c>
      <c r="H195" s="857"/>
      <c r="I195" s="857">
        <v>2</v>
      </c>
      <c r="J195" s="1145"/>
      <c r="K195" s="857">
        <f t="shared" si="9"/>
        <v>2.3980000000000001</v>
      </c>
      <c r="V195">
        <v>700</v>
      </c>
    </row>
    <row r="196" spans="4:22">
      <c r="D196" s="865"/>
      <c r="E196" s="857" t="s">
        <v>3696</v>
      </c>
      <c r="F196" s="1701"/>
      <c r="G196" s="6">
        <f>R186</f>
        <v>0.65999999999999992</v>
      </c>
      <c r="H196" s="857"/>
      <c r="I196" s="857">
        <v>2</v>
      </c>
      <c r="J196" s="1145"/>
      <c r="K196" s="857">
        <f t="shared" si="9"/>
        <v>1.3199999999999998</v>
      </c>
      <c r="V196">
        <v>500</v>
      </c>
    </row>
    <row r="197" spans="4:22">
      <c r="D197" s="865"/>
      <c r="E197" s="857" t="s">
        <v>3702</v>
      </c>
      <c r="F197" s="1701"/>
      <c r="G197" s="6">
        <f>R187</f>
        <v>0.6160000000000001</v>
      </c>
      <c r="H197" s="857"/>
      <c r="I197" s="857">
        <v>2</v>
      </c>
      <c r="J197" s="1145"/>
      <c r="K197" s="857">
        <f t="shared" si="9"/>
        <v>1.2320000000000002</v>
      </c>
      <c r="V197">
        <v>500</v>
      </c>
    </row>
    <row r="198" spans="4:22">
      <c r="K198" s="336">
        <f>SUM(K192:K197)</f>
        <v>11.0245</v>
      </c>
      <c r="V198">
        <v>500</v>
      </c>
    </row>
    <row r="199" spans="4:22">
      <c r="V199">
        <v>500</v>
      </c>
    </row>
    <row r="200" spans="4:22" ht="19.5">
      <c r="E200" s="884" t="s">
        <v>3693</v>
      </c>
      <c r="F200" s="1721"/>
      <c r="V200">
        <f>SUM(V192:V199)</f>
        <v>4350</v>
      </c>
    </row>
    <row r="201" spans="4:22" ht="30">
      <c r="D201" s="928" t="s">
        <v>65</v>
      </c>
      <c r="E201" s="309" t="s">
        <v>65</v>
      </c>
      <c r="F201" s="309"/>
      <c r="G201" s="309" t="s">
        <v>3407</v>
      </c>
      <c r="H201" s="309" t="s">
        <v>3372</v>
      </c>
      <c r="I201" s="309" t="s">
        <v>3285</v>
      </c>
      <c r="J201" s="309"/>
      <c r="K201" s="309" t="s">
        <v>3343</v>
      </c>
      <c r="R201" s="421"/>
      <c r="S201" s="853"/>
    </row>
    <row r="202" spans="4:22">
      <c r="D202" s="865"/>
      <c r="E202" s="643" t="s">
        <v>2554</v>
      </c>
      <c r="F202" s="643"/>
      <c r="G202" s="6">
        <f>R180</f>
        <v>1.05</v>
      </c>
      <c r="H202" s="857"/>
      <c r="I202" s="857">
        <v>3</v>
      </c>
      <c r="J202" s="1145"/>
      <c r="K202" s="6">
        <f t="shared" ref="K202:K207" si="10">+G202+I202</f>
        <v>4.05</v>
      </c>
      <c r="R202" s="6"/>
      <c r="S202" s="643"/>
    </row>
    <row r="203" spans="4:22">
      <c r="D203" s="865"/>
      <c r="E203" s="857" t="s">
        <v>3700</v>
      </c>
      <c r="F203" s="1701"/>
      <c r="G203" s="6">
        <f>+R181</f>
        <v>0.93499999999999994</v>
      </c>
      <c r="H203" s="857"/>
      <c r="I203" s="857">
        <v>3</v>
      </c>
      <c r="J203" s="1145"/>
      <c r="K203" s="6">
        <f t="shared" si="10"/>
        <v>3.9350000000000001</v>
      </c>
      <c r="R203" s="6"/>
      <c r="S203" s="857"/>
    </row>
    <row r="204" spans="4:22">
      <c r="D204" s="865"/>
      <c r="E204" s="857" t="s">
        <v>3690</v>
      </c>
      <c r="F204" s="1701"/>
      <c r="G204" s="6">
        <f>+R182</f>
        <v>1.0545</v>
      </c>
      <c r="H204" s="857"/>
      <c r="I204" s="857">
        <v>1</v>
      </c>
      <c r="J204" s="1145"/>
      <c r="K204" s="6">
        <f t="shared" si="10"/>
        <v>2.0545</v>
      </c>
      <c r="R204" s="6"/>
      <c r="S204" s="857"/>
    </row>
    <row r="205" spans="4:22">
      <c r="D205" s="865"/>
      <c r="E205" s="857" t="s">
        <v>3699</v>
      </c>
      <c r="F205" s="1701"/>
      <c r="G205" s="6">
        <f>+R183</f>
        <v>2.4200000000000004</v>
      </c>
      <c r="H205" s="857"/>
      <c r="I205" s="857">
        <v>1</v>
      </c>
      <c r="J205" s="1145"/>
      <c r="K205" s="6">
        <f t="shared" si="10"/>
        <v>3.4200000000000004</v>
      </c>
      <c r="R205" s="6"/>
      <c r="S205" s="857"/>
    </row>
    <row r="206" spans="4:22">
      <c r="D206" s="865"/>
      <c r="E206" s="857" t="s">
        <v>3698</v>
      </c>
      <c r="F206" s="1701"/>
      <c r="G206" s="6">
        <f>+R184</f>
        <v>1.1990000000000001</v>
      </c>
      <c r="H206" s="857"/>
      <c r="I206" s="857">
        <v>1</v>
      </c>
      <c r="J206" s="1145"/>
      <c r="K206" s="6">
        <f t="shared" si="10"/>
        <v>2.1989999999999998</v>
      </c>
      <c r="R206" s="6"/>
      <c r="S206" s="857"/>
    </row>
    <row r="207" spans="4:22">
      <c r="K207" s="6">
        <f t="shared" si="10"/>
        <v>0</v>
      </c>
      <c r="R207" s="6"/>
      <c r="S207" s="857"/>
    </row>
    <row r="208" spans="4:22">
      <c r="K208" s="336">
        <f>SUM(K202:K207)</f>
        <v>15.6585</v>
      </c>
      <c r="R208" s="887"/>
      <c r="S208" s="853"/>
    </row>
    <row r="212" spans="4:19" ht="23.25">
      <c r="D212" s="97">
        <v>44578</v>
      </c>
      <c r="E212" s="930" t="s">
        <v>3742</v>
      </c>
      <c r="F212" s="930"/>
      <c r="G212" s="930"/>
      <c r="H212" s="930"/>
      <c r="I212" s="930"/>
      <c r="J212" s="930"/>
      <c r="K212" s="930"/>
    </row>
    <row r="213" spans="4:19" ht="30">
      <c r="D213" s="928" t="s">
        <v>65</v>
      </c>
      <c r="E213" s="309" t="s">
        <v>65</v>
      </c>
      <c r="F213" s="309"/>
      <c r="G213" s="309" t="s">
        <v>3407</v>
      </c>
      <c r="H213" s="309" t="s">
        <v>3372</v>
      </c>
      <c r="I213" s="309" t="s">
        <v>3285</v>
      </c>
      <c r="J213" s="309"/>
      <c r="K213" s="309" t="s">
        <v>3343</v>
      </c>
      <c r="L213" s="766" t="s">
        <v>3414</v>
      </c>
    </row>
    <row r="214" spans="4:19">
      <c r="D214" s="865">
        <v>1874</v>
      </c>
      <c r="E214" s="643" t="s">
        <v>3735</v>
      </c>
      <c r="F214" s="643"/>
      <c r="G214" s="6">
        <v>6.7</v>
      </c>
      <c r="H214" s="909"/>
      <c r="I214" s="909">
        <v>2.2999999999999998</v>
      </c>
      <c r="J214" s="1145"/>
      <c r="K214" s="6">
        <f>+G214*I214</f>
        <v>15.409999999999998</v>
      </c>
      <c r="L214" s="766">
        <v>2.2999999999999998</v>
      </c>
      <c r="S214" s="413">
        <f>+G214*I214</f>
        <v>15.409999999999998</v>
      </c>
    </row>
    <row r="215" spans="4:19">
      <c r="D215" s="865">
        <v>1941</v>
      </c>
      <c r="E215" s="909" t="s">
        <v>3737</v>
      </c>
      <c r="F215" s="1701"/>
      <c r="G215" s="6">
        <v>8.5</v>
      </c>
      <c r="H215" s="909"/>
      <c r="I215" s="909">
        <v>1</v>
      </c>
      <c r="J215" s="1145"/>
      <c r="K215" s="6">
        <f>+G215*I215</f>
        <v>8.5</v>
      </c>
      <c r="L215" s="766" t="s">
        <v>3739</v>
      </c>
    </row>
    <row r="216" spans="4:19">
      <c r="D216" s="865">
        <v>460</v>
      </c>
      <c r="E216" s="909" t="s">
        <v>3736</v>
      </c>
      <c r="F216" s="1701"/>
      <c r="G216" s="6">
        <v>8.1999999999999993</v>
      </c>
      <c r="H216" s="909">
        <v>0.5</v>
      </c>
      <c r="I216" s="909">
        <v>1</v>
      </c>
      <c r="J216" s="1145"/>
      <c r="K216" s="6">
        <f>+G216*H216</f>
        <v>4.0999999999999996</v>
      </c>
      <c r="L216" s="766" t="s">
        <v>3740</v>
      </c>
    </row>
    <row r="217" spans="4:19">
      <c r="D217" s="929">
        <v>7591031003267</v>
      </c>
      <c r="E217" s="909" t="s">
        <v>3738</v>
      </c>
      <c r="F217" s="1701"/>
      <c r="G217" s="6">
        <v>2.02</v>
      </c>
      <c r="H217" s="909"/>
      <c r="I217" s="909">
        <v>0</v>
      </c>
      <c r="J217" s="1145"/>
      <c r="K217" s="6">
        <f>+G217*I217</f>
        <v>0</v>
      </c>
      <c r="L217" s="766" t="s">
        <v>2684</v>
      </c>
      <c r="M217" s="422" t="s">
        <v>3741</v>
      </c>
      <c r="N217" s="422"/>
      <c r="O217" s="422"/>
      <c r="P217" s="333">
        <v>124.2</v>
      </c>
      <c r="Q217" s="333">
        <v>4.5999999999999996</v>
      </c>
      <c r="R217" s="422">
        <f>+P217/Q217</f>
        <v>27.000000000000004</v>
      </c>
    </row>
    <row r="218" spans="4:19">
      <c r="E218" s="907"/>
      <c r="G218" s="907"/>
      <c r="H218" s="907"/>
      <c r="I218" s="907"/>
      <c r="K218" s="336">
        <f>SUM(K214:K217)</f>
        <v>28.009999999999998</v>
      </c>
    </row>
    <row r="220" spans="4:19">
      <c r="Q220" s="333">
        <v>2</v>
      </c>
      <c r="R220" s="422">
        <v>6.7</v>
      </c>
      <c r="S220" s="336">
        <f>+Q220/R220</f>
        <v>0.29850746268656714</v>
      </c>
    </row>
    <row r="224" spans="4:19" ht="15.75" thickBot="1">
      <c r="E224" s="1017" t="s">
        <v>3944</v>
      </c>
      <c r="G224" s="1017"/>
      <c r="H224" s="1017"/>
    </row>
    <row r="225" spans="1:22" ht="62.25" customHeight="1" thickBot="1">
      <c r="D225" s="1040" t="s">
        <v>3318</v>
      </c>
      <c r="E225" s="763"/>
      <c r="F225" s="763"/>
      <c r="G225" s="655" t="s">
        <v>2547</v>
      </c>
      <c r="H225" s="1036" t="s">
        <v>246</v>
      </c>
      <c r="I225" s="1036" t="s">
        <v>3343</v>
      </c>
      <c r="J225" s="1166"/>
      <c r="K225" s="780"/>
      <c r="L225" s="31"/>
      <c r="M225" s="766" t="s">
        <v>3938</v>
      </c>
      <c r="R225" s="333"/>
      <c r="S225" s="422"/>
      <c r="T225" s="413"/>
      <c r="U225" s="422"/>
      <c r="V225" s="333"/>
    </row>
    <row r="226" spans="1:22">
      <c r="D226" s="1041">
        <v>2033</v>
      </c>
      <c r="E226" s="1038" t="s">
        <v>3429</v>
      </c>
      <c r="F226" s="1038"/>
      <c r="G226" s="613">
        <v>1.1000000000000001</v>
      </c>
      <c r="H226" s="613">
        <v>4</v>
      </c>
      <c r="I226" s="526">
        <f>+G226*H226</f>
        <v>4.4000000000000004</v>
      </c>
      <c r="J226" s="104"/>
      <c r="K226" s="780"/>
      <c r="L226" s="31" t="s">
        <v>3927</v>
      </c>
      <c r="M226" s="766">
        <v>0.99</v>
      </c>
      <c r="R226" s="333"/>
      <c r="S226" s="422"/>
      <c r="T226" s="413"/>
      <c r="U226" s="422"/>
      <c r="V226" s="333"/>
    </row>
    <row r="227" spans="1:22">
      <c r="D227" s="1041">
        <v>5848</v>
      </c>
      <c r="E227" s="563" t="s">
        <v>3427</v>
      </c>
      <c r="F227" s="1691"/>
      <c r="G227" s="1016">
        <v>1.1000000000000001</v>
      </c>
      <c r="H227" s="1016">
        <v>2</v>
      </c>
      <c r="I227" s="759">
        <f>+G227*H227</f>
        <v>2.2000000000000002</v>
      </c>
      <c r="J227" s="104"/>
      <c r="K227" s="780"/>
      <c r="L227" s="31" t="s">
        <v>3926</v>
      </c>
      <c r="M227" s="766">
        <v>0.83</v>
      </c>
      <c r="R227" s="333"/>
      <c r="S227" s="422"/>
      <c r="T227" s="413"/>
      <c r="U227" s="422"/>
      <c r="V227" s="333"/>
    </row>
    <row r="228" spans="1:22">
      <c r="D228" s="1041">
        <v>20887</v>
      </c>
      <c r="E228" s="563" t="s">
        <v>3428</v>
      </c>
      <c r="F228" s="1691"/>
      <c r="G228" s="1016">
        <v>1.5</v>
      </c>
      <c r="H228" s="1016">
        <v>2</v>
      </c>
      <c r="I228" s="759">
        <f>+G228*H228</f>
        <v>3</v>
      </c>
      <c r="J228" s="104"/>
      <c r="K228" s="780"/>
      <c r="L228" s="31" t="s">
        <v>3925</v>
      </c>
      <c r="M228" s="766">
        <v>1.1499999999999999</v>
      </c>
      <c r="R228" s="333"/>
      <c r="S228" s="422"/>
      <c r="T228" s="413"/>
      <c r="U228" s="422"/>
      <c r="V228" s="333"/>
    </row>
    <row r="229" spans="1:22">
      <c r="D229" s="1041">
        <v>18604</v>
      </c>
      <c r="E229" s="563" t="s">
        <v>3430</v>
      </c>
      <c r="F229" s="1691"/>
      <c r="G229" s="1016">
        <v>0.6</v>
      </c>
      <c r="H229" s="1016">
        <v>1</v>
      </c>
      <c r="I229" s="759">
        <f>+G229*H229</f>
        <v>0.6</v>
      </c>
      <c r="J229" s="104"/>
      <c r="K229" s="780"/>
      <c r="L229" s="31" t="s">
        <v>3936</v>
      </c>
      <c r="M229" s="766">
        <v>0.43</v>
      </c>
      <c r="R229" s="333"/>
      <c r="S229" s="422"/>
      <c r="T229" s="413"/>
      <c r="U229" s="422"/>
      <c r="V229" s="333"/>
    </row>
    <row r="230" spans="1:22" s="827" customFormat="1">
      <c r="A230" s="1594"/>
      <c r="C230" s="1594"/>
      <c r="D230" s="1041" t="s">
        <v>3945</v>
      </c>
      <c r="E230" s="563" t="s">
        <v>3947</v>
      </c>
      <c r="F230" s="1691"/>
      <c r="G230" s="1016"/>
      <c r="H230" s="1016">
        <v>1</v>
      </c>
      <c r="I230" s="759">
        <v>2.99</v>
      </c>
      <c r="J230" s="104"/>
      <c r="K230" s="1017"/>
      <c r="L230" s="1017" t="s">
        <v>3946</v>
      </c>
      <c r="M230" s="1017">
        <v>2.25</v>
      </c>
      <c r="N230" s="1058"/>
      <c r="O230" s="1181"/>
      <c r="P230" s="1017" t="s">
        <v>3949</v>
      </c>
      <c r="Q230" s="1017" t="s">
        <v>3948</v>
      </c>
      <c r="R230" s="1017"/>
      <c r="S230" s="422"/>
      <c r="T230" s="1017"/>
      <c r="U230" s="422"/>
      <c r="V230" s="1017"/>
    </row>
    <row r="231" spans="1:22">
      <c r="D231" s="1041">
        <v>1436</v>
      </c>
      <c r="E231" s="563" t="s">
        <v>3432</v>
      </c>
      <c r="F231" s="1691"/>
      <c r="G231" s="1016">
        <v>0.26</v>
      </c>
      <c r="H231" s="1016">
        <v>1</v>
      </c>
      <c r="I231" s="759">
        <f t="shared" ref="I231:I236" si="11">+G231*H231</f>
        <v>0.26</v>
      </c>
      <c r="J231" s="104"/>
      <c r="K231" s="780"/>
      <c r="L231" s="31" t="s">
        <v>3937</v>
      </c>
      <c r="M231" s="766">
        <v>0.2</v>
      </c>
      <c r="R231" s="333"/>
      <c r="S231" s="422"/>
      <c r="T231" s="413"/>
      <c r="U231" s="422"/>
      <c r="V231" s="333"/>
    </row>
    <row r="232" spans="1:22">
      <c r="D232" s="1041">
        <v>17527</v>
      </c>
      <c r="E232" s="563" t="s">
        <v>3433</v>
      </c>
      <c r="F232" s="1691"/>
      <c r="G232" s="1016">
        <v>1.17</v>
      </c>
      <c r="H232" s="1016">
        <v>1</v>
      </c>
      <c r="I232" s="759">
        <f t="shared" si="11"/>
        <v>1.17</v>
      </c>
      <c r="J232" s="104"/>
      <c r="K232" s="780"/>
      <c r="L232" s="31" t="s">
        <v>3939</v>
      </c>
      <c r="M232" s="766">
        <v>0.9</v>
      </c>
      <c r="R232" s="333"/>
      <c r="S232" s="422"/>
      <c r="T232" s="413"/>
      <c r="U232" s="422"/>
      <c r="V232" s="333"/>
    </row>
    <row r="233" spans="1:22">
      <c r="D233" s="1041">
        <v>16986</v>
      </c>
      <c r="E233" s="563" t="s">
        <v>3287</v>
      </c>
      <c r="F233" s="1691"/>
      <c r="G233" s="1016">
        <v>1.24</v>
      </c>
      <c r="H233" s="1016">
        <v>1</v>
      </c>
      <c r="I233" s="759">
        <f t="shared" si="11"/>
        <v>1.24</v>
      </c>
      <c r="J233" s="104"/>
      <c r="K233" s="780"/>
      <c r="L233" s="31" t="s">
        <v>3751</v>
      </c>
      <c r="M233" s="766">
        <v>0.87</v>
      </c>
      <c r="R233" s="333"/>
      <c r="S233" s="422"/>
      <c r="T233" s="413"/>
      <c r="U233" s="422"/>
      <c r="V233" s="333"/>
    </row>
    <row r="234" spans="1:22">
      <c r="D234" s="1041">
        <v>3151</v>
      </c>
      <c r="E234" s="563" t="s">
        <v>1343</v>
      </c>
      <c r="F234" s="1691"/>
      <c r="G234" s="1016">
        <v>1.3</v>
      </c>
      <c r="H234" s="1016">
        <v>1</v>
      </c>
      <c r="I234" s="759">
        <f t="shared" si="11"/>
        <v>1.3</v>
      </c>
      <c r="J234" s="104"/>
      <c r="K234" s="780"/>
      <c r="L234" s="31" t="s">
        <v>3940</v>
      </c>
      <c r="M234" s="766">
        <v>1</v>
      </c>
      <c r="R234" s="333"/>
      <c r="S234" s="422"/>
      <c r="T234" s="413"/>
      <c r="U234" s="422"/>
      <c r="V234" s="333"/>
    </row>
    <row r="235" spans="1:22">
      <c r="D235" s="1041">
        <v>6708</v>
      </c>
      <c r="E235" s="563" t="s">
        <v>3434</v>
      </c>
      <c r="F235" s="1691"/>
      <c r="G235" s="1016">
        <v>1.35</v>
      </c>
      <c r="H235" s="1016">
        <v>1</v>
      </c>
      <c r="I235" s="759">
        <f t="shared" si="11"/>
        <v>1.35</v>
      </c>
      <c r="J235" s="104"/>
      <c r="K235" s="780"/>
      <c r="L235" s="31" t="s">
        <v>3940</v>
      </c>
      <c r="M235" s="766">
        <v>0.6</v>
      </c>
      <c r="R235" s="333"/>
      <c r="S235" s="422"/>
      <c r="T235" s="413"/>
      <c r="U235" s="422"/>
      <c r="V235" s="333"/>
    </row>
    <row r="236" spans="1:22" s="827" customFormat="1" ht="15.75" thickBot="1">
      <c r="A236" s="1594"/>
      <c r="C236" s="1594"/>
      <c r="D236" s="1042">
        <v>21166</v>
      </c>
      <c r="E236" s="1039" t="s">
        <v>3942</v>
      </c>
      <c r="F236" s="1039"/>
      <c r="G236" s="620">
        <v>0.8</v>
      </c>
      <c r="H236" s="620">
        <v>2</v>
      </c>
      <c r="I236" s="527">
        <f t="shared" si="11"/>
        <v>1.6</v>
      </c>
      <c r="J236" s="104"/>
      <c r="K236" s="1017"/>
      <c r="L236" s="1017" t="s">
        <v>3941</v>
      </c>
      <c r="M236" s="1017">
        <v>0.55000000000000004</v>
      </c>
      <c r="N236" s="1058"/>
      <c r="O236" s="1181"/>
      <c r="P236" s="1017"/>
      <c r="Q236" s="1017"/>
      <c r="R236" s="1017"/>
      <c r="S236" s="422"/>
      <c r="T236" s="1017"/>
      <c r="U236" s="422"/>
      <c r="V236" s="1017"/>
    </row>
    <row r="237" spans="1:22" ht="15.75" thickBot="1">
      <c r="D237" s="407"/>
      <c r="E237" s="1043" t="s">
        <v>560</v>
      </c>
      <c r="F237" s="1043"/>
      <c r="G237" s="101"/>
      <c r="H237" s="1037" t="s">
        <v>3950</v>
      </c>
      <c r="I237" s="1037">
        <f>SUM(I226:I236)</f>
        <v>20.110000000000003</v>
      </c>
      <c r="J237" s="104"/>
    </row>
    <row r="238" spans="1:22">
      <c r="D238" s="407"/>
    </row>
    <row r="241" spans="4:22">
      <c r="E241" s="1017"/>
      <c r="G241" s="1017"/>
      <c r="H241" s="1017"/>
      <c r="I241" s="1017"/>
      <c r="K241" s="1017"/>
      <c r="L241" s="1017"/>
      <c r="M241" s="1017"/>
      <c r="P241" s="1017"/>
      <c r="Q241" s="1017"/>
    </row>
    <row r="242" spans="4:22" ht="15.75" thickBot="1">
      <c r="E242" s="1017" t="s">
        <v>3943</v>
      </c>
      <c r="G242" s="1017"/>
      <c r="H242" s="1017"/>
      <c r="I242" s="1017"/>
      <c r="K242" s="1017"/>
      <c r="L242" s="1017"/>
      <c r="M242" s="1017"/>
      <c r="P242" s="1017"/>
      <c r="Q242" s="1017"/>
      <c r="S242" s="65" t="s">
        <v>4111</v>
      </c>
      <c r="T242" s="1156"/>
      <c r="U242" s="65" t="s">
        <v>4110</v>
      </c>
      <c r="V242" s="65"/>
    </row>
    <row r="243" spans="4:22" ht="30.75" thickBot="1">
      <c r="D243" s="1040" t="s">
        <v>3318</v>
      </c>
      <c r="E243" s="763"/>
      <c r="F243" s="763"/>
      <c r="G243" s="655" t="s">
        <v>2547</v>
      </c>
      <c r="H243" s="1036" t="s">
        <v>246</v>
      </c>
      <c r="I243" s="1036" t="s">
        <v>3343</v>
      </c>
      <c r="J243" s="1166"/>
      <c r="K243" s="1017"/>
      <c r="L243" s="1057"/>
      <c r="M243" s="1057" t="s">
        <v>3938</v>
      </c>
      <c r="N243" s="1057"/>
      <c r="O243" s="104"/>
      <c r="P243" s="1017" t="s">
        <v>4005</v>
      </c>
      <c r="Q243" s="1017"/>
      <c r="S243" s="65" t="s">
        <v>4112</v>
      </c>
      <c r="T243" s="1156"/>
      <c r="U243" s="65" t="s">
        <v>4104</v>
      </c>
      <c r="V243" s="65"/>
    </row>
    <row r="244" spans="4:22">
      <c r="D244" s="1041">
        <v>2033</v>
      </c>
      <c r="E244" s="1038" t="s">
        <v>3429</v>
      </c>
      <c r="F244" s="1038"/>
      <c r="G244" s="613">
        <v>1.1000000000000001</v>
      </c>
      <c r="H244" s="613">
        <v>2</v>
      </c>
      <c r="I244" s="526">
        <f t="shared" ref="I244:I253" si="12">+G244*H244</f>
        <v>2.2000000000000002</v>
      </c>
      <c r="J244" s="104"/>
      <c r="K244" s="1017"/>
      <c r="L244" s="1057" t="s">
        <v>3927</v>
      </c>
      <c r="M244" s="1057">
        <v>1</v>
      </c>
      <c r="N244" s="1057">
        <f t="shared" ref="N244:N253" si="13">+M244*H244</f>
        <v>2</v>
      </c>
      <c r="O244" s="104"/>
      <c r="P244" s="885">
        <v>0.1</v>
      </c>
      <c r="Q244" s="1017"/>
      <c r="S244" s="1157" t="s">
        <v>4113</v>
      </c>
      <c r="T244" s="1156"/>
      <c r="U244" s="65" t="s">
        <v>4105</v>
      </c>
      <c r="V244" s="65"/>
    </row>
    <row r="245" spans="4:22" ht="26.25" customHeight="1">
      <c r="D245" s="1041">
        <v>5848</v>
      </c>
      <c r="E245" s="563" t="s">
        <v>3427</v>
      </c>
      <c r="F245" s="1691"/>
      <c r="G245" s="1016">
        <v>1.18</v>
      </c>
      <c r="H245" s="1016">
        <v>2</v>
      </c>
      <c r="I245" s="759">
        <f t="shared" si="12"/>
        <v>2.36</v>
      </c>
      <c r="J245" s="104"/>
      <c r="K245" s="1017"/>
      <c r="L245" s="1057" t="s">
        <v>3926</v>
      </c>
      <c r="M245" s="1057">
        <v>0.87</v>
      </c>
      <c r="N245" s="1140">
        <f t="shared" si="13"/>
        <v>1.74</v>
      </c>
      <c r="O245" s="104"/>
      <c r="P245" s="885">
        <v>0.32</v>
      </c>
      <c r="Q245" s="1017">
        <f t="shared" ref="Q245:Q253" si="14">+G245/M245</f>
        <v>1.3563218390804597</v>
      </c>
      <c r="S245" s="1157" t="s">
        <v>4114</v>
      </c>
      <c r="T245" s="1156"/>
      <c r="U245" s="65" t="s">
        <v>4106</v>
      </c>
      <c r="V245" s="65"/>
    </row>
    <row r="246" spans="4:22">
      <c r="D246" s="1041">
        <v>20887</v>
      </c>
      <c r="E246" s="563" t="s">
        <v>3428</v>
      </c>
      <c r="F246" s="1691"/>
      <c r="G246" s="1016">
        <v>1.63</v>
      </c>
      <c r="H246" s="1016">
        <v>2</v>
      </c>
      <c r="I246" s="759">
        <f t="shared" si="12"/>
        <v>3.26</v>
      </c>
      <c r="J246" s="104"/>
      <c r="K246" s="1017"/>
      <c r="L246" s="1057" t="s">
        <v>3925</v>
      </c>
      <c r="M246" s="1057">
        <v>1.25</v>
      </c>
      <c r="N246" s="1140">
        <f t="shared" si="13"/>
        <v>2.5</v>
      </c>
      <c r="O246" s="104"/>
      <c r="P246" s="885">
        <v>0.3</v>
      </c>
      <c r="Q246" s="1058">
        <f t="shared" si="14"/>
        <v>1.3039999999999998</v>
      </c>
      <c r="S246" s="65"/>
      <c r="T246" s="1156"/>
      <c r="U246" s="65" t="s">
        <v>4107</v>
      </c>
      <c r="V246" s="65"/>
    </row>
    <row r="247" spans="4:22">
      <c r="D247" s="1041">
        <v>18604</v>
      </c>
      <c r="E247" s="563" t="s">
        <v>3430</v>
      </c>
      <c r="F247" s="1691"/>
      <c r="G247" s="1016">
        <v>0.6</v>
      </c>
      <c r="H247" s="1016">
        <v>1</v>
      </c>
      <c r="I247" s="759">
        <f t="shared" si="12"/>
        <v>0.6</v>
      </c>
      <c r="J247" s="104"/>
      <c r="K247" s="1017"/>
      <c r="L247" s="1057" t="s">
        <v>3936</v>
      </c>
      <c r="M247" s="1057">
        <v>0.43</v>
      </c>
      <c r="N247" s="1140">
        <f t="shared" si="13"/>
        <v>0.43</v>
      </c>
      <c r="O247" s="104"/>
      <c r="P247" s="885">
        <v>0.39</v>
      </c>
      <c r="Q247" s="1058">
        <f t="shared" si="14"/>
        <v>1.3953488372093024</v>
      </c>
      <c r="S247" s="65" t="s">
        <v>65</v>
      </c>
      <c r="T247" s="1156"/>
      <c r="U247" s="65" t="s">
        <v>4108</v>
      </c>
      <c r="V247" s="65"/>
    </row>
    <row r="248" spans="4:22">
      <c r="D248" s="1041">
        <v>1436</v>
      </c>
      <c r="E248" s="563" t="s">
        <v>3432</v>
      </c>
      <c r="F248" s="1691"/>
      <c r="G248" s="1016">
        <v>0.26</v>
      </c>
      <c r="H248" s="1016">
        <v>1</v>
      </c>
      <c r="I248" s="759">
        <f t="shared" si="12"/>
        <v>0.26</v>
      </c>
      <c r="J248" s="104"/>
      <c r="K248" s="1017"/>
      <c r="L248" s="1057" t="s">
        <v>3937</v>
      </c>
      <c r="M248" s="52">
        <v>0.2</v>
      </c>
      <c r="N248" s="1140">
        <f t="shared" si="13"/>
        <v>0.2</v>
      </c>
      <c r="O248" s="104"/>
      <c r="P248" s="885">
        <v>0.3</v>
      </c>
      <c r="Q248" s="1058">
        <f t="shared" si="14"/>
        <v>1.3</v>
      </c>
      <c r="S248" s="314" t="s">
        <v>4115</v>
      </c>
      <c r="T248" s="1156"/>
      <c r="U248" s="1156" t="s">
        <v>4109</v>
      </c>
      <c r="V248" s="65"/>
    </row>
    <row r="249" spans="4:22">
      <c r="D249" s="1041">
        <v>17527</v>
      </c>
      <c r="E249" s="563" t="s">
        <v>3433</v>
      </c>
      <c r="F249" s="1691"/>
      <c r="G249" s="1016">
        <v>1.27</v>
      </c>
      <c r="H249" s="1016">
        <v>1</v>
      </c>
      <c r="I249" s="759">
        <f t="shared" si="12"/>
        <v>1.27</v>
      </c>
      <c r="J249" s="104"/>
      <c r="K249" s="1017"/>
      <c r="L249" s="1057" t="s">
        <v>3939</v>
      </c>
      <c r="M249" s="52">
        <v>0.98</v>
      </c>
      <c r="N249" s="1140">
        <f t="shared" si="13"/>
        <v>0.98</v>
      </c>
      <c r="O249" s="104"/>
      <c r="P249" s="885">
        <v>0.3</v>
      </c>
      <c r="Q249" s="1058">
        <f t="shared" si="14"/>
        <v>1.2959183673469388</v>
      </c>
      <c r="S249" s="314" t="s">
        <v>4116</v>
      </c>
      <c r="T249" s="1156"/>
      <c r="U249" s="65"/>
      <c r="V249" s="65"/>
    </row>
    <row r="250" spans="4:22">
      <c r="D250" s="1041">
        <v>15986</v>
      </c>
      <c r="E250" s="563" t="s">
        <v>3287</v>
      </c>
      <c r="F250" s="1691"/>
      <c r="G250" s="1016">
        <v>1.35</v>
      </c>
      <c r="H250" s="1016">
        <v>1</v>
      </c>
      <c r="I250" s="759">
        <f t="shared" si="12"/>
        <v>1.35</v>
      </c>
      <c r="J250" s="104"/>
      <c r="K250" s="1017"/>
      <c r="L250" s="1057" t="s">
        <v>4003</v>
      </c>
      <c r="M250" s="1057">
        <v>1.05</v>
      </c>
      <c r="N250" s="1140">
        <f t="shared" si="13"/>
        <v>1.05</v>
      </c>
      <c r="O250" s="104"/>
      <c r="P250" s="885">
        <v>0.3</v>
      </c>
      <c r="Q250" s="1058">
        <f t="shared" si="14"/>
        <v>1.2857142857142858</v>
      </c>
      <c r="S250" s="314" t="s">
        <v>4117</v>
      </c>
      <c r="T250" s="1156"/>
      <c r="U250" s="65"/>
      <c r="V250" s="65"/>
    </row>
    <row r="251" spans="4:22">
      <c r="D251" s="1041">
        <v>3151</v>
      </c>
      <c r="E251" s="563" t="s">
        <v>1343</v>
      </c>
      <c r="F251" s="1691"/>
      <c r="G251" s="1016">
        <v>1.3</v>
      </c>
      <c r="H251" s="1016">
        <v>1</v>
      </c>
      <c r="I251" s="759">
        <f t="shared" si="12"/>
        <v>1.3</v>
      </c>
      <c r="J251" s="104"/>
      <c r="K251" s="1017"/>
      <c r="L251" s="1057" t="s">
        <v>3940</v>
      </c>
      <c r="M251" s="1057">
        <v>1</v>
      </c>
      <c r="N251" s="1140">
        <f t="shared" si="13"/>
        <v>1</v>
      </c>
      <c r="O251" s="104"/>
      <c r="P251" s="885">
        <v>0.3</v>
      </c>
      <c r="Q251" s="1058">
        <f t="shared" si="14"/>
        <v>1.3</v>
      </c>
      <c r="S251" s="314" t="s">
        <v>4118</v>
      </c>
      <c r="T251" s="1156"/>
      <c r="U251" s="65"/>
      <c r="V251" s="65"/>
    </row>
    <row r="252" spans="4:22">
      <c r="D252" s="1041">
        <v>6708</v>
      </c>
      <c r="E252" s="563" t="s">
        <v>3434</v>
      </c>
      <c r="F252" s="1691"/>
      <c r="G252" s="1016">
        <v>1.35</v>
      </c>
      <c r="H252" s="1016">
        <v>1</v>
      </c>
      <c r="I252" s="759">
        <f t="shared" si="12"/>
        <v>1.35</v>
      </c>
      <c r="J252" s="104"/>
      <c r="K252" s="1017"/>
      <c r="L252" s="1057" t="s">
        <v>3940</v>
      </c>
      <c r="M252" s="1057">
        <v>0.8</v>
      </c>
      <c r="N252" s="1140">
        <f t="shared" si="13"/>
        <v>0.8</v>
      </c>
      <c r="O252" s="104"/>
      <c r="P252" s="885">
        <v>0.25</v>
      </c>
      <c r="Q252" s="1058">
        <f t="shared" si="14"/>
        <v>1.6875</v>
      </c>
      <c r="S252" s="314" t="s">
        <v>4119</v>
      </c>
      <c r="T252" s="1156"/>
      <c r="U252" s="65"/>
      <c r="V252" s="65"/>
    </row>
    <row r="253" spans="4:22" ht="15.75" thickBot="1">
      <c r="D253" s="1042">
        <v>21166</v>
      </c>
      <c r="E253" s="1039" t="s">
        <v>3942</v>
      </c>
      <c r="F253" s="1039"/>
      <c r="G253" s="620">
        <v>0.85</v>
      </c>
      <c r="H253" s="620">
        <v>2</v>
      </c>
      <c r="I253" s="527">
        <f t="shared" si="12"/>
        <v>1.7</v>
      </c>
      <c r="J253" s="104"/>
      <c r="K253" s="1017"/>
      <c r="L253" s="1057" t="s">
        <v>3941</v>
      </c>
      <c r="M253" s="1057">
        <v>0.57999999999999996</v>
      </c>
      <c r="N253" s="1140">
        <f t="shared" si="13"/>
        <v>1.1599999999999999</v>
      </c>
      <c r="O253" s="104"/>
      <c r="P253" s="885">
        <v>0.45</v>
      </c>
      <c r="Q253" s="1058">
        <f t="shared" si="14"/>
        <v>1.4655172413793105</v>
      </c>
      <c r="S253" s="314" t="s">
        <v>4120</v>
      </c>
      <c r="T253" s="1156"/>
      <c r="U253" s="65"/>
      <c r="V253" s="65"/>
    </row>
    <row r="254" spans="4:22" ht="15.75" thickBot="1">
      <c r="D254" s="407"/>
      <c r="E254" s="1043" t="s">
        <v>560</v>
      </c>
      <c r="F254" s="1043"/>
      <c r="G254" s="101"/>
      <c r="H254" s="1037">
        <v>15</v>
      </c>
      <c r="I254" s="1037">
        <f>SUM(I244:I253)</f>
        <v>15.649999999999999</v>
      </c>
      <c r="J254" s="104"/>
      <c r="K254" s="1017"/>
      <c r="L254" s="1057" t="s">
        <v>4004</v>
      </c>
      <c r="M254" s="1057">
        <f>SUM(M244:M253)</f>
        <v>8.16</v>
      </c>
      <c r="N254" s="1140" t="s">
        <v>65</v>
      </c>
      <c r="O254" s="104"/>
      <c r="P254" s="1017"/>
      <c r="Q254" s="1017"/>
      <c r="S254" s="314" t="s">
        <v>4121</v>
      </c>
      <c r="T254" s="1156"/>
      <c r="U254" s="65"/>
      <c r="V254" s="65"/>
    </row>
    <row r="255" spans="4:22">
      <c r="D255" s="407"/>
      <c r="E255" s="1017"/>
      <c r="G255" s="1017"/>
      <c r="H255" s="1017"/>
      <c r="I255" s="1017" t="s">
        <v>65</v>
      </c>
      <c r="K255" s="1017"/>
      <c r="L255" s="1017"/>
      <c r="M255" s="1017"/>
      <c r="N255" s="1058">
        <f>SUM(N244:N253)</f>
        <v>11.860000000000001</v>
      </c>
      <c r="P255" s="1017"/>
      <c r="Q255" s="1017">
        <f>+I254/N255</f>
        <v>1.3195615514333894</v>
      </c>
      <c r="S255" s="314" t="s">
        <v>4122</v>
      </c>
    </row>
    <row r="256" spans="4:22" ht="15.75" thickBot="1">
      <c r="D256" s="924"/>
      <c r="E256" s="101"/>
      <c r="F256" s="1692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S256" s="314" t="s">
        <v>4125</v>
      </c>
    </row>
    <row r="257" spans="4:18">
      <c r="D257" s="1130" t="s">
        <v>65</v>
      </c>
      <c r="E257" s="101" t="s">
        <v>4059</v>
      </c>
      <c r="F257" s="1692"/>
      <c r="G257" s="938">
        <v>44594</v>
      </c>
      <c r="H257" s="101"/>
      <c r="I257" s="101"/>
      <c r="J257" s="101"/>
      <c r="K257" s="101"/>
      <c r="L257" s="1124" t="s">
        <v>3952</v>
      </c>
      <c r="M257" s="1125"/>
      <c r="N257" s="1126">
        <v>4.5599999999999996</v>
      </c>
      <c r="O257" s="104"/>
      <c r="P257" s="101"/>
      <c r="Q257" s="101"/>
    </row>
    <row r="258" spans="4:18" ht="105">
      <c r="D258" s="269"/>
      <c r="E258" s="1074" t="s">
        <v>107</v>
      </c>
      <c r="F258" s="1689"/>
      <c r="G258" s="1074" t="s">
        <v>559</v>
      </c>
      <c r="H258" s="1074" t="s">
        <v>1662</v>
      </c>
      <c r="I258" s="1076" t="s">
        <v>4054</v>
      </c>
      <c r="J258" s="1142"/>
      <c r="K258" s="1074"/>
      <c r="L258" s="1076" t="s">
        <v>4055</v>
      </c>
      <c r="M258" s="1074"/>
      <c r="N258" s="1076" t="s">
        <v>4056</v>
      </c>
      <c r="O258" s="1182"/>
      <c r="P258" s="1074" t="s">
        <v>4057</v>
      </c>
      <c r="Q258" s="1076" t="s">
        <v>4058</v>
      </c>
    </row>
    <row r="259" spans="4:18">
      <c r="D259" s="269">
        <v>1</v>
      </c>
      <c r="E259" s="1074" t="s">
        <v>4047</v>
      </c>
      <c r="F259" s="1689"/>
      <c r="G259" s="1074">
        <v>3.48</v>
      </c>
      <c r="H259" s="1074">
        <v>1</v>
      </c>
      <c r="I259" s="52">
        <f t="shared" ref="I259:I265" si="15">+H259*G259</f>
        <v>3.48</v>
      </c>
      <c r="J259" s="52"/>
      <c r="K259" s="1074"/>
      <c r="L259" s="1074">
        <v>685</v>
      </c>
      <c r="M259" s="1074"/>
      <c r="N259" s="1074">
        <v>4.5</v>
      </c>
      <c r="O259" s="1180"/>
      <c r="P259" s="52">
        <f t="shared" ref="P259:P265" si="16">+N259*N$257</f>
        <v>20.52</v>
      </c>
      <c r="Q259" s="978">
        <f t="shared" ref="Q259:Q265" si="17">+P259*L259</f>
        <v>14056.199999999999</v>
      </c>
    </row>
    <row r="260" spans="4:18">
      <c r="D260" s="269">
        <v>2</v>
      </c>
      <c r="E260" s="1074" t="s">
        <v>4048</v>
      </c>
      <c r="F260" s="1689"/>
      <c r="G260" s="1074">
        <v>3.48</v>
      </c>
      <c r="H260" s="1074">
        <v>1</v>
      </c>
      <c r="I260" s="52">
        <f t="shared" si="15"/>
        <v>3.48</v>
      </c>
      <c r="J260" s="52"/>
      <c r="K260" s="1074"/>
      <c r="L260" s="1074">
        <v>685</v>
      </c>
      <c r="M260" s="1074"/>
      <c r="N260" s="1074">
        <v>4.2</v>
      </c>
      <c r="O260" s="1180"/>
      <c r="P260" s="52">
        <f t="shared" si="16"/>
        <v>19.151999999999997</v>
      </c>
      <c r="Q260" s="978">
        <f t="shared" si="17"/>
        <v>13119.119999999999</v>
      </c>
    </row>
    <row r="261" spans="4:18">
      <c r="D261" s="269">
        <v>3</v>
      </c>
      <c r="E261" s="1074" t="s">
        <v>4049</v>
      </c>
      <c r="F261" s="1689"/>
      <c r="G261" s="1074">
        <v>3.48</v>
      </c>
      <c r="H261" s="1074">
        <v>1</v>
      </c>
      <c r="I261" s="52">
        <f t="shared" si="15"/>
        <v>3.48</v>
      </c>
      <c r="J261" s="52"/>
      <c r="K261" s="1074"/>
      <c r="L261" s="1074">
        <v>685</v>
      </c>
      <c r="M261" s="1074"/>
      <c r="N261" s="1074">
        <v>4.5</v>
      </c>
      <c r="O261" s="1180"/>
      <c r="P261" s="52">
        <f t="shared" si="16"/>
        <v>20.52</v>
      </c>
      <c r="Q261" s="978">
        <f t="shared" si="17"/>
        <v>14056.199999999999</v>
      </c>
    </row>
    <row r="262" spans="4:18">
      <c r="D262" s="269">
        <v>4</v>
      </c>
      <c r="E262" s="1074" t="s">
        <v>4050</v>
      </c>
      <c r="F262" s="1689"/>
      <c r="G262" s="1074">
        <v>4</v>
      </c>
      <c r="H262" s="1074">
        <v>1</v>
      </c>
      <c r="I262" s="52">
        <f t="shared" si="15"/>
        <v>4</v>
      </c>
      <c r="J262" s="52"/>
      <c r="K262" s="1074"/>
      <c r="L262" s="1074">
        <v>685</v>
      </c>
      <c r="M262" s="1074"/>
      <c r="N262" s="1074">
        <v>4.5999999999999996</v>
      </c>
      <c r="O262" s="1180"/>
      <c r="P262" s="52">
        <f t="shared" si="16"/>
        <v>20.975999999999996</v>
      </c>
      <c r="Q262" s="978">
        <f t="shared" si="17"/>
        <v>14368.559999999998</v>
      </c>
    </row>
    <row r="263" spans="4:18">
      <c r="D263" s="269">
        <v>5</v>
      </c>
      <c r="E263" s="1074" t="s">
        <v>4051</v>
      </c>
      <c r="F263" s="1689"/>
      <c r="G263" s="1074">
        <v>2.2000000000000002</v>
      </c>
      <c r="H263" s="1074">
        <v>1</v>
      </c>
      <c r="I263" s="52">
        <f t="shared" si="15"/>
        <v>2.2000000000000002</v>
      </c>
      <c r="J263" s="52"/>
      <c r="K263" s="1074"/>
      <c r="L263" s="1074">
        <v>685</v>
      </c>
      <c r="M263" s="1074"/>
      <c r="N263" s="1074">
        <v>2.8</v>
      </c>
      <c r="O263" s="1180"/>
      <c r="P263" s="52">
        <f t="shared" si="16"/>
        <v>12.767999999999999</v>
      </c>
      <c r="Q263" s="978">
        <f t="shared" si="17"/>
        <v>8746.08</v>
      </c>
    </row>
    <row r="264" spans="4:18">
      <c r="D264" s="269">
        <v>6</v>
      </c>
      <c r="E264" s="1074" t="s">
        <v>4052</v>
      </c>
      <c r="F264" s="1689"/>
      <c r="G264" s="1074">
        <v>3.43</v>
      </c>
      <c r="H264" s="1074">
        <v>0.75</v>
      </c>
      <c r="I264" s="52">
        <f t="shared" si="15"/>
        <v>2.5725000000000002</v>
      </c>
      <c r="J264" s="52"/>
      <c r="K264" s="1074"/>
      <c r="L264" s="1074">
        <v>685</v>
      </c>
      <c r="M264" s="1074"/>
      <c r="N264" s="1074">
        <v>3.1</v>
      </c>
      <c r="O264" s="1180"/>
      <c r="P264" s="52">
        <f t="shared" si="16"/>
        <v>14.135999999999999</v>
      </c>
      <c r="Q264" s="978">
        <f t="shared" si="17"/>
        <v>9683.16</v>
      </c>
    </row>
    <row r="265" spans="4:18" ht="15.75" thickBot="1">
      <c r="D265" s="269">
        <v>7</v>
      </c>
      <c r="E265" s="1074" t="s">
        <v>4053</v>
      </c>
      <c r="F265" s="1689"/>
      <c r="G265" s="1074">
        <v>2.0699999999999998</v>
      </c>
      <c r="H265" s="438">
        <v>1</v>
      </c>
      <c r="I265" s="1127">
        <f t="shared" si="15"/>
        <v>2.0699999999999998</v>
      </c>
      <c r="J265" s="1127"/>
      <c r="K265" s="1074"/>
      <c r="L265" s="1074">
        <v>685</v>
      </c>
      <c r="M265" s="1074"/>
      <c r="N265" s="438">
        <v>2.5</v>
      </c>
      <c r="O265" s="438"/>
      <c r="P265" s="52">
        <f t="shared" si="16"/>
        <v>11.399999999999999</v>
      </c>
      <c r="Q265" s="978">
        <f t="shared" si="17"/>
        <v>7808.9999999999991</v>
      </c>
    </row>
    <row r="266" spans="4:18" ht="30.75" thickBot="1">
      <c r="D266" s="1123"/>
      <c r="E266" s="101"/>
      <c r="F266" s="1692"/>
      <c r="G266" s="101"/>
      <c r="H266" s="1128" t="s">
        <v>4054</v>
      </c>
      <c r="I266" s="1129">
        <f>SUM(I259:I265)</f>
        <v>21.282500000000002</v>
      </c>
      <c r="J266" s="894"/>
      <c r="K266" s="101"/>
      <c r="L266" s="101"/>
      <c r="M266" s="101"/>
      <c r="N266" s="1037">
        <v>26.2</v>
      </c>
      <c r="O266" s="104"/>
      <c r="P266" s="1080" t="s">
        <v>4060</v>
      </c>
      <c r="Q266" s="978">
        <f>SUM(Q259:Q265)</f>
        <v>81838.319999999992</v>
      </c>
    </row>
    <row r="267" spans="4:18">
      <c r="D267" s="1123"/>
      <c r="E267" s="101"/>
      <c r="F267" s="1692"/>
      <c r="G267" s="101"/>
      <c r="H267" s="101"/>
      <c r="I267" s="101"/>
      <c r="J267" s="101"/>
      <c r="K267" s="101"/>
      <c r="L267" s="373">
        <f>+N266/I266</f>
        <v>1.2310583812991893</v>
      </c>
      <c r="M267" s="101"/>
      <c r="N267" s="101" t="s">
        <v>65</v>
      </c>
      <c r="O267" s="101"/>
      <c r="P267" s="1074" t="s">
        <v>4061</v>
      </c>
      <c r="Q267" s="1074">
        <v>0</v>
      </c>
    </row>
    <row r="268" spans="4:18">
      <c r="D268" s="1123"/>
      <c r="E268" s="101"/>
      <c r="F268" s="1692"/>
      <c r="G268" s="101"/>
      <c r="H268" s="101"/>
      <c r="I268" s="101"/>
      <c r="J268" s="101"/>
      <c r="K268" s="101"/>
      <c r="L268" s="1131">
        <v>0.23</v>
      </c>
      <c r="M268" s="101"/>
      <c r="N268" s="101"/>
      <c r="O268" s="101"/>
      <c r="P268" s="1074" t="s">
        <v>560</v>
      </c>
      <c r="Q268" s="978">
        <f>+Q266</f>
        <v>81838.319999999992</v>
      </c>
    </row>
    <row r="269" spans="4:18">
      <c r="D269" s="1123"/>
    </row>
    <row r="270" spans="4:18">
      <c r="D270" s="1123"/>
    </row>
    <row r="271" spans="4:18" ht="70.5" customHeight="1">
      <c r="D271" s="1123"/>
      <c r="E271" s="1140"/>
      <c r="F271" s="1689"/>
      <c r="G271" s="1140" t="s">
        <v>3160</v>
      </c>
      <c r="H271" s="1140" t="s">
        <v>4061</v>
      </c>
      <c r="I271" s="1142" t="s">
        <v>2270</v>
      </c>
      <c r="J271" s="574" t="s">
        <v>4238</v>
      </c>
      <c r="K271" s="1140" t="s">
        <v>4235</v>
      </c>
      <c r="L271" s="1071" t="s">
        <v>4236</v>
      </c>
      <c r="M271" s="101"/>
      <c r="N271" s="101"/>
      <c r="O271" s="101"/>
      <c r="P271" s="101"/>
      <c r="Q271" s="101"/>
      <c r="R271" s="1171"/>
    </row>
    <row r="272" spans="4:18">
      <c r="D272" s="1123"/>
      <c r="E272" s="1140" t="s">
        <v>1373</v>
      </c>
      <c r="F272" s="1689"/>
      <c r="G272" s="1140">
        <v>1.39</v>
      </c>
      <c r="H272" s="52">
        <f>G272*16%</f>
        <v>0.22239999999999999</v>
      </c>
      <c r="I272" s="1172">
        <f>+G272+H272</f>
        <v>1.6123999999999998</v>
      </c>
      <c r="J272" s="1173">
        <v>2.12</v>
      </c>
      <c r="K272" s="1140">
        <v>1</v>
      </c>
      <c r="L272" s="1147">
        <v>2.12</v>
      </c>
      <c r="M272" s="101"/>
      <c r="N272" s="101"/>
      <c r="O272" s="101"/>
      <c r="P272" s="101"/>
      <c r="Q272" s="101"/>
      <c r="R272" s="1171"/>
    </row>
    <row r="273" spans="4:19">
      <c r="D273" s="1123"/>
      <c r="E273" s="1140" t="s">
        <v>3781</v>
      </c>
      <c r="F273" s="1689"/>
      <c r="G273" s="1140">
        <v>2.11</v>
      </c>
      <c r="H273" s="1140" t="s">
        <v>64</v>
      </c>
      <c r="I273" s="1172">
        <v>2.11</v>
      </c>
      <c r="J273" s="1173">
        <v>3.1</v>
      </c>
      <c r="K273" s="1140">
        <v>1.155</v>
      </c>
      <c r="L273" s="1174">
        <f>+J273*K273</f>
        <v>3.5805000000000002</v>
      </c>
      <c r="M273" s="101"/>
      <c r="N273" s="101"/>
      <c r="O273" s="101"/>
      <c r="P273" s="101"/>
      <c r="Q273" s="101"/>
      <c r="R273" s="1171"/>
    </row>
    <row r="274" spans="4:19">
      <c r="E274" s="1140" t="s">
        <v>4234</v>
      </c>
      <c r="F274" s="1689"/>
      <c r="G274" s="52">
        <v>1.7609999999999999</v>
      </c>
      <c r="H274" s="1140" t="s">
        <v>64</v>
      </c>
      <c r="I274" s="1140">
        <f>+G274</f>
        <v>1.7609999999999999</v>
      </c>
      <c r="J274" s="575">
        <v>2.38</v>
      </c>
      <c r="K274" s="1140">
        <v>1</v>
      </c>
      <c r="L274" s="1147">
        <f>+J274*K274</f>
        <v>2.38</v>
      </c>
      <c r="M274" s="101"/>
      <c r="N274" s="101"/>
      <c r="O274" s="101"/>
      <c r="P274" s="101"/>
      <c r="Q274" s="101"/>
      <c r="R274" s="1171"/>
    </row>
    <row r="275" spans="4:19" ht="49.5" customHeight="1">
      <c r="E275" s="1140" t="s">
        <v>4237</v>
      </c>
      <c r="F275" s="1689"/>
      <c r="G275" s="1140">
        <v>2.75</v>
      </c>
      <c r="H275" s="1140">
        <f>+G275*16%</f>
        <v>0.44</v>
      </c>
      <c r="I275" s="1172">
        <f>+G275+H275</f>
        <v>3.19</v>
      </c>
      <c r="J275" s="1173">
        <v>4.25</v>
      </c>
      <c r="K275" s="1172">
        <v>0.2</v>
      </c>
      <c r="L275" s="1147">
        <f>+J275*K275</f>
        <v>0.85000000000000009</v>
      </c>
      <c r="M275" s="1142" t="s">
        <v>2647</v>
      </c>
      <c r="N275" s="1140" t="s">
        <v>559</v>
      </c>
      <c r="O275" s="1180"/>
      <c r="P275" s="1142" t="s">
        <v>4239</v>
      </c>
      <c r="Q275" s="1140" t="s">
        <v>3739</v>
      </c>
      <c r="R275" s="513" t="s">
        <v>4240</v>
      </c>
    </row>
    <row r="276" spans="4:19">
      <c r="E276" s="1140" t="s">
        <v>1949</v>
      </c>
      <c r="F276" s="1689"/>
      <c r="G276" s="1140">
        <v>16.350000000000001</v>
      </c>
      <c r="H276" s="1140" t="s">
        <v>64</v>
      </c>
      <c r="I276" s="52">
        <v>2.2000000000000002</v>
      </c>
      <c r="J276" s="1175">
        <v>2.2000000000000002</v>
      </c>
      <c r="K276" s="1172">
        <v>0.1</v>
      </c>
      <c r="L276" s="1174">
        <f>+I276*K276</f>
        <v>0.22000000000000003</v>
      </c>
      <c r="M276" s="1140">
        <v>3.6</v>
      </c>
      <c r="N276" s="1140">
        <v>16.350000000000001</v>
      </c>
      <c r="O276" s="1180"/>
      <c r="P276" s="52">
        <f>+M276/N276</f>
        <v>0.22018348623853209</v>
      </c>
      <c r="Q276" s="1140">
        <v>10</v>
      </c>
      <c r="R276" s="52">
        <f>+P276*Q276</f>
        <v>2.2018348623853208</v>
      </c>
    </row>
    <row r="277" spans="4:19">
      <c r="E277" s="1140" t="s">
        <v>4241</v>
      </c>
      <c r="F277" s="1689"/>
      <c r="G277" s="1140">
        <v>13.27</v>
      </c>
      <c r="H277" s="1142" t="s">
        <v>4242</v>
      </c>
      <c r="I277" s="1140">
        <v>3.17</v>
      </c>
      <c r="J277" s="575">
        <v>3.17</v>
      </c>
      <c r="K277" s="1172">
        <v>0.1</v>
      </c>
      <c r="L277" s="1174">
        <f>+I277*K277</f>
        <v>0.317</v>
      </c>
      <c r="M277" s="1140">
        <v>4.2</v>
      </c>
      <c r="N277" s="1140">
        <v>13.27</v>
      </c>
      <c r="O277" s="1180"/>
      <c r="P277" s="52">
        <f>+M277/N277</f>
        <v>0.31650339110776188</v>
      </c>
      <c r="Q277" s="1140">
        <v>10</v>
      </c>
      <c r="R277" s="52">
        <f>+P277*Q277</f>
        <v>3.1650339110776189</v>
      </c>
    </row>
    <row r="280" spans="4:19" ht="15.75" thickBot="1"/>
    <row r="281" spans="4:19">
      <c r="D281" s="1198" t="s">
        <v>116</v>
      </c>
      <c r="E281" s="1181"/>
      <c r="G281" s="1181"/>
      <c r="H281" s="1181"/>
      <c r="I281" s="1181"/>
    </row>
    <row r="282" spans="4:19" ht="15.75" thickBot="1">
      <c r="D282" s="1199">
        <v>10694</v>
      </c>
      <c r="E282" s="1181"/>
      <c r="G282" s="1181"/>
      <c r="H282" s="1181"/>
      <c r="I282" s="1181"/>
      <c r="J282" s="1181"/>
      <c r="K282" s="1181"/>
      <c r="L282" s="1181"/>
      <c r="M282" s="1181"/>
      <c r="N282" s="1181"/>
      <c r="P282" s="1181"/>
      <c r="Q282" s="1181"/>
      <c r="S282" s="1181"/>
    </row>
    <row r="283" spans="4:19" ht="24" thickBot="1">
      <c r="D283" s="938">
        <v>44603</v>
      </c>
      <c r="E283" s="1202" t="s">
        <v>4413</v>
      </c>
      <c r="F283" s="1202"/>
      <c r="G283" s="1202"/>
      <c r="H283" s="1202"/>
      <c r="I283" s="1202"/>
      <c r="J283" s="930"/>
      <c r="K283" s="930"/>
      <c r="L283" s="101"/>
      <c r="M283" s="101"/>
      <c r="N283" s="101"/>
      <c r="O283" s="101"/>
      <c r="P283" s="101"/>
      <c r="Q283" s="101"/>
      <c r="R283" s="1171"/>
      <c r="S283" s="101"/>
    </row>
    <row r="284" spans="4:19" ht="30">
      <c r="D284" s="1203" t="s">
        <v>4406</v>
      </c>
      <c r="E284" s="309" t="s">
        <v>65</v>
      </c>
      <c r="F284" s="309"/>
      <c r="G284" s="309" t="s">
        <v>3407</v>
      </c>
      <c r="H284" s="309" t="s">
        <v>3372</v>
      </c>
      <c r="I284" s="309" t="s">
        <v>3285</v>
      </c>
      <c r="J284" s="309"/>
      <c r="K284" s="309" t="s">
        <v>3343</v>
      </c>
      <c r="L284" s="101" t="s">
        <v>3414</v>
      </c>
      <c r="M284" s="101"/>
      <c r="N284" s="773" t="s">
        <v>4412</v>
      </c>
      <c r="O284" s="104"/>
      <c r="P284" s="101"/>
      <c r="Q284" s="1180" t="s">
        <v>4407</v>
      </c>
      <c r="R284" s="268" t="s">
        <v>4408</v>
      </c>
      <c r="S284" s="1180" t="s">
        <v>4409</v>
      </c>
    </row>
    <row r="285" spans="4:19">
      <c r="D285" s="52">
        <v>1874</v>
      </c>
      <c r="E285" s="528" t="s">
        <v>3735</v>
      </c>
      <c r="F285" s="1694"/>
      <c r="G285" s="52">
        <v>6.9</v>
      </c>
      <c r="H285" s="1180">
        <v>2.2999999999999998</v>
      </c>
      <c r="I285" s="1180" t="s">
        <v>4411</v>
      </c>
      <c r="J285" s="1180"/>
      <c r="K285" s="52">
        <f>+G285*H285</f>
        <v>15.87</v>
      </c>
      <c r="L285" s="101">
        <v>2.2999999999999998</v>
      </c>
      <c r="M285" s="101"/>
      <c r="N285" s="1204">
        <f>+G285*H285</f>
        <v>15.87</v>
      </c>
      <c r="O285" s="894"/>
      <c r="P285" s="101"/>
      <c r="Q285" s="1180">
        <v>2.0499999999999998</v>
      </c>
      <c r="R285" s="268">
        <v>6.9</v>
      </c>
      <c r="S285" s="1180">
        <f>+Q285/R285</f>
        <v>0.29710144927536225</v>
      </c>
    </row>
    <row r="286" spans="4:19">
      <c r="D286" s="52">
        <v>1941</v>
      </c>
      <c r="E286" s="1180" t="s">
        <v>3737</v>
      </c>
      <c r="F286" s="1689"/>
      <c r="G286" s="52">
        <v>8.5</v>
      </c>
      <c r="H286" s="1180">
        <v>1</v>
      </c>
      <c r="I286" s="1180" t="s">
        <v>3739</v>
      </c>
      <c r="J286" s="1180"/>
      <c r="K286" s="52">
        <f>+H286*G286</f>
        <v>8.5</v>
      </c>
      <c r="L286" s="101" t="s">
        <v>3739</v>
      </c>
      <c r="M286" s="101"/>
      <c r="N286" s="1204">
        <f>+G286*H286</f>
        <v>8.5</v>
      </c>
      <c r="O286" s="894"/>
      <c r="P286" s="101"/>
      <c r="Q286" s="101"/>
      <c r="R286" s="1171"/>
      <c r="S286" s="101"/>
    </row>
    <row r="287" spans="4:19" ht="15.75" thickBot="1">
      <c r="D287" s="52">
        <v>460</v>
      </c>
      <c r="E287" s="1182" t="s">
        <v>3736</v>
      </c>
      <c r="F287" s="1696"/>
      <c r="G287" s="52">
        <v>8.83</v>
      </c>
      <c r="H287" s="52">
        <v>0.5</v>
      </c>
      <c r="I287" s="1180" t="s">
        <v>4410</v>
      </c>
      <c r="J287" s="1180"/>
      <c r="K287" s="52">
        <f>+G287*H287</f>
        <v>4.415</v>
      </c>
      <c r="L287" s="101" t="s">
        <v>3740</v>
      </c>
      <c r="M287" s="101"/>
      <c r="N287" s="1199">
        <f>+G287*H287</f>
        <v>4.415</v>
      </c>
      <c r="O287" s="894"/>
      <c r="P287" s="101"/>
      <c r="Q287" s="101"/>
      <c r="R287" s="1171"/>
      <c r="S287" s="101"/>
    </row>
    <row r="288" spans="4:19" ht="15.75" thickBot="1">
      <c r="D288" s="23">
        <v>7591031003267</v>
      </c>
      <c r="E288" s="1180" t="s">
        <v>3738</v>
      </c>
      <c r="F288" s="1689"/>
      <c r="G288" s="52">
        <v>2.0499999999999998</v>
      </c>
      <c r="H288" s="1180"/>
      <c r="I288" s="1180">
        <v>0</v>
      </c>
      <c r="J288" s="1180"/>
      <c r="K288" s="52">
        <f>+G288*I288</f>
        <v>0</v>
      </c>
      <c r="L288" s="101" t="s">
        <v>2684</v>
      </c>
      <c r="M288" s="1171" t="s">
        <v>3741</v>
      </c>
      <c r="N288" s="1171"/>
      <c r="O288" s="1171"/>
      <c r="P288" s="101"/>
      <c r="Q288" s="101"/>
      <c r="R288" s="1171"/>
      <c r="S288" s="101"/>
    </row>
    <row r="289" spans="1:25" ht="15.75" thickBot="1">
      <c r="D289" s="373"/>
      <c r="E289" s="101"/>
      <c r="F289" s="1692"/>
      <c r="G289" s="101"/>
      <c r="H289" s="101"/>
      <c r="I289" s="101"/>
      <c r="J289" s="101"/>
      <c r="K289" s="373">
        <f>SUM(K285:K288)</f>
        <v>28.784999999999997</v>
      </c>
      <c r="L289" s="101"/>
      <c r="M289" s="101"/>
      <c r="N289" s="1037">
        <f>SUM(N285:N288)</f>
        <v>28.784999999999997</v>
      </c>
      <c r="O289" s="104"/>
      <c r="P289" s="101"/>
      <c r="Q289" s="101"/>
      <c r="R289" s="1171"/>
      <c r="S289" s="101"/>
    </row>
    <row r="290" spans="1:25">
      <c r="D290" s="924"/>
      <c r="E290" s="101"/>
      <c r="F290" s="1692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1"/>
      <c r="R290" s="1171"/>
      <c r="S290" s="101"/>
    </row>
    <row r="291" spans="1:25">
      <c r="E291" s="1181"/>
      <c r="G291" s="1181"/>
      <c r="H291" s="1181"/>
      <c r="I291" s="1181"/>
      <c r="J291" s="1181"/>
      <c r="K291" s="1181"/>
      <c r="L291" s="1181"/>
      <c r="M291" s="1181"/>
      <c r="N291" s="1181"/>
      <c r="P291" s="1181"/>
      <c r="Q291" s="1181"/>
      <c r="S291" s="336"/>
    </row>
    <row r="294" spans="1:25">
      <c r="D294" s="827"/>
      <c r="E294" s="57"/>
      <c r="F294" s="57"/>
      <c r="G294" s="1181"/>
      <c r="H294" s="1181"/>
      <c r="I294" s="1181"/>
      <c r="J294" s="1181"/>
      <c r="K294" s="1181"/>
      <c r="L294" s="1181"/>
      <c r="M294" s="1181"/>
      <c r="N294" s="1181"/>
      <c r="P294" s="1181"/>
      <c r="Q294" s="1181"/>
      <c r="R294" s="1181"/>
      <c r="S294" s="422"/>
      <c r="T294" s="1181"/>
      <c r="U294" s="422"/>
      <c r="V294" s="333"/>
    </row>
    <row r="295" spans="1:25" ht="15.75" thickBot="1">
      <c r="E295" s="101" t="s">
        <v>4414</v>
      </c>
      <c r="F295" s="1692"/>
      <c r="H295" s="1181"/>
      <c r="I295" s="1181"/>
      <c r="J295" s="1181"/>
      <c r="K295" s="1181"/>
      <c r="L295" s="1181"/>
      <c r="M295" s="1181"/>
      <c r="N295" s="1181"/>
      <c r="P295" s="1181"/>
      <c r="Q295" s="1181"/>
      <c r="S295" s="65" t="s">
        <v>4111</v>
      </c>
      <c r="T295" s="1156"/>
      <c r="U295" s="65" t="s">
        <v>4110</v>
      </c>
      <c r="V295" s="65"/>
      <c r="W295" s="827"/>
      <c r="X295" s="827"/>
      <c r="Y295" s="827"/>
    </row>
    <row r="296" spans="1:25" ht="30">
      <c r="D296" s="1040" t="s">
        <v>3318</v>
      </c>
      <c r="E296" s="763" t="s">
        <v>107</v>
      </c>
      <c r="F296" s="763"/>
      <c r="G296" s="655" t="s">
        <v>2547</v>
      </c>
      <c r="H296" s="1036" t="s">
        <v>246</v>
      </c>
      <c r="I296" s="1036" t="s">
        <v>3343</v>
      </c>
      <c r="J296" s="1166"/>
      <c r="K296" s="1181"/>
      <c r="L296" s="1180"/>
      <c r="M296" s="1180" t="s">
        <v>3938</v>
      </c>
      <c r="N296" s="1137" t="s">
        <v>4421</v>
      </c>
      <c r="O296" s="1137" t="s">
        <v>61</v>
      </c>
      <c r="P296" s="1182" t="s">
        <v>2547</v>
      </c>
      <c r="Q296" s="1181"/>
      <c r="S296" s="65" t="s">
        <v>4112</v>
      </c>
      <c r="T296" s="1156"/>
      <c r="U296" s="65" t="s">
        <v>4104</v>
      </c>
      <c r="V296" s="65"/>
      <c r="W296" s="827"/>
      <c r="X296" s="827"/>
      <c r="Y296" s="827"/>
    </row>
    <row r="297" spans="1:25">
      <c r="D297" s="1206">
        <v>1092</v>
      </c>
      <c r="E297" s="1196" t="s">
        <v>4440</v>
      </c>
      <c r="F297" s="1705"/>
      <c r="G297" s="52">
        <f>+P297</f>
        <v>1.7423000000000002</v>
      </c>
      <c r="H297" s="1180">
        <v>1</v>
      </c>
      <c r="I297" s="1207">
        <f t="shared" ref="I297:I309" si="18">+G297*H297</f>
        <v>1.7423000000000002</v>
      </c>
      <c r="J297" s="104"/>
      <c r="K297" s="1181"/>
      <c r="L297" s="1179" t="s">
        <v>4439</v>
      </c>
      <c r="M297" s="1180">
        <v>1.33</v>
      </c>
      <c r="N297" s="1180">
        <f t="shared" ref="N297:N309" si="19">+M297*15%</f>
        <v>0.19950000000000001</v>
      </c>
      <c r="O297" s="1180">
        <f t="shared" ref="O297:O309" si="20">+M297*16%</f>
        <v>0.21280000000000002</v>
      </c>
      <c r="P297" s="52">
        <f t="shared" ref="P297:P309" si="21">+M297+N297+O297</f>
        <v>1.7423000000000002</v>
      </c>
      <c r="Q297" s="1181"/>
      <c r="S297" s="1157" t="s">
        <v>4114</v>
      </c>
      <c r="T297" s="1156"/>
      <c r="U297" s="65" t="s">
        <v>4106</v>
      </c>
      <c r="V297" s="65"/>
      <c r="W297" s="827"/>
      <c r="X297" s="827"/>
      <c r="Y297" s="827"/>
    </row>
    <row r="298" spans="1:25" s="827" customFormat="1">
      <c r="A298" s="1594"/>
      <c r="C298" s="1594"/>
      <c r="D298" s="1206">
        <v>12642</v>
      </c>
      <c r="E298" s="1196" t="s">
        <v>4437</v>
      </c>
      <c r="F298" s="1705"/>
      <c r="G298" s="52">
        <f t="shared" ref="G298:G309" si="22">+P298</f>
        <v>1.7947000000000002</v>
      </c>
      <c r="H298" s="1180">
        <v>1</v>
      </c>
      <c r="I298" s="1207">
        <f t="shared" si="18"/>
        <v>1.7947000000000002</v>
      </c>
      <c r="J298" s="104"/>
      <c r="K298" s="1181"/>
      <c r="L298" s="1180" t="s">
        <v>4438</v>
      </c>
      <c r="M298" s="1180">
        <v>1.37</v>
      </c>
      <c r="N298" s="1180">
        <f t="shared" si="19"/>
        <v>0.20550000000000002</v>
      </c>
      <c r="O298" s="1180">
        <f t="shared" si="20"/>
        <v>0.21920000000000003</v>
      </c>
      <c r="P298" s="52">
        <f t="shared" si="21"/>
        <v>1.7947000000000002</v>
      </c>
      <c r="Q298" s="1181"/>
      <c r="R298" s="422"/>
      <c r="S298" s="1157"/>
      <c r="T298" s="1156"/>
      <c r="U298" s="65"/>
      <c r="V298" s="65"/>
    </row>
    <row r="299" spans="1:25" s="827" customFormat="1" ht="18" customHeight="1">
      <c r="A299" s="1594"/>
      <c r="C299" s="1594"/>
      <c r="D299" s="1206">
        <v>3246</v>
      </c>
      <c r="E299" s="1196" t="s">
        <v>4433</v>
      </c>
      <c r="F299" s="1705"/>
      <c r="G299" s="52">
        <f t="shared" si="22"/>
        <v>1.0350000000000001</v>
      </c>
      <c r="H299" s="1180">
        <v>1</v>
      </c>
      <c r="I299" s="1207">
        <f t="shared" si="18"/>
        <v>1.0350000000000001</v>
      </c>
      <c r="J299" s="104"/>
      <c r="K299" s="1181"/>
      <c r="L299" s="1182" t="s">
        <v>4434</v>
      </c>
      <c r="M299" s="1180">
        <v>0.9</v>
      </c>
      <c r="N299" s="1180">
        <f t="shared" si="19"/>
        <v>0.13500000000000001</v>
      </c>
      <c r="O299" s="1180">
        <v>0</v>
      </c>
      <c r="P299" s="52">
        <f t="shared" si="21"/>
        <v>1.0350000000000001</v>
      </c>
      <c r="Q299" s="1181"/>
      <c r="R299" s="422"/>
      <c r="S299" s="1157"/>
      <c r="T299" s="1156"/>
      <c r="U299" s="65"/>
      <c r="V299" s="65"/>
    </row>
    <row r="300" spans="1:25" s="827" customFormat="1" ht="18.75" customHeight="1">
      <c r="A300" s="1594"/>
      <c r="C300" s="1594"/>
      <c r="D300" s="1206">
        <v>10228</v>
      </c>
      <c r="E300" s="1196" t="s">
        <v>4435</v>
      </c>
      <c r="F300" s="1705"/>
      <c r="G300" s="52">
        <f t="shared" si="22"/>
        <v>2.415</v>
      </c>
      <c r="H300" s="1180">
        <v>2</v>
      </c>
      <c r="I300" s="1207">
        <f t="shared" si="18"/>
        <v>4.83</v>
      </c>
      <c r="J300" s="104"/>
      <c r="K300" s="1181"/>
      <c r="L300" s="1182" t="s">
        <v>4432</v>
      </c>
      <c r="M300" s="1180">
        <v>2.1</v>
      </c>
      <c r="N300" s="1180">
        <f t="shared" si="19"/>
        <v>0.315</v>
      </c>
      <c r="O300" s="1180">
        <v>0</v>
      </c>
      <c r="P300" s="52">
        <f t="shared" si="21"/>
        <v>2.415</v>
      </c>
      <c r="Q300" s="1181"/>
      <c r="R300" s="422"/>
      <c r="S300" s="1157"/>
      <c r="T300" s="1156"/>
      <c r="U300" s="65"/>
      <c r="V300" s="65"/>
    </row>
    <row r="301" spans="1:25">
      <c r="D301" s="1206">
        <v>21020</v>
      </c>
      <c r="E301" s="1196" t="s">
        <v>4423</v>
      </c>
      <c r="F301" s="1705"/>
      <c r="G301" s="52">
        <f t="shared" si="22"/>
        <v>0.98899999999999999</v>
      </c>
      <c r="H301" s="1180">
        <v>1</v>
      </c>
      <c r="I301" s="1207">
        <f t="shared" si="18"/>
        <v>0.98899999999999999</v>
      </c>
      <c r="J301" s="104"/>
      <c r="K301" s="1181"/>
      <c r="L301" s="1180" t="s">
        <v>3936</v>
      </c>
      <c r="M301" s="1180">
        <v>0.86</v>
      </c>
      <c r="N301" s="1180">
        <f t="shared" si="19"/>
        <v>0.129</v>
      </c>
      <c r="O301" s="1180">
        <v>0</v>
      </c>
      <c r="P301" s="52">
        <f t="shared" si="21"/>
        <v>0.98899999999999999</v>
      </c>
      <c r="Q301" s="1181"/>
      <c r="S301" s="65" t="s">
        <v>65</v>
      </c>
      <c r="T301" s="1156"/>
      <c r="U301" s="65" t="s">
        <v>4108</v>
      </c>
      <c r="V301" s="65"/>
      <c r="W301" s="827"/>
      <c r="X301" s="827"/>
      <c r="Y301" s="827"/>
    </row>
    <row r="302" spans="1:25">
      <c r="D302" s="1206">
        <v>1436</v>
      </c>
      <c r="E302" s="1196" t="s">
        <v>3432</v>
      </c>
      <c r="F302" s="1705"/>
      <c r="G302" s="52">
        <f t="shared" si="22"/>
        <v>0.23</v>
      </c>
      <c r="H302" s="1180">
        <v>1</v>
      </c>
      <c r="I302" s="1207">
        <f t="shared" si="18"/>
        <v>0.23</v>
      </c>
      <c r="J302" s="104"/>
      <c r="K302" s="1181"/>
      <c r="L302" s="1180" t="s">
        <v>4431</v>
      </c>
      <c r="M302" s="52">
        <v>0.2</v>
      </c>
      <c r="N302" s="1180">
        <f t="shared" si="19"/>
        <v>0.03</v>
      </c>
      <c r="O302" s="1180">
        <v>0</v>
      </c>
      <c r="P302" s="52">
        <f t="shared" si="21"/>
        <v>0.23</v>
      </c>
      <c r="Q302" s="1181"/>
      <c r="S302" s="314"/>
      <c r="T302" s="1156"/>
      <c r="U302" s="1156" t="s">
        <v>4109</v>
      </c>
      <c r="V302" s="65"/>
      <c r="W302" s="827"/>
      <c r="X302" s="827"/>
      <c r="Y302" s="827"/>
    </row>
    <row r="303" spans="1:25" ht="18" customHeight="1">
      <c r="D303" s="1206">
        <v>17525</v>
      </c>
      <c r="E303" s="1196" t="s">
        <v>4430</v>
      </c>
      <c r="F303" s="1705"/>
      <c r="G303" s="52">
        <f t="shared" si="22"/>
        <v>2.5874999999999999</v>
      </c>
      <c r="H303" s="1180">
        <v>2</v>
      </c>
      <c r="I303" s="1207">
        <f t="shared" si="18"/>
        <v>5.1749999999999998</v>
      </c>
      <c r="J303" s="104"/>
      <c r="K303" s="1181"/>
      <c r="L303" s="1182" t="s">
        <v>4428</v>
      </c>
      <c r="M303" s="52">
        <v>2.25</v>
      </c>
      <c r="N303" s="1180">
        <f t="shared" si="19"/>
        <v>0.33749999999999997</v>
      </c>
      <c r="O303" s="1180">
        <v>0</v>
      </c>
      <c r="P303" s="52">
        <f t="shared" si="21"/>
        <v>2.5874999999999999</v>
      </c>
      <c r="Q303" s="1181"/>
      <c r="S303" s="314"/>
      <c r="T303" s="1156"/>
      <c r="U303" s="65"/>
      <c r="V303" s="65"/>
      <c r="W303" s="827"/>
      <c r="X303" s="827"/>
      <c r="Y303" s="827"/>
    </row>
    <row r="304" spans="1:25" s="827" customFormat="1" ht="17.25" customHeight="1">
      <c r="A304" s="1594"/>
      <c r="C304" s="1594"/>
      <c r="D304" s="1206">
        <v>4941</v>
      </c>
      <c r="E304" s="1196" t="s">
        <v>4426</v>
      </c>
      <c r="F304" s="1705"/>
      <c r="G304" s="52">
        <f t="shared" si="22"/>
        <v>2.9082000000000003</v>
      </c>
      <c r="H304" s="1180">
        <v>1</v>
      </c>
      <c r="I304" s="1207">
        <f t="shared" si="18"/>
        <v>2.9082000000000003</v>
      </c>
      <c r="J304" s="104"/>
      <c r="K304" s="1181"/>
      <c r="L304" s="1182" t="s">
        <v>4427</v>
      </c>
      <c r="M304" s="52">
        <v>2.2200000000000002</v>
      </c>
      <c r="N304" s="1180">
        <f t="shared" si="19"/>
        <v>0.33300000000000002</v>
      </c>
      <c r="O304" s="1180">
        <f t="shared" si="20"/>
        <v>0.35520000000000002</v>
      </c>
      <c r="P304" s="52">
        <f t="shared" si="21"/>
        <v>2.9082000000000003</v>
      </c>
      <c r="Q304" s="1181"/>
      <c r="R304" s="422"/>
      <c r="S304" s="314"/>
      <c r="T304" s="1156"/>
      <c r="U304" s="65"/>
      <c r="V304" s="65"/>
    </row>
    <row r="305" spans="1:25" s="827" customFormat="1" ht="18" customHeight="1">
      <c r="A305" s="1594"/>
      <c r="C305" s="1594"/>
      <c r="D305" s="1206"/>
      <c r="E305" s="1196" t="s">
        <v>4424</v>
      </c>
      <c r="F305" s="1705"/>
      <c r="G305" s="52">
        <f t="shared" si="22"/>
        <v>1.8471</v>
      </c>
      <c r="H305" s="1180">
        <v>1</v>
      </c>
      <c r="I305" s="1207">
        <f t="shared" si="18"/>
        <v>1.8471</v>
      </c>
      <c r="J305" s="104"/>
      <c r="K305" s="1181"/>
      <c r="L305" s="1182" t="s">
        <v>4425</v>
      </c>
      <c r="M305" s="52">
        <v>1.41</v>
      </c>
      <c r="N305" s="1180">
        <f t="shared" si="19"/>
        <v>0.21149999999999999</v>
      </c>
      <c r="O305" s="1180">
        <f t="shared" si="20"/>
        <v>0.22559999999999999</v>
      </c>
      <c r="P305" s="52">
        <f t="shared" si="21"/>
        <v>1.8471</v>
      </c>
      <c r="Q305" s="1181"/>
      <c r="R305" s="422"/>
      <c r="S305" s="314"/>
      <c r="T305" s="1156"/>
      <c r="U305" s="65"/>
      <c r="V305" s="65"/>
    </row>
    <row r="306" spans="1:25">
      <c r="D306" s="1206">
        <v>15986</v>
      </c>
      <c r="E306" s="1196" t="s">
        <v>3287</v>
      </c>
      <c r="F306" s="1705"/>
      <c r="G306" s="52">
        <f t="shared" si="22"/>
        <v>1.1499999999999999</v>
      </c>
      <c r="H306" s="1180">
        <v>1</v>
      </c>
      <c r="I306" s="1207">
        <f t="shared" si="18"/>
        <v>1.1499999999999999</v>
      </c>
      <c r="J306" s="104"/>
      <c r="K306" s="1181"/>
      <c r="L306" s="1180" t="s">
        <v>4429</v>
      </c>
      <c r="M306" s="1180">
        <v>1</v>
      </c>
      <c r="N306" s="1180">
        <f t="shared" si="19"/>
        <v>0.15</v>
      </c>
      <c r="O306" s="1180">
        <v>0</v>
      </c>
      <c r="P306" s="52">
        <f t="shared" si="21"/>
        <v>1.1499999999999999</v>
      </c>
      <c r="Q306" s="1181"/>
      <c r="S306" s="314"/>
      <c r="T306" s="1156"/>
      <c r="U306" s="65"/>
      <c r="V306" s="65"/>
      <c r="W306" s="827"/>
      <c r="X306" s="827"/>
      <c r="Y306" s="827"/>
    </row>
    <row r="307" spans="1:25" s="827" customFormat="1" ht="16.5" customHeight="1">
      <c r="A307" s="1594"/>
      <c r="C307" s="1594"/>
      <c r="D307" s="1206">
        <v>9117</v>
      </c>
      <c r="E307" s="1196" t="s">
        <v>4420</v>
      </c>
      <c r="F307" s="1705"/>
      <c r="G307" s="52">
        <f t="shared" si="22"/>
        <v>1.2052</v>
      </c>
      <c r="H307" s="1180">
        <v>1</v>
      </c>
      <c r="I307" s="1207">
        <f t="shared" si="18"/>
        <v>1.2052</v>
      </c>
      <c r="J307" s="104"/>
      <c r="K307" s="1181"/>
      <c r="L307" s="1195" t="s">
        <v>4422</v>
      </c>
      <c r="M307" s="1180">
        <v>0.92</v>
      </c>
      <c r="N307" s="1180">
        <f t="shared" si="19"/>
        <v>0.13800000000000001</v>
      </c>
      <c r="O307" s="1180">
        <f t="shared" si="20"/>
        <v>0.1472</v>
      </c>
      <c r="P307" s="52">
        <f t="shared" si="21"/>
        <v>1.2052</v>
      </c>
      <c r="Q307" s="1181"/>
      <c r="R307" s="422"/>
      <c r="S307" s="314"/>
      <c r="T307" s="1156"/>
      <c r="U307" s="65"/>
      <c r="V307" s="65"/>
    </row>
    <row r="308" spans="1:25" s="827" customFormat="1">
      <c r="A308" s="1594"/>
      <c r="C308" s="1594"/>
      <c r="D308" s="1206">
        <v>15249</v>
      </c>
      <c r="E308" s="1196" t="s">
        <v>4415</v>
      </c>
      <c r="F308" s="1705"/>
      <c r="G308" s="52">
        <f t="shared" si="22"/>
        <v>2.4628000000000001</v>
      </c>
      <c r="H308" s="1180">
        <v>1</v>
      </c>
      <c r="I308" s="1207">
        <f t="shared" si="18"/>
        <v>2.4628000000000001</v>
      </c>
      <c r="J308" s="104"/>
      <c r="K308" s="1181"/>
      <c r="L308" s="1180" t="s">
        <v>4416</v>
      </c>
      <c r="M308" s="1180">
        <v>1.88</v>
      </c>
      <c r="N308" s="1180">
        <f t="shared" si="19"/>
        <v>0.28199999999999997</v>
      </c>
      <c r="O308" s="1180">
        <f t="shared" si="20"/>
        <v>0.30080000000000001</v>
      </c>
      <c r="P308" s="52">
        <f t="shared" si="21"/>
        <v>2.4628000000000001</v>
      </c>
      <c r="Q308" s="1181"/>
      <c r="R308" s="422"/>
      <c r="S308" s="314"/>
      <c r="T308" s="1156"/>
      <c r="U308" s="65"/>
      <c r="V308" s="65"/>
    </row>
    <row r="309" spans="1:25" ht="15.75" thickBot="1">
      <c r="D309" s="1205">
        <v>21166</v>
      </c>
      <c r="E309" s="1209" t="s">
        <v>3942</v>
      </c>
      <c r="F309" s="1722"/>
      <c r="G309" s="52">
        <f t="shared" si="22"/>
        <v>0.77290000000000003</v>
      </c>
      <c r="H309" s="620">
        <v>1</v>
      </c>
      <c r="I309" s="1207">
        <f t="shared" si="18"/>
        <v>0.77290000000000003</v>
      </c>
      <c r="J309" s="104"/>
      <c r="K309" s="1181"/>
      <c r="L309" s="1180" t="s">
        <v>4417</v>
      </c>
      <c r="M309" s="1180">
        <v>0.59</v>
      </c>
      <c r="N309" s="52">
        <f t="shared" si="19"/>
        <v>8.8499999999999995E-2</v>
      </c>
      <c r="O309" s="1180">
        <f t="shared" si="20"/>
        <v>9.4399999999999998E-2</v>
      </c>
      <c r="P309" s="52">
        <f t="shared" si="21"/>
        <v>0.77290000000000003</v>
      </c>
      <c r="Q309" s="1181"/>
      <c r="S309" s="314"/>
      <c r="T309" s="1156"/>
      <c r="U309" s="65"/>
      <c r="V309" s="65"/>
      <c r="W309" s="827"/>
      <c r="X309" s="827"/>
      <c r="Y309" s="827"/>
    </row>
    <row r="310" spans="1:25" ht="15.75" thickBot="1">
      <c r="D310" s="407"/>
      <c r="G310" s="101"/>
      <c r="H310" s="1037" t="s">
        <v>560</v>
      </c>
      <c r="I310" s="1208">
        <f>SUM(I297:I309)</f>
        <v>26.142200000000006</v>
      </c>
      <c r="J310" s="104"/>
      <c r="K310" s="1181"/>
      <c r="L310" s="1181"/>
      <c r="M310" s="422"/>
      <c r="P310" s="1156"/>
      <c r="Q310" s="65"/>
      <c r="R310" s="65"/>
      <c r="S310" s="314"/>
      <c r="T310" s="827"/>
      <c r="U310" s="827"/>
    </row>
    <row r="311" spans="1:25">
      <c r="D311" s="407"/>
      <c r="E311" s="1181"/>
      <c r="G311" s="1181"/>
      <c r="H311" s="1181"/>
      <c r="I311" s="1181" t="s">
        <v>65</v>
      </c>
      <c r="J311" s="1181"/>
      <c r="K311" s="1181"/>
      <c r="L311" s="1181"/>
      <c r="M311" s="1181"/>
      <c r="N311" s="1181"/>
      <c r="P311" s="1181"/>
      <c r="Q311" s="1181"/>
      <c r="S311" s="422"/>
      <c r="U311" s="1181"/>
      <c r="V311" s="827"/>
      <c r="W311" s="827"/>
      <c r="X311" s="827"/>
      <c r="Y311" s="827"/>
    </row>
    <row r="312" spans="1:25">
      <c r="D312" s="924"/>
      <c r="E312" s="101"/>
      <c r="F312" s="1692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1"/>
      <c r="U312" s="1181"/>
      <c r="V312" s="827"/>
      <c r="W312" s="827"/>
      <c r="X312" s="827"/>
      <c r="Y312" s="827"/>
    </row>
    <row r="313" spans="1:25" ht="75">
      <c r="D313" s="827"/>
      <c r="E313" s="57"/>
      <c r="F313" s="57"/>
      <c r="G313" s="31"/>
      <c r="H313" s="35"/>
      <c r="J313" s="780"/>
      <c r="K313" s="1141"/>
      <c r="L313" s="1195" t="s">
        <v>4418</v>
      </c>
      <c r="M313" s="766"/>
      <c r="N313" s="333"/>
      <c r="P313" s="1058"/>
      <c r="R313" s="333"/>
      <c r="T313" s="413"/>
      <c r="U313" s="422"/>
      <c r="V313" s="333"/>
    </row>
    <row r="314" spans="1:25">
      <c r="D314" s="827"/>
      <c r="E314" s="57"/>
      <c r="F314" s="57"/>
      <c r="G314" s="31"/>
      <c r="H314" s="35"/>
      <c r="J314" s="780"/>
      <c r="K314" s="1141"/>
      <c r="L314" s="31" t="s">
        <v>4419</v>
      </c>
      <c r="M314" s="766"/>
      <c r="N314" s="333"/>
      <c r="P314" s="1058"/>
      <c r="R314" s="333"/>
      <c r="S314" s="422"/>
      <c r="T314" s="413"/>
      <c r="U314" s="422"/>
      <c r="V314" s="333"/>
    </row>
    <row r="315" spans="1:25">
      <c r="D315" s="827"/>
      <c r="E315" s="57" t="s">
        <v>4436</v>
      </c>
      <c r="F315" s="57"/>
      <c r="G315" s="31"/>
      <c r="H315" s="35"/>
      <c r="J315" s="780"/>
      <c r="K315" s="1141"/>
      <c r="L315" s="31"/>
      <c r="M315" s="766"/>
      <c r="N315" s="333"/>
      <c r="P315" s="1058"/>
      <c r="R315" s="333"/>
      <c r="S315" s="422"/>
      <c r="T315" s="413"/>
      <c r="U315" s="422"/>
      <c r="V315" s="333"/>
    </row>
    <row r="316" spans="1:25">
      <c r="D316" s="827"/>
      <c r="E316" s="57"/>
      <c r="F316" s="57"/>
      <c r="G316" s="31"/>
      <c r="H316" s="35"/>
      <c r="J316" s="780"/>
      <c r="K316" s="1141"/>
      <c r="L316" s="31"/>
      <c r="M316" s="766"/>
      <c r="N316" s="333"/>
      <c r="P316" s="1058"/>
      <c r="R316" s="333"/>
      <c r="S316" s="422"/>
      <c r="T316" s="413"/>
      <c r="U316" s="422"/>
      <c r="V316" s="333"/>
    </row>
    <row r="317" spans="1:25" ht="15.75" thickBot="1">
      <c r="D317" s="827"/>
      <c r="E317" s="57"/>
      <c r="F317" s="57"/>
      <c r="G317" s="31"/>
      <c r="H317" s="35"/>
      <c r="J317" s="780"/>
      <c r="K317" s="1141"/>
      <c r="L317" s="31"/>
      <c r="M317" s="766"/>
      <c r="N317" s="333"/>
      <c r="P317" s="1058"/>
      <c r="R317" s="333"/>
      <c r="S317" s="422"/>
      <c r="T317" s="413"/>
      <c r="U317" s="422"/>
      <c r="V317" s="333"/>
    </row>
    <row r="318" spans="1:25" ht="30.75" thickBot="1">
      <c r="D318" s="1040"/>
      <c r="E318" s="1239" t="s">
        <v>4516</v>
      </c>
      <c r="F318" s="1239"/>
      <c r="G318" s="655" t="s">
        <v>2547</v>
      </c>
      <c r="H318" s="1036" t="s">
        <v>246</v>
      </c>
      <c r="I318" s="1036" t="s">
        <v>3343</v>
      </c>
      <c r="J318" s="780"/>
      <c r="K318" s="1141"/>
      <c r="L318" s="1190" t="s">
        <v>4506</v>
      </c>
      <c r="M318" s="309" t="s">
        <v>3343</v>
      </c>
      <c r="N318" s="333"/>
      <c r="P318" s="1058"/>
      <c r="R318" s="333"/>
      <c r="S318" s="422"/>
      <c r="T318" s="413"/>
      <c r="U318" s="422"/>
      <c r="V318" s="333"/>
    </row>
    <row r="319" spans="1:25" ht="15.75" thickBot="1">
      <c r="D319" s="1041">
        <v>2033</v>
      </c>
      <c r="E319" s="293" t="s">
        <v>4507</v>
      </c>
      <c r="F319" s="1723"/>
      <c r="G319" s="1238">
        <f>+M319</f>
        <v>1.18</v>
      </c>
      <c r="H319" s="613">
        <v>4</v>
      </c>
      <c r="I319" s="526">
        <f t="shared" ref="I319:I328" si="23">+G319*H319</f>
        <v>4.72</v>
      </c>
      <c r="J319" s="780"/>
      <c r="K319" s="1141"/>
      <c r="L319" s="1190" t="s">
        <v>4507</v>
      </c>
      <c r="M319" s="1190">
        <v>1.18</v>
      </c>
      <c r="N319" s="333"/>
      <c r="P319" s="1058"/>
      <c r="R319" s="333"/>
      <c r="S319" s="422"/>
      <c r="T319" s="413"/>
      <c r="U319" s="422"/>
      <c r="V319" s="333"/>
    </row>
    <row r="320" spans="1:25" ht="15.75" thickBot="1">
      <c r="D320" s="1041">
        <v>5848</v>
      </c>
      <c r="E320" s="293" t="s">
        <v>4505</v>
      </c>
      <c r="F320" s="1723"/>
      <c r="G320" s="1238">
        <f t="shared" ref="G320:G328" si="24">+M320</f>
        <v>1.05</v>
      </c>
      <c r="H320" s="1180">
        <v>3</v>
      </c>
      <c r="I320" s="526">
        <f t="shared" si="23"/>
        <v>3.1500000000000004</v>
      </c>
      <c r="L320" s="1190" t="s">
        <v>4505</v>
      </c>
      <c r="M320" s="1190">
        <v>1.05</v>
      </c>
    </row>
    <row r="321" spans="1:21" ht="15.75" thickBot="1">
      <c r="D321" s="1041">
        <v>20887</v>
      </c>
      <c r="E321" s="293" t="s">
        <v>4508</v>
      </c>
      <c r="F321" s="1723"/>
      <c r="G321" s="1238">
        <f t="shared" si="24"/>
        <v>1.5</v>
      </c>
      <c r="H321" s="1180">
        <v>1</v>
      </c>
      <c r="I321" s="526">
        <f t="shared" si="23"/>
        <v>1.5</v>
      </c>
      <c r="L321" s="1190" t="s">
        <v>4508</v>
      </c>
      <c r="M321" s="1190">
        <v>1.5</v>
      </c>
    </row>
    <row r="322" spans="1:21" ht="15.75" thickBot="1">
      <c r="D322" s="1041">
        <v>18604</v>
      </c>
      <c r="E322" s="293" t="s">
        <v>4509</v>
      </c>
      <c r="F322" s="1723"/>
      <c r="G322" s="1238">
        <f t="shared" si="24"/>
        <v>0.96</v>
      </c>
      <c r="H322" s="1180">
        <v>2</v>
      </c>
      <c r="I322" s="526">
        <f t="shared" si="23"/>
        <v>1.92</v>
      </c>
      <c r="L322" s="1190" t="s">
        <v>4509</v>
      </c>
      <c r="M322" s="1190">
        <v>0.96</v>
      </c>
    </row>
    <row r="323" spans="1:21" ht="15.75" thickBot="1">
      <c r="D323" s="1041">
        <v>1436</v>
      </c>
      <c r="E323" s="293" t="s">
        <v>4510</v>
      </c>
      <c r="F323" s="1723"/>
      <c r="G323" s="1238">
        <f t="shared" si="24"/>
        <v>0.23</v>
      </c>
      <c r="H323" s="1180">
        <v>1</v>
      </c>
      <c r="I323" s="526">
        <f t="shared" si="23"/>
        <v>0.23</v>
      </c>
      <c r="L323" s="1190" t="s">
        <v>4510</v>
      </c>
      <c r="M323" s="1190">
        <v>0.23</v>
      </c>
    </row>
    <row r="324" spans="1:21" ht="15.75" thickBot="1">
      <c r="D324" s="1041">
        <v>17527</v>
      </c>
      <c r="E324" s="293" t="s">
        <v>4511</v>
      </c>
      <c r="F324" s="1723"/>
      <c r="G324" s="1238">
        <f t="shared" si="24"/>
        <v>1.61</v>
      </c>
      <c r="H324" s="1180">
        <v>2</v>
      </c>
      <c r="I324" s="526">
        <f t="shared" si="23"/>
        <v>3.22</v>
      </c>
      <c r="L324" s="1190" t="s">
        <v>4511</v>
      </c>
      <c r="M324" s="1190">
        <v>1.61</v>
      </c>
    </row>
    <row r="325" spans="1:21" ht="15.75" thickBot="1">
      <c r="D325" s="1041">
        <v>15986</v>
      </c>
      <c r="E325" s="293" t="s">
        <v>4512</v>
      </c>
      <c r="F325" s="1723"/>
      <c r="G325" s="1238">
        <f t="shared" si="24"/>
        <v>1.33</v>
      </c>
      <c r="H325" s="1180">
        <v>1</v>
      </c>
      <c r="I325" s="526">
        <f t="shared" si="23"/>
        <v>1.33</v>
      </c>
      <c r="L325" s="1190" t="s">
        <v>4512</v>
      </c>
      <c r="M325" s="1190">
        <v>1.33</v>
      </c>
    </row>
    <row r="326" spans="1:21" s="827" customFormat="1" ht="15.75" thickBot="1">
      <c r="A326" s="1594"/>
      <c r="C326" s="1594"/>
      <c r="D326" s="1041"/>
      <c r="E326" s="293" t="s">
        <v>4513</v>
      </c>
      <c r="F326" s="1723"/>
      <c r="G326" s="1238">
        <f t="shared" si="24"/>
        <v>3.9</v>
      </c>
      <c r="H326" s="1180">
        <v>1</v>
      </c>
      <c r="I326" s="526">
        <f t="shared" si="23"/>
        <v>3.9</v>
      </c>
      <c r="J326" s="1181"/>
      <c r="K326" s="1181"/>
      <c r="L326" s="1190" t="s">
        <v>4513</v>
      </c>
      <c r="M326" s="1190">
        <v>3.9</v>
      </c>
      <c r="N326" s="1181"/>
      <c r="O326" s="1181"/>
      <c r="P326" s="1181"/>
      <c r="Q326" s="1181"/>
      <c r="R326" s="422"/>
      <c r="S326" s="1181"/>
      <c r="T326" s="422"/>
      <c r="U326" s="1181"/>
    </row>
    <row r="327" spans="1:21" ht="15.75" thickBot="1">
      <c r="D327" s="1041">
        <v>3151</v>
      </c>
      <c r="E327" s="293" t="s">
        <v>4515</v>
      </c>
      <c r="F327" s="1723"/>
      <c r="G327" s="1238">
        <f t="shared" si="24"/>
        <v>1.17</v>
      </c>
      <c r="H327" s="1180">
        <v>1</v>
      </c>
      <c r="I327" s="526">
        <f t="shared" si="23"/>
        <v>1.17</v>
      </c>
      <c r="L327" s="1190" t="s">
        <v>4515</v>
      </c>
      <c r="M327" s="1190">
        <v>1.17</v>
      </c>
    </row>
    <row r="328" spans="1:21" ht="15.75" thickBot="1">
      <c r="D328" s="1041">
        <v>6708</v>
      </c>
      <c r="E328" s="293" t="s">
        <v>4514</v>
      </c>
      <c r="F328" s="1723"/>
      <c r="G328" s="1238">
        <f t="shared" si="24"/>
        <v>2.34</v>
      </c>
      <c r="H328" s="1180">
        <v>1</v>
      </c>
      <c r="I328" s="526">
        <f t="shared" si="23"/>
        <v>2.34</v>
      </c>
      <c r="L328" s="1190" t="s">
        <v>4514</v>
      </c>
      <c r="M328" s="1190">
        <v>2.34</v>
      </c>
    </row>
    <row r="329" spans="1:21" ht="15.75" thickBot="1">
      <c r="D329" s="407"/>
      <c r="E329" s="1043" t="s">
        <v>560</v>
      </c>
      <c r="F329" s="1043"/>
      <c r="G329" s="101"/>
      <c r="H329" s="1037" t="s">
        <v>65</v>
      </c>
      <c r="I329" s="1037">
        <f>SUM(I319:I328)</f>
        <v>23.48</v>
      </c>
    </row>
    <row r="330" spans="1:21">
      <c r="D330" s="407"/>
      <c r="E330" s="1181"/>
      <c r="G330" s="1181"/>
      <c r="H330" s="1181"/>
      <c r="I330" s="1181" t="s">
        <v>65</v>
      </c>
    </row>
    <row r="332" spans="1:21">
      <c r="E332" s="31" t="s">
        <v>4578</v>
      </c>
    </row>
    <row r="333" spans="1:21" ht="45.75" thickBot="1">
      <c r="D333" s="52"/>
      <c r="E333" s="1300" t="s">
        <v>65</v>
      </c>
      <c r="F333" s="1696"/>
      <c r="G333" s="1300" t="s">
        <v>2819</v>
      </c>
      <c r="H333" s="1300" t="s">
        <v>68</v>
      </c>
      <c r="I333" s="1300" t="s">
        <v>560</v>
      </c>
      <c r="J333" s="1299"/>
      <c r="K333" s="1299" t="s">
        <v>3197</v>
      </c>
      <c r="L333" s="1317" t="s">
        <v>4583</v>
      </c>
      <c r="M333" s="1036" t="s">
        <v>4580</v>
      </c>
      <c r="N333" s="1317" t="s">
        <v>4582</v>
      </c>
      <c r="O333" s="395" t="s">
        <v>4005</v>
      </c>
      <c r="P333" s="395" t="s">
        <v>3415</v>
      </c>
      <c r="Q333" s="1317" t="s">
        <v>2547</v>
      </c>
      <c r="R333" s="422" t="s">
        <v>2647</v>
      </c>
      <c r="S333" s="413" t="s">
        <v>903</v>
      </c>
    </row>
    <row r="334" spans="1:21" ht="15.75" thickBot="1">
      <c r="D334" s="23"/>
      <c r="E334" s="1200" t="s">
        <v>4637</v>
      </c>
      <c r="F334" s="1200"/>
      <c r="G334" s="52">
        <f>+Q334*20</f>
        <v>23.320000000000004</v>
      </c>
      <c r="H334" s="1298">
        <v>12</v>
      </c>
      <c r="I334" s="1319">
        <f t="shared" ref="I334:I340" si="25">+G334*H334</f>
        <v>279.84000000000003</v>
      </c>
      <c r="J334" s="1320" t="s">
        <v>4584</v>
      </c>
      <c r="K334" s="1321">
        <v>1.06</v>
      </c>
      <c r="L334" s="1322"/>
      <c r="M334" s="1323"/>
      <c r="N334" s="1322"/>
      <c r="O334" s="1324">
        <v>0.1</v>
      </c>
      <c r="P334" s="1373">
        <f>+K334*O334</f>
        <v>0.10600000000000001</v>
      </c>
      <c r="Q334" s="1374">
        <f>+K334+P334</f>
        <v>1.1660000000000001</v>
      </c>
    </row>
    <row r="335" spans="1:21" ht="15.75" thickBot="1">
      <c r="D335" s="23"/>
      <c r="E335" s="1356" t="s">
        <v>4636</v>
      </c>
      <c r="F335" s="1724"/>
      <c r="G335" s="52">
        <f>+Q338*M338</f>
        <v>18.479999999999997</v>
      </c>
      <c r="H335" s="1298">
        <v>15</v>
      </c>
      <c r="I335" s="52">
        <f t="shared" si="25"/>
        <v>277.19999999999993</v>
      </c>
      <c r="J335" s="12" t="s">
        <v>4579</v>
      </c>
      <c r="K335" s="12">
        <v>0.81</v>
      </c>
      <c r="L335" s="1318">
        <v>270</v>
      </c>
      <c r="M335" s="1318">
        <v>24</v>
      </c>
      <c r="N335" s="1313">
        <f>+L335/M335</f>
        <v>11.25</v>
      </c>
      <c r="P335" s="1299">
        <f t="shared" ref="P335:P345" si="26">+K335*O335</f>
        <v>0</v>
      </c>
    </row>
    <row r="336" spans="1:21">
      <c r="D336" s="23"/>
      <c r="E336" s="1200" t="s">
        <v>4588</v>
      </c>
      <c r="F336" s="1200"/>
      <c r="G336" s="52">
        <f>+Q340*M340</f>
        <v>27.048000000000002</v>
      </c>
      <c r="H336" s="1298">
        <v>12</v>
      </c>
      <c r="I336" s="52">
        <f t="shared" si="25"/>
        <v>324.57600000000002</v>
      </c>
      <c r="J336" s="12" t="s">
        <v>1333</v>
      </c>
      <c r="K336" s="12">
        <v>0.77</v>
      </c>
      <c r="L336" s="16">
        <v>179</v>
      </c>
      <c r="M336" s="16">
        <v>24</v>
      </c>
      <c r="N336" s="1313">
        <f t="shared" ref="N336:N346" si="27">+L336/M336</f>
        <v>7.458333333333333</v>
      </c>
      <c r="P336" s="1299">
        <f t="shared" si="26"/>
        <v>0</v>
      </c>
    </row>
    <row r="337" spans="4:17" ht="15.75" thickBot="1">
      <c r="D337" s="23"/>
      <c r="E337" s="1200" t="s">
        <v>4589</v>
      </c>
      <c r="F337" s="1200"/>
      <c r="G337" s="52">
        <f>+Q344*M344</f>
        <v>11.352</v>
      </c>
      <c r="H337" s="1298">
        <v>2</v>
      </c>
      <c r="I337" s="52">
        <f t="shared" si="25"/>
        <v>22.704000000000001</v>
      </c>
      <c r="J337" s="12" t="s">
        <v>1334</v>
      </c>
      <c r="K337" s="12">
        <v>0.78</v>
      </c>
      <c r="L337" s="1325">
        <v>294</v>
      </c>
      <c r="M337" s="1325">
        <v>24</v>
      </c>
      <c r="N337" s="1313">
        <f t="shared" si="27"/>
        <v>12.25</v>
      </c>
      <c r="P337" s="1299">
        <f t="shared" si="26"/>
        <v>0</v>
      </c>
    </row>
    <row r="338" spans="4:17" ht="15.75" thickBot="1">
      <c r="D338" s="23"/>
      <c r="E338" s="1200" t="s">
        <v>4590</v>
      </c>
      <c r="F338" s="1200"/>
      <c r="G338" s="52">
        <f>+Q345*M345</f>
        <v>35.31</v>
      </c>
      <c r="H338" s="1298">
        <v>2</v>
      </c>
      <c r="I338" s="1319">
        <f t="shared" si="25"/>
        <v>70.62</v>
      </c>
      <c r="J338" s="1353" t="s">
        <v>4610</v>
      </c>
      <c r="K338" s="1326">
        <v>0.7</v>
      </c>
      <c r="L338" s="1321">
        <v>313</v>
      </c>
      <c r="M338" s="1321">
        <v>24</v>
      </c>
      <c r="N338" s="1327">
        <f t="shared" si="27"/>
        <v>13.041666666666666</v>
      </c>
      <c r="O338" s="1328">
        <v>0.1</v>
      </c>
      <c r="P338" s="1326">
        <f t="shared" si="26"/>
        <v>6.9999999999999993E-2</v>
      </c>
      <c r="Q338" s="1329">
        <f>+K338+P338</f>
        <v>0.76999999999999991</v>
      </c>
    </row>
    <row r="339" spans="4:17" ht="15.75" thickBot="1">
      <c r="D339" s="23"/>
      <c r="E339" s="1200" t="s">
        <v>2494</v>
      </c>
      <c r="F339" s="1200"/>
      <c r="G339" s="52">
        <f>+Q346*20</f>
        <v>19.8</v>
      </c>
      <c r="H339" s="1298">
        <v>2</v>
      </c>
      <c r="I339" s="52">
        <f t="shared" si="25"/>
        <v>39.6</v>
      </c>
      <c r="J339" s="12" t="s">
        <v>4581</v>
      </c>
      <c r="K339" s="12">
        <v>0.83</v>
      </c>
      <c r="L339" s="1330">
        <v>0</v>
      </c>
      <c r="M339" s="1330">
        <v>24</v>
      </c>
      <c r="N339" s="12">
        <f t="shared" si="27"/>
        <v>0</v>
      </c>
      <c r="P339" s="1299">
        <f t="shared" si="26"/>
        <v>0</v>
      </c>
      <c r="Q339" s="1299">
        <f t="shared" ref="Q339:Q345" si="28">+K339+P339</f>
        <v>0.83</v>
      </c>
    </row>
    <row r="340" spans="4:17" ht="15.75" thickBot="1">
      <c r="D340" s="23"/>
      <c r="E340" s="1200" t="s">
        <v>4591</v>
      </c>
      <c r="F340" s="1200"/>
      <c r="G340" s="52">
        <f>+Q348*24</f>
        <v>16.007999999999999</v>
      </c>
      <c r="H340" s="1298">
        <v>10</v>
      </c>
      <c r="I340" s="1319">
        <f t="shared" si="25"/>
        <v>160.07999999999998</v>
      </c>
      <c r="J340" s="1331" t="s">
        <v>4585</v>
      </c>
      <c r="K340" s="1332">
        <v>0.98</v>
      </c>
      <c r="L340" s="1333">
        <v>216</v>
      </c>
      <c r="M340" s="1333">
        <v>24</v>
      </c>
      <c r="N340" s="1332">
        <f t="shared" si="27"/>
        <v>9</v>
      </c>
      <c r="O340" s="1334">
        <v>0.15</v>
      </c>
      <c r="P340" s="1332">
        <f t="shared" si="26"/>
        <v>0.14699999999999999</v>
      </c>
      <c r="Q340" s="1335">
        <f t="shared" si="28"/>
        <v>1.127</v>
      </c>
    </row>
    <row r="341" spans="4:17">
      <c r="D341" s="407"/>
      <c r="G341" s="1043"/>
      <c r="H341" s="1298" t="s">
        <v>4592</v>
      </c>
      <c r="I341" s="52">
        <f>SUM(I334:I340)</f>
        <v>1174.6199999999999</v>
      </c>
      <c r="J341" s="1299" t="s">
        <v>4586</v>
      </c>
      <c r="K341" s="1299">
        <v>1.25</v>
      </c>
      <c r="L341" s="394">
        <v>64</v>
      </c>
      <c r="M341" s="394">
        <v>24</v>
      </c>
      <c r="N341" s="407">
        <f t="shared" si="27"/>
        <v>2.6666666666666665</v>
      </c>
      <c r="P341" s="1314">
        <f t="shared" si="26"/>
        <v>0</v>
      </c>
      <c r="Q341" s="1314"/>
    </row>
    <row r="342" spans="4:17">
      <c r="J342" s="1299" t="s">
        <v>4587</v>
      </c>
      <c r="K342" s="1299">
        <v>0.98</v>
      </c>
      <c r="L342" s="1299">
        <v>155</v>
      </c>
      <c r="M342" s="1303">
        <v>24</v>
      </c>
      <c r="N342" s="407">
        <f t="shared" si="27"/>
        <v>6.458333333333333</v>
      </c>
      <c r="P342" s="1314">
        <f t="shared" si="26"/>
        <v>0</v>
      </c>
      <c r="Q342" s="1314"/>
    </row>
    <row r="343" spans="4:17" ht="15.75" thickBot="1">
      <c r="J343" s="1299" t="s">
        <v>3266</v>
      </c>
      <c r="K343" s="31">
        <v>1.1499999999999999</v>
      </c>
      <c r="N343" s="407" t="e">
        <f t="shared" si="27"/>
        <v>#DIV/0!</v>
      </c>
      <c r="P343" s="1314">
        <f t="shared" si="26"/>
        <v>0</v>
      </c>
      <c r="Q343" s="1314"/>
    </row>
    <row r="344" spans="4:17" ht="15.75" thickBot="1">
      <c r="J344" s="1353" t="s">
        <v>3771</v>
      </c>
      <c r="K344" s="1336">
        <v>0.43</v>
      </c>
      <c r="L344" s="1336">
        <v>1566</v>
      </c>
      <c r="M344" s="1336">
        <v>24</v>
      </c>
      <c r="N344" s="1337">
        <f t="shared" si="27"/>
        <v>65.25</v>
      </c>
      <c r="O344" s="1338">
        <v>0.1</v>
      </c>
      <c r="P344" s="1336">
        <f t="shared" si="26"/>
        <v>4.3000000000000003E-2</v>
      </c>
      <c r="Q344" s="1339">
        <f t="shared" si="28"/>
        <v>0.47299999999999998</v>
      </c>
    </row>
    <row r="345" spans="4:17" ht="15.75" thickBot="1">
      <c r="J345" s="1355" t="s">
        <v>3948</v>
      </c>
      <c r="K345" s="1340">
        <v>2.14</v>
      </c>
      <c r="L345" s="1340">
        <v>120</v>
      </c>
      <c r="M345" s="1340">
        <v>15</v>
      </c>
      <c r="N345" s="1340">
        <f t="shared" si="27"/>
        <v>8</v>
      </c>
      <c r="O345" s="1341">
        <v>0.1</v>
      </c>
      <c r="P345" s="1340">
        <f t="shared" si="26"/>
        <v>0.21400000000000002</v>
      </c>
      <c r="Q345" s="1342">
        <f t="shared" si="28"/>
        <v>2.3540000000000001</v>
      </c>
    </row>
    <row r="346" spans="4:17" ht="15.75" thickBot="1">
      <c r="J346" s="1354" t="s">
        <v>2494</v>
      </c>
      <c r="K346" s="1345">
        <v>0.9</v>
      </c>
      <c r="L346" s="1345">
        <v>191</v>
      </c>
      <c r="M346" s="1345">
        <v>20</v>
      </c>
      <c r="N346" s="1345">
        <f t="shared" si="27"/>
        <v>9.5500000000000007</v>
      </c>
      <c r="O346" s="1346">
        <v>0.1</v>
      </c>
      <c r="P346" s="1345">
        <f>+K346*O346</f>
        <v>9.0000000000000011E-2</v>
      </c>
      <c r="Q346" s="1347">
        <f>+K346+P346</f>
        <v>0.99</v>
      </c>
    </row>
    <row r="347" spans="4:17" ht="15.75" thickBot="1">
      <c r="I347" s="1348"/>
      <c r="J347" s="1349" t="s">
        <v>1579</v>
      </c>
      <c r="K347" s="1349">
        <v>0.57999999999999996</v>
      </c>
      <c r="L347" s="1349">
        <v>372</v>
      </c>
      <c r="M347" s="1349">
        <v>24</v>
      </c>
      <c r="N347" s="1349"/>
      <c r="O347" s="1350">
        <v>0.15</v>
      </c>
      <c r="P347" s="1343">
        <f>+K347*O347</f>
        <v>8.6999999999999994E-2</v>
      </c>
      <c r="Q347" s="1344">
        <f>+K347+P347</f>
        <v>0.66699999999999993</v>
      </c>
    </row>
    <row r="348" spans="4:17">
      <c r="J348" s="1299" t="s">
        <v>1578</v>
      </c>
      <c r="K348" s="31">
        <v>0.57999999999999996</v>
      </c>
      <c r="L348" s="766">
        <v>378</v>
      </c>
      <c r="M348" s="333">
        <v>24</v>
      </c>
      <c r="O348" s="885">
        <v>0.15</v>
      </c>
      <c r="P348" s="577">
        <f>+K348*O348</f>
        <v>8.6999999999999994E-2</v>
      </c>
      <c r="Q348" s="1316">
        <f>+K348+P348</f>
        <v>0.66699999999999993</v>
      </c>
    </row>
    <row r="351" spans="4:17">
      <c r="G351" s="1299"/>
      <c r="H351" s="1299"/>
      <c r="I351" s="1299"/>
      <c r="J351" s="1299"/>
    </row>
    <row r="352" spans="4:17" ht="15.75" thickBot="1">
      <c r="E352" s="101" t="s">
        <v>4606</v>
      </c>
      <c r="F352" s="1692"/>
      <c r="G352" s="1299"/>
      <c r="H352" s="1299"/>
      <c r="I352" s="1299"/>
      <c r="J352" s="1299"/>
    </row>
    <row r="353" spans="4:18" ht="69.75" customHeight="1" thickBot="1">
      <c r="D353" s="1040" t="s">
        <v>3318</v>
      </c>
      <c r="E353" s="763" t="s">
        <v>4605</v>
      </c>
      <c r="F353" s="763"/>
      <c r="G353" s="655" t="s">
        <v>2547</v>
      </c>
      <c r="H353" s="1036" t="s">
        <v>4635</v>
      </c>
      <c r="I353" s="1369" t="s">
        <v>3343</v>
      </c>
      <c r="J353" s="309" t="s">
        <v>4627</v>
      </c>
      <c r="K353" s="1302" t="s">
        <v>4593</v>
      </c>
      <c r="L353" s="1303" t="s">
        <v>559</v>
      </c>
      <c r="M353" s="1303" t="s">
        <v>1852</v>
      </c>
      <c r="N353" s="1302" t="s">
        <v>2547</v>
      </c>
      <c r="O353" s="1303"/>
      <c r="P353" s="1303"/>
      <c r="Q353" s="1303"/>
      <c r="R353" s="1351"/>
    </row>
    <row r="354" spans="4:18" ht="15.75" thickBot="1">
      <c r="D354" s="1041">
        <v>2033</v>
      </c>
      <c r="E354" s="1038" t="s">
        <v>3429</v>
      </c>
      <c r="F354" s="1038"/>
      <c r="G354" s="613">
        <f>+N354</f>
        <v>1.18</v>
      </c>
      <c r="H354" s="613">
        <v>2</v>
      </c>
      <c r="I354" s="1370">
        <f t="shared" ref="I354:I363" si="29">+G354*H354</f>
        <v>2.36</v>
      </c>
      <c r="J354" s="23">
        <f>+K354/20</f>
        <v>90</v>
      </c>
      <c r="K354" s="1303">
        <v>1800</v>
      </c>
      <c r="L354" s="1304">
        <v>1.06</v>
      </c>
      <c r="M354" s="1037" t="s">
        <v>3429</v>
      </c>
      <c r="N354" s="1305">
        <v>1.18</v>
      </c>
      <c r="O354" s="1303"/>
      <c r="P354" s="1303">
        <f>+K354/20</f>
        <v>90</v>
      </c>
      <c r="Q354" s="1303"/>
      <c r="R354" s="1351"/>
    </row>
    <row r="355" spans="4:18" ht="27" customHeight="1" thickBot="1">
      <c r="D355" s="1372" t="s">
        <v>4628</v>
      </c>
      <c r="E355" s="1299" t="s">
        <v>4597</v>
      </c>
      <c r="G355" s="613">
        <f t="shared" ref="G355:G363" si="30">+N355</f>
        <v>1.08</v>
      </c>
      <c r="H355" s="1298">
        <v>2</v>
      </c>
      <c r="I355" s="1296">
        <f t="shared" si="29"/>
        <v>2.16</v>
      </c>
      <c r="J355" s="23">
        <f>+K355/24</f>
        <v>75</v>
      </c>
      <c r="K355" s="1303">
        <v>1800</v>
      </c>
      <c r="L355" s="1299">
        <v>0.8</v>
      </c>
      <c r="M355" s="776" t="s">
        <v>4629</v>
      </c>
      <c r="N355" s="1305">
        <v>1.08</v>
      </c>
      <c r="O355" s="1303"/>
      <c r="P355" s="1451">
        <f>+K355/24</f>
        <v>75</v>
      </c>
      <c r="Q355" s="1303"/>
      <c r="R355" s="1351"/>
    </row>
    <row r="356" spans="4:18" ht="15.75" thickBot="1">
      <c r="D356" s="1041" t="s">
        <v>4630</v>
      </c>
      <c r="E356" s="1297" t="s">
        <v>3428</v>
      </c>
      <c r="F356" s="1725"/>
      <c r="G356" s="613">
        <f t="shared" si="30"/>
        <v>1.82</v>
      </c>
      <c r="H356" s="1298">
        <v>2</v>
      </c>
      <c r="I356" s="1296">
        <f t="shared" si="29"/>
        <v>3.64</v>
      </c>
      <c r="J356" s="23">
        <f>+K356/12</f>
        <v>150</v>
      </c>
      <c r="K356" s="1303">
        <v>1800</v>
      </c>
      <c r="L356" s="1304">
        <v>0.7</v>
      </c>
      <c r="M356" s="1037" t="s">
        <v>4634</v>
      </c>
      <c r="N356" s="1299">
        <v>1.82</v>
      </c>
      <c r="O356" s="1303" t="s">
        <v>4604</v>
      </c>
      <c r="P356" s="1451">
        <f>+K356/12</f>
        <v>150</v>
      </c>
      <c r="Q356" s="1303"/>
      <c r="R356" s="1351"/>
    </row>
    <row r="357" spans="4:18" ht="15.75" thickBot="1">
      <c r="D357" s="1041">
        <v>18604</v>
      </c>
      <c r="E357" s="1297" t="s">
        <v>3430</v>
      </c>
      <c r="F357" s="1725"/>
      <c r="G357" s="613">
        <f t="shared" si="30"/>
        <v>0.6</v>
      </c>
      <c r="H357" s="1298">
        <v>1</v>
      </c>
      <c r="I357" s="1296">
        <f t="shared" si="29"/>
        <v>0.6</v>
      </c>
      <c r="J357" s="23">
        <f>+K357/24</f>
        <v>37.5</v>
      </c>
      <c r="K357" s="1303">
        <v>900</v>
      </c>
      <c r="L357" s="1304">
        <v>0.43</v>
      </c>
      <c r="M357" s="1037" t="s">
        <v>3771</v>
      </c>
      <c r="N357" s="1305">
        <v>0.6</v>
      </c>
      <c r="O357" s="1303"/>
      <c r="P357" s="399">
        <f>+K357/24</f>
        <v>37.5</v>
      </c>
      <c r="Q357" s="1303"/>
      <c r="R357" s="1351"/>
    </row>
    <row r="358" spans="4:18" ht="15.75" thickBot="1">
      <c r="D358" s="1041">
        <v>1436</v>
      </c>
      <c r="E358" s="1297" t="s">
        <v>3432</v>
      </c>
      <c r="F358" s="1725"/>
      <c r="G358" s="613">
        <f t="shared" si="30"/>
        <v>0.26</v>
      </c>
      <c r="H358" s="1298">
        <v>1</v>
      </c>
      <c r="I358" s="1296">
        <f t="shared" si="29"/>
        <v>0.26</v>
      </c>
      <c r="J358" s="23">
        <f>+K358/25</f>
        <v>36</v>
      </c>
      <c r="K358" s="1303">
        <v>900</v>
      </c>
      <c r="L358" s="1304">
        <v>0.2</v>
      </c>
      <c r="M358" s="1037" t="s">
        <v>4631</v>
      </c>
      <c r="N358" s="1305">
        <v>0.26</v>
      </c>
      <c r="O358" s="1303"/>
      <c r="P358" s="1451">
        <f>+K358/25</f>
        <v>36</v>
      </c>
      <c r="Q358" s="1303"/>
      <c r="R358" s="1351"/>
    </row>
    <row r="359" spans="4:18" ht="15.75" thickBot="1">
      <c r="D359" s="1041">
        <v>17527</v>
      </c>
      <c r="E359" s="1297" t="s">
        <v>3433</v>
      </c>
      <c r="F359" s="1725"/>
      <c r="G359" s="613">
        <f t="shared" si="30"/>
        <v>1.35</v>
      </c>
      <c r="H359" s="1298">
        <v>1</v>
      </c>
      <c r="I359" s="1296">
        <f t="shared" si="29"/>
        <v>1.35</v>
      </c>
      <c r="J359" s="23">
        <f>+K359/20</f>
        <v>45</v>
      </c>
      <c r="K359" s="1303">
        <v>900</v>
      </c>
      <c r="L359" s="1304">
        <v>0.95</v>
      </c>
      <c r="M359" s="1037" t="s">
        <v>4599</v>
      </c>
      <c r="N359" s="1305">
        <v>1.35</v>
      </c>
      <c r="O359" s="1303"/>
      <c r="P359" s="1451">
        <f>+K359/20</f>
        <v>45</v>
      </c>
      <c r="Q359" s="1303"/>
      <c r="R359" s="1351"/>
    </row>
    <row r="360" spans="4:18" ht="15.75" thickBot="1">
      <c r="D360" s="1299">
        <v>21190</v>
      </c>
      <c r="E360" s="1297" t="s">
        <v>3287</v>
      </c>
      <c r="F360" s="1725"/>
      <c r="G360" s="613">
        <f t="shared" si="30"/>
        <v>1.36</v>
      </c>
      <c r="H360" s="1298">
        <v>1</v>
      </c>
      <c r="I360" s="1296">
        <f t="shared" si="29"/>
        <v>1.36</v>
      </c>
      <c r="J360" s="23">
        <f>+K360/20</f>
        <v>45</v>
      </c>
      <c r="K360" s="1303">
        <v>900</v>
      </c>
      <c r="L360" s="1304">
        <v>1.05</v>
      </c>
      <c r="M360" s="1367" t="s">
        <v>4632</v>
      </c>
      <c r="N360" s="1305">
        <v>1.36</v>
      </c>
      <c r="O360" s="1303"/>
      <c r="P360" s="1451">
        <f>+K360/20</f>
        <v>45</v>
      </c>
      <c r="Q360" s="1303"/>
      <c r="R360" s="1351"/>
    </row>
    <row r="361" spans="4:18" ht="15.75" thickBot="1">
      <c r="D361" s="1041">
        <v>3151</v>
      </c>
      <c r="E361" s="1297" t="s">
        <v>1343</v>
      </c>
      <c r="F361" s="1725"/>
      <c r="G361" s="613">
        <f t="shared" si="30"/>
        <v>1.3</v>
      </c>
      <c r="H361" s="1298">
        <v>1</v>
      </c>
      <c r="I361" s="1296">
        <f t="shared" si="29"/>
        <v>1.3</v>
      </c>
      <c r="J361" s="23">
        <f>+K361/24</f>
        <v>37.5</v>
      </c>
      <c r="K361" s="1303">
        <v>900</v>
      </c>
      <c r="L361" s="1304">
        <v>1</v>
      </c>
      <c r="M361" s="1037" t="s">
        <v>2</v>
      </c>
      <c r="N361" s="1305">
        <v>1.3</v>
      </c>
      <c r="O361" s="1303"/>
      <c r="P361" s="399">
        <f>+K361/24</f>
        <v>37.5</v>
      </c>
      <c r="Q361" s="1303"/>
      <c r="R361" s="1351"/>
    </row>
    <row r="362" spans="4:18" ht="15.75" thickBot="1">
      <c r="D362" s="1041" t="s">
        <v>65</v>
      </c>
      <c r="E362" s="1297" t="s">
        <v>3434</v>
      </c>
      <c r="F362" s="1725"/>
      <c r="G362" s="613">
        <f t="shared" si="30"/>
        <v>1.3</v>
      </c>
      <c r="H362" s="1298">
        <v>1</v>
      </c>
      <c r="I362" s="1296">
        <f t="shared" si="29"/>
        <v>1.3</v>
      </c>
      <c r="J362" s="23">
        <f>+K362/24</f>
        <v>37.5</v>
      </c>
      <c r="K362" s="1303">
        <v>900</v>
      </c>
      <c r="L362" s="1303">
        <v>0.6</v>
      </c>
      <c r="M362" s="1368" t="s">
        <v>4633</v>
      </c>
      <c r="N362" s="1303">
        <v>1.3</v>
      </c>
      <c r="O362" s="1303"/>
      <c r="P362" s="399">
        <f>+K362/24</f>
        <v>37.5</v>
      </c>
      <c r="Q362" s="1303"/>
      <c r="R362" s="1351"/>
    </row>
    <row r="363" spans="4:18" ht="15.75" thickBot="1">
      <c r="D363" s="1042">
        <v>21166</v>
      </c>
      <c r="E363" s="1039" t="s">
        <v>3942</v>
      </c>
      <c r="F363" s="1368"/>
      <c r="G363" s="613">
        <f t="shared" si="30"/>
        <v>0.8</v>
      </c>
      <c r="H363" s="620">
        <v>2</v>
      </c>
      <c r="I363" s="1371">
        <f t="shared" si="29"/>
        <v>1.6</v>
      </c>
      <c r="J363" s="23">
        <f>+K363/35</f>
        <v>51.428571428571431</v>
      </c>
      <c r="K363" s="1303">
        <v>1800</v>
      </c>
      <c r="L363" s="1304">
        <v>0.47</v>
      </c>
      <c r="M363" s="1037" t="s">
        <v>4603</v>
      </c>
      <c r="N363" s="1305">
        <v>0.8</v>
      </c>
      <c r="O363" s="1303"/>
      <c r="P363" s="399">
        <f>+K363/35</f>
        <v>51.428571428571431</v>
      </c>
      <c r="Q363" s="1303"/>
      <c r="R363" s="1351"/>
    </row>
    <row r="364" spans="4:18" ht="15.75" thickBot="1">
      <c r="D364" s="407"/>
      <c r="E364" s="1043" t="s">
        <v>560</v>
      </c>
      <c r="F364" s="1043"/>
      <c r="G364" s="101"/>
      <c r="H364" s="1037" t="s">
        <v>65</v>
      </c>
      <c r="I364" s="1037">
        <f>SUM(I354:I363)</f>
        <v>15.93</v>
      </c>
      <c r="J364" s="104"/>
    </row>
    <row r="366" spans="4:18">
      <c r="L366" s="325">
        <v>0.81</v>
      </c>
      <c r="M366" s="325" t="s">
        <v>4579</v>
      </c>
    </row>
    <row r="367" spans="4:18">
      <c r="L367" s="325">
        <v>0.77</v>
      </c>
      <c r="M367" s="325" t="s">
        <v>1333</v>
      </c>
    </row>
    <row r="368" spans="4:18">
      <c r="L368" s="325">
        <v>0.78</v>
      </c>
      <c r="M368" s="325" t="s">
        <v>1334</v>
      </c>
    </row>
    <row r="369" spans="4:14">
      <c r="D369" s="827">
        <v>22266</v>
      </c>
      <c r="E369" s="293" t="s">
        <v>4461</v>
      </c>
      <c r="F369" s="1546"/>
      <c r="K369" s="31">
        <v>5848</v>
      </c>
      <c r="L369" s="1315">
        <v>0.83</v>
      </c>
      <c r="M369" s="1315" t="s">
        <v>4581</v>
      </c>
    </row>
    <row r="370" spans="4:14">
      <c r="D370" s="827">
        <v>22267</v>
      </c>
      <c r="E370" s="293" t="s">
        <v>4463</v>
      </c>
      <c r="F370" s="1546"/>
      <c r="L370" s="1315">
        <v>0.8</v>
      </c>
      <c r="M370" s="1315" t="s">
        <v>4594</v>
      </c>
    </row>
    <row r="371" spans="4:14">
      <c r="D371" s="827">
        <v>22268</v>
      </c>
      <c r="E371" s="293" t="s">
        <v>4462</v>
      </c>
      <c r="F371" s="1546"/>
      <c r="L371" s="766">
        <v>0.75</v>
      </c>
      <c r="M371" s="333" t="s">
        <v>4595</v>
      </c>
    </row>
    <row r="372" spans="4:14">
      <c r="L372" s="766">
        <v>0.7</v>
      </c>
      <c r="M372" s="333" t="s">
        <v>4596</v>
      </c>
    </row>
    <row r="373" spans="4:14">
      <c r="K373" s="31">
        <v>15987</v>
      </c>
      <c r="L373" s="766">
        <v>0.7</v>
      </c>
      <c r="M373" s="1299" t="s">
        <v>4598</v>
      </c>
      <c r="N373" s="1058">
        <v>0.91</v>
      </c>
    </row>
    <row r="374" spans="4:14">
      <c r="K374" s="31">
        <v>12801</v>
      </c>
      <c r="L374" s="766">
        <v>1.25</v>
      </c>
      <c r="M374" s="1299" t="s">
        <v>4586</v>
      </c>
      <c r="N374" s="1058">
        <v>1.63</v>
      </c>
    </row>
    <row r="375" spans="4:14">
      <c r="K375" s="31">
        <v>20887</v>
      </c>
      <c r="L375" s="766">
        <v>1.1499999999999999</v>
      </c>
      <c r="M375" s="1299" t="s">
        <v>3266</v>
      </c>
      <c r="N375" s="1058">
        <v>1.5</v>
      </c>
    </row>
    <row r="376" spans="4:14">
      <c r="L376" s="766">
        <v>0.9</v>
      </c>
      <c r="M376" s="1299" t="s">
        <v>4599</v>
      </c>
      <c r="N376" s="1058">
        <v>1.2</v>
      </c>
    </row>
    <row r="377" spans="4:14">
      <c r="K377" s="31">
        <v>21622</v>
      </c>
      <c r="L377" s="766">
        <v>1.1299999999999999</v>
      </c>
      <c r="M377" s="1299" t="s">
        <v>4600</v>
      </c>
      <c r="N377" s="1058">
        <v>1.47</v>
      </c>
    </row>
    <row r="378" spans="4:14">
      <c r="K378" s="31">
        <v>15986</v>
      </c>
      <c r="L378" s="766">
        <v>0.87</v>
      </c>
      <c r="M378" s="1315" t="s">
        <v>4601</v>
      </c>
      <c r="N378" s="1058">
        <v>1.1599999999999999</v>
      </c>
    </row>
    <row r="379" spans="4:14">
      <c r="K379" s="31">
        <v>21190</v>
      </c>
      <c r="L379" s="766">
        <v>1.05</v>
      </c>
      <c r="M379" s="1315" t="s">
        <v>3970</v>
      </c>
      <c r="N379" s="1058">
        <v>1.36</v>
      </c>
    </row>
    <row r="380" spans="4:14">
      <c r="K380" s="31">
        <v>18884</v>
      </c>
      <c r="L380" s="766">
        <v>1.1399999999999999</v>
      </c>
      <c r="M380" s="1299" t="s">
        <v>3271</v>
      </c>
      <c r="N380" s="1058">
        <v>1.48</v>
      </c>
    </row>
    <row r="381" spans="4:14">
      <c r="K381" s="31">
        <v>21189</v>
      </c>
      <c r="L381" s="766">
        <v>1</v>
      </c>
      <c r="M381" s="1315" t="s">
        <v>3971</v>
      </c>
      <c r="N381" s="1058">
        <v>1.3</v>
      </c>
    </row>
    <row r="382" spans="4:14">
      <c r="K382" s="1303">
        <v>3151</v>
      </c>
      <c r="L382" s="766">
        <v>1</v>
      </c>
      <c r="M382" s="1299" t="s">
        <v>2</v>
      </c>
      <c r="N382" s="1058">
        <v>1.3</v>
      </c>
    </row>
    <row r="386" spans="1:21">
      <c r="D386" s="924"/>
      <c r="E386" s="938">
        <v>44616</v>
      </c>
      <c r="F386" s="938"/>
      <c r="G386" s="101"/>
      <c r="H386" s="101"/>
      <c r="I386" s="101"/>
      <c r="J386" s="101"/>
      <c r="K386" s="101"/>
      <c r="L386" s="101"/>
      <c r="M386" s="101"/>
      <c r="N386" s="101"/>
      <c r="O386" s="101"/>
      <c r="P386" s="101"/>
      <c r="Q386" s="101"/>
    </row>
    <row r="387" spans="1:21">
      <c r="D387" s="1130" t="s">
        <v>65</v>
      </c>
      <c r="E387" s="101" t="s">
        <v>4059</v>
      </c>
      <c r="F387" s="1692"/>
      <c r="G387" s="938" t="s">
        <v>65</v>
      </c>
      <c r="H387" s="101"/>
      <c r="I387" s="101"/>
      <c r="J387" s="422"/>
      <c r="K387" s="413"/>
      <c r="L387" s="422"/>
      <c r="N387"/>
      <c r="O387"/>
      <c r="P387"/>
      <c r="Q387"/>
      <c r="R387"/>
      <c r="S387"/>
      <c r="T387"/>
      <c r="U387"/>
    </row>
    <row r="388" spans="1:21" ht="75">
      <c r="D388" s="269"/>
      <c r="E388" s="1296" t="s">
        <v>107</v>
      </c>
      <c r="F388" s="1690"/>
      <c r="G388" s="1300" t="s">
        <v>4056</v>
      </c>
      <c r="H388" s="1302" t="s">
        <v>4612</v>
      </c>
      <c r="I388"/>
      <c r="J388"/>
      <c r="K388"/>
      <c r="L388"/>
      <c r="M388"/>
      <c r="N388"/>
      <c r="O388"/>
      <c r="P388"/>
      <c r="Q388"/>
      <c r="R388"/>
      <c r="S388"/>
      <c r="T388"/>
      <c r="U388"/>
    </row>
    <row r="389" spans="1:21">
      <c r="D389" s="269">
        <v>1</v>
      </c>
      <c r="E389" s="1357" t="s">
        <v>4047</v>
      </c>
      <c r="F389" s="1357"/>
      <c r="G389" s="1298">
        <v>4.5</v>
      </c>
      <c r="H389" s="693">
        <v>6.19</v>
      </c>
      <c r="I389"/>
      <c r="J389"/>
      <c r="K389"/>
      <c r="L389"/>
      <c r="M389"/>
      <c r="N389"/>
      <c r="O389"/>
      <c r="P389"/>
      <c r="Q389"/>
      <c r="R389"/>
      <c r="S389"/>
      <c r="T389"/>
      <c r="U389"/>
    </row>
    <row r="390" spans="1:21">
      <c r="D390" s="269">
        <v>2</v>
      </c>
      <c r="E390" s="1357" t="s">
        <v>4048</v>
      </c>
      <c r="F390" s="1357"/>
      <c r="G390" s="1298">
        <v>4.2</v>
      </c>
      <c r="H390" s="693">
        <v>4.7</v>
      </c>
      <c r="I390"/>
      <c r="J390"/>
      <c r="K390"/>
      <c r="L390"/>
      <c r="M390"/>
      <c r="N390"/>
      <c r="O390"/>
      <c r="P390"/>
      <c r="Q390"/>
      <c r="R390"/>
      <c r="S390"/>
      <c r="T390"/>
      <c r="U390"/>
    </row>
    <row r="391" spans="1:21">
      <c r="D391" s="269">
        <v>5</v>
      </c>
      <c r="E391" s="1357" t="s">
        <v>4051</v>
      </c>
      <c r="F391" s="1357"/>
      <c r="G391" s="1298">
        <v>2.8</v>
      </c>
      <c r="H391" s="693">
        <v>3.1</v>
      </c>
      <c r="I391"/>
      <c r="J391"/>
      <c r="K391"/>
      <c r="L391"/>
      <c r="M391"/>
      <c r="N391"/>
      <c r="O391"/>
      <c r="P391"/>
      <c r="Q391"/>
      <c r="R391"/>
      <c r="S391"/>
      <c r="T391"/>
      <c r="U391"/>
    </row>
    <row r="392" spans="1:21">
      <c r="D392" s="1358">
        <v>6</v>
      </c>
      <c r="E392" s="1357" t="s">
        <v>4052</v>
      </c>
      <c r="F392" s="1357"/>
      <c r="G392" s="1298">
        <v>3.1</v>
      </c>
      <c r="H392" s="693">
        <v>4.29</v>
      </c>
      <c r="I392"/>
      <c r="J392"/>
      <c r="K392"/>
      <c r="L392"/>
      <c r="M392"/>
      <c r="N392"/>
      <c r="O392"/>
      <c r="P392"/>
      <c r="Q392"/>
      <c r="R392"/>
      <c r="S392"/>
      <c r="T392"/>
      <c r="U392"/>
    </row>
    <row r="393" spans="1:21" s="827" customFormat="1">
      <c r="A393" s="1594"/>
      <c r="C393" s="1594"/>
      <c r="D393" s="1358"/>
      <c r="E393" s="1357" t="s">
        <v>4609</v>
      </c>
      <c r="F393" s="1357"/>
      <c r="G393" s="1298">
        <v>2.99</v>
      </c>
      <c r="H393" s="693">
        <v>2.99</v>
      </c>
    </row>
    <row r="394" spans="1:21">
      <c r="D394" s="1358">
        <v>7</v>
      </c>
      <c r="E394" s="1357" t="s">
        <v>4053</v>
      </c>
      <c r="F394" s="1357"/>
      <c r="G394" s="1298">
        <v>2.5</v>
      </c>
      <c r="H394" s="693">
        <v>2.84</v>
      </c>
      <c r="I394"/>
      <c r="J394"/>
      <c r="K394"/>
      <c r="L394"/>
      <c r="M394"/>
      <c r="N394"/>
      <c r="O394"/>
      <c r="P394"/>
      <c r="Q394"/>
      <c r="R394"/>
      <c r="S394"/>
      <c r="T394"/>
      <c r="U394"/>
    </row>
    <row r="395" spans="1:21">
      <c r="D395" s="1359"/>
      <c r="E395" s="487" t="s">
        <v>4611</v>
      </c>
      <c r="F395" s="487"/>
      <c r="G395" s="1298">
        <v>2.5</v>
      </c>
      <c r="H395" s="693">
        <v>2.79</v>
      </c>
      <c r="I395"/>
      <c r="J395"/>
      <c r="K395"/>
      <c r="L395"/>
      <c r="M395"/>
      <c r="N395"/>
      <c r="O395"/>
      <c r="P395"/>
      <c r="Q395"/>
      <c r="R395"/>
      <c r="S395"/>
      <c r="T395"/>
      <c r="U395"/>
    </row>
    <row r="396" spans="1:21">
      <c r="D396" s="1123"/>
      <c r="E396" s="101"/>
      <c r="F396" s="1692"/>
      <c r="G396" s="101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</row>
    <row r="397" spans="1:21">
      <c r="D397" s="1123"/>
      <c r="E397" s="101"/>
      <c r="F397" s="1692"/>
      <c r="G397" s="101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</row>
    <row r="398" spans="1:21">
      <c r="D398" s="1123"/>
      <c r="E398" s="1299"/>
      <c r="G398" s="1299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</row>
    <row r="399" spans="1:21">
      <c r="H399" s="333"/>
      <c r="I399" s="333"/>
      <c r="J399" s="422"/>
      <c r="K399" s="413"/>
      <c r="L399" s="422"/>
      <c r="N399"/>
      <c r="O399"/>
      <c r="P399"/>
      <c r="Q399"/>
      <c r="R399"/>
      <c r="S399"/>
      <c r="T399"/>
      <c r="U399"/>
    </row>
    <row r="400" spans="1:21">
      <c r="E400" s="31" t="s">
        <v>4638</v>
      </c>
    </row>
    <row r="401" spans="4:14" ht="62.25" customHeight="1">
      <c r="E401" s="1298" t="s">
        <v>65</v>
      </c>
      <c r="F401" s="1689"/>
      <c r="G401" s="1300" t="s">
        <v>2819</v>
      </c>
      <c r="H401" s="1300" t="s">
        <v>68</v>
      </c>
      <c r="I401" s="1300" t="s">
        <v>560</v>
      </c>
      <c r="J401" s="1300" t="s">
        <v>4593</v>
      </c>
      <c r="K401" s="1300" t="s">
        <v>4640</v>
      </c>
    </row>
    <row r="402" spans="4:14">
      <c r="E402" s="1298" t="s">
        <v>4637</v>
      </c>
      <c r="F402" s="1689"/>
      <c r="G402" s="1298">
        <v>23.320000000000004</v>
      </c>
      <c r="H402" s="1298">
        <v>12</v>
      </c>
      <c r="I402" s="1298">
        <v>279.84000000000003</v>
      </c>
      <c r="J402" s="1298">
        <f>+H402*20</f>
        <v>240</v>
      </c>
      <c r="K402" s="52">
        <f>+G402/20</f>
        <v>1.1660000000000001</v>
      </c>
    </row>
    <row r="403" spans="4:14">
      <c r="E403" s="1298" t="s">
        <v>4639</v>
      </c>
      <c r="F403" s="1689"/>
      <c r="G403" s="1298">
        <v>18.479999999999997</v>
      </c>
      <c r="H403" s="1298">
        <v>15</v>
      </c>
      <c r="I403" s="1298">
        <v>277.19999999999993</v>
      </c>
      <c r="J403" s="1298">
        <f>+H403*24</f>
        <v>360</v>
      </c>
      <c r="K403" s="1298">
        <f>+G403/24</f>
        <v>0.76999999999999991</v>
      </c>
      <c r="M403" s="1299"/>
      <c r="N403" s="1299"/>
    </row>
    <row r="404" spans="4:14">
      <c r="E404" s="1298" t="s">
        <v>4588</v>
      </c>
      <c r="F404" s="1689"/>
      <c r="G404" s="1298">
        <v>27.048000000000002</v>
      </c>
      <c r="H404" s="1298">
        <v>12</v>
      </c>
      <c r="I404" s="1298">
        <v>324.57600000000002</v>
      </c>
      <c r="J404" s="1298">
        <f>+H404*24</f>
        <v>288</v>
      </c>
      <c r="K404" s="52">
        <f>+G404/24</f>
        <v>1.127</v>
      </c>
      <c r="M404" s="1299"/>
      <c r="N404" s="1299"/>
    </row>
    <row r="405" spans="4:14">
      <c r="E405" s="1298" t="s">
        <v>4589</v>
      </c>
      <c r="F405" s="1689"/>
      <c r="G405" s="1298">
        <v>11.352</v>
      </c>
      <c r="H405" s="1298">
        <v>2</v>
      </c>
      <c r="I405" s="1298">
        <v>22.704000000000001</v>
      </c>
      <c r="J405" s="1298">
        <f>+H405*24</f>
        <v>48</v>
      </c>
      <c r="K405" s="52">
        <f>+G405/24</f>
        <v>0.47300000000000003</v>
      </c>
      <c r="M405" s="1299"/>
      <c r="N405" s="1299"/>
    </row>
    <row r="406" spans="4:14">
      <c r="E406" s="1298" t="s">
        <v>4590</v>
      </c>
      <c r="F406" s="1689"/>
      <c r="G406" s="1298">
        <v>35.31</v>
      </c>
      <c r="H406" s="1298">
        <v>2</v>
      </c>
      <c r="I406" s="1298">
        <v>70.62</v>
      </c>
      <c r="J406" s="1298">
        <f>+H406*15</f>
        <v>30</v>
      </c>
      <c r="K406" s="52">
        <f>+G406/15</f>
        <v>2.3540000000000001</v>
      </c>
      <c r="M406" s="1299"/>
      <c r="N406" s="1299"/>
    </row>
    <row r="407" spans="4:14">
      <c r="E407" s="1298" t="s">
        <v>4641</v>
      </c>
      <c r="F407" s="1689"/>
      <c r="G407" s="1298">
        <v>19.8</v>
      </c>
      <c r="H407" s="1298">
        <v>2</v>
      </c>
      <c r="I407" s="1298">
        <v>39.6</v>
      </c>
      <c r="J407" s="1298">
        <f>+H407*20</f>
        <v>40</v>
      </c>
      <c r="K407" s="1298">
        <f>+G407/20</f>
        <v>0.99</v>
      </c>
      <c r="M407" s="1299"/>
      <c r="N407" s="1299"/>
    </row>
    <row r="408" spans="4:14">
      <c r="E408" s="1298" t="s">
        <v>4591</v>
      </c>
      <c r="F408" s="1689"/>
      <c r="G408" s="1298">
        <v>16.007999999999999</v>
      </c>
      <c r="H408" s="1298">
        <v>10</v>
      </c>
      <c r="I408" s="1298">
        <v>160.07999999999998</v>
      </c>
      <c r="J408" s="1298">
        <f>+H408*24</f>
        <v>240</v>
      </c>
      <c r="K408" s="52">
        <f>+G408/24</f>
        <v>0.66699999999999993</v>
      </c>
      <c r="M408" s="1299"/>
      <c r="N408" s="1299"/>
    </row>
    <row r="409" spans="4:14">
      <c r="H409" s="1298" t="s">
        <v>4592</v>
      </c>
      <c r="I409" s="1298">
        <v>1174.6199999999999</v>
      </c>
    </row>
    <row r="412" spans="4:14" ht="15.75" thickBot="1"/>
    <row r="413" spans="4:14" ht="15.75" thickBot="1">
      <c r="E413" s="2322" t="s">
        <v>4653</v>
      </c>
      <c r="F413" s="2323"/>
      <c r="G413" s="2323"/>
      <c r="H413" s="2323"/>
      <c r="I413" s="2323"/>
      <c r="J413" s="2323"/>
      <c r="K413" s="2402"/>
    </row>
    <row r="416" spans="4:14" ht="60">
      <c r="D416" s="6" t="s">
        <v>4656</v>
      </c>
      <c r="E416" s="524" t="s">
        <v>107</v>
      </c>
      <c r="F416" s="524"/>
      <c r="G416" s="1303" t="s">
        <v>2819</v>
      </c>
      <c r="H416" s="1303" t="s">
        <v>68</v>
      </c>
      <c r="I416" s="1303" t="s">
        <v>560</v>
      </c>
      <c r="J416" s="36" t="s">
        <v>4593</v>
      </c>
      <c r="K416" s="1376" t="s">
        <v>4640</v>
      </c>
      <c r="L416" s="1302" t="s">
        <v>4654</v>
      </c>
    </row>
    <row r="417" spans="1:21" ht="14.25" customHeight="1">
      <c r="D417" s="1351">
        <v>1</v>
      </c>
      <c r="E417" s="1303" t="s">
        <v>4657</v>
      </c>
      <c r="F417" s="1701"/>
      <c r="G417" s="1303">
        <v>18.479999999999997</v>
      </c>
      <c r="H417" s="1303">
        <v>1</v>
      </c>
      <c r="I417" s="1303">
        <v>277.19999999999993</v>
      </c>
      <c r="J417" s="36"/>
      <c r="K417" s="1376"/>
      <c r="L417" s="1303">
        <v>300</v>
      </c>
    </row>
    <row r="418" spans="1:21">
      <c r="D418" s="1351">
        <v>2</v>
      </c>
      <c r="E418" s="1303" t="s">
        <v>4646</v>
      </c>
      <c r="F418" s="1701"/>
      <c r="G418" s="1303">
        <v>27.048000000000002</v>
      </c>
      <c r="H418" s="1303">
        <v>1</v>
      </c>
      <c r="I418" s="1303">
        <v>324.57600000000002</v>
      </c>
      <c r="J418" s="36"/>
      <c r="K418" s="1376"/>
      <c r="L418" s="1303">
        <v>200</v>
      </c>
    </row>
    <row r="419" spans="1:21" s="827" customFormat="1">
      <c r="A419" s="1594"/>
      <c r="C419" s="1594"/>
      <c r="D419" s="1351">
        <v>3</v>
      </c>
      <c r="E419" s="1303" t="s">
        <v>4647</v>
      </c>
      <c r="F419" s="1701"/>
      <c r="G419" s="1303"/>
      <c r="H419" s="1303"/>
      <c r="I419" s="1303"/>
      <c r="J419" s="36"/>
      <c r="K419" s="1376"/>
      <c r="L419" s="1303">
        <v>200</v>
      </c>
      <c r="M419" s="1299"/>
      <c r="N419" s="1299"/>
      <c r="O419" s="1299"/>
      <c r="P419" s="1299"/>
      <c r="Q419" s="1299"/>
      <c r="R419" s="422"/>
      <c r="S419" s="1299"/>
      <c r="T419" s="422"/>
      <c r="U419" s="1299"/>
    </row>
    <row r="420" spans="1:21">
      <c r="D420" s="1351">
        <v>4</v>
      </c>
      <c r="E420" s="1303" t="s">
        <v>4637</v>
      </c>
      <c r="F420" s="1701"/>
      <c r="G420" s="1303">
        <v>23.320000000000004</v>
      </c>
      <c r="H420" s="1303">
        <v>1</v>
      </c>
      <c r="I420" s="1303">
        <v>279.84000000000003</v>
      </c>
      <c r="J420" s="36"/>
      <c r="K420" s="1376"/>
      <c r="L420" s="1303">
        <v>250</v>
      </c>
    </row>
    <row r="421" spans="1:21">
      <c r="D421" s="1351">
        <v>5</v>
      </c>
      <c r="E421" s="1303" t="s">
        <v>4649</v>
      </c>
      <c r="F421" s="1701"/>
      <c r="G421" s="1303"/>
      <c r="H421" s="1303"/>
      <c r="I421" s="1303"/>
      <c r="J421" s="1303"/>
      <c r="K421" s="1304"/>
      <c r="L421" s="1303">
        <v>150</v>
      </c>
    </row>
    <row r="422" spans="1:21">
      <c r="D422" s="1351">
        <v>6</v>
      </c>
      <c r="E422" s="1303" t="s">
        <v>4648</v>
      </c>
      <c r="F422" s="1701"/>
      <c r="G422" s="1303"/>
      <c r="H422" s="1303"/>
      <c r="I422" s="1303"/>
      <c r="J422" s="1303"/>
      <c r="K422" s="1304"/>
      <c r="L422" s="1303">
        <v>100</v>
      </c>
    </row>
    <row r="423" spans="1:21">
      <c r="D423" s="1351">
        <v>7</v>
      </c>
      <c r="E423" s="1303" t="s">
        <v>4652</v>
      </c>
      <c r="F423" s="1701"/>
      <c r="G423" s="1303">
        <v>11.352</v>
      </c>
      <c r="H423" s="1303">
        <v>1</v>
      </c>
      <c r="I423" s="1303">
        <v>22.704000000000001</v>
      </c>
      <c r="J423" s="36"/>
      <c r="K423" s="1376"/>
      <c r="L423" s="1303">
        <v>50</v>
      </c>
    </row>
    <row r="424" spans="1:21">
      <c r="D424" s="1351">
        <v>8</v>
      </c>
      <c r="E424" s="1303" t="s">
        <v>4590</v>
      </c>
      <c r="F424" s="1701"/>
      <c r="G424" s="1303">
        <v>35.31</v>
      </c>
      <c r="H424" s="1303">
        <v>1</v>
      </c>
      <c r="I424" s="1303">
        <v>70.62</v>
      </c>
      <c r="J424" s="36"/>
      <c r="K424" s="1376"/>
      <c r="L424" s="1303">
        <v>150</v>
      </c>
    </row>
    <row r="425" spans="1:21">
      <c r="D425" s="1351">
        <v>9</v>
      </c>
      <c r="E425" s="1303" t="s">
        <v>4650</v>
      </c>
      <c r="F425" s="1701"/>
      <c r="G425" s="1303"/>
      <c r="H425" s="1303"/>
      <c r="I425" s="1303"/>
      <c r="J425" s="36"/>
      <c r="K425" s="1376"/>
      <c r="L425" s="1303">
        <v>50</v>
      </c>
    </row>
    <row r="426" spans="1:21">
      <c r="D426" s="1351">
        <v>10</v>
      </c>
      <c r="E426" s="1303" t="s">
        <v>4651</v>
      </c>
      <c r="F426" s="1701"/>
      <c r="G426" s="1303"/>
      <c r="H426" s="1303"/>
      <c r="I426" s="1303"/>
      <c r="J426" s="1303"/>
      <c r="K426" s="1304"/>
      <c r="L426" s="1303">
        <v>100</v>
      </c>
    </row>
    <row r="427" spans="1:21" ht="15.75" thickBot="1"/>
    <row r="428" spans="1:21" ht="15.75" thickBot="1">
      <c r="D428" s="2322" t="s">
        <v>4655</v>
      </c>
      <c r="E428" s="2403"/>
      <c r="F428" s="2403"/>
      <c r="G428" s="2323"/>
      <c r="H428" s="2323"/>
      <c r="I428" s="2323"/>
      <c r="J428" s="2403"/>
      <c r="K428" s="2404"/>
    </row>
    <row r="429" spans="1:21" s="827" customFormat="1" ht="45">
      <c r="A429" s="1594"/>
      <c r="C429" s="1594"/>
      <c r="D429" s="1379" t="s">
        <v>3318</v>
      </c>
      <c r="E429" s="1298"/>
      <c r="F429" s="524"/>
      <c r="G429" s="524" t="s">
        <v>2647</v>
      </c>
      <c r="H429" s="524" t="s">
        <v>559</v>
      </c>
      <c r="I429" s="524"/>
      <c r="J429" s="1298" t="s">
        <v>3415</v>
      </c>
      <c r="K429" s="1298"/>
      <c r="L429" s="1300" t="s">
        <v>4677</v>
      </c>
      <c r="M429" s="1300" t="s">
        <v>4679</v>
      </c>
      <c r="N429" s="1299"/>
      <c r="O429" s="1299"/>
      <c r="P429" s="1299"/>
      <c r="Q429" s="1299"/>
      <c r="R429" s="422"/>
      <c r="S429" s="1299"/>
      <c r="T429" s="422"/>
      <c r="U429" s="1299"/>
    </row>
    <row r="430" spans="1:21" s="827" customFormat="1">
      <c r="A430" s="1594"/>
      <c r="C430" s="1594"/>
      <c r="D430" s="827" t="s">
        <v>4681</v>
      </c>
      <c r="E430" s="275" t="s">
        <v>4680</v>
      </c>
      <c r="F430" s="275"/>
      <c r="G430" s="1298">
        <v>24</v>
      </c>
      <c r="H430" s="52">
        <v>0.8</v>
      </c>
      <c r="I430" s="524" t="s">
        <v>64</v>
      </c>
      <c r="J430" s="1137">
        <v>0.2</v>
      </c>
      <c r="K430" s="52">
        <f t="shared" ref="K430:K449" si="31">+H430*J430</f>
        <v>0.16000000000000003</v>
      </c>
      <c r="L430" s="52">
        <f t="shared" ref="L430:L449" si="32">+H430+K430</f>
        <v>0.96000000000000008</v>
      </c>
      <c r="M430" s="52">
        <f t="shared" ref="M430:M449" si="33">+L430*G430</f>
        <v>23.040000000000003</v>
      </c>
      <c r="N430" s="336" t="s">
        <v>65</v>
      </c>
      <c r="O430" s="1299"/>
      <c r="P430" s="1299"/>
      <c r="Q430" s="1299"/>
      <c r="R430" s="422"/>
      <c r="S430" s="1299"/>
      <c r="T430" s="422"/>
      <c r="U430" s="1299"/>
    </row>
    <row r="431" spans="1:21" hidden="1">
      <c r="D431" s="827">
        <v>22267</v>
      </c>
      <c r="E431" s="275" t="s">
        <v>4660</v>
      </c>
      <c r="F431" s="275"/>
      <c r="G431" s="1298">
        <v>24</v>
      </c>
      <c r="H431" s="1298">
        <v>0.75</v>
      </c>
      <c r="I431" s="1298" t="s">
        <v>64</v>
      </c>
      <c r="J431" s="1137">
        <v>0.2</v>
      </c>
      <c r="K431" s="52">
        <f t="shared" si="31"/>
        <v>0.15000000000000002</v>
      </c>
      <c r="L431" s="52">
        <f t="shared" si="32"/>
        <v>0.9</v>
      </c>
      <c r="M431" s="52">
        <f t="shared" si="33"/>
        <v>21.6</v>
      </c>
      <c r="O431" s="1299"/>
    </row>
    <row r="432" spans="1:21" hidden="1">
      <c r="D432" s="827">
        <v>22268</v>
      </c>
      <c r="E432" s="275" t="s">
        <v>4661</v>
      </c>
      <c r="F432" s="275"/>
      <c r="G432" s="1298">
        <v>24</v>
      </c>
      <c r="H432" s="52">
        <v>0.7</v>
      </c>
      <c r="I432" s="1298" t="s">
        <v>64</v>
      </c>
      <c r="J432" s="1137">
        <v>0.2</v>
      </c>
      <c r="K432" s="52">
        <f t="shared" si="31"/>
        <v>0.13999999999999999</v>
      </c>
      <c r="L432" s="52">
        <f t="shared" si="32"/>
        <v>0.84</v>
      </c>
      <c r="M432" s="52">
        <f t="shared" si="33"/>
        <v>20.16</v>
      </c>
      <c r="O432" s="1299"/>
    </row>
    <row r="433" spans="1:21" ht="17.25" hidden="1" customHeight="1">
      <c r="D433" s="1377">
        <v>7597417000417</v>
      </c>
      <c r="E433" s="1380" t="s">
        <v>4662</v>
      </c>
      <c r="F433" s="1380"/>
      <c r="G433" s="1377">
        <v>12</v>
      </c>
      <c r="H433" s="1378">
        <v>1.25</v>
      </c>
      <c r="I433" s="1298" t="s">
        <v>64</v>
      </c>
      <c r="J433" s="1137">
        <v>0.2</v>
      </c>
      <c r="K433" s="52">
        <f t="shared" si="31"/>
        <v>0.25</v>
      </c>
      <c r="L433" s="52">
        <f t="shared" si="32"/>
        <v>1.5</v>
      </c>
      <c r="M433" s="52">
        <f t="shared" si="33"/>
        <v>18</v>
      </c>
      <c r="O433" s="1299"/>
    </row>
    <row r="434" spans="1:21" hidden="1">
      <c r="D434" s="1377">
        <v>7597417000462</v>
      </c>
      <c r="E434" s="1380" t="s">
        <v>4664</v>
      </c>
      <c r="F434" s="1380"/>
      <c r="G434" s="1377">
        <v>12</v>
      </c>
      <c r="H434" s="1378">
        <v>1.25</v>
      </c>
      <c r="I434" s="1378" t="s">
        <v>64</v>
      </c>
      <c r="J434" s="1137">
        <v>0.2</v>
      </c>
      <c r="K434" s="52">
        <f t="shared" si="31"/>
        <v>0.25</v>
      </c>
      <c r="L434" s="52">
        <f t="shared" si="32"/>
        <v>1.5</v>
      </c>
      <c r="M434" s="52">
        <f t="shared" si="33"/>
        <v>18</v>
      </c>
      <c r="O434" s="1299"/>
    </row>
    <row r="435" spans="1:21">
      <c r="D435" s="1377">
        <v>7591473004006</v>
      </c>
      <c r="E435" s="1380" t="s">
        <v>4663</v>
      </c>
      <c r="F435" s="1380"/>
      <c r="G435" s="1377">
        <v>24</v>
      </c>
      <c r="H435" s="1378">
        <v>0.7</v>
      </c>
      <c r="I435" s="1378" t="s">
        <v>64</v>
      </c>
      <c r="J435" s="1137">
        <v>0.2</v>
      </c>
      <c r="K435" s="52">
        <f t="shared" si="31"/>
        <v>0.13999999999999999</v>
      </c>
      <c r="L435" s="52">
        <f t="shared" si="32"/>
        <v>0.84</v>
      </c>
      <c r="M435" s="52">
        <f t="shared" si="33"/>
        <v>20.16</v>
      </c>
      <c r="N435" s="1058" t="s">
        <v>65</v>
      </c>
      <c r="O435" s="1299"/>
    </row>
    <row r="436" spans="1:21">
      <c r="D436" s="1377">
        <v>7597417000110</v>
      </c>
      <c r="E436" s="1380" t="s">
        <v>4665</v>
      </c>
      <c r="F436" s="1380"/>
      <c r="G436" s="1377">
        <v>12</v>
      </c>
      <c r="H436" s="1378">
        <v>0.7</v>
      </c>
      <c r="I436" s="1378" t="s">
        <v>64</v>
      </c>
      <c r="J436" s="1137">
        <v>0.2</v>
      </c>
      <c r="K436" s="52">
        <f t="shared" si="31"/>
        <v>0.13999999999999999</v>
      </c>
      <c r="L436" s="52">
        <f t="shared" si="32"/>
        <v>0.84</v>
      </c>
      <c r="M436" s="52">
        <f t="shared" si="33"/>
        <v>10.08</v>
      </c>
      <c r="O436" s="1299"/>
    </row>
    <row r="437" spans="1:21">
      <c r="D437" s="461">
        <v>2033</v>
      </c>
      <c r="E437" s="275" t="s">
        <v>4666</v>
      </c>
      <c r="F437" s="275"/>
      <c r="G437" s="1298">
        <v>20</v>
      </c>
      <c r="H437" s="1298">
        <v>1.06</v>
      </c>
      <c r="I437" s="1298" t="s">
        <v>64</v>
      </c>
      <c r="J437" s="1137">
        <v>0.2</v>
      </c>
      <c r="K437" s="52">
        <f t="shared" si="31"/>
        <v>0.21200000000000002</v>
      </c>
      <c r="L437" s="52">
        <f t="shared" si="32"/>
        <v>1.272</v>
      </c>
      <c r="M437" s="52">
        <f t="shared" si="33"/>
        <v>25.44</v>
      </c>
      <c r="O437" s="1299"/>
    </row>
    <row r="438" spans="1:21">
      <c r="D438" s="461"/>
      <c r="E438" s="275" t="s">
        <v>4667</v>
      </c>
      <c r="F438" s="275"/>
      <c r="G438" s="1298">
        <v>12</v>
      </c>
      <c r="H438" s="1298">
        <v>1.91</v>
      </c>
      <c r="I438" s="1137" t="s">
        <v>64</v>
      </c>
      <c r="J438" s="1137">
        <v>0.2</v>
      </c>
      <c r="K438" s="52">
        <f t="shared" si="31"/>
        <v>0.38200000000000001</v>
      </c>
      <c r="L438" s="52">
        <f t="shared" si="32"/>
        <v>2.2919999999999998</v>
      </c>
      <c r="M438" s="52">
        <f t="shared" si="33"/>
        <v>27.503999999999998</v>
      </c>
      <c r="O438" s="1299"/>
    </row>
    <row r="439" spans="1:21" s="827" customFormat="1">
      <c r="A439" s="1594"/>
      <c r="C439" s="1594"/>
      <c r="D439" s="461"/>
      <c r="E439" s="275" t="s">
        <v>4668</v>
      </c>
      <c r="F439" s="275"/>
      <c r="G439" s="1298">
        <v>12</v>
      </c>
      <c r="H439" s="1298">
        <v>1.91</v>
      </c>
      <c r="I439" s="1137" t="s">
        <v>64</v>
      </c>
      <c r="J439" s="1137">
        <v>0.2</v>
      </c>
      <c r="K439" s="52">
        <f t="shared" si="31"/>
        <v>0.38200000000000001</v>
      </c>
      <c r="L439" s="52">
        <f t="shared" si="32"/>
        <v>2.2919999999999998</v>
      </c>
      <c r="M439" s="52">
        <f t="shared" si="33"/>
        <v>27.503999999999998</v>
      </c>
      <c r="N439" s="1299"/>
      <c r="O439" s="1299"/>
      <c r="P439" s="1299"/>
      <c r="Q439" s="1299"/>
      <c r="R439" s="422"/>
      <c r="S439" s="1299"/>
      <c r="T439" s="422"/>
      <c r="U439" s="1299"/>
    </row>
    <row r="440" spans="1:21" s="827" customFormat="1">
      <c r="A440" s="1594"/>
      <c r="C440" s="1594"/>
      <c r="D440" s="461"/>
      <c r="E440" s="275" t="s">
        <v>4669</v>
      </c>
      <c r="F440" s="275"/>
      <c r="G440" s="1298">
        <v>12</v>
      </c>
      <c r="H440" s="1298">
        <v>2.42</v>
      </c>
      <c r="I440" s="1137" t="s">
        <v>64</v>
      </c>
      <c r="J440" s="1137">
        <v>0.2</v>
      </c>
      <c r="K440" s="52">
        <f t="shared" si="31"/>
        <v>0.48399999999999999</v>
      </c>
      <c r="L440" s="52">
        <f t="shared" si="32"/>
        <v>2.9039999999999999</v>
      </c>
      <c r="M440" s="52">
        <f t="shared" si="33"/>
        <v>34.847999999999999</v>
      </c>
      <c r="N440" s="1299"/>
      <c r="O440" s="1299"/>
      <c r="P440" s="1299"/>
      <c r="Q440" s="1299"/>
      <c r="R440" s="422"/>
      <c r="S440" s="1299"/>
      <c r="T440" s="422"/>
      <c r="U440" s="1299"/>
    </row>
    <row r="441" spans="1:21" s="827" customFormat="1">
      <c r="A441" s="1594"/>
      <c r="C441" s="1594"/>
      <c r="D441" s="461"/>
      <c r="E441" s="275" t="s">
        <v>4670</v>
      </c>
      <c r="F441" s="275"/>
      <c r="G441" s="1298">
        <v>20</v>
      </c>
      <c r="H441" s="1298">
        <v>0.87</v>
      </c>
      <c r="I441" s="1137" t="s">
        <v>64</v>
      </c>
      <c r="J441" s="1137">
        <v>0.2</v>
      </c>
      <c r="K441" s="52">
        <f t="shared" si="31"/>
        <v>0.17400000000000002</v>
      </c>
      <c r="L441" s="52">
        <f t="shared" si="32"/>
        <v>1.044</v>
      </c>
      <c r="M441" s="52">
        <f t="shared" si="33"/>
        <v>20.880000000000003</v>
      </c>
      <c r="N441" s="1299"/>
      <c r="O441" s="1299"/>
      <c r="P441" s="1299"/>
      <c r="Q441" s="1299"/>
      <c r="R441" s="422"/>
      <c r="S441" s="1299"/>
      <c r="T441" s="422"/>
      <c r="U441" s="1299"/>
    </row>
    <row r="442" spans="1:21" s="827" customFormat="1">
      <c r="A442" s="1594"/>
      <c r="C442" s="1594"/>
      <c r="D442" s="461"/>
      <c r="E442" s="275" t="s">
        <v>4671</v>
      </c>
      <c r="F442" s="275"/>
      <c r="G442" s="1298">
        <v>20</v>
      </c>
      <c r="H442" s="1298">
        <v>1.05</v>
      </c>
      <c r="I442" s="1137" t="s">
        <v>64</v>
      </c>
      <c r="J442" s="1137">
        <v>0.2</v>
      </c>
      <c r="K442" s="52">
        <f t="shared" si="31"/>
        <v>0.21000000000000002</v>
      </c>
      <c r="L442" s="52">
        <f t="shared" si="32"/>
        <v>1.26</v>
      </c>
      <c r="M442" s="52">
        <f t="shared" si="33"/>
        <v>25.2</v>
      </c>
      <c r="N442" s="1299"/>
      <c r="O442" s="1299"/>
      <c r="P442" s="1299"/>
      <c r="Q442" s="1299"/>
      <c r="R442" s="422"/>
      <c r="S442" s="1299"/>
      <c r="T442" s="422"/>
      <c r="U442" s="1299"/>
    </row>
    <row r="443" spans="1:21" s="827" customFormat="1">
      <c r="A443" s="1594"/>
      <c r="C443" s="1594"/>
      <c r="D443" s="461"/>
      <c r="E443" s="275" t="s">
        <v>4672</v>
      </c>
      <c r="F443" s="275"/>
      <c r="G443" s="1298">
        <v>20</v>
      </c>
      <c r="H443" s="1298">
        <v>1</v>
      </c>
      <c r="I443" s="1137" t="s">
        <v>64</v>
      </c>
      <c r="J443" s="1137">
        <v>0.2</v>
      </c>
      <c r="K443" s="52">
        <f t="shared" si="31"/>
        <v>0.2</v>
      </c>
      <c r="L443" s="52">
        <f t="shared" si="32"/>
        <v>1.2</v>
      </c>
      <c r="M443" s="52">
        <f t="shared" si="33"/>
        <v>24</v>
      </c>
      <c r="N443" s="1299"/>
      <c r="O443" s="1299"/>
      <c r="P443" s="1299"/>
      <c r="Q443" s="1299"/>
      <c r="R443" s="422"/>
      <c r="S443" s="1299"/>
      <c r="T443" s="422"/>
      <c r="U443" s="1299"/>
    </row>
    <row r="444" spans="1:21" s="827" customFormat="1">
      <c r="A444" s="1594"/>
      <c r="C444" s="1594"/>
      <c r="D444" s="461"/>
      <c r="E444" s="275" t="s">
        <v>4673</v>
      </c>
      <c r="F444" s="275"/>
      <c r="G444" s="1298">
        <v>24</v>
      </c>
      <c r="H444" s="1298">
        <v>0.43</v>
      </c>
      <c r="I444" s="1137" t="s">
        <v>64</v>
      </c>
      <c r="J444" s="1137">
        <v>0.2</v>
      </c>
      <c r="K444" s="52">
        <f t="shared" si="31"/>
        <v>8.6000000000000007E-2</v>
      </c>
      <c r="L444" s="52">
        <f t="shared" si="32"/>
        <v>0.51600000000000001</v>
      </c>
      <c r="M444" s="52">
        <f t="shared" si="33"/>
        <v>12.384</v>
      </c>
      <c r="N444" s="1299"/>
      <c r="O444" s="1299"/>
      <c r="P444" s="1299"/>
      <c r="Q444" s="1299"/>
      <c r="R444" s="422"/>
      <c r="S444" s="1299"/>
      <c r="T444" s="422"/>
      <c r="U444" s="1299"/>
    </row>
    <row r="445" spans="1:21">
      <c r="D445" s="461"/>
      <c r="E445" s="275" t="s">
        <v>4674</v>
      </c>
      <c r="F445" s="275"/>
      <c r="G445" s="1298">
        <v>15</v>
      </c>
      <c r="H445" s="1298">
        <v>2.14</v>
      </c>
      <c r="I445" s="1298" t="s">
        <v>64</v>
      </c>
      <c r="J445" s="1137">
        <v>0.2</v>
      </c>
      <c r="K445" s="52">
        <f t="shared" si="31"/>
        <v>0.42800000000000005</v>
      </c>
      <c r="L445" s="52">
        <f t="shared" si="32"/>
        <v>2.5680000000000001</v>
      </c>
      <c r="M445" s="52">
        <f t="shared" si="33"/>
        <v>38.520000000000003</v>
      </c>
      <c r="O445" s="1299"/>
    </row>
    <row r="446" spans="1:21">
      <c r="D446" s="461"/>
      <c r="E446" s="275" t="s">
        <v>4675</v>
      </c>
      <c r="F446" s="275"/>
      <c r="G446" s="1298">
        <v>12</v>
      </c>
      <c r="H446" s="1298">
        <v>7.42</v>
      </c>
      <c r="I446" s="1298" t="s">
        <v>64</v>
      </c>
      <c r="J446" s="1137">
        <v>0.2</v>
      </c>
      <c r="K446" s="52">
        <f t="shared" si="31"/>
        <v>1.484</v>
      </c>
      <c r="L446" s="52">
        <f t="shared" si="32"/>
        <v>8.9039999999999999</v>
      </c>
      <c r="M446" s="52">
        <f t="shared" si="33"/>
        <v>106.848</v>
      </c>
      <c r="O446" s="1299"/>
    </row>
    <row r="447" spans="1:21" s="827" customFormat="1">
      <c r="A447" s="1594"/>
      <c r="C447" s="1594"/>
      <c r="D447" s="461"/>
      <c r="E447" s="275" t="s">
        <v>4659</v>
      </c>
      <c r="F447" s="275"/>
      <c r="G447" s="1298">
        <v>8</v>
      </c>
      <c r="H447" s="1298">
        <v>2.38</v>
      </c>
      <c r="I447" s="1298" t="s">
        <v>64</v>
      </c>
      <c r="J447" s="1137">
        <v>0.2</v>
      </c>
      <c r="K447" s="52">
        <f t="shared" si="31"/>
        <v>0.47599999999999998</v>
      </c>
      <c r="L447" s="52">
        <f t="shared" si="32"/>
        <v>2.8559999999999999</v>
      </c>
      <c r="M447" s="52">
        <f t="shared" si="33"/>
        <v>22.847999999999999</v>
      </c>
      <c r="N447" s="1299"/>
      <c r="O447" s="1299"/>
      <c r="P447" s="1299"/>
      <c r="Q447" s="1299"/>
      <c r="R447" s="422"/>
      <c r="S447" s="1299"/>
      <c r="T447" s="422"/>
      <c r="U447" s="1299"/>
    </row>
    <row r="448" spans="1:21">
      <c r="D448" s="461"/>
      <c r="E448" s="275" t="s">
        <v>4678</v>
      </c>
      <c r="F448" s="275"/>
      <c r="G448" s="1298">
        <v>10</v>
      </c>
      <c r="H448" s="1298">
        <v>2.38</v>
      </c>
      <c r="I448" s="1137" t="s">
        <v>64</v>
      </c>
      <c r="J448" s="1137">
        <v>0.2</v>
      </c>
      <c r="K448" s="52">
        <f t="shared" si="31"/>
        <v>0.47599999999999998</v>
      </c>
      <c r="L448" s="52">
        <f t="shared" si="32"/>
        <v>2.8559999999999999</v>
      </c>
      <c r="M448" s="52">
        <f t="shared" si="33"/>
        <v>28.56</v>
      </c>
      <c r="O448" s="1299"/>
    </row>
    <row r="449" spans="1:22">
      <c r="D449" s="865" t="s">
        <v>4658</v>
      </c>
      <c r="E449" s="275" t="s">
        <v>4676</v>
      </c>
      <c r="F449" s="275"/>
      <c r="G449" s="1298">
        <v>12</v>
      </c>
      <c r="H449" s="1298">
        <v>8.8000000000000007</v>
      </c>
      <c r="I449" s="1298" t="s">
        <v>64</v>
      </c>
      <c r="J449" s="1137">
        <v>0.2</v>
      </c>
      <c r="K449" s="52">
        <f t="shared" si="31"/>
        <v>1.7600000000000002</v>
      </c>
      <c r="L449" s="52">
        <f t="shared" si="32"/>
        <v>10.56</v>
      </c>
      <c r="M449" s="52">
        <f t="shared" si="33"/>
        <v>126.72</v>
      </c>
      <c r="O449" s="1299"/>
    </row>
    <row r="452" spans="1:22" ht="15.75" thickBot="1"/>
    <row r="453" spans="1:22" ht="62.25" customHeight="1" thickBot="1">
      <c r="E453" s="1037"/>
      <c r="F453" s="1125"/>
      <c r="G453" s="1038"/>
      <c r="H453" s="613"/>
      <c r="I453" s="613"/>
      <c r="J453" s="613"/>
      <c r="K453" s="613"/>
      <c r="L453" s="1370"/>
      <c r="M453" s="1037" t="s">
        <v>1922</v>
      </c>
      <c r="N453" s="1037" t="s">
        <v>554</v>
      </c>
      <c r="O453" s="776" t="s">
        <v>4776</v>
      </c>
      <c r="T453" s="333">
        <v>4.37</v>
      </c>
      <c r="V453" s="422"/>
    </row>
    <row r="454" spans="1:22" ht="15.75" thickBot="1">
      <c r="E454" s="402" t="s">
        <v>4774</v>
      </c>
      <c r="F454" s="1726"/>
      <c r="G454" s="620"/>
      <c r="H454" s="620"/>
      <c r="I454" s="620"/>
      <c r="J454" s="620"/>
      <c r="K454" s="620"/>
      <c r="L454" s="620"/>
      <c r="M454" s="835">
        <v>48.13</v>
      </c>
      <c r="N454" s="1426">
        <v>50</v>
      </c>
      <c r="O454" s="775">
        <f>+N454*M454</f>
        <v>2406.5</v>
      </c>
      <c r="P454" s="333" t="s">
        <v>4775</v>
      </c>
      <c r="T454" s="333">
        <v>145.04</v>
      </c>
      <c r="V454" s="422"/>
    </row>
    <row r="455" spans="1:22">
      <c r="O455" s="1181" t="s">
        <v>65</v>
      </c>
      <c r="T455" s="336">
        <f>+T454/T453</f>
        <v>33.189931350114414</v>
      </c>
      <c r="V455" s="422"/>
    </row>
    <row r="456" spans="1:22" ht="30">
      <c r="D456" s="42" t="s">
        <v>4798</v>
      </c>
      <c r="E456" s="31" t="s">
        <v>4890</v>
      </c>
      <c r="O456" s="1181" t="s">
        <v>65</v>
      </c>
      <c r="T456" s="336">
        <f>+T455*16%</f>
        <v>5.3103890160183065</v>
      </c>
      <c r="U456" s="1389" t="s">
        <v>61</v>
      </c>
      <c r="V456" s="422"/>
    </row>
    <row r="457" spans="1:22" ht="75">
      <c r="B457" s="693"/>
      <c r="C457" s="693"/>
      <c r="D457" s="471" t="s">
        <v>4891</v>
      </c>
      <c r="E457" s="1445" t="s">
        <v>107</v>
      </c>
      <c r="F457" s="1689"/>
      <c r="G457" s="1447" t="s">
        <v>4866</v>
      </c>
      <c r="H457" s="1445" t="s">
        <v>4867</v>
      </c>
      <c r="I457" s="1445" t="s">
        <v>560</v>
      </c>
      <c r="K457" s="308" t="s">
        <v>559</v>
      </c>
      <c r="L457" s="308"/>
      <c r="M457" s="308" t="s">
        <v>3415</v>
      </c>
      <c r="N457" s="308"/>
      <c r="O457" s="309" t="s">
        <v>4677</v>
      </c>
      <c r="P457" s="1447" t="s">
        <v>4870</v>
      </c>
      <c r="Q457" s="422"/>
      <c r="R457" s="413"/>
      <c r="S457" s="336">
        <f>+T455+T456</f>
        <v>38.500320366132719</v>
      </c>
      <c r="T457" s="1389" t="s">
        <v>560</v>
      </c>
      <c r="U457" s="422"/>
    </row>
    <row r="458" spans="1:22" s="827" customFormat="1">
      <c r="A458" s="1594"/>
      <c r="B458" s="693" t="s">
        <v>4860</v>
      </c>
      <c r="C458" s="693"/>
      <c r="D458" s="461" t="s">
        <v>65</v>
      </c>
      <c r="E458" s="275" t="s">
        <v>4869</v>
      </c>
      <c r="F458" s="275"/>
      <c r="G458" s="1445">
        <v>4</v>
      </c>
      <c r="H458" s="52">
        <f t="shared" ref="H458:H471" si="34">+O458</f>
        <v>1.177</v>
      </c>
      <c r="I458" s="52">
        <f t="shared" ref="I458:I471" si="35">+H458*G458</f>
        <v>4.7080000000000002</v>
      </c>
      <c r="K458" s="1445">
        <v>1.07</v>
      </c>
      <c r="L458" s="1445" t="s">
        <v>64</v>
      </c>
      <c r="M458" s="1137">
        <v>0.1</v>
      </c>
      <c r="N458" s="52">
        <f>+K458*M458</f>
        <v>0.10700000000000001</v>
      </c>
      <c r="O458" s="52">
        <f>+K458+N458</f>
        <v>1.177</v>
      </c>
      <c r="P458" s="52">
        <f t="shared" ref="P458:P471" si="36">+O458*G458</f>
        <v>4.7080000000000002</v>
      </c>
      <c r="Q458" s="336"/>
      <c r="R458" s="1446"/>
      <c r="S458" s="422"/>
      <c r="T458" s="1446"/>
    </row>
    <row r="459" spans="1:22" s="827" customFormat="1">
      <c r="A459" s="1594"/>
      <c r="B459" s="693" t="s">
        <v>4861</v>
      </c>
      <c r="C459" s="693"/>
      <c r="D459" s="461"/>
      <c r="E459" s="275" t="s">
        <v>4868</v>
      </c>
      <c r="F459" s="275"/>
      <c r="G459" s="1445">
        <v>2</v>
      </c>
      <c r="H459" s="52">
        <f t="shared" si="34"/>
        <v>0.51600000000000001</v>
      </c>
      <c r="I459" s="52">
        <f t="shared" si="35"/>
        <v>1.032</v>
      </c>
      <c r="K459" s="1445">
        <v>0.43</v>
      </c>
      <c r="L459" s="1137" t="s">
        <v>64</v>
      </c>
      <c r="M459" s="1137">
        <v>0.2</v>
      </c>
      <c r="N459" s="52">
        <f>+K459*M459</f>
        <v>8.6000000000000007E-2</v>
      </c>
      <c r="O459" s="52">
        <f>+K459+N459</f>
        <v>0.51600000000000001</v>
      </c>
      <c r="P459" s="52">
        <f t="shared" si="36"/>
        <v>1.032</v>
      </c>
      <c r="Q459" s="422"/>
      <c r="R459" s="1446"/>
      <c r="S459" s="422"/>
      <c r="T459" s="1446"/>
    </row>
    <row r="460" spans="1:22" s="827" customFormat="1">
      <c r="A460" s="1594"/>
      <c r="B460" s="693" t="s">
        <v>4710</v>
      </c>
      <c r="C460" s="693"/>
      <c r="D460" s="461"/>
      <c r="E460" s="275" t="s">
        <v>4872</v>
      </c>
      <c r="F460" s="275"/>
      <c r="G460" s="1445">
        <v>1</v>
      </c>
      <c r="H460" s="52">
        <f t="shared" si="34"/>
        <v>3.12</v>
      </c>
      <c r="I460" s="52">
        <f t="shared" si="35"/>
        <v>3.12</v>
      </c>
      <c r="K460" s="1445">
        <v>2.6</v>
      </c>
      <c r="L460" s="1445" t="s">
        <v>64</v>
      </c>
      <c r="M460" s="1137">
        <v>0.2</v>
      </c>
      <c r="N460" s="52">
        <f>+K460*M460</f>
        <v>0.52</v>
      </c>
      <c r="O460" s="52">
        <f>+K460+N460</f>
        <v>3.12</v>
      </c>
      <c r="P460" s="52">
        <f t="shared" si="36"/>
        <v>3.12</v>
      </c>
      <c r="Q460" s="422"/>
      <c r="R460" s="1446"/>
      <c r="S460" s="422"/>
      <c r="T460" s="1446"/>
    </row>
    <row r="461" spans="1:22" s="827" customFormat="1">
      <c r="A461" s="1594"/>
      <c r="B461" s="34" t="s">
        <v>4860</v>
      </c>
      <c r="C461" s="34"/>
      <c r="D461" s="693" t="s">
        <v>65</v>
      </c>
      <c r="E461" s="275" t="s">
        <v>4889</v>
      </c>
      <c r="F461" s="275"/>
      <c r="G461" s="375">
        <v>4</v>
      </c>
      <c r="H461" s="52">
        <f t="shared" si="34"/>
        <v>0.96000000000000008</v>
      </c>
      <c r="I461" s="52">
        <f t="shared" si="35"/>
        <v>3.8400000000000003</v>
      </c>
      <c r="K461" s="52">
        <v>0.8</v>
      </c>
      <c r="L461" s="1445" t="s">
        <v>64</v>
      </c>
      <c r="M461" s="1137">
        <v>0.2</v>
      </c>
      <c r="N461" s="52">
        <f>+K461*M461</f>
        <v>0.16000000000000003</v>
      </c>
      <c r="O461" s="52">
        <f>+K461+N461</f>
        <v>0.96000000000000008</v>
      </c>
      <c r="P461" s="52">
        <f t="shared" si="36"/>
        <v>3.8400000000000003</v>
      </c>
      <c r="Q461" s="422"/>
      <c r="R461" s="1446"/>
      <c r="S461" s="422"/>
      <c r="T461" s="1446"/>
    </row>
    <row r="462" spans="1:22" s="827" customFormat="1">
      <c r="A462" s="1594"/>
      <c r="B462" s="34" t="s">
        <v>4862</v>
      </c>
      <c r="C462" s="34"/>
      <c r="D462" s="1377" t="s">
        <v>65</v>
      </c>
      <c r="E462" s="1380" t="s">
        <v>4873</v>
      </c>
      <c r="F462" s="1380"/>
      <c r="G462" s="375">
        <v>2</v>
      </c>
      <c r="H462" s="52">
        <f t="shared" si="34"/>
        <v>1.524</v>
      </c>
      <c r="I462" s="52">
        <f t="shared" si="35"/>
        <v>3.048</v>
      </c>
      <c r="K462" s="1378">
        <v>1.27</v>
      </c>
      <c r="L462" s="1378" t="s">
        <v>64</v>
      </c>
      <c r="M462" s="1137">
        <v>0.2</v>
      </c>
      <c r="N462" s="52">
        <f>+K462*M462</f>
        <v>0.254</v>
      </c>
      <c r="O462" s="52">
        <f>+K462+N462</f>
        <v>1.524</v>
      </c>
      <c r="P462" s="52">
        <f t="shared" si="36"/>
        <v>3.048</v>
      </c>
      <c r="Q462" s="422"/>
      <c r="R462" s="1446"/>
      <c r="S462" s="422"/>
      <c r="T462" s="1446"/>
    </row>
    <row r="463" spans="1:22" s="827" customFormat="1">
      <c r="A463" s="1594"/>
      <c r="B463" s="34" t="s">
        <v>4862</v>
      </c>
      <c r="C463" s="34"/>
      <c r="D463" s="1377" t="s">
        <v>65</v>
      </c>
      <c r="E463" s="1380" t="s">
        <v>4874</v>
      </c>
      <c r="F463" s="1380"/>
      <c r="G463" s="375">
        <v>2</v>
      </c>
      <c r="H463" s="52">
        <f t="shared" si="34"/>
        <v>1.524</v>
      </c>
      <c r="I463" s="52">
        <f t="shared" si="35"/>
        <v>3.048</v>
      </c>
      <c r="K463" s="1378">
        <v>1.27</v>
      </c>
      <c r="L463" s="1378" t="s">
        <v>64</v>
      </c>
      <c r="M463" s="1137">
        <v>0.2</v>
      </c>
      <c r="N463" s="52">
        <f t="shared" ref="N463:N471" si="37">+K463*M463</f>
        <v>0.254</v>
      </c>
      <c r="O463" s="52">
        <f t="shared" ref="O463:O471" si="38">+K463+N463</f>
        <v>1.524</v>
      </c>
      <c r="P463" s="52">
        <f t="shared" si="36"/>
        <v>3.048</v>
      </c>
      <c r="Q463" s="422"/>
      <c r="R463" s="1446"/>
      <c r="S463" s="422"/>
      <c r="T463" s="1446"/>
    </row>
    <row r="464" spans="1:22">
      <c r="B464" s="34" t="s">
        <v>3739</v>
      </c>
      <c r="C464" s="34"/>
      <c r="D464" s="865"/>
      <c r="E464" s="275" t="s">
        <v>4882</v>
      </c>
      <c r="F464" s="275"/>
      <c r="G464" s="1445">
        <v>1</v>
      </c>
      <c r="H464" s="52">
        <f t="shared" si="34"/>
        <v>1.1519999999999999</v>
      </c>
      <c r="I464" s="52">
        <f t="shared" si="35"/>
        <v>1.1519999999999999</v>
      </c>
      <c r="K464" s="1451">
        <v>0.96</v>
      </c>
      <c r="L464" s="1451"/>
      <c r="M464" s="1137">
        <v>0.2</v>
      </c>
      <c r="N464" s="52">
        <f t="shared" si="37"/>
        <v>0.192</v>
      </c>
      <c r="O464" s="52">
        <f t="shared" si="38"/>
        <v>1.1519999999999999</v>
      </c>
      <c r="P464" s="52">
        <f t="shared" si="36"/>
        <v>1.1519999999999999</v>
      </c>
      <c r="Q464" s="422"/>
      <c r="R464" s="413"/>
      <c r="S464" s="422">
        <v>4.3859000000000004</v>
      </c>
      <c r="T464" s="333">
        <v>4.3859000000000004</v>
      </c>
      <c r="U464"/>
    </row>
    <row r="465" spans="1:21">
      <c r="B465" s="34" t="s">
        <v>4863</v>
      </c>
      <c r="C465" s="34"/>
      <c r="D465" s="865"/>
      <c r="E465" s="275" t="s">
        <v>4881</v>
      </c>
      <c r="F465" s="275"/>
      <c r="G465" s="1445">
        <v>2</v>
      </c>
      <c r="H465" s="52">
        <f t="shared" si="34"/>
        <v>1.008</v>
      </c>
      <c r="I465" s="52">
        <f t="shared" si="35"/>
        <v>2.016</v>
      </c>
      <c r="K465" s="1451">
        <v>0.84</v>
      </c>
      <c r="L465" s="1451"/>
      <c r="M465" s="1137">
        <v>0.2</v>
      </c>
      <c r="N465" s="52">
        <f t="shared" si="37"/>
        <v>0.16800000000000001</v>
      </c>
      <c r="O465" s="52">
        <f t="shared" si="38"/>
        <v>1.008</v>
      </c>
      <c r="P465" s="52">
        <f t="shared" si="36"/>
        <v>2.016</v>
      </c>
      <c r="Q465" s="422"/>
      <c r="R465" s="413"/>
      <c r="S465" s="422">
        <v>8412.31</v>
      </c>
      <c r="T465" s="333">
        <v>3073.95</v>
      </c>
      <c r="U465"/>
    </row>
    <row r="466" spans="1:21">
      <c r="B466" s="34" t="s">
        <v>3739</v>
      </c>
      <c r="C466" s="34"/>
      <c r="D466" s="865"/>
      <c r="E466" s="293" t="s">
        <v>3287</v>
      </c>
      <c r="F466" s="293"/>
      <c r="G466" s="1445">
        <v>1</v>
      </c>
      <c r="H466" s="52">
        <f t="shared" si="34"/>
        <v>1.3679999999999999</v>
      </c>
      <c r="I466" s="52">
        <f t="shared" si="35"/>
        <v>1.3679999999999999</v>
      </c>
      <c r="K466" s="1451">
        <v>1.1399999999999999</v>
      </c>
      <c r="L466" s="1451"/>
      <c r="M466" s="1137">
        <v>0.2</v>
      </c>
      <c r="N466" s="52">
        <f t="shared" si="37"/>
        <v>0.22799999999999998</v>
      </c>
      <c r="O466" s="52">
        <f t="shared" si="38"/>
        <v>1.3679999999999999</v>
      </c>
      <c r="P466" s="52">
        <f t="shared" si="36"/>
        <v>1.3679999999999999</v>
      </c>
      <c r="Q466" s="422"/>
      <c r="R466" s="413"/>
      <c r="S466" s="422">
        <f>+S465/S464</f>
        <v>1918.0350669189902</v>
      </c>
      <c r="T466" s="333">
        <f>+T465/T464</f>
        <v>700.87097289039866</v>
      </c>
      <c r="U466"/>
    </row>
    <row r="467" spans="1:21" s="827" customFormat="1">
      <c r="A467" s="1594"/>
      <c r="B467" s="34">
        <v>2</v>
      </c>
      <c r="C467" s="34"/>
      <c r="D467" s="865"/>
      <c r="E467" s="293" t="s">
        <v>4892</v>
      </c>
      <c r="F467" s="293"/>
      <c r="G467" s="1445">
        <v>2</v>
      </c>
      <c r="H467" s="52">
        <f t="shared" si="34"/>
        <v>1.248</v>
      </c>
      <c r="I467" s="52">
        <f t="shared" si="35"/>
        <v>2.496</v>
      </c>
      <c r="J467" s="1446"/>
      <c r="K467" s="1451">
        <v>1.04</v>
      </c>
      <c r="L467" s="1451"/>
      <c r="M467" s="1137">
        <v>0.2</v>
      </c>
      <c r="N467" s="52">
        <f t="shared" si="37"/>
        <v>0.20800000000000002</v>
      </c>
      <c r="O467" s="52">
        <f t="shared" si="38"/>
        <v>1.248</v>
      </c>
      <c r="P467" s="52">
        <f t="shared" si="36"/>
        <v>2.496</v>
      </c>
      <c r="Q467" s="422"/>
      <c r="R467" s="1446"/>
      <c r="S467" s="422"/>
      <c r="T467" s="1446"/>
    </row>
    <row r="468" spans="1:21">
      <c r="B468" s="693">
        <v>0.4</v>
      </c>
      <c r="C468" s="693"/>
      <c r="D468" s="865"/>
      <c r="E468" s="293" t="s">
        <v>4864</v>
      </c>
      <c r="F468" s="293"/>
      <c r="G468" s="1445">
        <v>1</v>
      </c>
      <c r="H468" s="52">
        <f t="shared" si="34"/>
        <v>3.0359999999999996</v>
      </c>
      <c r="I468" s="52">
        <f t="shared" si="35"/>
        <v>3.0359999999999996</v>
      </c>
      <c r="K468" s="1451">
        <v>2.5299999999999998</v>
      </c>
      <c r="L468" s="1451"/>
      <c r="M468" s="1137">
        <v>0.2</v>
      </c>
      <c r="N468" s="52">
        <f t="shared" si="37"/>
        <v>0.50600000000000001</v>
      </c>
      <c r="O468" s="52">
        <f t="shared" si="38"/>
        <v>3.0359999999999996</v>
      </c>
      <c r="P468" s="52">
        <f t="shared" si="36"/>
        <v>3.0359999999999996</v>
      </c>
      <c r="Q468" s="422"/>
      <c r="R468" s="413"/>
      <c r="S468" s="422"/>
      <c r="T468" s="333"/>
      <c r="U468"/>
    </row>
    <row r="469" spans="1:21">
      <c r="B469" s="34" t="s">
        <v>2684</v>
      </c>
      <c r="C469" s="34"/>
      <c r="D469" s="865"/>
      <c r="E469" s="293" t="s">
        <v>3763</v>
      </c>
      <c r="F469" s="293"/>
      <c r="G469" s="1445">
        <v>1</v>
      </c>
      <c r="H469" s="52">
        <f t="shared" si="34"/>
        <v>1.0848</v>
      </c>
      <c r="I469" s="52">
        <f t="shared" si="35"/>
        <v>1.0848</v>
      </c>
      <c r="K469" s="1451">
        <v>0.90400000000000003</v>
      </c>
      <c r="L469" s="1451"/>
      <c r="M469" s="1137">
        <v>0.2</v>
      </c>
      <c r="N469" s="52">
        <f t="shared" si="37"/>
        <v>0.18080000000000002</v>
      </c>
      <c r="O469" s="52">
        <f t="shared" si="38"/>
        <v>1.0848</v>
      </c>
      <c r="P469" s="52">
        <f t="shared" si="36"/>
        <v>1.0848</v>
      </c>
      <c r="Q469" s="422"/>
      <c r="R469" s="413"/>
      <c r="S469" s="422">
        <f>+S466*S464</f>
        <v>8412.31</v>
      </c>
      <c r="T469" s="333"/>
      <c r="U469"/>
    </row>
    <row r="470" spans="1:21">
      <c r="B470" s="693">
        <v>0.5</v>
      </c>
      <c r="C470" s="693"/>
      <c r="D470" s="865"/>
      <c r="E470" s="293" t="s">
        <v>4865</v>
      </c>
      <c r="F470" s="293"/>
      <c r="G470" s="1445">
        <v>1</v>
      </c>
      <c r="H470" s="52">
        <f t="shared" si="34"/>
        <v>1.2</v>
      </c>
      <c r="I470" s="52">
        <f t="shared" si="35"/>
        <v>1.2</v>
      </c>
      <c r="K470" s="1451">
        <v>1</v>
      </c>
      <c r="L470" s="1451"/>
      <c r="M470" s="1137">
        <v>0.2</v>
      </c>
      <c r="N470" s="52">
        <f t="shared" si="37"/>
        <v>0.2</v>
      </c>
      <c r="O470" s="52">
        <f t="shared" si="38"/>
        <v>1.2</v>
      </c>
      <c r="P470" s="52">
        <f t="shared" si="36"/>
        <v>1.2</v>
      </c>
      <c r="Q470" s="422"/>
      <c r="R470" s="413"/>
      <c r="S470" s="422"/>
      <c r="T470" s="333"/>
      <c r="U470"/>
    </row>
    <row r="471" spans="1:21" ht="15.75" thickBot="1">
      <c r="B471" s="693">
        <v>0.4</v>
      </c>
      <c r="C471" s="693"/>
      <c r="D471" s="865"/>
      <c r="E471" s="293" t="s">
        <v>4888</v>
      </c>
      <c r="F471" s="293"/>
      <c r="G471" s="1445">
        <v>1</v>
      </c>
      <c r="H471" s="1127">
        <f t="shared" si="34"/>
        <v>1.08</v>
      </c>
      <c r="I471" s="1127">
        <f t="shared" si="35"/>
        <v>1.08</v>
      </c>
      <c r="K471" s="1451">
        <v>0.9</v>
      </c>
      <c r="L471" s="1451"/>
      <c r="M471" s="1137">
        <v>0.2</v>
      </c>
      <c r="N471" s="52">
        <f t="shared" si="37"/>
        <v>0.18000000000000002</v>
      </c>
      <c r="O471" s="52">
        <f t="shared" si="38"/>
        <v>1.08</v>
      </c>
      <c r="P471" s="52">
        <f t="shared" si="36"/>
        <v>1.08</v>
      </c>
      <c r="Q471" s="422"/>
      <c r="R471" s="413"/>
      <c r="S471" s="422"/>
      <c r="T471" s="333"/>
      <c r="U471"/>
    </row>
    <row r="472" spans="1:21" s="827" customFormat="1" ht="15.75" thickBot="1">
      <c r="A472" s="1594"/>
      <c r="B472" s="105"/>
      <c r="C472" s="105"/>
      <c r="D472" s="1545"/>
      <c r="E472" s="1546"/>
      <c r="F472" s="1546"/>
      <c r="G472" s="104"/>
      <c r="H472" s="1548" t="s">
        <v>560</v>
      </c>
      <c r="I472" s="708">
        <f>SUM(I458:I471)</f>
        <v>32.2288</v>
      </c>
      <c r="J472" s="1446"/>
      <c r="K472" s="1452"/>
      <c r="L472" s="1452"/>
      <c r="M472" s="1547"/>
      <c r="N472" s="894"/>
      <c r="O472" s="894"/>
      <c r="P472" s="894"/>
      <c r="Q472" s="422"/>
      <c r="R472" s="1446"/>
      <c r="S472" s="422"/>
      <c r="T472" s="1446"/>
    </row>
    <row r="473" spans="1:21" s="827" customFormat="1">
      <c r="A473" s="1594"/>
      <c r="B473" s="105"/>
      <c r="C473" s="105"/>
      <c r="D473" s="1545"/>
      <c r="E473" s="1546"/>
      <c r="F473" s="1546"/>
      <c r="G473" s="104"/>
      <c r="H473" s="894"/>
      <c r="I473" s="894"/>
      <c r="J473" s="1446"/>
      <c r="K473" s="1452"/>
      <c r="L473" s="1452"/>
      <c r="M473" s="1547"/>
      <c r="N473" s="894"/>
      <c r="O473" s="894"/>
      <c r="P473" s="894"/>
      <c r="Q473" s="422"/>
      <c r="R473" s="1446"/>
      <c r="S473" s="422"/>
      <c r="T473" s="1446"/>
    </row>
    <row r="475" spans="1:21">
      <c r="B475" s="693"/>
      <c r="C475" s="693"/>
      <c r="D475" s="6" t="s">
        <v>111</v>
      </c>
      <c r="E475" s="1451" t="s">
        <v>4870</v>
      </c>
      <c r="F475" s="1701"/>
      <c r="G475" s="1445" t="s">
        <v>559</v>
      </c>
    </row>
    <row r="476" spans="1:21">
      <c r="B476" s="693"/>
      <c r="C476" s="693"/>
      <c r="D476" s="865"/>
      <c r="E476" s="1451" t="s">
        <v>2794</v>
      </c>
      <c r="F476" s="1701"/>
      <c r="G476" s="1451">
        <v>2.38</v>
      </c>
    </row>
    <row r="477" spans="1:21">
      <c r="B477" s="693"/>
      <c r="C477" s="693"/>
      <c r="D477" s="865"/>
      <c r="E477" s="58" t="s">
        <v>4871</v>
      </c>
      <c r="F477" s="58"/>
      <c r="G477" s="1451">
        <v>2.6</v>
      </c>
    </row>
    <row r="478" spans="1:21">
      <c r="B478" s="693">
        <v>18884</v>
      </c>
      <c r="C478" s="693"/>
      <c r="D478" s="865">
        <v>270</v>
      </c>
      <c r="E478" s="58" t="s">
        <v>3271</v>
      </c>
      <c r="F478" s="58"/>
      <c r="G478" s="1451">
        <v>1.1399999999999999</v>
      </c>
    </row>
    <row r="479" spans="1:21" s="827" customFormat="1">
      <c r="A479" s="1594"/>
      <c r="B479" s="693">
        <v>15986</v>
      </c>
      <c r="C479" s="693"/>
      <c r="D479" s="865">
        <v>318</v>
      </c>
      <c r="E479" s="1451" t="s">
        <v>4601</v>
      </c>
      <c r="F479" s="1701"/>
      <c r="G479" s="1451">
        <v>0.89</v>
      </c>
      <c r="H479" s="1446"/>
      <c r="I479" s="1446"/>
      <c r="J479" s="1446"/>
      <c r="K479" s="1446"/>
      <c r="L479" s="1446"/>
      <c r="M479" s="1446"/>
      <c r="N479" s="1446"/>
      <c r="O479" s="1446"/>
      <c r="P479" s="1446"/>
      <c r="Q479" s="1446"/>
      <c r="R479" s="422"/>
      <c r="S479" s="1446"/>
      <c r="T479" s="422"/>
      <c r="U479" s="1446"/>
    </row>
    <row r="480" spans="1:21" s="827" customFormat="1">
      <c r="A480" s="1594"/>
      <c r="B480" s="693">
        <v>6901</v>
      </c>
      <c r="C480" s="693"/>
      <c r="D480" s="865">
        <v>617</v>
      </c>
      <c r="E480" s="1451" t="s">
        <v>1374</v>
      </c>
      <c r="F480" s="1701"/>
      <c r="G480" s="1451">
        <v>1.1000000000000001</v>
      </c>
      <c r="H480" s="1446"/>
      <c r="I480" s="1446"/>
      <c r="J480" s="1446"/>
      <c r="K480" s="1446"/>
      <c r="L480" s="1446"/>
      <c r="M480" s="1446"/>
      <c r="N480" s="1446"/>
      <c r="O480" s="1446"/>
      <c r="P480" s="1446"/>
      <c r="Q480" s="1446"/>
      <c r="R480" s="422"/>
      <c r="S480" s="1446"/>
      <c r="T480" s="422"/>
      <c r="U480" s="1446"/>
    </row>
    <row r="481" spans="2:16">
      <c r="B481" s="61">
        <v>12801</v>
      </c>
      <c r="C481" s="61"/>
      <c r="D481" s="918">
        <v>249</v>
      </c>
      <c r="E481" s="58" t="s">
        <v>4586</v>
      </c>
      <c r="F481" s="58"/>
      <c r="G481" s="58">
        <v>1.25</v>
      </c>
    </row>
    <row r="482" spans="2:16">
      <c r="B482" s="61">
        <v>21175</v>
      </c>
      <c r="C482" s="61"/>
      <c r="D482" s="918">
        <v>175</v>
      </c>
      <c r="E482" s="1549" t="s">
        <v>4875</v>
      </c>
      <c r="F482" s="1549"/>
      <c r="G482" s="58">
        <v>1.27</v>
      </c>
    </row>
    <row r="483" spans="2:16">
      <c r="B483" s="58">
        <v>20773</v>
      </c>
      <c r="C483" s="58"/>
      <c r="D483" s="918">
        <v>102</v>
      </c>
      <c r="E483" s="58" t="s">
        <v>3362</v>
      </c>
      <c r="F483" s="58"/>
      <c r="G483" s="58">
        <v>1.05</v>
      </c>
      <c r="P483" s="333">
        <v>4.3804999999999996</v>
      </c>
    </row>
    <row r="484" spans="2:16">
      <c r="B484" s="61">
        <v>10250</v>
      </c>
      <c r="C484" s="61"/>
      <c r="D484" s="918">
        <v>180</v>
      </c>
      <c r="E484" s="58" t="s">
        <v>3984</v>
      </c>
      <c r="F484" s="58"/>
      <c r="G484" s="58">
        <v>1.02</v>
      </c>
      <c r="P484" s="333">
        <v>63.08</v>
      </c>
    </row>
    <row r="485" spans="2:16">
      <c r="B485" s="693"/>
      <c r="C485" s="693"/>
      <c r="D485" s="865"/>
      <c r="E485" s="1451" t="s">
        <v>4876</v>
      </c>
      <c r="F485" s="1701"/>
      <c r="G485" s="1451">
        <v>0.95</v>
      </c>
      <c r="P485" s="336">
        <f>+P484/P483</f>
        <v>14.400182627553933</v>
      </c>
    </row>
    <row r="486" spans="2:16">
      <c r="B486" s="61">
        <v>21379</v>
      </c>
      <c r="C486" s="61"/>
      <c r="D486" s="865"/>
      <c r="E486" s="58" t="s">
        <v>3766</v>
      </c>
      <c r="F486" s="58"/>
      <c r="G486" s="1451">
        <v>0.96</v>
      </c>
      <c r="P486" s="336">
        <f>+P485/12</f>
        <v>1.2000152189628277</v>
      </c>
    </row>
    <row r="487" spans="2:16">
      <c r="B487" s="61">
        <v>6586</v>
      </c>
      <c r="C487" s="61"/>
      <c r="D487" s="865"/>
      <c r="E487" s="1451" t="s">
        <v>18</v>
      </c>
      <c r="F487" s="1701"/>
      <c r="G487" s="1451">
        <v>0.95</v>
      </c>
    </row>
    <row r="488" spans="2:16">
      <c r="B488" s="61">
        <v>6650</v>
      </c>
      <c r="C488" s="61"/>
      <c r="D488" s="865">
        <v>676</v>
      </c>
      <c r="E488" s="58" t="s">
        <v>4877</v>
      </c>
      <c r="F488" s="58"/>
      <c r="G488" s="1451">
        <v>0.84</v>
      </c>
    </row>
    <row r="489" spans="2:16">
      <c r="B489" s="61">
        <v>4048</v>
      </c>
      <c r="C489" s="61"/>
      <c r="D489" s="865"/>
      <c r="E489" s="1451" t="s">
        <v>4878</v>
      </c>
      <c r="F489" s="1701"/>
      <c r="G489" s="1451">
        <v>0.98</v>
      </c>
    </row>
    <row r="490" spans="2:16">
      <c r="B490" s="61">
        <v>21643</v>
      </c>
      <c r="C490" s="61"/>
      <c r="D490" s="865"/>
      <c r="E490" s="1451" t="s">
        <v>4879</v>
      </c>
      <c r="F490" s="1701"/>
      <c r="G490" s="1451">
        <v>0.88</v>
      </c>
    </row>
    <row r="491" spans="2:16">
      <c r="B491" s="61">
        <v>3041</v>
      </c>
      <c r="C491" s="61"/>
      <c r="D491" s="865"/>
      <c r="E491" s="1451" t="s">
        <v>4880</v>
      </c>
      <c r="F491" s="1701"/>
      <c r="G491" s="1451">
        <v>1.01</v>
      </c>
    </row>
    <row r="492" spans="2:16">
      <c r="B492" s="61">
        <v>15249</v>
      </c>
      <c r="C492" s="61"/>
      <c r="D492" s="865">
        <v>0</v>
      </c>
      <c r="E492" s="1451" t="s">
        <v>4416</v>
      </c>
      <c r="F492" s="1701"/>
      <c r="G492" s="1451">
        <v>2.09</v>
      </c>
    </row>
    <row r="493" spans="2:16">
      <c r="B493" s="61">
        <v>14833</v>
      </c>
      <c r="C493" s="61"/>
      <c r="D493" s="865">
        <v>5</v>
      </c>
      <c r="E493" s="1451" t="s">
        <v>4883</v>
      </c>
      <c r="F493" s="1701"/>
      <c r="G493" s="1451">
        <v>1.97</v>
      </c>
    </row>
    <row r="494" spans="2:16">
      <c r="B494" s="693"/>
      <c r="C494" s="693"/>
      <c r="D494" s="865"/>
      <c r="E494" s="58" t="s">
        <v>1948</v>
      </c>
      <c r="F494" s="58"/>
      <c r="G494" s="1451">
        <v>2.5299999999999998</v>
      </c>
    </row>
    <row r="495" spans="2:16">
      <c r="B495" s="61">
        <v>9526</v>
      </c>
      <c r="C495" s="61"/>
      <c r="D495" s="865">
        <v>489</v>
      </c>
      <c r="E495" s="1451" t="s">
        <v>1394</v>
      </c>
      <c r="F495" s="1701"/>
      <c r="G495" s="1451">
        <v>1.1020000000000001</v>
      </c>
      <c r="H495" s="780" t="s">
        <v>4884</v>
      </c>
    </row>
    <row r="496" spans="2:16">
      <c r="B496" s="61">
        <v>9117</v>
      </c>
      <c r="C496" s="61"/>
      <c r="D496" s="865">
        <v>517</v>
      </c>
      <c r="E496" s="58" t="s">
        <v>4885</v>
      </c>
      <c r="F496" s="58"/>
      <c r="G496" s="1451">
        <v>0.90400000000000003</v>
      </c>
      <c r="H496" s="1446" t="s">
        <v>4884</v>
      </c>
    </row>
    <row r="497" spans="2:19">
      <c r="B497" s="61">
        <v>3628</v>
      </c>
      <c r="C497" s="61"/>
      <c r="D497" s="865">
        <v>681</v>
      </c>
      <c r="E497" s="1451" t="s">
        <v>4886</v>
      </c>
      <c r="F497" s="1701"/>
      <c r="G497" s="1451">
        <v>1.07</v>
      </c>
      <c r="H497" s="1446" t="s">
        <v>4884</v>
      </c>
    </row>
    <row r="498" spans="2:19">
      <c r="B498" s="61">
        <v>3246</v>
      </c>
      <c r="C498" s="61"/>
      <c r="D498" s="865">
        <v>414</v>
      </c>
      <c r="E498" s="58" t="s">
        <v>3</v>
      </c>
      <c r="F498" s="58"/>
      <c r="G498" s="1451">
        <v>0.9</v>
      </c>
    </row>
    <row r="499" spans="2:19">
      <c r="B499" s="1550">
        <v>13928</v>
      </c>
      <c r="C499" s="2142"/>
      <c r="D499" s="57">
        <v>262</v>
      </c>
      <c r="E499" s="1446" t="s">
        <v>3649</v>
      </c>
      <c r="G499" s="35">
        <v>1.02</v>
      </c>
    </row>
    <row r="500" spans="2:19">
      <c r="E500" s="31" t="s">
        <v>4893</v>
      </c>
      <c r="G500" s="35">
        <v>1.04</v>
      </c>
    </row>
    <row r="505" spans="2:19" ht="15.75" thickBot="1">
      <c r="B505" s="1594"/>
      <c r="E505" s="1601"/>
      <c r="G505" s="1601"/>
      <c r="H505" s="1601"/>
      <c r="I505" s="1601"/>
      <c r="J505" s="1601"/>
      <c r="K505" s="1601"/>
      <c r="L505" s="1601"/>
      <c r="M505" s="1601"/>
      <c r="N505" s="1601"/>
      <c r="O505" s="1601"/>
      <c r="P505" s="1601"/>
      <c r="Q505" s="1601"/>
      <c r="S505" s="1601"/>
    </row>
    <row r="506" spans="2:19">
      <c r="B506" s="1594"/>
      <c r="D506" s="1198" t="s">
        <v>116</v>
      </c>
      <c r="E506" s="1601"/>
      <c r="G506" s="1601"/>
      <c r="H506" s="1601"/>
      <c r="I506" s="1601"/>
      <c r="J506" s="1601"/>
      <c r="K506" s="1601"/>
      <c r="L506" s="1601"/>
      <c r="M506" s="1601"/>
      <c r="N506" s="1601"/>
      <c r="O506" s="1601"/>
      <c r="P506" s="1601"/>
      <c r="Q506" s="1601"/>
      <c r="S506" s="1601"/>
    </row>
    <row r="507" spans="2:19" ht="15.75" thickBot="1">
      <c r="B507" s="1594"/>
      <c r="D507" s="1199">
        <v>10694</v>
      </c>
      <c r="E507" s="1601"/>
      <c r="G507" s="1601"/>
      <c r="H507" s="1601"/>
      <c r="I507" s="1601"/>
      <c r="J507" s="1601"/>
      <c r="K507" s="1601"/>
      <c r="L507" s="1601"/>
      <c r="M507" s="1601"/>
      <c r="N507" s="1601"/>
      <c r="O507" s="1601"/>
      <c r="P507" s="1601"/>
      <c r="Q507" s="1601"/>
      <c r="S507" s="1601"/>
    </row>
    <row r="508" spans="2:19" ht="24" thickBot="1">
      <c r="B508" s="1594"/>
      <c r="D508" s="938">
        <v>44637</v>
      </c>
      <c r="E508" s="1629" t="s">
        <v>3742</v>
      </c>
      <c r="F508" s="1629"/>
      <c r="G508" s="1202"/>
      <c r="H508" s="1202"/>
      <c r="I508" s="1202"/>
      <c r="J508" s="930"/>
      <c r="K508" s="930"/>
      <c r="L508" s="1596"/>
      <c r="M508" s="1596"/>
      <c r="N508" s="1596"/>
      <c r="O508" s="1596"/>
      <c r="P508" s="1596"/>
      <c r="Q508" s="1596"/>
      <c r="R508" s="1171"/>
      <c r="S508" s="1596"/>
    </row>
    <row r="509" spans="2:19" ht="30">
      <c r="B509" s="1594"/>
      <c r="D509" s="1203" t="s">
        <v>4406</v>
      </c>
      <c r="E509" s="309" t="s">
        <v>65</v>
      </c>
      <c r="F509" s="309"/>
      <c r="G509" s="309" t="s">
        <v>3407</v>
      </c>
      <c r="H509" s="309" t="s">
        <v>3372</v>
      </c>
      <c r="I509" s="309" t="s">
        <v>3285</v>
      </c>
      <c r="J509" s="309"/>
      <c r="K509" s="309" t="s">
        <v>3343</v>
      </c>
      <c r="L509" s="1596" t="s">
        <v>3414</v>
      </c>
      <c r="M509" s="1596"/>
      <c r="N509" s="773" t="s">
        <v>4412</v>
      </c>
      <c r="O509" s="104"/>
      <c r="P509" s="1596"/>
      <c r="Q509" s="1595" t="s">
        <v>4407</v>
      </c>
      <c r="R509" s="268" t="s">
        <v>4408</v>
      </c>
      <c r="S509" s="1595" t="s">
        <v>4409</v>
      </c>
    </row>
    <row r="510" spans="2:19">
      <c r="B510" s="1594"/>
      <c r="D510" s="1600">
        <v>1874</v>
      </c>
      <c r="E510" s="1598" t="s">
        <v>3735</v>
      </c>
      <c r="F510" s="1694"/>
      <c r="G510" s="1600">
        <v>7</v>
      </c>
      <c r="H510" s="1595">
        <v>2.2999999999999998</v>
      </c>
      <c r="I510" s="1595" t="s">
        <v>4411</v>
      </c>
      <c r="J510" s="1595"/>
      <c r="K510" s="1600">
        <f>+G510*H510</f>
        <v>16.099999999999998</v>
      </c>
      <c r="L510" s="1596">
        <v>2.2999999999999998</v>
      </c>
      <c r="M510" s="1596"/>
      <c r="N510" s="1204">
        <f>+L510*G510</f>
        <v>16.099999999999998</v>
      </c>
      <c r="O510" s="894"/>
      <c r="P510" s="1596"/>
      <c r="Q510" s="1595">
        <v>2.33</v>
      </c>
      <c r="R510" s="268">
        <v>6.95</v>
      </c>
      <c r="S510" s="1600">
        <f>+Q510/R510</f>
        <v>0.33525179856115106</v>
      </c>
    </row>
    <row r="511" spans="2:19">
      <c r="B511" s="1594"/>
      <c r="D511" s="1600">
        <v>1893</v>
      </c>
      <c r="E511" s="1595" t="s">
        <v>595</v>
      </c>
      <c r="F511" s="1689"/>
      <c r="G511" s="1600">
        <v>4.33</v>
      </c>
      <c r="H511" s="1595">
        <v>1</v>
      </c>
      <c r="I511" s="1595" t="s">
        <v>3739</v>
      </c>
      <c r="J511" s="1595"/>
      <c r="K511" s="1600">
        <f>+H511*G511</f>
        <v>4.33</v>
      </c>
      <c r="L511" s="1596" t="s">
        <v>3739</v>
      </c>
      <c r="M511" s="1596"/>
      <c r="N511" s="1204">
        <f>+G511*H511</f>
        <v>4.33</v>
      </c>
      <c r="O511" s="894"/>
      <c r="P511" s="1596"/>
      <c r="Q511" s="1596"/>
      <c r="R511" s="1171"/>
      <c r="S511" s="1596"/>
    </row>
    <row r="512" spans="2:19" ht="15.75" thickBot="1">
      <c r="B512" s="1594"/>
      <c r="D512" s="1600">
        <v>2094</v>
      </c>
      <c r="E512" s="1599" t="s">
        <v>3736</v>
      </c>
      <c r="F512" s="1696"/>
      <c r="G512" s="1600">
        <v>8.83</v>
      </c>
      <c r="H512" s="1600">
        <v>0.5</v>
      </c>
      <c r="I512" s="1595" t="s">
        <v>4410</v>
      </c>
      <c r="J512" s="1595"/>
      <c r="K512" s="1600">
        <f>+G512*H512</f>
        <v>4.415</v>
      </c>
      <c r="L512" s="1596" t="s">
        <v>3740</v>
      </c>
      <c r="M512" s="1596"/>
      <c r="N512" s="1199">
        <f>+G512*H512</f>
        <v>4.415</v>
      </c>
      <c r="O512" s="894"/>
      <c r="P512" s="1596"/>
      <c r="Q512" s="1596"/>
      <c r="R512" s="1171"/>
      <c r="S512" s="1596"/>
    </row>
    <row r="513" spans="2:21" ht="15.75" hidden="1" thickBot="1">
      <c r="B513" s="1594"/>
      <c r="D513" s="23">
        <v>7591031003267</v>
      </c>
      <c r="E513" s="1595" t="s">
        <v>3738</v>
      </c>
      <c r="F513" s="1689"/>
      <c r="G513" s="1600">
        <v>2.33</v>
      </c>
      <c r="H513" s="1595">
        <v>0</v>
      </c>
      <c r="I513" s="1595">
        <v>0</v>
      </c>
      <c r="J513" s="1595"/>
      <c r="K513" s="1600">
        <f>+G513*I513</f>
        <v>0</v>
      </c>
      <c r="L513" s="1596" t="s">
        <v>2684</v>
      </c>
      <c r="M513" s="1171" t="s">
        <v>3741</v>
      </c>
      <c r="N513" s="1171"/>
      <c r="O513" s="1171"/>
      <c r="P513" s="1596"/>
      <c r="Q513" s="1596"/>
      <c r="R513" s="1171"/>
      <c r="S513" s="1596"/>
    </row>
    <row r="514" spans="2:21" ht="15.75" thickBot="1">
      <c r="B514" s="1594"/>
      <c r="D514" s="373"/>
      <c r="E514" s="1596"/>
      <c r="F514" s="1692"/>
      <c r="G514" s="1596"/>
      <c r="H514" s="1596"/>
      <c r="I514" s="1596"/>
      <c r="J514" s="1596"/>
      <c r="K514" s="373">
        <f>SUM(K510:K513)</f>
        <v>24.844999999999999</v>
      </c>
      <c r="L514" s="1596"/>
      <c r="M514" s="1596"/>
      <c r="N514" s="1037">
        <f>SUM(N510:N513)</f>
        <v>24.844999999999999</v>
      </c>
      <c r="O514" s="104"/>
      <c r="P514" s="1596"/>
      <c r="Q514" s="1596"/>
      <c r="R514" s="1171"/>
      <c r="S514" s="1596"/>
    </row>
    <row r="515" spans="2:21">
      <c r="B515" s="1594"/>
      <c r="D515" s="924"/>
      <c r="E515" s="1596"/>
      <c r="F515" s="1692"/>
      <c r="G515" s="1596"/>
      <c r="H515" s="1596"/>
      <c r="I515" s="1596"/>
      <c r="J515" s="1596"/>
      <c r="K515" s="1596"/>
      <c r="L515" s="1596"/>
      <c r="M515" s="1596"/>
      <c r="N515" s="1596"/>
      <c r="O515" s="1596"/>
      <c r="P515" s="1596"/>
      <c r="Q515" s="1596"/>
      <c r="R515" s="1171"/>
      <c r="S515" s="1596"/>
    </row>
    <row r="520" spans="2:21">
      <c r="D520" s="924"/>
      <c r="E520" s="938">
        <v>44644</v>
      </c>
      <c r="F520" s="938"/>
      <c r="G520" s="1692"/>
      <c r="H520" s="1692"/>
      <c r="I520" s="1692"/>
      <c r="J520" s="1692"/>
      <c r="K520" s="1692"/>
      <c r="L520" s="1692"/>
    </row>
    <row r="521" spans="2:21">
      <c r="D521" s="1130" t="s">
        <v>65</v>
      </c>
      <c r="E521" s="1692" t="s">
        <v>4059</v>
      </c>
      <c r="F521" s="1692"/>
      <c r="G521" s="938" t="s">
        <v>65</v>
      </c>
      <c r="H521" s="1692"/>
      <c r="I521" s="1692"/>
      <c r="J521" s="422"/>
      <c r="K521" s="1692" t="s">
        <v>5273</v>
      </c>
      <c r="L521" s="422"/>
    </row>
    <row r="522" spans="2:21" ht="60">
      <c r="D522" s="737" t="s">
        <v>119</v>
      </c>
      <c r="E522" s="1689" t="s">
        <v>65</v>
      </c>
      <c r="F522" s="1696" t="s">
        <v>5269</v>
      </c>
      <c r="G522" s="1696" t="s">
        <v>5266</v>
      </c>
      <c r="H522" s="1696" t="s">
        <v>5170</v>
      </c>
      <c r="I522" s="1696" t="s">
        <v>5268</v>
      </c>
      <c r="J522" s="1594"/>
      <c r="K522" s="1696" t="s">
        <v>5272</v>
      </c>
      <c r="L522" s="333"/>
      <c r="M522" s="1058"/>
      <c r="N522" s="1181"/>
      <c r="O522" s="333"/>
      <c r="Q522" s="422"/>
      <c r="R522" s="413"/>
      <c r="S522" s="422"/>
      <c r="T522" s="333"/>
      <c r="U522"/>
    </row>
    <row r="523" spans="2:21" s="1594" customFormat="1">
      <c r="D523" s="269">
        <v>326</v>
      </c>
      <c r="E523" s="347" t="s">
        <v>4609</v>
      </c>
      <c r="F523" s="1694">
        <v>2.35</v>
      </c>
      <c r="G523" s="1696">
        <v>2.99</v>
      </c>
      <c r="H523" s="1689">
        <f>+G523*10%</f>
        <v>0.29900000000000004</v>
      </c>
      <c r="I523" s="1689">
        <f t="shared" ref="I523:I532" si="39">+G523-H523</f>
        <v>2.6910000000000003</v>
      </c>
      <c r="K523" s="1697">
        <f>+I523</f>
        <v>2.6910000000000003</v>
      </c>
      <c r="L523" s="1699"/>
      <c r="M523" s="1699"/>
      <c r="N523" s="1699"/>
      <c r="O523" s="1699"/>
      <c r="P523" s="1699"/>
      <c r="Q523" s="422"/>
      <c r="R523" s="1699"/>
      <c r="S523" s="422"/>
      <c r="T523" s="1699"/>
    </row>
    <row r="524" spans="2:21">
      <c r="D524" s="23">
        <v>1973</v>
      </c>
      <c r="E524" s="347" t="s">
        <v>4047</v>
      </c>
      <c r="F524" s="1694" t="s">
        <v>5270</v>
      </c>
      <c r="G524" s="1689">
        <v>5.2</v>
      </c>
      <c r="H524" s="1689">
        <f t="shared" ref="H524:H532" si="40">+G524*10%</f>
        <v>0.52</v>
      </c>
      <c r="I524" s="1689">
        <f t="shared" si="39"/>
        <v>4.68</v>
      </c>
      <c r="J524" s="1594"/>
      <c r="K524" s="1697">
        <f t="shared" ref="K524:K532" si="41">+I524</f>
        <v>4.68</v>
      </c>
      <c r="L524" s="333"/>
      <c r="M524" s="1058"/>
      <c r="N524" s="1181"/>
      <c r="O524" s="333"/>
      <c r="Q524" s="422"/>
      <c r="R524" s="413"/>
      <c r="S524" s="422"/>
      <c r="T524" s="333"/>
      <c r="U524"/>
    </row>
    <row r="525" spans="2:21" s="1594" customFormat="1">
      <c r="D525" s="23">
        <v>2015</v>
      </c>
      <c r="E525" s="347" t="s">
        <v>5265</v>
      </c>
      <c r="F525" s="1694" t="s">
        <v>5270</v>
      </c>
      <c r="G525" s="1689">
        <v>5.45</v>
      </c>
      <c r="H525" s="1689">
        <f t="shared" si="40"/>
        <v>0.54500000000000004</v>
      </c>
      <c r="I525" s="1689">
        <f t="shared" si="39"/>
        <v>4.9050000000000002</v>
      </c>
      <c r="K525" s="1697">
        <f t="shared" si="41"/>
        <v>4.9050000000000002</v>
      </c>
      <c r="L525" s="1699"/>
      <c r="M525" s="1699"/>
      <c r="N525" s="1699"/>
      <c r="O525" s="1699"/>
      <c r="P525" s="1699"/>
      <c r="Q525" s="422"/>
      <c r="R525" s="1699"/>
      <c r="S525" s="422"/>
      <c r="T525" s="1699"/>
    </row>
    <row r="526" spans="2:21">
      <c r="D526" s="23">
        <v>1850</v>
      </c>
      <c r="E526" s="347" t="s">
        <v>5264</v>
      </c>
      <c r="F526" s="1694" t="s">
        <v>5270</v>
      </c>
      <c r="G526" s="1689">
        <v>4.75</v>
      </c>
      <c r="H526" s="1689">
        <f t="shared" si="40"/>
        <v>0.47500000000000003</v>
      </c>
      <c r="I526" s="1689">
        <f t="shared" si="39"/>
        <v>4.2750000000000004</v>
      </c>
      <c r="J526" s="1594"/>
      <c r="K526" s="1697">
        <f t="shared" si="41"/>
        <v>4.2750000000000004</v>
      </c>
      <c r="L526" s="333"/>
      <c r="M526" s="1058"/>
      <c r="N526" s="1181"/>
      <c r="O526" s="333"/>
      <c r="Q526" s="422"/>
      <c r="R526" s="413"/>
      <c r="S526" s="422"/>
      <c r="T526" s="333"/>
      <c r="U526"/>
    </row>
    <row r="527" spans="2:21" s="1594" customFormat="1">
      <c r="D527" s="1729">
        <v>1854</v>
      </c>
      <c r="E527" s="1730" t="s">
        <v>5267</v>
      </c>
      <c r="F527" s="667" t="s">
        <v>5270</v>
      </c>
      <c r="G527" s="438">
        <v>3.65</v>
      </c>
      <c r="H527" s="438">
        <f t="shared" si="40"/>
        <v>0.36499999999999999</v>
      </c>
      <c r="I527" s="438">
        <f t="shared" si="39"/>
        <v>3.2850000000000001</v>
      </c>
      <c r="K527" s="1127">
        <f t="shared" si="41"/>
        <v>3.2850000000000001</v>
      </c>
      <c r="L527" s="1699"/>
      <c r="M527" s="1699"/>
      <c r="N527" s="1699"/>
      <c r="O527" s="1699"/>
      <c r="P527" s="1699"/>
      <c r="Q527" s="422"/>
      <c r="R527" s="1699"/>
      <c r="S527" s="422"/>
      <c r="T527" s="1699"/>
    </row>
    <row r="528" spans="2:21">
      <c r="D528" s="23">
        <v>643</v>
      </c>
      <c r="E528" s="347" t="s">
        <v>4051</v>
      </c>
      <c r="F528" s="1694">
        <v>2.11</v>
      </c>
      <c r="G528" s="1689">
        <v>3.1</v>
      </c>
      <c r="H528" s="1689">
        <f t="shared" si="40"/>
        <v>0.31000000000000005</v>
      </c>
      <c r="I528" s="1689">
        <f t="shared" si="39"/>
        <v>2.79</v>
      </c>
      <c r="J528" s="693"/>
      <c r="K528" s="1697">
        <f t="shared" si="41"/>
        <v>2.79</v>
      </c>
      <c r="L528" s="333"/>
      <c r="M528" s="1058"/>
      <c r="N528" s="1181"/>
      <c r="O528" s="333"/>
      <c r="Q528" s="422"/>
      <c r="R528" s="413"/>
      <c r="S528" s="422"/>
      <c r="T528" s="333"/>
      <c r="U528"/>
    </row>
    <row r="529" spans="2:21">
      <c r="D529" s="23">
        <v>3754</v>
      </c>
      <c r="E529" s="347" t="s">
        <v>4053</v>
      </c>
      <c r="F529" s="1694">
        <v>2.35</v>
      </c>
      <c r="G529" s="1689">
        <v>2.99</v>
      </c>
      <c r="H529" s="1689">
        <f t="shared" si="40"/>
        <v>0.29900000000000004</v>
      </c>
      <c r="I529" s="1689">
        <f t="shared" si="39"/>
        <v>2.6910000000000003</v>
      </c>
      <c r="J529" s="693"/>
      <c r="K529" s="1697">
        <f t="shared" si="41"/>
        <v>2.6910000000000003</v>
      </c>
      <c r="L529" s="333"/>
      <c r="M529" s="1058"/>
      <c r="N529" s="1181"/>
      <c r="O529" s="333"/>
      <c r="Q529" s="422"/>
      <c r="R529" s="413"/>
      <c r="S529" s="422"/>
      <c r="T529" s="333"/>
      <c r="U529"/>
    </row>
    <row r="530" spans="2:21">
      <c r="D530" s="269">
        <v>1</v>
      </c>
      <c r="E530" s="347" t="s">
        <v>3345</v>
      </c>
      <c r="F530" s="1694">
        <v>4.16</v>
      </c>
      <c r="G530" s="1689">
        <v>5</v>
      </c>
      <c r="H530" s="1689">
        <f t="shared" si="40"/>
        <v>0.5</v>
      </c>
      <c r="I530" s="1689">
        <f t="shared" si="39"/>
        <v>4.5</v>
      </c>
      <c r="J530" s="693"/>
      <c r="K530" s="1697">
        <f t="shared" si="41"/>
        <v>4.5</v>
      </c>
      <c r="L530" s="333"/>
      <c r="M530" s="1058"/>
      <c r="N530" s="1181"/>
      <c r="O530" s="333"/>
      <c r="Q530" s="422"/>
      <c r="R530" s="413"/>
      <c r="S530" s="422"/>
      <c r="T530" s="333"/>
      <c r="U530"/>
    </row>
    <row r="531" spans="2:21" s="1594" customFormat="1">
      <c r="D531" s="269">
        <v>251</v>
      </c>
      <c r="E531" s="347" t="s">
        <v>5282</v>
      </c>
      <c r="F531" s="1694"/>
      <c r="G531" s="1689">
        <v>4.99</v>
      </c>
      <c r="H531" s="1689">
        <f t="shared" si="40"/>
        <v>0.49900000000000005</v>
      </c>
      <c r="I531" s="1689">
        <f t="shared" si="39"/>
        <v>4.4910000000000005</v>
      </c>
      <c r="J531" s="693"/>
      <c r="K531" s="1697">
        <f t="shared" si="41"/>
        <v>4.4910000000000005</v>
      </c>
      <c r="L531" s="1699"/>
      <c r="M531" s="1699"/>
      <c r="N531" s="1699"/>
      <c r="O531" s="1699"/>
      <c r="P531" s="1699"/>
      <c r="Q531" s="422"/>
      <c r="R531" s="1699"/>
      <c r="S531" s="422"/>
      <c r="T531" s="1699"/>
    </row>
    <row r="532" spans="2:21" s="1594" customFormat="1">
      <c r="D532" s="269" t="s">
        <v>5283</v>
      </c>
      <c r="E532" s="347" t="s">
        <v>5281</v>
      </c>
      <c r="F532" s="1694"/>
      <c r="G532" s="1689">
        <v>3.79</v>
      </c>
      <c r="H532" s="1689">
        <f t="shared" si="40"/>
        <v>0.379</v>
      </c>
      <c r="I532" s="1689">
        <f t="shared" si="39"/>
        <v>3.411</v>
      </c>
      <c r="J532" s="693"/>
      <c r="K532" s="1697">
        <f t="shared" si="41"/>
        <v>3.411</v>
      </c>
      <c r="L532" s="1699"/>
      <c r="M532" s="1699"/>
      <c r="N532" s="1699"/>
      <c r="O532" s="1699"/>
      <c r="P532" s="1699"/>
      <c r="Q532" s="422"/>
      <c r="R532" s="1699"/>
      <c r="S532" s="422"/>
      <c r="T532" s="1699"/>
    </row>
    <row r="533" spans="2:21" s="1594" customFormat="1">
      <c r="D533" s="281"/>
      <c r="E533" s="1724"/>
      <c r="F533" s="668"/>
      <c r="G533" s="104"/>
      <c r="H533" s="104"/>
      <c r="I533" s="104"/>
      <c r="K533" s="1731"/>
      <c r="L533" s="1699"/>
      <c r="M533" s="1699"/>
      <c r="N533" s="1699"/>
      <c r="O533" s="1699"/>
      <c r="P533" s="1699"/>
      <c r="Q533" s="422"/>
      <c r="R533" s="1699"/>
      <c r="S533" s="422"/>
      <c r="T533" s="1699"/>
    </row>
    <row r="534" spans="2:21" s="1594" customFormat="1">
      <c r="D534" s="281"/>
      <c r="E534" s="1724"/>
      <c r="F534" s="668"/>
      <c r="G534" s="104"/>
      <c r="H534" s="104"/>
      <c r="I534" s="104"/>
      <c r="K534" s="1127"/>
      <c r="L534" s="1699"/>
      <c r="M534" s="1699"/>
      <c r="N534" s="1699"/>
      <c r="O534" s="1699"/>
      <c r="P534" s="1699"/>
      <c r="Q534" s="422"/>
      <c r="R534" s="1699"/>
      <c r="S534" s="422"/>
      <c r="T534" s="1699"/>
    </row>
    <row r="535" spans="2:21">
      <c r="D535" s="1123"/>
      <c r="E535" s="1692"/>
      <c r="F535" s="1692"/>
      <c r="G535" s="1692"/>
      <c r="H535" s="1594"/>
      <c r="I535" s="1594"/>
      <c r="J535" s="1594"/>
      <c r="K535" s="1697" t="s">
        <v>65</v>
      </c>
      <c r="L535" s="1689" t="s">
        <v>560</v>
      </c>
    </row>
    <row r="537" spans="2:21">
      <c r="E537" s="1703" t="s">
        <v>5271</v>
      </c>
    </row>
    <row r="538" spans="2:21" ht="15.75" thickBot="1"/>
    <row r="539" spans="2:21" ht="15.75" thickBot="1">
      <c r="B539" s="1037" t="s">
        <v>5278</v>
      </c>
      <c r="C539" s="1037"/>
      <c r="D539" s="1728">
        <v>10699</v>
      </c>
      <c r="E539" s="1692" t="s">
        <v>5280</v>
      </c>
    </row>
    <row r="540" spans="2:21" ht="45">
      <c r="D540" s="1727" t="s">
        <v>119</v>
      </c>
      <c r="E540" s="449" t="s">
        <v>5279</v>
      </c>
      <c r="F540" s="1696" t="s">
        <v>5266</v>
      </c>
      <c r="G540" s="1689" t="s">
        <v>1662</v>
      </c>
      <c r="H540" s="1689"/>
    </row>
    <row r="541" spans="2:21">
      <c r="D541" s="268">
        <v>1874</v>
      </c>
      <c r="E541" s="293" t="s">
        <v>3735</v>
      </c>
      <c r="F541" s="1689">
        <v>7.35</v>
      </c>
      <c r="G541" s="1689">
        <v>1.5</v>
      </c>
      <c r="H541" s="1689">
        <f>+F541*G541</f>
        <v>11.024999999999999</v>
      </c>
    </row>
    <row r="542" spans="2:21">
      <c r="D542" s="268">
        <v>1893</v>
      </c>
      <c r="E542" s="293" t="s">
        <v>5275</v>
      </c>
      <c r="F542" s="1689">
        <v>4.8</v>
      </c>
      <c r="G542" s="1689">
        <v>1</v>
      </c>
      <c r="H542" s="1689">
        <f>+F542*G542</f>
        <v>4.8</v>
      </c>
    </row>
    <row r="543" spans="2:21">
      <c r="D543" s="268">
        <v>1889</v>
      </c>
      <c r="E543" s="293" t="s">
        <v>5276</v>
      </c>
      <c r="F543" s="1689">
        <v>3.57</v>
      </c>
      <c r="G543" s="1689">
        <v>1</v>
      </c>
      <c r="H543" s="1689">
        <f>+F543*G543</f>
        <v>3.57</v>
      </c>
    </row>
    <row r="544" spans="2:21">
      <c r="D544" s="268">
        <v>1987</v>
      </c>
      <c r="E544" s="293" t="s">
        <v>4447</v>
      </c>
      <c r="F544" s="1689">
        <v>4.53</v>
      </c>
      <c r="G544" s="1172">
        <v>0.5</v>
      </c>
      <c r="H544" s="1689">
        <f>+F544*G544</f>
        <v>2.2650000000000001</v>
      </c>
    </row>
    <row r="545" spans="4:8">
      <c r="D545" s="268">
        <v>913</v>
      </c>
      <c r="E545" s="293" t="s">
        <v>5277</v>
      </c>
      <c r="F545" s="1689">
        <v>1.89</v>
      </c>
      <c r="G545" s="1689">
        <v>1</v>
      </c>
      <c r="H545" s="1689">
        <f>+F545*G545</f>
        <v>1.89</v>
      </c>
    </row>
    <row r="546" spans="4:8" ht="15.75" thickBot="1">
      <c r="D546" s="422"/>
      <c r="G546" s="1692" t="s">
        <v>560</v>
      </c>
      <c r="H546" s="1692">
        <f>SUM(H541:H545)</f>
        <v>23.55</v>
      </c>
    </row>
    <row r="547" spans="4:8" ht="15.75" thickBot="1">
      <c r="G547" s="1037" t="s">
        <v>4867</v>
      </c>
      <c r="H547" s="1908" t="s">
        <v>5506</v>
      </c>
    </row>
    <row r="550" spans="4:8" ht="15.75" thickBot="1">
      <c r="E550" s="1357" t="s">
        <v>4052</v>
      </c>
    </row>
    <row r="551" spans="4:8" ht="30.75" thickBot="1">
      <c r="G551" s="1909" t="s">
        <v>5509</v>
      </c>
    </row>
    <row r="552" spans="4:8" ht="15.75" thickBot="1">
      <c r="G552" s="1037">
        <v>4.42</v>
      </c>
    </row>
    <row r="553" spans="4:8" ht="78" customHeight="1">
      <c r="E553" s="1706" t="s">
        <v>5507</v>
      </c>
      <c r="F553" s="1712" t="s">
        <v>3135</v>
      </c>
      <c r="G553" s="684" t="s">
        <v>5508</v>
      </c>
    </row>
    <row r="554" spans="4:8">
      <c r="D554" s="422">
        <v>251</v>
      </c>
      <c r="E554" s="293" t="s">
        <v>4052</v>
      </c>
      <c r="F554" s="1706">
        <v>5.49</v>
      </c>
      <c r="G554" s="1713">
        <f>+F554*G$552</f>
        <v>24.265800000000002</v>
      </c>
    </row>
    <row r="555" spans="4:8">
      <c r="D555" s="422">
        <v>326</v>
      </c>
      <c r="E555" s="293" t="s">
        <v>593</v>
      </c>
      <c r="F555" s="1706">
        <v>2.7</v>
      </c>
      <c r="G555" s="2032">
        <f t="shared" ref="G555:G568" si="42">+F555*G$552</f>
        <v>11.934000000000001</v>
      </c>
    </row>
    <row r="556" spans="4:8">
      <c r="D556" s="422">
        <v>1</v>
      </c>
      <c r="E556" s="293" t="s">
        <v>5510</v>
      </c>
      <c r="F556" s="1706">
        <v>2.68</v>
      </c>
      <c r="G556" s="2032">
        <f t="shared" si="42"/>
        <v>11.845600000000001</v>
      </c>
    </row>
    <row r="557" spans="4:8">
      <c r="D557" s="422">
        <v>1</v>
      </c>
      <c r="E557" s="293" t="s">
        <v>3345</v>
      </c>
      <c r="F557" s="1706">
        <v>5.16</v>
      </c>
      <c r="G557" s="2032">
        <f t="shared" si="42"/>
        <v>22.807200000000002</v>
      </c>
    </row>
    <row r="558" spans="4:8">
      <c r="D558" s="422">
        <v>2033</v>
      </c>
      <c r="E558" s="293" t="s">
        <v>5511</v>
      </c>
      <c r="F558" s="1706">
        <v>1.28</v>
      </c>
      <c r="G558" s="2032">
        <f t="shared" si="42"/>
        <v>5.6576000000000004</v>
      </c>
    </row>
    <row r="559" spans="4:8" hidden="1">
      <c r="D559" s="422">
        <v>2015</v>
      </c>
      <c r="E559" s="293" t="s">
        <v>5265</v>
      </c>
      <c r="F559" s="1070">
        <v>5.6</v>
      </c>
      <c r="G559" s="2032">
        <f t="shared" si="42"/>
        <v>24.751999999999999</v>
      </c>
    </row>
    <row r="560" spans="4:8" hidden="1">
      <c r="D560" s="422">
        <v>1852</v>
      </c>
      <c r="E560" s="293" t="s">
        <v>5512</v>
      </c>
      <c r="F560" s="1070">
        <v>4.05</v>
      </c>
      <c r="G560" s="2032">
        <f t="shared" si="42"/>
        <v>17.901</v>
      </c>
    </row>
    <row r="561" spans="4:18" hidden="1">
      <c r="D561" s="422">
        <v>1850</v>
      </c>
      <c r="E561" s="293" t="s">
        <v>5513</v>
      </c>
      <c r="F561" s="1070">
        <v>4.9000000000000004</v>
      </c>
      <c r="G561" s="2032">
        <f t="shared" si="42"/>
        <v>21.658000000000001</v>
      </c>
    </row>
    <row r="562" spans="4:18" hidden="1">
      <c r="D562" s="422">
        <v>1851</v>
      </c>
      <c r="E562" s="293" t="s">
        <v>5514</v>
      </c>
      <c r="F562" s="1070">
        <v>4.9000000000000004</v>
      </c>
      <c r="G562" s="2032">
        <f t="shared" si="42"/>
        <v>21.658000000000001</v>
      </c>
    </row>
    <row r="563" spans="4:18" hidden="1">
      <c r="D563" s="422">
        <v>1994</v>
      </c>
      <c r="E563" s="293" t="s">
        <v>5515</v>
      </c>
      <c r="F563" s="1070">
        <v>7.1</v>
      </c>
      <c r="G563" s="2032">
        <f t="shared" si="42"/>
        <v>31.381999999999998</v>
      </c>
    </row>
    <row r="564" spans="4:18" hidden="1">
      <c r="D564" s="422">
        <v>1973</v>
      </c>
      <c r="E564" s="293" t="s">
        <v>5516</v>
      </c>
      <c r="F564" s="1070">
        <v>5.35</v>
      </c>
      <c r="G564" s="2032">
        <f t="shared" si="42"/>
        <v>23.646999999999998</v>
      </c>
    </row>
    <row r="565" spans="4:18" hidden="1">
      <c r="D565" s="422">
        <v>5918</v>
      </c>
      <c r="E565" s="293" t="s">
        <v>5517</v>
      </c>
      <c r="F565" s="1070">
        <v>6.4</v>
      </c>
      <c r="G565" s="2032">
        <f t="shared" si="42"/>
        <v>28.288</v>
      </c>
    </row>
    <row r="566" spans="4:18" hidden="1">
      <c r="D566" s="422"/>
      <c r="E566" s="293" t="s">
        <v>598</v>
      </c>
      <c r="F566" s="1070">
        <v>7.43</v>
      </c>
      <c r="G566" s="2032">
        <f t="shared" si="42"/>
        <v>32.840599999999995</v>
      </c>
    </row>
    <row r="567" spans="4:18">
      <c r="D567" s="422"/>
      <c r="E567" s="293" t="s">
        <v>5518</v>
      </c>
      <c r="F567" s="1706">
        <v>3.3</v>
      </c>
      <c r="G567" s="2032">
        <f t="shared" si="42"/>
        <v>14.585999999999999</v>
      </c>
    </row>
    <row r="568" spans="4:18">
      <c r="D568" s="422"/>
      <c r="E568" s="293" t="s">
        <v>5519</v>
      </c>
      <c r="F568" s="1706">
        <v>4.38</v>
      </c>
      <c r="G568" s="2032">
        <f t="shared" si="42"/>
        <v>19.3596</v>
      </c>
    </row>
    <row r="569" spans="4:18">
      <c r="D569" s="422"/>
    </row>
    <row r="571" spans="4:18">
      <c r="E571" s="31" t="s">
        <v>5603</v>
      </c>
      <c r="J571" s="1141" t="s">
        <v>5560</v>
      </c>
    </row>
    <row r="572" spans="4:18" ht="15.75" thickBot="1">
      <c r="E572" s="1708" t="s">
        <v>4606</v>
      </c>
      <c r="F572" s="1708"/>
      <c r="G572" s="1714"/>
      <c r="H572" s="1714"/>
      <c r="I572" s="1714"/>
      <c r="J572" s="1714"/>
      <c r="K572" s="1714"/>
      <c r="L572" s="1714"/>
      <c r="M572" s="1714"/>
      <c r="N572" s="1714"/>
      <c r="O572" s="1714"/>
      <c r="P572" s="1714"/>
      <c r="Q572" s="1714"/>
    </row>
    <row r="573" spans="4:18" ht="60.75" thickBot="1">
      <c r="D573" s="1040" t="s">
        <v>3318</v>
      </c>
      <c r="E573" s="763" t="s">
        <v>5557</v>
      </c>
      <c r="F573" s="763"/>
      <c r="G573" s="655" t="s">
        <v>2547</v>
      </c>
      <c r="H573" s="1036" t="s">
        <v>4635</v>
      </c>
      <c r="I573" s="1369" t="s">
        <v>3343</v>
      </c>
      <c r="J573" s="309" t="s">
        <v>4627</v>
      </c>
      <c r="K573" s="1892" t="s">
        <v>4593</v>
      </c>
      <c r="L573" s="1715" t="s">
        <v>559</v>
      </c>
      <c r="M573" s="1715" t="s">
        <v>1852</v>
      </c>
      <c r="N573" s="1710" t="s">
        <v>2547</v>
      </c>
      <c r="O573" s="1715"/>
      <c r="P573" s="1715"/>
      <c r="Q573" s="1715"/>
      <c r="R573" s="1351"/>
    </row>
    <row r="574" spans="4:18" ht="15.75" thickBot="1">
      <c r="D574" s="1918">
        <v>2033</v>
      </c>
      <c r="E574" s="1927" t="s">
        <v>3429</v>
      </c>
      <c r="F574" s="1038"/>
      <c r="G574" s="1920">
        <f>+N574</f>
        <v>1.26</v>
      </c>
      <c r="H574" s="613">
        <v>2</v>
      </c>
      <c r="I574" s="1370">
        <f t="shared" ref="I574:I585" si="43">+G574*H574</f>
        <v>2.52</v>
      </c>
      <c r="J574" s="23">
        <f>+K574/20</f>
        <v>90</v>
      </c>
      <c r="K574" s="1890">
        <v>1800</v>
      </c>
      <c r="L574" s="1716">
        <v>1.18</v>
      </c>
      <c r="M574" s="1037" t="s">
        <v>3429</v>
      </c>
      <c r="N574" s="1717">
        <v>1.26</v>
      </c>
      <c r="O574" s="1715"/>
      <c r="P574" s="1715">
        <f>+K574/20</f>
        <v>90</v>
      </c>
      <c r="Q574" s="1715"/>
      <c r="R574" s="1351"/>
    </row>
    <row r="575" spans="4:18" ht="18.75" customHeight="1" thickBot="1">
      <c r="D575" s="1919" t="s">
        <v>4628</v>
      </c>
      <c r="E575" s="1928" t="s">
        <v>4597</v>
      </c>
      <c r="F575" s="1714"/>
      <c r="G575" s="1920">
        <f t="shared" ref="G575:G583" si="44">+N575</f>
        <v>1.08</v>
      </c>
      <c r="H575" s="1706">
        <v>2</v>
      </c>
      <c r="I575" s="1370">
        <f t="shared" si="43"/>
        <v>2.16</v>
      </c>
      <c r="J575" s="23">
        <f>+K575/24</f>
        <v>75</v>
      </c>
      <c r="K575" s="1890">
        <v>1800</v>
      </c>
      <c r="L575" s="1714">
        <v>0.8</v>
      </c>
      <c r="M575" s="776" t="s">
        <v>4629</v>
      </c>
      <c r="N575" s="1717">
        <v>1.08</v>
      </c>
      <c r="O575" s="1715"/>
      <c r="P575" s="1715">
        <f>+K575/24</f>
        <v>75</v>
      </c>
      <c r="Q575" s="1715"/>
      <c r="R575" s="1351"/>
    </row>
    <row r="576" spans="4:18" ht="15.75" thickBot="1">
      <c r="D576" s="1918" t="s">
        <v>4630</v>
      </c>
      <c r="E576" s="1929" t="s">
        <v>3428</v>
      </c>
      <c r="F576" s="1725"/>
      <c r="G576" s="1920">
        <f t="shared" si="44"/>
        <v>1.91</v>
      </c>
      <c r="H576" s="1706">
        <v>2</v>
      </c>
      <c r="I576" s="1370">
        <f t="shared" si="43"/>
        <v>3.82</v>
      </c>
      <c r="J576" s="23">
        <f>+K576/12</f>
        <v>150</v>
      </c>
      <c r="K576" s="1890">
        <v>1800</v>
      </c>
      <c r="L576" s="1716">
        <v>1.47</v>
      </c>
      <c r="M576" s="1037" t="s">
        <v>5545</v>
      </c>
      <c r="N576" s="1714">
        <v>1.91</v>
      </c>
      <c r="O576" s="1715" t="s">
        <v>4604</v>
      </c>
      <c r="P576" s="1715">
        <f>+K576/12</f>
        <v>150</v>
      </c>
      <c r="Q576" s="1715"/>
      <c r="R576" s="1351"/>
    </row>
    <row r="577" spans="1:21" ht="15.75" thickBot="1">
      <c r="D577" s="1918" t="s">
        <v>65</v>
      </c>
      <c r="E577" s="1929" t="s">
        <v>3430</v>
      </c>
      <c r="F577" s="1725"/>
      <c r="G577" s="1920">
        <f t="shared" si="44"/>
        <v>1.0529999999999999</v>
      </c>
      <c r="H577" s="1706">
        <v>1</v>
      </c>
      <c r="I577" s="1370">
        <f t="shared" si="43"/>
        <v>1.0529999999999999</v>
      </c>
      <c r="J577" s="23">
        <f>+K577/24</f>
        <v>37.5</v>
      </c>
      <c r="K577" s="1890">
        <v>900</v>
      </c>
      <c r="L577" s="1716">
        <v>0.81</v>
      </c>
      <c r="M577" s="1037" t="s">
        <v>5546</v>
      </c>
      <c r="N577" s="1717">
        <v>1.0529999999999999</v>
      </c>
      <c r="O577" s="1715"/>
      <c r="P577" s="399">
        <f>+K577/24</f>
        <v>37.5</v>
      </c>
      <c r="Q577" s="1715"/>
      <c r="R577" s="1351"/>
    </row>
    <row r="578" spans="1:21" ht="15.75" thickBot="1">
      <c r="D578" s="1918" t="s">
        <v>65</v>
      </c>
      <c r="E578" s="1929" t="s">
        <v>3432</v>
      </c>
      <c r="F578" s="1725"/>
      <c r="G578" s="1920">
        <f t="shared" si="44"/>
        <v>0.26</v>
      </c>
      <c r="H578" s="1706">
        <v>1</v>
      </c>
      <c r="I578" s="1370">
        <f t="shared" si="43"/>
        <v>0.26</v>
      </c>
      <c r="J578" s="23">
        <f>+K578/25</f>
        <v>36</v>
      </c>
      <c r="K578" s="1890">
        <v>900</v>
      </c>
      <c r="L578" s="905">
        <v>0.2</v>
      </c>
      <c r="M578" s="1037" t="s">
        <v>5547</v>
      </c>
      <c r="N578" s="1717">
        <v>0.26</v>
      </c>
      <c r="O578" s="1715"/>
      <c r="P578" s="1715">
        <f>+K578/25</f>
        <v>36</v>
      </c>
      <c r="Q578" s="1715"/>
      <c r="R578" s="1351"/>
    </row>
    <row r="579" spans="1:21" ht="15.75" thickBot="1">
      <c r="D579" s="1918" t="s">
        <v>65</v>
      </c>
      <c r="E579" s="1929" t="s">
        <v>3433</v>
      </c>
      <c r="F579" s="1725"/>
      <c r="G579" s="1920">
        <f t="shared" si="44"/>
        <v>1.69</v>
      </c>
      <c r="H579" s="1706">
        <v>1</v>
      </c>
      <c r="I579" s="1370">
        <f t="shared" si="43"/>
        <v>1.69</v>
      </c>
      <c r="J579" s="23">
        <f>+K579/20</f>
        <v>45</v>
      </c>
      <c r="K579" s="1890">
        <v>900</v>
      </c>
      <c r="L579" s="905">
        <v>1.3</v>
      </c>
      <c r="M579" s="1037" t="s">
        <v>5548</v>
      </c>
      <c r="N579" s="1717">
        <v>1.69</v>
      </c>
      <c r="O579" s="1715"/>
      <c r="P579" s="1715">
        <f>+K579/20</f>
        <v>45</v>
      </c>
      <c r="Q579" s="1715"/>
      <c r="R579" s="1351"/>
    </row>
    <row r="580" spans="1:21" ht="15.75" thickBot="1">
      <c r="D580" s="401">
        <v>15986</v>
      </c>
      <c r="E580" s="1929" t="s">
        <v>3287</v>
      </c>
      <c r="F580" s="1725"/>
      <c r="G580" s="1920">
        <f t="shared" si="44"/>
        <v>1.42</v>
      </c>
      <c r="H580" s="1706">
        <v>1</v>
      </c>
      <c r="I580" s="1370">
        <f t="shared" si="43"/>
        <v>1.42</v>
      </c>
      <c r="J580" s="23">
        <f>+K580/20</f>
        <v>45</v>
      </c>
      <c r="K580" s="1890">
        <v>900</v>
      </c>
      <c r="L580" s="1716">
        <v>1.0900000000000001</v>
      </c>
      <c r="M580" s="1367" t="s">
        <v>5549</v>
      </c>
      <c r="N580" s="1717">
        <v>1.42</v>
      </c>
      <c r="O580" s="1715"/>
      <c r="P580" s="1715">
        <f>+K580/20</f>
        <v>45</v>
      </c>
      <c r="Q580" s="1715"/>
      <c r="R580" s="1351"/>
    </row>
    <row r="581" spans="1:21" ht="15.75" thickBot="1">
      <c r="D581" s="1918">
        <v>3151</v>
      </c>
      <c r="E581" s="1929" t="s">
        <v>1343</v>
      </c>
      <c r="F581" s="1725"/>
      <c r="G581" s="1920">
        <f t="shared" si="44"/>
        <v>1.3</v>
      </c>
      <c r="H581" s="1706">
        <v>1</v>
      </c>
      <c r="I581" s="1370">
        <f t="shared" si="43"/>
        <v>1.3</v>
      </c>
      <c r="J581" s="23">
        <f>+K581/24</f>
        <v>37.5</v>
      </c>
      <c r="K581" s="1890">
        <v>900</v>
      </c>
      <c r="L581" s="1716">
        <v>1</v>
      </c>
      <c r="M581" s="1037" t="s">
        <v>2</v>
      </c>
      <c r="N581" s="645">
        <v>1.3</v>
      </c>
      <c r="O581" s="1715"/>
      <c r="P581" s="399">
        <f>+K581/24</f>
        <v>37.5</v>
      </c>
      <c r="Q581" s="1715"/>
      <c r="R581" s="1351"/>
    </row>
    <row r="582" spans="1:21" ht="15.75" thickBot="1">
      <c r="D582" s="1918" t="s">
        <v>65</v>
      </c>
      <c r="E582" s="1929" t="s">
        <v>5550</v>
      </c>
      <c r="F582" s="1725"/>
      <c r="G582" s="1920">
        <f t="shared" si="44"/>
        <v>1.3</v>
      </c>
      <c r="H582" s="1706">
        <v>1</v>
      </c>
      <c r="I582" s="1370">
        <f t="shared" si="43"/>
        <v>1.3</v>
      </c>
      <c r="J582" s="23">
        <f>+K582/24</f>
        <v>37.5</v>
      </c>
      <c r="K582" s="1890">
        <v>900</v>
      </c>
      <c r="L582" s="1715">
        <v>0.7</v>
      </c>
      <c r="M582" s="1368" t="s">
        <v>5558</v>
      </c>
      <c r="N582" s="6">
        <v>1.3</v>
      </c>
      <c r="O582" s="1715"/>
      <c r="P582" s="399">
        <f>+K582/24</f>
        <v>37.5</v>
      </c>
      <c r="Q582" s="1715"/>
      <c r="R582" s="1351"/>
    </row>
    <row r="583" spans="1:21" s="1594" customFormat="1" ht="15.75" hidden="1" thickBot="1">
      <c r="D583" s="1921"/>
      <c r="E583" s="1930" t="s">
        <v>5555</v>
      </c>
      <c r="F583" s="1368"/>
      <c r="G583" s="1920">
        <f t="shared" si="44"/>
        <v>3.05</v>
      </c>
      <c r="H583" s="438">
        <v>0</v>
      </c>
      <c r="I583" s="1370">
        <f t="shared" si="43"/>
        <v>0</v>
      </c>
      <c r="J583" s="23">
        <f>+K583/12</f>
        <v>75</v>
      </c>
      <c r="K583" s="1890">
        <v>900</v>
      </c>
      <c r="L583" s="1716">
        <v>2.35</v>
      </c>
      <c r="M583" s="104" t="s">
        <v>5559</v>
      </c>
      <c r="N583" s="645">
        <v>3.05</v>
      </c>
      <c r="O583" s="1715"/>
      <c r="P583" s="399"/>
      <c r="Q583" s="1715"/>
      <c r="R583" s="1351"/>
      <c r="S583" s="1714"/>
      <c r="T583" s="422"/>
      <c r="U583" s="1714"/>
    </row>
    <row r="584" spans="1:21" s="1594" customFormat="1" ht="15.75" thickBot="1">
      <c r="D584" s="1921"/>
      <c r="E584" s="1930" t="s">
        <v>5556</v>
      </c>
      <c r="F584" s="1368"/>
      <c r="G584" s="1922">
        <f>+N584</f>
        <v>2.87</v>
      </c>
      <c r="H584" s="438">
        <v>1</v>
      </c>
      <c r="I584" s="1370">
        <f t="shared" si="43"/>
        <v>2.87</v>
      </c>
      <c r="J584" s="23">
        <f>+K584/24</f>
        <v>37.5</v>
      </c>
      <c r="K584" s="1890">
        <v>900</v>
      </c>
      <c r="L584" s="1716">
        <v>2.2080000000000002</v>
      </c>
      <c r="M584" s="104" t="str">
        <f>+E584</f>
        <v>1/2 CARTON DE HUEVO</v>
      </c>
      <c r="N584" s="645">
        <v>2.87</v>
      </c>
      <c r="O584" s="1715"/>
      <c r="P584" s="399"/>
      <c r="Q584" s="1715"/>
      <c r="R584" s="1351"/>
      <c r="S584" s="1714"/>
      <c r="T584" s="422"/>
      <c r="U584" s="1714"/>
    </row>
    <row r="585" spans="1:21" ht="15.75" thickBot="1">
      <c r="D585" s="1042" t="s">
        <v>65</v>
      </c>
      <c r="E585" s="1931" t="s">
        <v>3942</v>
      </c>
      <c r="F585" s="1368"/>
      <c r="G585" s="1920">
        <v>0.91</v>
      </c>
      <c r="H585" s="620">
        <v>2</v>
      </c>
      <c r="I585" s="1370">
        <f t="shared" si="43"/>
        <v>1.82</v>
      </c>
      <c r="J585" s="23">
        <f>+K585/35</f>
        <v>51.428571428571431</v>
      </c>
      <c r="K585" s="1890">
        <v>1800</v>
      </c>
      <c r="L585" s="1716">
        <v>0.7</v>
      </c>
      <c r="M585" s="1037" t="s">
        <v>5551</v>
      </c>
      <c r="N585" s="1717">
        <v>0.91</v>
      </c>
      <c r="O585" s="1715"/>
      <c r="P585" s="399">
        <f>+K585/35</f>
        <v>51.428571428571431</v>
      </c>
      <c r="Q585" s="1715"/>
      <c r="R585" s="1351"/>
    </row>
    <row r="586" spans="1:21" ht="15.75" thickBot="1">
      <c r="D586" s="407"/>
      <c r="E586" s="1043" t="s">
        <v>65</v>
      </c>
      <c r="F586" s="1043"/>
      <c r="G586" s="1708"/>
      <c r="H586" s="776" t="s">
        <v>4592</v>
      </c>
      <c r="I586" s="1037">
        <f>SUM(I574:I585)</f>
        <v>20.213000000000001</v>
      </c>
      <c r="J586" s="104" t="s">
        <v>5554</v>
      </c>
      <c r="K586" s="1714"/>
      <c r="L586" s="1714"/>
      <c r="M586" s="1714"/>
      <c r="N586" s="1714"/>
      <c r="O586" s="1714"/>
      <c r="P586" s="1714"/>
      <c r="Q586" s="1714"/>
    </row>
    <row r="587" spans="1:21">
      <c r="E587" s="1714"/>
      <c r="F587" s="1714"/>
      <c r="G587" s="1714"/>
      <c r="H587" s="1714"/>
      <c r="I587" s="1714"/>
      <c r="J587" s="1714"/>
      <c r="K587" s="1714"/>
      <c r="L587" s="1714"/>
      <c r="M587" s="1714"/>
      <c r="N587" s="1714"/>
      <c r="O587" s="1714"/>
      <c r="P587" s="1714"/>
      <c r="Q587" s="1714"/>
    </row>
    <row r="588" spans="1:21">
      <c r="E588" s="2401" t="s">
        <v>5552</v>
      </c>
      <c r="F588" s="2401"/>
      <c r="G588" s="2401"/>
      <c r="H588" s="1714"/>
      <c r="I588" s="1714"/>
      <c r="J588" s="1714"/>
      <c r="K588" s="1714"/>
      <c r="L588" s="325"/>
      <c r="M588" s="325"/>
      <c r="N588" s="1714"/>
      <c r="O588" s="1714"/>
      <c r="P588" s="1714"/>
      <c r="Q588" s="1714"/>
    </row>
    <row r="589" spans="1:21">
      <c r="E589" s="1708" t="s">
        <v>5553</v>
      </c>
      <c r="F589" s="1714"/>
      <c r="G589" s="1714"/>
      <c r="H589" s="1714"/>
      <c r="I589" s="1714"/>
      <c r="J589" s="1714"/>
      <c r="K589" s="1714"/>
      <c r="L589" s="325"/>
      <c r="M589" s="325"/>
      <c r="N589" s="1714"/>
      <c r="O589" s="1714"/>
      <c r="P589" s="1714"/>
      <c r="Q589" s="1714"/>
    </row>
    <row r="590" spans="1:21" ht="15.75" thickBot="1">
      <c r="A590" s="1992"/>
      <c r="B590" s="1992"/>
      <c r="C590" s="1992"/>
      <c r="D590" s="1993"/>
      <c r="E590" s="1994" t="s">
        <v>5616</v>
      </c>
      <c r="F590" s="1990"/>
      <c r="G590" s="1990"/>
      <c r="H590" s="1990"/>
      <c r="I590" s="1990"/>
      <c r="J590" s="1990"/>
      <c r="K590" s="1990"/>
      <c r="L590" s="1990"/>
      <c r="M590" s="1990"/>
      <c r="N590" s="1990"/>
      <c r="O590" s="1990"/>
      <c r="P590" s="1990"/>
      <c r="Q590" s="1990"/>
      <c r="R590" s="1991"/>
      <c r="S590" s="1990"/>
      <c r="T590" s="1991"/>
    </row>
    <row r="591" spans="1:21" ht="60.75" thickBot="1">
      <c r="A591" s="1992"/>
      <c r="B591" s="123"/>
      <c r="C591" s="123"/>
      <c r="D591" s="1040" t="s">
        <v>3318</v>
      </c>
      <c r="E591" s="1997"/>
      <c r="F591" s="1998"/>
      <c r="G591" s="1999" t="s">
        <v>2547</v>
      </c>
      <c r="H591" s="2003" t="s">
        <v>4635</v>
      </c>
      <c r="I591" s="2004" t="s">
        <v>3343</v>
      </c>
      <c r="J591" s="2002" t="s">
        <v>4627</v>
      </c>
      <c r="K591" s="1892" t="s">
        <v>4593</v>
      </c>
      <c r="L591" s="1897" t="s">
        <v>559</v>
      </c>
      <c r="M591" s="1890" t="s">
        <v>1852</v>
      </c>
      <c r="N591" s="1892" t="s">
        <v>2547</v>
      </c>
      <c r="O591" s="1890"/>
      <c r="P591" s="1890"/>
      <c r="Q591" s="1897"/>
      <c r="R591" s="1351"/>
      <c r="S591" s="1894"/>
      <c r="T591" s="1991"/>
    </row>
    <row r="592" spans="1:21" ht="15.75" thickBot="1">
      <c r="A592" s="1992"/>
      <c r="B592" s="123"/>
      <c r="C592" s="123"/>
      <c r="D592" s="1986">
        <v>2033</v>
      </c>
      <c r="E592" s="1356" t="s">
        <v>3429</v>
      </c>
      <c r="F592" s="1996"/>
      <c r="G592" s="1989">
        <f>+N592</f>
        <v>1.2759999999999998</v>
      </c>
      <c r="H592" s="1037">
        <v>3</v>
      </c>
      <c r="I592" s="2005">
        <v>3.84</v>
      </c>
      <c r="J592" s="1995"/>
      <c r="K592" s="1890"/>
      <c r="L592" s="1896">
        <v>1.18</v>
      </c>
      <c r="M592" s="1037" t="s">
        <v>3429</v>
      </c>
      <c r="N592" s="1985">
        <f>+P606</f>
        <v>1.2759999999999998</v>
      </c>
      <c r="O592" s="1890"/>
      <c r="P592" s="1890"/>
      <c r="Q592" s="1897"/>
      <c r="R592" s="1351"/>
      <c r="S592" s="1894"/>
      <c r="T592" s="1991"/>
    </row>
    <row r="593" spans="1:21" ht="18.75" customHeight="1" thickBot="1">
      <c r="A593" s="1992"/>
      <c r="B593" s="123"/>
      <c r="C593" s="123"/>
      <c r="D593" s="1987" t="s">
        <v>4628</v>
      </c>
      <c r="E593" s="1356" t="s">
        <v>4597</v>
      </c>
      <c r="F593" s="325"/>
      <c r="G593" s="1989">
        <f t="shared" ref="G593:G600" si="45">+N593</f>
        <v>1.04</v>
      </c>
      <c r="H593" s="1037">
        <v>2</v>
      </c>
      <c r="I593" s="2005">
        <f t="shared" ref="I593:I600" si="46">+G593*H593</f>
        <v>2.08</v>
      </c>
      <c r="J593" s="1995"/>
      <c r="K593" s="1890"/>
      <c r="L593" s="1894">
        <v>0.8</v>
      </c>
      <c r="M593" s="1984" t="s">
        <v>4629</v>
      </c>
      <c r="N593" s="1985">
        <f>+P607</f>
        <v>1.04</v>
      </c>
      <c r="O593" s="1890"/>
      <c r="P593" s="1890"/>
      <c r="Q593" s="1897"/>
      <c r="R593" s="1351"/>
      <c r="S593" s="1894"/>
      <c r="T593" s="1991"/>
    </row>
    <row r="594" spans="1:21" ht="15.75" thickBot="1">
      <c r="A594" s="1992"/>
      <c r="B594" s="123"/>
      <c r="C594" s="123"/>
      <c r="D594" s="1986" t="s">
        <v>4630</v>
      </c>
      <c r="E594" s="1356" t="s">
        <v>3428</v>
      </c>
      <c r="F594" s="1988"/>
      <c r="G594" s="1989">
        <f t="shared" si="45"/>
        <v>2.028</v>
      </c>
      <c r="H594" s="1037">
        <v>2</v>
      </c>
      <c r="I594" s="2005">
        <f t="shared" si="46"/>
        <v>4.056</v>
      </c>
      <c r="J594" s="1995"/>
      <c r="K594" s="1890"/>
      <c r="L594" s="1896">
        <v>1.47</v>
      </c>
      <c r="M594" s="1356" t="s">
        <v>5615</v>
      </c>
      <c r="N594" s="373">
        <f>+P608</f>
        <v>2.028</v>
      </c>
      <c r="O594" s="1890"/>
      <c r="P594" s="1890"/>
      <c r="Q594" s="1897"/>
      <c r="R594" s="1351"/>
      <c r="S594" s="1894"/>
      <c r="T594" s="1991"/>
    </row>
    <row r="595" spans="1:21" s="1594" customFormat="1" ht="15.75" thickBot="1">
      <c r="A595" s="1992"/>
      <c r="B595" s="123"/>
      <c r="C595" s="123"/>
      <c r="D595" s="1986"/>
      <c r="E595" s="1356" t="s">
        <v>3690</v>
      </c>
      <c r="F595" s="1988"/>
      <c r="G595" s="1989">
        <f t="shared" si="45"/>
        <v>1.2349999999999999</v>
      </c>
      <c r="H595" s="1037">
        <v>1</v>
      </c>
      <c r="I595" s="2005">
        <f t="shared" si="46"/>
        <v>1.2349999999999999</v>
      </c>
      <c r="J595" s="1995"/>
      <c r="K595" s="1890"/>
      <c r="L595" s="1896"/>
      <c r="M595" s="1356" t="str">
        <f>+M612</f>
        <v>AZUCAR SAN ONOFRE 1 KG</v>
      </c>
      <c r="N595" s="373">
        <f t="shared" ref="N595:N600" si="47">+P612</f>
        <v>1.2349999999999999</v>
      </c>
      <c r="O595" s="1890"/>
      <c r="P595" s="1890"/>
      <c r="Q595" s="1897"/>
      <c r="R595" s="1351"/>
      <c r="S595" s="1894"/>
      <c r="T595" s="1991"/>
      <c r="U595" s="1894"/>
    </row>
    <row r="596" spans="1:21" ht="15.75" thickBot="1">
      <c r="A596" s="1992"/>
      <c r="B596" s="123"/>
      <c r="C596" s="123"/>
      <c r="D596" s="1986" t="s">
        <v>65</v>
      </c>
      <c r="E596" s="1356" t="s">
        <v>5604</v>
      </c>
      <c r="F596" s="1988"/>
      <c r="G596" s="1989">
        <f t="shared" si="45"/>
        <v>0.90999999999999992</v>
      </c>
      <c r="H596" s="1037">
        <v>1</v>
      </c>
      <c r="I596" s="2005">
        <f t="shared" si="46"/>
        <v>0.90999999999999992</v>
      </c>
      <c r="J596" s="1995"/>
      <c r="K596" s="1890"/>
      <c r="L596" s="905">
        <v>0.2</v>
      </c>
      <c r="M596" s="1356" t="str">
        <f>+M613</f>
        <v xml:space="preserve">GANOS </v>
      </c>
      <c r="N596" s="1985">
        <f t="shared" si="47"/>
        <v>0.90999999999999992</v>
      </c>
      <c r="O596" s="1890"/>
      <c r="P596" s="1890"/>
      <c r="Q596" s="1897"/>
      <c r="R596" s="1351"/>
      <c r="S596" s="1894"/>
      <c r="T596" s="1991"/>
    </row>
    <row r="597" spans="1:21" ht="15.75" thickBot="1">
      <c r="A597" s="1992"/>
      <c r="B597" s="123"/>
      <c r="C597" s="123"/>
      <c r="D597" s="1986" t="s">
        <v>65</v>
      </c>
      <c r="E597" s="1356" t="s">
        <v>5617</v>
      </c>
      <c r="F597" s="1988"/>
      <c r="G597" s="1989">
        <f t="shared" si="45"/>
        <v>2.9249999999999998</v>
      </c>
      <c r="H597" s="2006">
        <v>1</v>
      </c>
      <c r="I597" s="2007">
        <f t="shared" si="46"/>
        <v>2.9249999999999998</v>
      </c>
      <c r="J597" s="1995"/>
      <c r="K597" s="1890"/>
      <c r="L597" s="905">
        <v>1.3</v>
      </c>
      <c r="M597" s="1983" t="s">
        <v>3689</v>
      </c>
      <c r="N597" s="1985">
        <f t="shared" si="47"/>
        <v>2.9249999999999998</v>
      </c>
      <c r="O597" s="1890"/>
      <c r="P597" s="1890"/>
      <c r="Q597" s="1897"/>
      <c r="R597" s="1351"/>
      <c r="S597" s="1894"/>
      <c r="T597" s="1991"/>
    </row>
    <row r="598" spans="1:21" ht="15.75" thickBot="1">
      <c r="A598" s="1992"/>
      <c r="B598" s="123"/>
      <c r="C598" s="123"/>
      <c r="D598" s="401">
        <v>15986</v>
      </c>
      <c r="E598" s="1356" t="s">
        <v>3942</v>
      </c>
      <c r="F598" s="1988"/>
      <c r="G598" s="1989">
        <f t="shared" si="45"/>
        <v>0.78</v>
      </c>
      <c r="H598" s="1037">
        <v>2</v>
      </c>
      <c r="I598" s="1208">
        <f t="shared" si="46"/>
        <v>1.56</v>
      </c>
      <c r="J598" s="1995"/>
      <c r="K598" s="1890"/>
      <c r="L598" s="1896">
        <v>1.0900000000000001</v>
      </c>
      <c r="M598" s="1983" t="s">
        <v>3942</v>
      </c>
      <c r="N598" s="1985">
        <f t="shared" si="47"/>
        <v>0.78</v>
      </c>
      <c r="O598" s="1890"/>
      <c r="P598" s="1890"/>
      <c r="Q598" s="1897"/>
      <c r="R598" s="1351"/>
      <c r="S598" s="1894"/>
      <c r="T598" s="1991"/>
    </row>
    <row r="599" spans="1:21" ht="15.75" thickBot="1">
      <c r="A599" s="1992"/>
      <c r="B599" s="123"/>
      <c r="C599" s="123"/>
      <c r="D599" s="1986">
        <v>3151</v>
      </c>
      <c r="E599" s="1356" t="s">
        <v>5606</v>
      </c>
      <c r="F599" s="1988"/>
      <c r="G599" s="1989">
        <f t="shared" si="45"/>
        <v>1.5859999999999999</v>
      </c>
      <c r="H599" s="2008">
        <v>1</v>
      </c>
      <c r="I599" s="1208">
        <f t="shared" si="46"/>
        <v>1.5859999999999999</v>
      </c>
      <c r="J599" s="1995"/>
      <c r="K599" s="1890"/>
      <c r="L599" s="1896">
        <v>1</v>
      </c>
      <c r="M599" s="1356" t="s">
        <v>5606</v>
      </c>
      <c r="N599" s="1985">
        <f t="shared" si="47"/>
        <v>1.5859999999999999</v>
      </c>
      <c r="O599" s="1890"/>
      <c r="P599" s="23"/>
      <c r="Q599" s="1897"/>
      <c r="R599" s="1351"/>
      <c r="S599" s="1894"/>
      <c r="T599" s="1991"/>
    </row>
    <row r="600" spans="1:21" ht="15.75" thickBot="1">
      <c r="A600" s="1992"/>
      <c r="B600" s="123"/>
      <c r="C600" s="123"/>
      <c r="D600" s="1986" t="s">
        <v>65</v>
      </c>
      <c r="E600" s="1356" t="s">
        <v>5605</v>
      </c>
      <c r="F600" s="2000"/>
      <c r="G600" s="2001">
        <f t="shared" si="45"/>
        <v>0.84499999999999997</v>
      </c>
      <c r="H600" s="1037">
        <v>1</v>
      </c>
      <c r="I600" s="1208">
        <f t="shared" si="46"/>
        <v>0.84499999999999997</v>
      </c>
      <c r="J600" s="1995"/>
      <c r="K600" s="1890"/>
      <c r="L600" s="1897">
        <v>0.7</v>
      </c>
      <c r="M600" s="1983" t="s">
        <v>5605</v>
      </c>
      <c r="N600" s="1893">
        <f t="shared" si="47"/>
        <v>0.84499999999999997</v>
      </c>
      <c r="O600" s="1890"/>
      <c r="P600" s="23"/>
      <c r="Q600" s="1897"/>
      <c r="R600" s="1351"/>
      <c r="S600" s="1894"/>
      <c r="T600" s="1991"/>
    </row>
    <row r="601" spans="1:21" ht="15.75" thickBot="1">
      <c r="A601" s="1992"/>
      <c r="B601" s="123"/>
      <c r="C601" s="123"/>
      <c r="D601" s="407"/>
      <c r="E601" s="1043" t="s">
        <v>65</v>
      </c>
      <c r="F601" s="1043"/>
      <c r="G601" s="1891"/>
      <c r="H601" s="776" t="s">
        <v>4592</v>
      </c>
      <c r="I601" s="1208">
        <f>SUM(I592:I600)</f>
        <v>19.036999999999995</v>
      </c>
      <c r="J601" s="104" t="s">
        <v>5554</v>
      </c>
      <c r="K601" s="1894"/>
      <c r="L601" s="1894"/>
      <c r="M601" s="1891"/>
      <c r="N601" s="1891"/>
      <c r="O601" s="1891"/>
      <c r="P601" s="1891"/>
      <c r="Q601" s="1894"/>
      <c r="S601" s="1894"/>
      <c r="T601" s="1991"/>
    </row>
    <row r="602" spans="1:21">
      <c r="A602" s="1992"/>
      <c r="B602" s="123"/>
      <c r="C602" s="123"/>
      <c r="E602" s="2401" t="s">
        <v>5552</v>
      </c>
      <c r="F602" s="2401"/>
      <c r="G602" s="2401"/>
      <c r="H602" s="1894"/>
      <c r="I602" s="1894"/>
      <c r="J602" s="1894"/>
      <c r="K602" s="1894"/>
      <c r="L602" s="325"/>
      <c r="M602" s="325"/>
      <c r="N602" s="1894"/>
      <c r="O602" s="1894"/>
      <c r="P602" s="1894"/>
      <c r="Q602" s="1894"/>
      <c r="S602" s="1894"/>
      <c r="T602" s="1991"/>
    </row>
    <row r="603" spans="1:21">
      <c r="A603" s="1992"/>
      <c r="B603" s="123"/>
      <c r="C603" s="123"/>
      <c r="E603" s="1891" t="s">
        <v>5553</v>
      </c>
      <c r="F603" s="1894"/>
      <c r="G603" s="1894"/>
      <c r="H603" s="1894"/>
      <c r="I603" s="1894"/>
      <c r="J603" s="1894"/>
      <c r="K603" s="1894"/>
      <c r="L603" s="325"/>
      <c r="M603" s="325"/>
      <c r="N603" s="1894"/>
      <c r="O603" s="1894"/>
      <c r="P603" s="1894"/>
      <c r="Q603" s="1894"/>
      <c r="S603" s="1894"/>
      <c r="T603" s="1991"/>
    </row>
    <row r="604" spans="1:21" ht="15.75" thickBot="1">
      <c r="A604" s="1992"/>
      <c r="B604" s="123"/>
      <c r="C604" s="123"/>
      <c r="E604" s="1894"/>
      <c r="F604" s="1894"/>
      <c r="G604" s="1894"/>
      <c r="H604" s="1894"/>
      <c r="I604" s="1894"/>
      <c r="J604" s="1894"/>
      <c r="K604" s="1894"/>
      <c r="L604" s="325"/>
      <c r="M604" s="2012"/>
      <c r="N604" s="395"/>
      <c r="O604" s="395"/>
      <c r="P604" s="395"/>
      <c r="Q604" s="395"/>
      <c r="R604" s="2013"/>
      <c r="S604" s="1894"/>
      <c r="T604" s="1991"/>
    </row>
    <row r="605" spans="1:21" ht="45">
      <c r="A605" s="123"/>
      <c r="B605" s="1747"/>
      <c r="C605" s="1747"/>
      <c r="D605" s="2010"/>
      <c r="E605" s="2011"/>
      <c r="F605" s="2011"/>
      <c r="G605" s="2011"/>
      <c r="H605" s="2011"/>
      <c r="I605" s="2011"/>
      <c r="J605" s="2011"/>
      <c r="M605" s="1134" t="s">
        <v>107</v>
      </c>
      <c r="N605" s="1046" t="s">
        <v>559</v>
      </c>
      <c r="O605" s="1046" t="s">
        <v>3415</v>
      </c>
      <c r="P605" s="1045" t="s">
        <v>2547</v>
      </c>
      <c r="Q605" s="1045" t="s">
        <v>4635</v>
      </c>
      <c r="R605" s="2019" t="s">
        <v>4004</v>
      </c>
      <c r="S605" s="1990"/>
      <c r="T605" s="1991"/>
      <c r="U605" s="1990"/>
    </row>
    <row r="606" spans="1:21">
      <c r="A606" s="123"/>
      <c r="B606" s="1747"/>
      <c r="C606" s="1747"/>
      <c r="D606" s="2010"/>
      <c r="E606" s="2011"/>
      <c r="F606" s="2011"/>
      <c r="G606" s="2011"/>
      <c r="H606" s="2011"/>
      <c r="I606" s="2011"/>
      <c r="J606" s="2011"/>
      <c r="M606" s="896" t="s">
        <v>3429</v>
      </c>
      <c r="N606" s="2009">
        <v>1.1599999999999999</v>
      </c>
      <c r="O606" s="576">
        <f>+N606*10%</f>
        <v>0.11599999999999999</v>
      </c>
      <c r="P606" s="576">
        <f>+N606+O606</f>
        <v>1.2759999999999998</v>
      </c>
      <c r="Q606" s="2009">
        <f>+H592</f>
        <v>3</v>
      </c>
      <c r="R606" s="2015">
        <f>+N606*Q606</f>
        <v>3.4799999999999995</v>
      </c>
      <c r="S606" s="1990"/>
      <c r="T606" s="1991"/>
      <c r="U606" s="1990"/>
    </row>
    <row r="607" spans="1:21" ht="135">
      <c r="A607" s="123"/>
      <c r="B607" s="1747"/>
      <c r="C607" s="1747"/>
      <c r="D607" s="2010"/>
      <c r="E607" s="2011"/>
      <c r="F607" s="2011"/>
      <c r="G607" s="2011"/>
      <c r="H607" s="2011"/>
      <c r="I607" s="2011"/>
      <c r="J607" s="2011"/>
      <c r="M607" s="2016" t="s">
        <v>4629</v>
      </c>
      <c r="N607" s="2009">
        <v>0.8</v>
      </c>
      <c r="O607" s="576">
        <f t="shared" ref="O607:O618" si="48">+N607*30%</f>
        <v>0.24</v>
      </c>
      <c r="P607" s="576">
        <f t="shared" ref="P607:P618" si="49">+N607+O607</f>
        <v>1.04</v>
      </c>
      <c r="Q607" s="2009">
        <f>+H593</f>
        <v>2</v>
      </c>
      <c r="R607" s="2015">
        <f t="shared" ref="R607:R617" si="50">+N607*Q607</f>
        <v>1.6</v>
      </c>
      <c r="S607" s="1990"/>
      <c r="T607" s="1991"/>
      <c r="U607" s="1990"/>
    </row>
    <row r="608" spans="1:21">
      <c r="A608" s="123"/>
      <c r="B608" s="1747"/>
      <c r="C608" s="1747"/>
      <c r="D608" s="2010"/>
      <c r="E608" s="2011"/>
      <c r="F608" s="2011"/>
      <c r="G608" s="2011"/>
      <c r="H608" s="2011"/>
      <c r="I608" s="2011"/>
      <c r="J608" s="2011"/>
      <c r="M608" s="896" t="s">
        <v>5610</v>
      </c>
      <c r="N608" s="2009">
        <v>1.56</v>
      </c>
      <c r="O608" s="576">
        <f t="shared" si="48"/>
        <v>0.46799999999999997</v>
      </c>
      <c r="P608" s="576">
        <f t="shared" si="49"/>
        <v>2.028</v>
      </c>
      <c r="Q608" s="2009">
        <f>+H594</f>
        <v>2</v>
      </c>
      <c r="R608" s="2015">
        <f t="shared" si="50"/>
        <v>3.12</v>
      </c>
      <c r="S608" s="1990"/>
      <c r="T608" s="1991"/>
      <c r="U608" s="1990"/>
    </row>
    <row r="609" spans="1:21" ht="15" hidden="1" customHeight="1">
      <c r="A609" s="123"/>
      <c r="B609" s="1747"/>
      <c r="C609" s="1747"/>
      <c r="D609" s="2010"/>
      <c r="E609" s="2011"/>
      <c r="F609" s="2011"/>
      <c r="G609" s="2011"/>
      <c r="H609" s="2011"/>
      <c r="I609" s="2011"/>
      <c r="J609" s="2011"/>
      <c r="M609" s="896" t="s">
        <v>5611</v>
      </c>
      <c r="N609" s="2009">
        <v>1.56</v>
      </c>
      <c r="O609" s="576">
        <f>+N609*30%</f>
        <v>0.46799999999999997</v>
      </c>
      <c r="P609" s="576">
        <f t="shared" si="49"/>
        <v>2.028</v>
      </c>
      <c r="Q609" s="2009"/>
      <c r="R609" s="2015">
        <f t="shared" si="50"/>
        <v>0</v>
      </c>
      <c r="S609" s="1990"/>
      <c r="T609" s="1991"/>
      <c r="U609" s="1990"/>
    </row>
    <row r="610" spans="1:21" ht="15" hidden="1" customHeight="1">
      <c r="A610" s="123"/>
      <c r="B610" s="1747"/>
      <c r="C610" s="1747"/>
      <c r="D610" s="2010"/>
      <c r="E610" s="2011"/>
      <c r="F610" s="2011"/>
      <c r="G610" s="2011"/>
      <c r="H610" s="2011"/>
      <c r="I610" s="2011"/>
      <c r="J610" s="2011"/>
      <c r="K610" s="31">
        <v>21237</v>
      </c>
      <c r="M610" s="896" t="s">
        <v>5612</v>
      </c>
      <c r="N610" s="2009">
        <v>1.2</v>
      </c>
      <c r="O610" s="576">
        <f t="shared" si="48"/>
        <v>0.36</v>
      </c>
      <c r="P610" s="576">
        <f t="shared" si="49"/>
        <v>1.56</v>
      </c>
      <c r="Q610" s="2009"/>
      <c r="R610" s="2015">
        <f t="shared" si="50"/>
        <v>0</v>
      </c>
      <c r="S610" s="1990"/>
      <c r="T610" s="1991"/>
      <c r="U610" s="1990"/>
    </row>
    <row r="611" spans="1:21" ht="15" hidden="1" customHeight="1">
      <c r="A611" s="123"/>
      <c r="B611" s="1747"/>
      <c r="C611" s="1747"/>
      <c r="D611" s="2010"/>
      <c r="E611" s="2011"/>
      <c r="F611" s="2011"/>
      <c r="G611" s="2011"/>
      <c r="H611" s="2011"/>
      <c r="I611" s="2011"/>
      <c r="J611" s="2011"/>
      <c r="K611" s="31">
        <v>21379</v>
      </c>
      <c r="M611" s="896" t="s">
        <v>5613</v>
      </c>
      <c r="N611" s="2009">
        <v>0.96</v>
      </c>
      <c r="O611" s="576">
        <f t="shared" si="48"/>
        <v>0.28799999999999998</v>
      </c>
      <c r="P611" s="576">
        <f t="shared" si="49"/>
        <v>1.248</v>
      </c>
      <c r="Q611" s="2009"/>
      <c r="R611" s="2015">
        <f t="shared" si="50"/>
        <v>0</v>
      </c>
      <c r="S611" s="1990"/>
      <c r="T611" s="1991"/>
      <c r="U611" s="1990"/>
    </row>
    <row r="612" spans="1:21">
      <c r="A612" s="123"/>
      <c r="B612" s="1747"/>
      <c r="C612" s="1747"/>
      <c r="D612" s="2010"/>
      <c r="E612" s="2011"/>
      <c r="F612" s="2011"/>
      <c r="G612" s="2011"/>
      <c r="H612" s="2011"/>
      <c r="I612" s="2011"/>
      <c r="J612" s="2011"/>
      <c r="K612" s="31">
        <v>21780</v>
      </c>
      <c r="M612" s="896" t="s">
        <v>4876</v>
      </c>
      <c r="N612" s="2009">
        <v>0.95</v>
      </c>
      <c r="O612" s="576">
        <f t="shared" si="48"/>
        <v>0.28499999999999998</v>
      </c>
      <c r="P612" s="576">
        <f t="shared" si="49"/>
        <v>1.2349999999999999</v>
      </c>
      <c r="Q612" s="2009">
        <f t="shared" ref="Q612:Q617" si="51">+H595</f>
        <v>1</v>
      </c>
      <c r="R612" s="2015">
        <f t="shared" si="50"/>
        <v>0.95</v>
      </c>
      <c r="S612" s="1990"/>
      <c r="T612" s="1991"/>
      <c r="U612" s="1990"/>
    </row>
    <row r="613" spans="1:21">
      <c r="A613" s="123"/>
      <c r="B613" s="1747"/>
      <c r="C613" s="1747"/>
      <c r="D613" s="2010"/>
      <c r="E613" s="2011"/>
      <c r="F613" s="2011"/>
      <c r="G613" s="2011"/>
      <c r="H613" s="2011"/>
      <c r="I613" s="2011"/>
      <c r="J613" s="2011"/>
      <c r="M613" s="896" t="s">
        <v>5614</v>
      </c>
      <c r="N613" s="2009">
        <v>0.7</v>
      </c>
      <c r="O613" s="576">
        <f t="shared" si="48"/>
        <v>0.21</v>
      </c>
      <c r="P613" s="576">
        <f t="shared" si="49"/>
        <v>0.90999999999999992</v>
      </c>
      <c r="Q613" s="2009">
        <f t="shared" si="51"/>
        <v>1</v>
      </c>
      <c r="R613" s="2015">
        <f t="shared" si="50"/>
        <v>0.7</v>
      </c>
      <c r="S613" s="1990"/>
      <c r="T613" s="1991"/>
      <c r="U613" s="1990"/>
    </row>
    <row r="614" spans="1:21">
      <c r="A614" s="123"/>
      <c r="B614" s="1747"/>
      <c r="C614" s="1747"/>
      <c r="D614" s="2010"/>
      <c r="E614" s="2011"/>
      <c r="F614" s="2011"/>
      <c r="G614" s="2011"/>
      <c r="H614" s="2011"/>
      <c r="I614" s="2011"/>
      <c r="J614" s="2011"/>
      <c r="M614" s="896" t="s">
        <v>3431</v>
      </c>
      <c r="N614" s="2009">
        <v>2.25</v>
      </c>
      <c r="O614" s="576">
        <f t="shared" si="48"/>
        <v>0.67499999999999993</v>
      </c>
      <c r="P614" s="576">
        <f t="shared" si="49"/>
        <v>2.9249999999999998</v>
      </c>
      <c r="Q614" s="2009">
        <f t="shared" si="51"/>
        <v>1</v>
      </c>
      <c r="R614" s="2015">
        <f t="shared" si="50"/>
        <v>2.25</v>
      </c>
      <c r="S614" s="1990"/>
      <c r="T614" s="1991"/>
      <c r="U614" s="1990"/>
    </row>
    <row r="615" spans="1:21" s="1594" customFormat="1">
      <c r="A615" s="123"/>
      <c r="B615" s="1747"/>
      <c r="C615" s="1747"/>
      <c r="D615" s="2010"/>
      <c r="E615" s="2011"/>
      <c r="F615" s="2011"/>
      <c r="G615" s="2011"/>
      <c r="H615" s="2011"/>
      <c r="I615" s="2011"/>
      <c r="J615" s="2011"/>
      <c r="K615" s="1894"/>
      <c r="L615" s="1894"/>
      <c r="M615" s="896" t="s">
        <v>5551</v>
      </c>
      <c r="N615" s="2009">
        <v>0.6</v>
      </c>
      <c r="O615" s="576">
        <f t="shared" si="48"/>
        <v>0.18</v>
      </c>
      <c r="P615" s="576">
        <f t="shared" si="49"/>
        <v>0.78</v>
      </c>
      <c r="Q615" s="2009">
        <f t="shared" si="51"/>
        <v>2</v>
      </c>
      <c r="R615" s="2015">
        <f t="shared" si="50"/>
        <v>1.2</v>
      </c>
      <c r="S615" s="1990"/>
      <c r="T615" s="1991"/>
      <c r="U615" s="1990"/>
    </row>
    <row r="616" spans="1:21">
      <c r="A616" s="123"/>
      <c r="B616" s="1747"/>
      <c r="C616" s="1747"/>
      <c r="D616" s="2010"/>
      <c r="E616" s="2011"/>
      <c r="F616" s="2011"/>
      <c r="G616" s="2011"/>
      <c r="H616" s="2011"/>
      <c r="I616" s="2011"/>
      <c r="J616" s="2011"/>
      <c r="M616" s="896" t="s">
        <v>5608</v>
      </c>
      <c r="N616" s="2009">
        <v>1.22</v>
      </c>
      <c r="O616" s="576">
        <f t="shared" si="48"/>
        <v>0.36599999999999999</v>
      </c>
      <c r="P616" s="576">
        <f t="shared" si="49"/>
        <v>1.5859999999999999</v>
      </c>
      <c r="Q616" s="2009">
        <f t="shared" si="51"/>
        <v>1</v>
      </c>
      <c r="R616" s="2015">
        <f t="shared" si="50"/>
        <v>1.22</v>
      </c>
      <c r="S616" s="1990"/>
      <c r="T616" s="1991"/>
      <c r="U616" s="1990"/>
    </row>
    <row r="617" spans="1:21" ht="15.75" thickBot="1">
      <c r="A617" s="123"/>
      <c r="B617" s="1747"/>
      <c r="C617" s="1747"/>
      <c r="D617" s="2010"/>
      <c r="E617" s="2011"/>
      <c r="F617" s="2011"/>
      <c r="G617" s="2011"/>
      <c r="H617" s="2011"/>
      <c r="I617" s="2011"/>
      <c r="J617" s="2011"/>
      <c r="M617" s="1135" t="s">
        <v>5609</v>
      </c>
      <c r="N617" s="2017">
        <v>0.65</v>
      </c>
      <c r="O617" s="2018">
        <f t="shared" si="48"/>
        <v>0.19500000000000001</v>
      </c>
      <c r="P617" s="2018">
        <f t="shared" si="49"/>
        <v>0.84499999999999997</v>
      </c>
      <c r="Q617" s="2017">
        <f t="shared" si="51"/>
        <v>1</v>
      </c>
      <c r="R617" s="2015">
        <f t="shared" si="50"/>
        <v>0.65</v>
      </c>
      <c r="S617" s="1990"/>
      <c r="T617" s="1991"/>
      <c r="U617" s="1990"/>
    </row>
    <row r="618" spans="1:21" ht="15.75" hidden="1" thickBot="1">
      <c r="A618" s="123"/>
      <c r="B618" s="1747"/>
      <c r="C618" s="1747"/>
      <c r="D618" s="2010"/>
      <c r="E618" s="2011"/>
      <c r="F618" s="2011"/>
      <c r="G618" s="2011"/>
      <c r="H618" s="2011"/>
      <c r="I618" s="2011"/>
      <c r="J618" s="2011"/>
      <c r="M618" s="524" t="s">
        <v>5607</v>
      </c>
      <c r="N618" s="394">
        <v>0.53</v>
      </c>
      <c r="O618" s="2014">
        <f t="shared" si="48"/>
        <v>0.159</v>
      </c>
      <c r="P618" s="2014">
        <f t="shared" si="49"/>
        <v>0.68900000000000006</v>
      </c>
      <c r="Q618" s="2020"/>
      <c r="R618" s="2021">
        <f>SUM(R606:R617)</f>
        <v>15.169999999999998</v>
      </c>
      <c r="S618" s="1990"/>
      <c r="T618" s="1991"/>
      <c r="U618" s="1990"/>
    </row>
    <row r="619" spans="1:21" ht="15.75" thickBot="1">
      <c r="Q619" s="1037" t="s">
        <v>3160</v>
      </c>
      <c r="R619" s="1728">
        <f>SUM(R618)</f>
        <v>15.169999999999998</v>
      </c>
    </row>
    <row r="623" spans="1:21">
      <c r="D623" s="924"/>
      <c r="E623" s="938">
        <v>44664</v>
      </c>
      <c r="F623" s="938"/>
      <c r="G623" s="2098"/>
      <c r="H623" s="2098"/>
      <c r="I623" s="2098"/>
      <c r="J623" s="2098"/>
      <c r="K623" s="2098"/>
      <c r="L623" s="2098"/>
      <c r="M623" s="2100"/>
    </row>
    <row r="624" spans="1:21">
      <c r="D624" s="1130" t="s">
        <v>65</v>
      </c>
      <c r="E624" s="2098" t="s">
        <v>65</v>
      </c>
      <c r="F624" s="2098"/>
      <c r="G624" s="938" t="s">
        <v>65</v>
      </c>
      <c r="H624" s="2098"/>
      <c r="I624" s="2098"/>
      <c r="J624" s="422"/>
      <c r="K624" s="2098" t="s">
        <v>65</v>
      </c>
      <c r="L624" s="422"/>
      <c r="M624" s="2100"/>
    </row>
    <row r="625" spans="4:21" ht="45">
      <c r="D625" s="737" t="s">
        <v>119</v>
      </c>
      <c r="E625" s="2097" t="s">
        <v>65</v>
      </c>
      <c r="F625" s="2103" t="s">
        <v>5269</v>
      </c>
      <c r="G625" s="2103" t="s">
        <v>5266</v>
      </c>
      <c r="H625" s="2102" t="s">
        <v>5170</v>
      </c>
      <c r="I625" s="2103" t="s">
        <v>5653</v>
      </c>
      <c r="J625" s="333"/>
      <c r="K625" s="422"/>
      <c r="L625" s="413"/>
      <c r="M625" s="422"/>
      <c r="N625" s="333"/>
      <c r="O625"/>
      <c r="P625"/>
      <c r="Q625"/>
      <c r="R625"/>
      <c r="S625"/>
      <c r="T625"/>
      <c r="U625"/>
    </row>
    <row r="626" spans="4:21">
      <c r="D626" s="269">
        <v>326</v>
      </c>
      <c r="E626" s="297" t="s">
        <v>5654</v>
      </c>
      <c r="F626" s="2099">
        <v>2.25</v>
      </c>
      <c r="G626" s="471">
        <v>2.7</v>
      </c>
      <c r="H626" s="2098">
        <f>+G626*5%</f>
        <v>0.13500000000000001</v>
      </c>
      <c r="I626" s="2032">
        <f>+G626-H626</f>
        <v>2.5650000000000004</v>
      </c>
      <c r="J626" s="333"/>
      <c r="K626" s="422"/>
      <c r="L626" s="413"/>
      <c r="M626" s="422"/>
      <c r="N626" s="333"/>
      <c r="O626"/>
      <c r="P626"/>
      <c r="Q626"/>
      <c r="R626"/>
      <c r="S626"/>
      <c r="T626"/>
      <c r="U626"/>
    </row>
    <row r="627" spans="4:21">
      <c r="D627" s="23">
        <v>1973</v>
      </c>
      <c r="E627" s="297" t="s">
        <v>4047</v>
      </c>
      <c r="F627" s="2099" t="s">
        <v>5270</v>
      </c>
      <c r="G627" s="2032">
        <v>5.6</v>
      </c>
      <c r="H627" s="2098">
        <f t="shared" ref="H627:H633" si="52">+G627*10%</f>
        <v>0.55999999999999994</v>
      </c>
      <c r="I627" s="2032">
        <f t="shared" ref="I627:I633" si="53">+G627-H627</f>
        <v>5.04</v>
      </c>
      <c r="J627" s="333"/>
      <c r="K627" s="422"/>
      <c r="L627" s="413"/>
      <c r="M627" s="422"/>
      <c r="N627" s="333"/>
      <c r="O627"/>
      <c r="P627"/>
      <c r="Q627"/>
      <c r="R627"/>
      <c r="S627"/>
      <c r="T627"/>
      <c r="U627"/>
    </row>
    <row r="628" spans="4:21">
      <c r="D628" s="23">
        <v>2015</v>
      </c>
      <c r="E628" s="297" t="s">
        <v>5265</v>
      </c>
      <c r="F628" s="2099" t="s">
        <v>5270</v>
      </c>
      <c r="G628" s="2097">
        <v>5.85</v>
      </c>
      <c r="H628" s="2098">
        <f t="shared" si="52"/>
        <v>0.58499999999999996</v>
      </c>
      <c r="I628" s="2032">
        <f t="shared" si="53"/>
        <v>5.2649999999999997</v>
      </c>
      <c r="J628" s="333"/>
      <c r="K628" s="422"/>
      <c r="L628" s="413"/>
      <c r="M628" s="422"/>
      <c r="N628" s="333"/>
      <c r="O628"/>
      <c r="P628"/>
      <c r="Q628"/>
      <c r="R628"/>
      <c r="S628"/>
      <c r="T628"/>
      <c r="U628"/>
    </row>
    <row r="629" spans="4:21">
      <c r="D629" s="23">
        <v>1850</v>
      </c>
      <c r="E629" s="297" t="s">
        <v>5264</v>
      </c>
      <c r="F629" s="2099" t="s">
        <v>5270</v>
      </c>
      <c r="G629" s="2097">
        <v>5.15</v>
      </c>
      <c r="H629" s="2098">
        <f t="shared" si="52"/>
        <v>0.51500000000000001</v>
      </c>
      <c r="I629" s="2032">
        <f t="shared" si="53"/>
        <v>4.6350000000000007</v>
      </c>
      <c r="J629" s="333"/>
      <c r="K629" s="422"/>
      <c r="L629" s="413"/>
      <c r="M629" s="422"/>
      <c r="N629" s="333"/>
      <c r="O629"/>
      <c r="P629"/>
      <c r="Q629"/>
      <c r="R629"/>
      <c r="S629"/>
      <c r="T629"/>
      <c r="U629"/>
    </row>
    <row r="630" spans="4:21">
      <c r="D630" s="23">
        <v>643</v>
      </c>
      <c r="E630" s="297" t="s">
        <v>4051</v>
      </c>
      <c r="F630" s="2099">
        <v>2.11</v>
      </c>
      <c r="G630" s="2032">
        <v>3.1</v>
      </c>
      <c r="H630" s="2098">
        <f t="shared" si="52"/>
        <v>0.31000000000000005</v>
      </c>
      <c r="I630" s="2032">
        <f t="shared" si="53"/>
        <v>2.79</v>
      </c>
      <c r="J630" s="333"/>
      <c r="K630" s="422"/>
      <c r="L630" s="413"/>
      <c r="M630" s="422"/>
      <c r="N630" s="333"/>
      <c r="O630"/>
      <c r="P630"/>
      <c r="Q630"/>
      <c r="R630"/>
      <c r="S630"/>
      <c r="T630"/>
      <c r="U630"/>
    </row>
    <row r="631" spans="4:21">
      <c r="D631" s="23">
        <v>3754</v>
      </c>
      <c r="E631" s="297" t="s">
        <v>4053</v>
      </c>
      <c r="F631" s="2099">
        <v>2.35</v>
      </c>
      <c r="G631" s="2032">
        <v>3.1</v>
      </c>
      <c r="H631" s="2098">
        <f t="shared" si="52"/>
        <v>0.31000000000000005</v>
      </c>
      <c r="I631" s="2032">
        <f t="shared" si="53"/>
        <v>2.79</v>
      </c>
      <c r="J631" s="333"/>
      <c r="K631" s="422"/>
      <c r="L631" s="413"/>
      <c r="M631" s="422"/>
      <c r="N631" s="333"/>
      <c r="O631"/>
      <c r="P631"/>
      <c r="Q631"/>
      <c r="R631"/>
      <c r="S631"/>
      <c r="T631"/>
      <c r="U631"/>
    </row>
    <row r="632" spans="4:21">
      <c r="D632" s="269">
        <v>2227</v>
      </c>
      <c r="E632" s="297" t="s">
        <v>3345</v>
      </c>
      <c r="F632" s="2099">
        <v>4.32</v>
      </c>
      <c r="G632" s="2097">
        <v>5.16</v>
      </c>
      <c r="H632" s="2098">
        <v>0</v>
      </c>
      <c r="I632" s="2032">
        <f t="shared" si="53"/>
        <v>5.16</v>
      </c>
      <c r="J632" s="333"/>
      <c r="K632" s="422"/>
      <c r="L632" s="413"/>
      <c r="M632" s="422"/>
      <c r="N632" s="333"/>
      <c r="O632"/>
      <c r="P632"/>
      <c r="Q632"/>
      <c r="R632"/>
      <c r="S632"/>
      <c r="T632"/>
      <c r="U632"/>
    </row>
    <row r="633" spans="4:21">
      <c r="D633" s="269">
        <v>251</v>
      </c>
      <c r="E633" s="297" t="s">
        <v>5282</v>
      </c>
      <c r="F633" s="2099">
        <v>4.3</v>
      </c>
      <c r="G633" s="2097">
        <v>5.76</v>
      </c>
      <c r="H633" s="2098">
        <f t="shared" si="52"/>
        <v>0.57599999999999996</v>
      </c>
      <c r="I633" s="2032">
        <f t="shared" si="53"/>
        <v>5.1840000000000002</v>
      </c>
      <c r="J633" s="333"/>
      <c r="K633" s="422"/>
      <c r="L633" s="413"/>
      <c r="M633" s="422"/>
      <c r="N633" s="333"/>
      <c r="O633"/>
      <c r="P633"/>
      <c r="Q633"/>
      <c r="R633"/>
      <c r="S633"/>
      <c r="T633"/>
      <c r="U633"/>
    </row>
    <row r="634" spans="4:21">
      <c r="D634" s="281"/>
      <c r="E634" s="1724"/>
      <c r="F634" s="668"/>
      <c r="G634" s="104"/>
      <c r="H634" s="104"/>
      <c r="I634" s="2097"/>
      <c r="J634" s="1594"/>
      <c r="K634" s="1731"/>
      <c r="L634" s="2100"/>
      <c r="M634" s="2100"/>
    </row>
    <row r="638" spans="4:21">
      <c r="E638" s="2121"/>
      <c r="F638" s="2121"/>
      <c r="G638" s="2121"/>
      <c r="H638" s="2121"/>
      <c r="I638" s="2121"/>
    </row>
    <row r="639" spans="4:21">
      <c r="E639" s="2121" t="s">
        <v>5785</v>
      </c>
      <c r="F639" s="2121"/>
      <c r="G639" s="2121"/>
      <c r="H639" s="2121"/>
      <c r="I639" s="2121"/>
    </row>
    <row r="640" spans="4:21" ht="60.75" thickBot="1">
      <c r="D640" s="471" t="s">
        <v>119</v>
      </c>
      <c r="E640" s="2138" t="s">
        <v>65</v>
      </c>
      <c r="F640" s="2118" t="s">
        <v>2647</v>
      </c>
      <c r="G640" s="2123" t="s">
        <v>2564</v>
      </c>
      <c r="H640" s="2123" t="s">
        <v>5779</v>
      </c>
      <c r="I640" s="2122" t="s">
        <v>903</v>
      </c>
      <c r="J640" s="2123" t="s">
        <v>1932</v>
      </c>
      <c r="K640" s="2118" t="s">
        <v>560</v>
      </c>
      <c r="L640" s="2123" t="s">
        <v>5790</v>
      </c>
      <c r="M640" s="2123" t="s">
        <v>5793</v>
      </c>
    </row>
    <row r="641" spans="4:21" s="1594" customFormat="1" ht="15.75" thickBot="1">
      <c r="D641" s="268">
        <v>22266</v>
      </c>
      <c r="E641" s="2139" t="s">
        <v>5778</v>
      </c>
      <c r="F641" s="2118">
        <v>24</v>
      </c>
      <c r="G641" s="2123">
        <v>0.8</v>
      </c>
      <c r="H641" s="2123">
        <v>1.04</v>
      </c>
      <c r="I641" s="2122">
        <f>+H641*F641</f>
        <v>24.96</v>
      </c>
      <c r="J641" s="2123">
        <v>15</v>
      </c>
      <c r="K641" s="2118">
        <f>+J641*I641</f>
        <v>374.40000000000003</v>
      </c>
      <c r="L641" s="2118" t="s">
        <v>5780</v>
      </c>
      <c r="M641" s="2118">
        <f>+J641*F641</f>
        <v>360</v>
      </c>
      <c r="N641" s="2121"/>
      <c r="O641" s="2121"/>
      <c r="P641" s="2121"/>
      <c r="Q641" s="2121"/>
      <c r="R641" s="422"/>
      <c r="S641" s="2121"/>
      <c r="T641" s="422"/>
      <c r="U641" s="2121"/>
    </row>
    <row r="642" spans="4:21" s="1594" customFormat="1">
      <c r="D642" s="268">
        <v>10253</v>
      </c>
      <c r="E642" s="2140" t="s">
        <v>5784</v>
      </c>
      <c r="F642" s="2123">
        <v>12</v>
      </c>
      <c r="G642" s="2123">
        <v>1.57</v>
      </c>
      <c r="H642" s="2123">
        <v>2.04</v>
      </c>
      <c r="I642" s="2122">
        <f t="shared" ref="I642:I649" si="54">+H642*F642</f>
        <v>24.48</v>
      </c>
      <c r="J642" s="2118">
        <v>14</v>
      </c>
      <c r="K642" s="2118">
        <f t="shared" ref="K642:K649" si="55">+J642*I642</f>
        <v>342.72</v>
      </c>
      <c r="L642" s="2118" t="s">
        <v>5781</v>
      </c>
      <c r="M642" s="2118">
        <f t="shared" ref="M642:M649" si="56">+J642*F642</f>
        <v>168</v>
      </c>
      <c r="N642" s="2121"/>
      <c r="O642" s="2121"/>
      <c r="P642" s="2121"/>
      <c r="Q642" s="2121"/>
      <c r="R642" s="422"/>
      <c r="S642" s="2121"/>
      <c r="T642" s="422"/>
      <c r="U642" s="2121"/>
    </row>
    <row r="643" spans="4:21" s="1594" customFormat="1">
      <c r="D643" s="268">
        <v>2033</v>
      </c>
      <c r="E643" s="2140" t="s">
        <v>5782</v>
      </c>
      <c r="F643" s="2123">
        <v>20</v>
      </c>
      <c r="G643" s="2123">
        <v>1.1599999999999999</v>
      </c>
      <c r="H643" s="2123">
        <v>1.28</v>
      </c>
      <c r="I643" s="2122">
        <f t="shared" si="54"/>
        <v>25.6</v>
      </c>
      <c r="J643" s="2118">
        <v>15</v>
      </c>
      <c r="K643" s="2118">
        <f t="shared" si="55"/>
        <v>384</v>
      </c>
      <c r="L643" s="2118" t="s">
        <v>5783</v>
      </c>
      <c r="M643" s="2118">
        <f t="shared" si="56"/>
        <v>300</v>
      </c>
      <c r="N643" s="2121"/>
      <c r="O643" s="2121"/>
      <c r="P643" s="2121"/>
      <c r="Q643" s="2121"/>
      <c r="R643" s="422"/>
      <c r="S643" s="2121"/>
      <c r="T643" s="422"/>
      <c r="U643" s="2121"/>
    </row>
    <row r="644" spans="4:21">
      <c r="D644" s="268">
        <v>6586</v>
      </c>
      <c r="E644" s="2140" t="s">
        <v>5786</v>
      </c>
      <c r="F644" s="2120">
        <v>20</v>
      </c>
      <c r="G644" s="2032">
        <v>0.95</v>
      </c>
      <c r="H644" s="2118">
        <v>1.24</v>
      </c>
      <c r="I644" s="2122">
        <f t="shared" si="54"/>
        <v>24.8</v>
      </c>
      <c r="J644" s="2118">
        <v>2</v>
      </c>
      <c r="K644" s="2118">
        <f t="shared" si="55"/>
        <v>49.6</v>
      </c>
      <c r="L644" s="2118">
        <v>6516</v>
      </c>
      <c r="M644" s="2118">
        <f t="shared" si="56"/>
        <v>40</v>
      </c>
    </row>
    <row r="645" spans="4:21">
      <c r="D645" s="268">
        <v>21206</v>
      </c>
      <c r="E645" s="2140" t="s">
        <v>5792</v>
      </c>
      <c r="F645" s="2120">
        <v>12</v>
      </c>
      <c r="G645" s="2032">
        <v>3.59</v>
      </c>
      <c r="H645" s="2118">
        <v>4.67</v>
      </c>
      <c r="I645" s="2122">
        <f t="shared" si="54"/>
        <v>56.04</v>
      </c>
      <c r="J645" s="2118">
        <v>4</v>
      </c>
      <c r="K645" s="2118">
        <f t="shared" si="55"/>
        <v>224.16</v>
      </c>
      <c r="L645" s="2118">
        <v>562</v>
      </c>
      <c r="M645" s="2118">
        <f t="shared" si="56"/>
        <v>48</v>
      </c>
    </row>
    <row r="646" spans="4:21">
      <c r="D646" s="268">
        <v>13370</v>
      </c>
      <c r="E646" s="2140" t="s">
        <v>5787</v>
      </c>
      <c r="F646" s="2120">
        <v>12</v>
      </c>
      <c r="G646" s="2032">
        <v>1.53</v>
      </c>
      <c r="H646" s="2118">
        <v>2.12</v>
      </c>
      <c r="I646" s="2122">
        <f t="shared" si="54"/>
        <v>25.44</v>
      </c>
      <c r="J646" s="2118">
        <v>4</v>
      </c>
      <c r="K646" s="2118">
        <f t="shared" si="55"/>
        <v>101.76</v>
      </c>
      <c r="L646" s="2118">
        <v>1537</v>
      </c>
      <c r="M646" s="2118">
        <f t="shared" si="56"/>
        <v>48</v>
      </c>
    </row>
    <row r="647" spans="4:21">
      <c r="D647" s="268">
        <v>21166</v>
      </c>
      <c r="E647" s="2140" t="s">
        <v>5788</v>
      </c>
      <c r="F647" s="2120">
        <v>24</v>
      </c>
      <c r="G647" s="2032">
        <v>0.59</v>
      </c>
      <c r="H647" s="2118">
        <v>0.78</v>
      </c>
      <c r="I647" s="2122">
        <f t="shared" si="54"/>
        <v>18.72</v>
      </c>
      <c r="J647" s="2118">
        <v>14</v>
      </c>
      <c r="K647" s="2118">
        <f t="shared" si="55"/>
        <v>262.08</v>
      </c>
      <c r="L647" s="2118">
        <v>336</v>
      </c>
      <c r="M647" s="2118">
        <f t="shared" si="56"/>
        <v>336</v>
      </c>
      <c r="N647" s="1058">
        <f>14*24</f>
        <v>336</v>
      </c>
    </row>
    <row r="648" spans="4:21">
      <c r="D648" s="268">
        <v>22049</v>
      </c>
      <c r="E648" s="2141" t="s">
        <v>5789</v>
      </c>
      <c r="F648" s="2120">
        <v>10</v>
      </c>
      <c r="G648" s="2032">
        <v>1.75</v>
      </c>
      <c r="H648" s="2118">
        <v>2.33</v>
      </c>
      <c r="I648" s="2122">
        <f t="shared" si="54"/>
        <v>23.3</v>
      </c>
      <c r="J648" s="2118">
        <v>6</v>
      </c>
      <c r="K648" s="2118">
        <f t="shared" si="55"/>
        <v>139.80000000000001</v>
      </c>
      <c r="L648" s="2118">
        <v>860</v>
      </c>
      <c r="M648" s="2118">
        <f t="shared" si="56"/>
        <v>60</v>
      </c>
    </row>
    <row r="649" spans="4:21">
      <c r="D649" s="268">
        <v>3151</v>
      </c>
      <c r="E649" s="2141" t="s">
        <v>5791</v>
      </c>
      <c r="F649" s="2120">
        <v>24</v>
      </c>
      <c r="G649" s="2032">
        <v>1</v>
      </c>
      <c r="H649" s="2118">
        <v>1.3</v>
      </c>
      <c r="I649" s="2122">
        <f t="shared" si="54"/>
        <v>31.200000000000003</v>
      </c>
      <c r="J649" s="2118">
        <v>4</v>
      </c>
      <c r="K649" s="2118">
        <f t="shared" si="55"/>
        <v>124.80000000000001</v>
      </c>
      <c r="L649" s="2118">
        <v>2140</v>
      </c>
      <c r="M649" s="2118">
        <f t="shared" si="56"/>
        <v>96</v>
      </c>
    </row>
    <row r="650" spans="4:21">
      <c r="E650" s="2121"/>
      <c r="F650" s="2119"/>
      <c r="G650" s="1043"/>
      <c r="H650" s="104"/>
      <c r="I650" s="894"/>
      <c r="J650" s="2118" t="s">
        <v>4592</v>
      </c>
      <c r="K650" s="2118">
        <f>SUM(K641:K649)</f>
        <v>2003.32</v>
      </c>
      <c r="L650" s="2119"/>
    </row>
    <row r="651" spans="4:21">
      <c r="F651" s="2119"/>
      <c r="G651" s="2119"/>
      <c r="H651" s="2119"/>
      <c r="I651" s="2119"/>
      <c r="J651" s="2119"/>
      <c r="K651" s="2119"/>
      <c r="L651" s="2119"/>
    </row>
  </sheetData>
  <mergeCells count="10">
    <mergeCell ref="K18:R18"/>
    <mergeCell ref="E60:G60"/>
    <mergeCell ref="E89:G89"/>
    <mergeCell ref="E106:G106"/>
    <mergeCell ref="E152:G152"/>
    <mergeCell ref="E602:G602"/>
    <mergeCell ref="E588:G588"/>
    <mergeCell ref="E413:K413"/>
    <mergeCell ref="D428:K428"/>
    <mergeCell ref="P190:R190"/>
  </mergeCell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8:H19"/>
  <sheetViews>
    <sheetView topLeftCell="B1" workbookViewId="0">
      <selection activeCell="C1" sqref="C1:O1048576"/>
    </sheetView>
  </sheetViews>
  <sheetFormatPr baseColWidth="10" defaultRowHeight="15"/>
  <cols>
    <col min="1" max="1" width="0" hidden="1" customWidth="1"/>
    <col min="2" max="2" width="26.5703125" customWidth="1"/>
    <col min="3" max="3" width="41.42578125" customWidth="1"/>
    <col min="4" max="6" width="11.42578125" customWidth="1"/>
    <col min="8" max="8" width="11.42578125" customWidth="1"/>
  </cols>
  <sheetData>
    <row r="8" spans="2:8">
      <c r="B8" s="398" t="s">
        <v>116</v>
      </c>
      <c r="C8" s="398"/>
      <c r="D8" s="398"/>
      <c r="E8" s="398"/>
      <c r="F8" s="398"/>
      <c r="G8" s="395"/>
    </row>
    <row r="9" spans="2:8" ht="30">
      <c r="B9" s="398" t="s">
        <v>116</v>
      </c>
      <c r="C9" s="398" t="s">
        <v>617</v>
      </c>
      <c r="D9" s="400" t="s">
        <v>1562</v>
      </c>
      <c r="E9" s="400" t="s">
        <v>1698</v>
      </c>
      <c r="F9" s="400" t="s">
        <v>1699</v>
      </c>
      <c r="G9" s="398" t="s">
        <v>68</v>
      </c>
      <c r="H9" s="17" t="s">
        <v>560</v>
      </c>
    </row>
    <row r="10" spans="2:8" hidden="1">
      <c r="B10" s="399">
        <v>7591668100063</v>
      </c>
      <c r="C10" s="398" t="s">
        <v>1697</v>
      </c>
      <c r="D10" s="398">
        <v>12</v>
      </c>
      <c r="E10" s="398">
        <v>24.77</v>
      </c>
      <c r="F10" s="6">
        <f t="shared" ref="F10:F16" si="0">E10/D10</f>
        <v>2.0641666666666665</v>
      </c>
      <c r="G10" s="398">
        <v>0</v>
      </c>
      <c r="H10" s="398">
        <f>E10*G10</f>
        <v>0</v>
      </c>
    </row>
    <row r="11" spans="2:8">
      <c r="B11" s="399">
        <v>7591668100100</v>
      </c>
      <c r="C11" s="398" t="s">
        <v>1700</v>
      </c>
      <c r="D11" s="398">
        <v>12</v>
      </c>
      <c r="E11" s="398">
        <v>17.23</v>
      </c>
      <c r="F11" s="6">
        <f t="shared" si="0"/>
        <v>1.4358333333333333</v>
      </c>
      <c r="G11" s="398" t="s">
        <v>244</v>
      </c>
      <c r="H11" s="398" t="e">
        <f t="shared" ref="H11:H16" si="1">E11*G11</f>
        <v>#VALUE!</v>
      </c>
    </row>
    <row r="12" spans="2:8">
      <c r="B12" s="399">
        <v>7591668100117</v>
      </c>
      <c r="C12" s="398" t="s">
        <v>1701</v>
      </c>
      <c r="D12" s="398">
        <v>12</v>
      </c>
      <c r="E12" s="398">
        <v>17.23</v>
      </c>
      <c r="F12" s="6">
        <f t="shared" si="0"/>
        <v>1.4358333333333333</v>
      </c>
      <c r="G12" s="398" t="s">
        <v>244</v>
      </c>
      <c r="H12" s="398" t="e">
        <f t="shared" si="1"/>
        <v>#VALUE!</v>
      </c>
    </row>
    <row r="13" spans="2:8">
      <c r="B13" s="399">
        <v>7591668100148</v>
      </c>
      <c r="C13" s="398" t="s">
        <v>1702</v>
      </c>
      <c r="D13" s="398">
        <v>24</v>
      </c>
      <c r="E13" s="398">
        <v>38.770000000000003</v>
      </c>
      <c r="F13" s="6">
        <f t="shared" si="0"/>
        <v>1.6154166666666667</v>
      </c>
      <c r="G13" s="398" t="s">
        <v>557</v>
      </c>
      <c r="H13" s="398" t="e">
        <f t="shared" si="1"/>
        <v>#VALUE!</v>
      </c>
    </row>
    <row r="14" spans="2:8">
      <c r="B14" s="399">
        <v>7591668100155</v>
      </c>
      <c r="C14" s="398" t="s">
        <v>1703</v>
      </c>
      <c r="D14" s="398">
        <v>48</v>
      </c>
      <c r="E14" s="398">
        <v>68.92</v>
      </c>
      <c r="F14" s="6">
        <f t="shared" si="0"/>
        <v>1.4358333333333333</v>
      </c>
      <c r="G14" s="398" t="s">
        <v>557</v>
      </c>
      <c r="H14" s="398" t="e">
        <f t="shared" si="1"/>
        <v>#VALUE!</v>
      </c>
    </row>
    <row r="15" spans="2:8">
      <c r="B15" s="399">
        <v>7591668110048</v>
      </c>
      <c r="C15" s="398" t="s">
        <v>1704</v>
      </c>
      <c r="D15" s="398">
        <v>24</v>
      </c>
      <c r="E15" s="398">
        <v>51.69</v>
      </c>
      <c r="F15" s="6">
        <f t="shared" si="0"/>
        <v>2.1537500000000001</v>
      </c>
      <c r="G15" s="398" t="s">
        <v>557</v>
      </c>
      <c r="H15" s="398" t="e">
        <f t="shared" si="1"/>
        <v>#VALUE!</v>
      </c>
    </row>
    <row r="16" spans="2:8">
      <c r="B16" s="399">
        <v>7591668130053</v>
      </c>
      <c r="C16" s="398" t="s">
        <v>1705</v>
      </c>
      <c r="D16" s="398">
        <v>12</v>
      </c>
      <c r="E16" s="398">
        <v>17.23</v>
      </c>
      <c r="F16" s="6">
        <f t="shared" si="0"/>
        <v>1.4358333333333333</v>
      </c>
      <c r="G16" s="398" t="s">
        <v>556</v>
      </c>
      <c r="H16" s="398" t="e">
        <f t="shared" si="1"/>
        <v>#VALUE!</v>
      </c>
    </row>
    <row r="17" spans="2:8">
      <c r="B17" s="399"/>
      <c r="C17" s="398"/>
      <c r="D17" s="398"/>
      <c r="E17" s="398"/>
      <c r="F17" s="6" t="s">
        <v>65</v>
      </c>
      <c r="G17" s="398"/>
      <c r="H17" s="398" t="e">
        <f>SUM(H10:H16)</f>
        <v>#VALUE!</v>
      </c>
    </row>
    <row r="18" spans="2:8">
      <c r="H18" s="14" t="e">
        <f>H17*16%</f>
        <v>#VALUE!</v>
      </c>
    </row>
    <row r="19" spans="2:8">
      <c r="H19" t="e">
        <f>SUM(H17:H18)</f>
        <v>#VALUE!</v>
      </c>
    </row>
  </sheetData>
  <pageMargins left="0.7" right="0.7" top="0.75" bottom="0.75" header="0.3" footer="0.3"/>
  <pageSetup paperSize="119" orientation="landscape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G9"/>
  <sheetViews>
    <sheetView workbookViewId="0">
      <selection activeCell="E10" sqref="E10"/>
    </sheetView>
  </sheetViews>
  <sheetFormatPr baseColWidth="10" defaultRowHeight="15"/>
  <cols>
    <col min="1" max="1" width="11.42578125" style="404"/>
    <col min="3" max="3" width="25.140625" customWidth="1"/>
    <col min="4" max="4" width="0" style="427" hidden="1" customWidth="1"/>
    <col min="6" max="6" width="0" hidden="1" customWidth="1"/>
  </cols>
  <sheetData>
    <row r="2" spans="3:7" s="404" customFormat="1">
      <c r="D2" s="427"/>
    </row>
    <row r="3" spans="3:7" s="404" customFormat="1">
      <c r="D3" s="427"/>
    </row>
    <row r="4" spans="3:7" s="404" customFormat="1">
      <c r="D4" s="427"/>
    </row>
    <row r="5" spans="3:7" s="404" customFormat="1" ht="15.75" thickBot="1">
      <c r="D5" s="427"/>
    </row>
    <row r="6" spans="3:7">
      <c r="C6" s="441"/>
      <c r="D6" s="442" t="s">
        <v>1560</v>
      </c>
      <c r="E6" s="442" t="s">
        <v>68</v>
      </c>
      <c r="F6" s="442" t="s">
        <v>560</v>
      </c>
      <c r="G6" s="443"/>
    </row>
    <row r="7" spans="3:7">
      <c r="C7" s="444" t="s">
        <v>1926</v>
      </c>
      <c r="D7" s="428">
        <v>2.38</v>
      </c>
      <c r="E7" s="428">
        <v>100</v>
      </c>
      <c r="F7" s="428">
        <f>D6:D7*E7</f>
        <v>238</v>
      </c>
      <c r="G7" s="386" t="s">
        <v>1928</v>
      </c>
    </row>
    <row r="8" spans="3:7" ht="15.75" thickBot="1">
      <c r="C8" s="445" t="s">
        <v>1927</v>
      </c>
      <c r="D8" s="446">
        <v>4.57</v>
      </c>
      <c r="E8" s="446">
        <v>100</v>
      </c>
      <c r="F8" s="446">
        <f>D8*E8</f>
        <v>457</v>
      </c>
      <c r="G8" s="447" t="s">
        <v>1928</v>
      </c>
    </row>
    <row r="9" spans="3:7">
      <c r="E9" t="s">
        <v>65</v>
      </c>
      <c r="F9" s="427">
        <f>SUM(F7:F8)</f>
        <v>695</v>
      </c>
    </row>
  </sheetData>
  <pageMargins left="0.7" right="0.7" top="0.75" bottom="0.75" header="0.3" footer="0.3"/>
  <pageSetup paperSize="119" orientation="landscape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4"/>
  <sheetViews>
    <sheetView topLeftCell="D2" workbookViewId="0">
      <selection activeCell="T133" sqref="T133"/>
    </sheetView>
  </sheetViews>
  <sheetFormatPr baseColWidth="10" defaultColWidth="13.85546875" defaultRowHeight="15"/>
  <cols>
    <col min="1" max="1" width="0" hidden="1" customWidth="1"/>
    <col min="2" max="3" width="0" style="1141" hidden="1" customWidth="1"/>
    <col min="4" max="4" width="19.7109375" style="407" customWidth="1"/>
    <col min="5" max="5" width="39.85546875" style="65" customWidth="1"/>
    <col min="6" max="6" width="7.7109375" style="1141" hidden="1" customWidth="1"/>
    <col min="7" max="9" width="13.85546875" style="101" hidden="1" customWidth="1"/>
    <col min="10" max="10" width="13.85546875" style="479" hidden="1" customWidth="1"/>
    <col min="11" max="17" width="13.85546875" style="101" hidden="1" customWidth="1"/>
    <col min="18" max="19" width="13.85546875" style="101" customWidth="1"/>
    <col min="20" max="20" width="6.42578125" style="1123" customWidth="1"/>
    <col min="21" max="21" width="7.42578125" style="1123" customWidth="1"/>
    <col min="22" max="22" width="6.28515625" style="1123" customWidth="1"/>
    <col min="23" max="23" width="7.7109375" style="1123" customWidth="1"/>
    <col min="24" max="25" width="13.85546875" style="101"/>
  </cols>
  <sheetData>
    <row r="1" spans="2:23" hidden="1"/>
    <row r="2" spans="2:23">
      <c r="B2" s="742"/>
      <c r="C2" s="742"/>
      <c r="D2" s="743"/>
      <c r="E2" s="744"/>
      <c r="F2" s="742"/>
    </row>
    <row r="3" spans="2:23">
      <c r="B3" s="742"/>
      <c r="C3" s="742"/>
      <c r="D3" s="743"/>
      <c r="E3" s="744"/>
      <c r="F3" s="742"/>
    </row>
    <row r="4" spans="2:23" hidden="1">
      <c r="B4" s="742"/>
      <c r="C4" s="742"/>
      <c r="D4" s="743"/>
      <c r="E4" s="744" t="s">
        <v>3334</v>
      </c>
      <c r="F4" s="742"/>
      <c r="H4" s="2412" t="s">
        <v>3333</v>
      </c>
      <c r="I4" s="2412"/>
      <c r="J4" s="2412"/>
      <c r="K4" s="2412"/>
      <c r="L4" s="2412"/>
      <c r="M4" s="2412"/>
      <c r="N4" s="2412"/>
    </row>
    <row r="5" spans="2:23" hidden="1">
      <c r="B5" s="742"/>
      <c r="C5" s="742"/>
      <c r="D5" s="743"/>
      <c r="E5" s="744"/>
      <c r="F5" s="742"/>
    </row>
    <row r="6" spans="2:23" hidden="1">
      <c r="B6" s="69" t="s">
        <v>1706</v>
      </c>
      <c r="C6" s="69"/>
      <c r="D6" s="745"/>
      <c r="E6" s="746" t="s">
        <v>65</v>
      </c>
      <c r="F6" s="69" t="s">
        <v>65</v>
      </c>
      <c r="G6" s="1140"/>
      <c r="H6" s="1140"/>
      <c r="I6" s="1140" t="s">
        <v>65</v>
      </c>
      <c r="J6" s="326"/>
      <c r="K6" s="1140"/>
      <c r="L6" s="1140" t="s">
        <v>1707</v>
      </c>
      <c r="M6" s="1140"/>
      <c r="N6" s="1140"/>
    </row>
    <row r="7" spans="2:23" ht="33" hidden="1" customHeight="1">
      <c r="B7" s="2409" t="s">
        <v>1708</v>
      </c>
      <c r="C7" s="2410"/>
      <c r="D7" s="2410"/>
      <c r="E7" s="2410"/>
      <c r="F7" s="2410"/>
      <c r="G7" s="2411"/>
      <c r="H7" s="438"/>
      <c r="I7" s="438" t="s">
        <v>4232</v>
      </c>
      <c r="J7" s="1103"/>
      <c r="K7" s="438"/>
      <c r="L7" s="438"/>
      <c r="M7" s="438"/>
      <c r="N7" s="438"/>
      <c r="O7" s="101" t="s">
        <v>3333</v>
      </c>
    </row>
    <row r="8" spans="2:23" ht="60" hidden="1">
      <c r="B8" s="1139"/>
      <c r="C8" s="1139" t="s">
        <v>1709</v>
      </c>
      <c r="D8" s="271" t="s">
        <v>1710</v>
      </c>
      <c r="E8" s="265"/>
      <c r="F8" s="1139"/>
      <c r="G8" s="1139" t="s">
        <v>1711</v>
      </c>
      <c r="H8" s="1138" t="s">
        <v>1712</v>
      </c>
      <c r="I8" s="1138" t="s">
        <v>1713</v>
      </c>
      <c r="J8" s="1138" t="s">
        <v>1714</v>
      </c>
      <c r="K8" s="1138" t="s">
        <v>1715</v>
      </c>
      <c r="L8" s="1138"/>
      <c r="M8" s="1138" t="s">
        <v>1716</v>
      </c>
      <c r="N8" s="1138" t="s">
        <v>1717</v>
      </c>
      <c r="O8" s="1138" t="s">
        <v>68</v>
      </c>
      <c r="P8" s="1138"/>
      <c r="Q8" s="1138"/>
      <c r="R8" s="1138" t="s">
        <v>560</v>
      </c>
      <c r="S8" s="1138" t="s">
        <v>3332</v>
      </c>
      <c r="T8" s="753" t="s">
        <v>2567</v>
      </c>
      <c r="U8" s="753" t="s">
        <v>2572</v>
      </c>
      <c r="V8" s="753" t="s">
        <v>2568</v>
      </c>
      <c r="W8" s="1430"/>
    </row>
    <row r="9" spans="2:23" hidden="1">
      <c r="B9" s="69" t="s">
        <v>1718</v>
      </c>
      <c r="C9" s="69">
        <v>15196</v>
      </c>
      <c r="D9" s="748">
        <v>75916220</v>
      </c>
      <c r="E9" s="1159" t="s">
        <v>1719</v>
      </c>
      <c r="F9" s="643"/>
      <c r="G9" s="528">
        <v>24</v>
      </c>
      <c r="H9" s="528">
        <v>12.1</v>
      </c>
      <c r="I9" s="528">
        <v>14.04</v>
      </c>
      <c r="J9" s="528">
        <v>0.5</v>
      </c>
      <c r="K9" s="528">
        <v>0.59</v>
      </c>
      <c r="L9" s="528"/>
      <c r="M9" s="528">
        <v>0.67</v>
      </c>
      <c r="N9" s="528">
        <v>0.78</v>
      </c>
      <c r="O9" s="528"/>
      <c r="P9" s="528"/>
      <c r="Q9" s="528"/>
      <c r="R9" s="528">
        <f>I9*O9</f>
        <v>0</v>
      </c>
      <c r="S9" s="528"/>
      <c r="T9" s="1161"/>
      <c r="U9" s="1161"/>
      <c r="V9" s="1161"/>
      <c r="W9" s="1161"/>
    </row>
    <row r="10" spans="2:23" hidden="1">
      <c r="B10" s="69"/>
      <c r="C10" s="69">
        <v>15197</v>
      </c>
      <c r="D10" s="748">
        <v>75916107</v>
      </c>
      <c r="E10" s="1159" t="s">
        <v>1720</v>
      </c>
      <c r="F10" s="643"/>
      <c r="G10" s="528">
        <v>24</v>
      </c>
      <c r="H10" s="528">
        <v>21.52</v>
      </c>
      <c r="I10" s="528">
        <v>24.96</v>
      </c>
      <c r="J10" s="528">
        <v>0.9</v>
      </c>
      <c r="K10" s="528">
        <v>1.04</v>
      </c>
      <c r="L10" s="528"/>
      <c r="M10" s="528">
        <v>1.1200000000000001</v>
      </c>
      <c r="N10" s="528">
        <v>1.3</v>
      </c>
      <c r="O10" s="528">
        <v>60</v>
      </c>
      <c r="P10" s="528"/>
      <c r="Q10" s="528"/>
      <c r="R10" s="528">
        <f t="shared" ref="R10:R41" si="0">O10*I10</f>
        <v>1497.6000000000001</v>
      </c>
      <c r="S10" s="564"/>
      <c r="T10" s="1161">
        <f t="shared" ref="T10:T41" si="1">S10/G10</f>
        <v>0</v>
      </c>
      <c r="U10" s="1161"/>
      <c r="V10" s="1161">
        <f t="shared" ref="V10:V41" si="2">U10/G10</f>
        <v>0</v>
      </c>
      <c r="W10" s="1161" t="s">
        <v>554</v>
      </c>
    </row>
    <row r="11" spans="2:23" hidden="1">
      <c r="B11" s="69"/>
      <c r="C11" s="69">
        <v>15203</v>
      </c>
      <c r="D11" s="748">
        <v>75920531</v>
      </c>
      <c r="E11" s="1159" t="s">
        <v>1721</v>
      </c>
      <c r="F11" s="643"/>
      <c r="G11" s="528">
        <v>24</v>
      </c>
      <c r="H11" s="528">
        <v>10.24</v>
      </c>
      <c r="I11" s="528">
        <v>11.88</v>
      </c>
      <c r="J11" s="528">
        <v>0.43</v>
      </c>
      <c r="K11" s="528">
        <v>0.5</v>
      </c>
      <c r="L11" s="528"/>
      <c r="M11" s="528">
        <v>0.56999999999999995</v>
      </c>
      <c r="N11" s="528">
        <v>0.66</v>
      </c>
      <c r="O11" s="528"/>
      <c r="P11" s="528"/>
      <c r="Q11" s="528"/>
      <c r="R11" s="528">
        <f t="shared" si="0"/>
        <v>0</v>
      </c>
      <c r="S11" s="564"/>
      <c r="T11" s="1161">
        <f t="shared" si="1"/>
        <v>0</v>
      </c>
      <c r="U11" s="1161"/>
      <c r="V11" s="1161">
        <f t="shared" si="2"/>
        <v>0</v>
      </c>
      <c r="W11" s="1161" t="s">
        <v>554</v>
      </c>
    </row>
    <row r="12" spans="2:23" hidden="1">
      <c r="B12" s="69"/>
      <c r="C12" s="69">
        <v>15228</v>
      </c>
      <c r="D12" s="748">
        <v>75919740</v>
      </c>
      <c r="E12" s="1159" t="s">
        <v>1722</v>
      </c>
      <c r="F12" s="643"/>
      <c r="G12" s="528">
        <v>24</v>
      </c>
      <c r="H12" s="528">
        <v>18.37</v>
      </c>
      <c r="I12" s="528">
        <v>21.31</v>
      </c>
      <c r="J12" s="528">
        <v>0.77</v>
      </c>
      <c r="K12" s="528">
        <v>0.89</v>
      </c>
      <c r="L12" s="528"/>
      <c r="M12" s="528">
        <v>0.96</v>
      </c>
      <c r="N12" s="528">
        <v>1.1100000000000001</v>
      </c>
      <c r="O12" s="528">
        <v>30</v>
      </c>
      <c r="P12" s="528"/>
      <c r="Q12" s="528"/>
      <c r="R12" s="528">
        <f t="shared" si="0"/>
        <v>639.29999999999995</v>
      </c>
      <c r="S12" s="564"/>
      <c r="T12" s="1161">
        <f t="shared" si="1"/>
        <v>0</v>
      </c>
      <c r="U12" s="1161"/>
      <c r="V12" s="1161">
        <f t="shared" si="2"/>
        <v>0</v>
      </c>
      <c r="W12" s="1161" t="s">
        <v>554</v>
      </c>
    </row>
    <row r="13" spans="2:23" hidden="1">
      <c r="B13" s="69"/>
      <c r="C13" s="69">
        <v>15759</v>
      </c>
      <c r="D13" s="748">
        <v>7591112000086</v>
      </c>
      <c r="E13" s="1159" t="s">
        <v>1723</v>
      </c>
      <c r="F13" s="643"/>
      <c r="G13" s="528">
        <v>24</v>
      </c>
      <c r="H13" s="528">
        <v>12.02</v>
      </c>
      <c r="I13" s="528">
        <v>13.94</v>
      </c>
      <c r="J13" s="528">
        <v>0.5</v>
      </c>
      <c r="K13" s="528">
        <v>0.57999999999999996</v>
      </c>
      <c r="L13" s="528"/>
      <c r="M13" s="528">
        <v>0.72</v>
      </c>
      <c r="N13" s="528">
        <v>0.83</v>
      </c>
      <c r="O13" s="528"/>
      <c r="P13" s="528"/>
      <c r="Q13" s="528"/>
      <c r="R13" s="528">
        <f t="shared" si="0"/>
        <v>0</v>
      </c>
      <c r="S13" s="564"/>
      <c r="T13" s="1161">
        <f t="shared" si="1"/>
        <v>0</v>
      </c>
      <c r="U13" s="1161"/>
      <c r="V13" s="1161">
        <f t="shared" si="2"/>
        <v>0</v>
      </c>
      <c r="W13" s="1161" t="s">
        <v>554</v>
      </c>
    </row>
    <row r="14" spans="2:23" hidden="1">
      <c r="B14" s="69"/>
      <c r="C14" s="69">
        <v>15553</v>
      </c>
      <c r="D14" s="748">
        <v>75922078</v>
      </c>
      <c r="E14" s="1159" t="s">
        <v>1724</v>
      </c>
      <c r="F14" s="643"/>
      <c r="G14" s="528">
        <v>24</v>
      </c>
      <c r="H14" s="528">
        <v>20.13</v>
      </c>
      <c r="I14" s="528">
        <v>23.35</v>
      </c>
      <c r="J14" s="528">
        <v>0.84</v>
      </c>
      <c r="K14" s="528">
        <v>0.97</v>
      </c>
      <c r="L14" s="528"/>
      <c r="M14" s="528">
        <v>1.2</v>
      </c>
      <c r="N14" s="528">
        <v>1.39</v>
      </c>
      <c r="O14" s="528"/>
      <c r="P14" s="528"/>
      <c r="Q14" s="528"/>
      <c r="R14" s="528">
        <f t="shared" si="0"/>
        <v>0</v>
      </c>
      <c r="S14" s="564"/>
      <c r="T14" s="1161">
        <f t="shared" si="1"/>
        <v>0</v>
      </c>
      <c r="U14" s="1161"/>
      <c r="V14" s="1161">
        <f t="shared" si="2"/>
        <v>0</v>
      </c>
      <c r="W14" s="1161" t="s">
        <v>554</v>
      </c>
    </row>
    <row r="15" spans="2:23" hidden="1">
      <c r="B15" s="69" t="s">
        <v>1725</v>
      </c>
      <c r="C15" s="69">
        <v>15767</v>
      </c>
      <c r="D15" s="748">
        <v>7591112000093</v>
      </c>
      <c r="E15" s="1159" t="s">
        <v>1726</v>
      </c>
      <c r="F15" s="643"/>
      <c r="G15" s="528">
        <v>24</v>
      </c>
      <c r="H15" s="528">
        <v>12.02</v>
      </c>
      <c r="I15" s="528">
        <v>13.94</v>
      </c>
      <c r="J15" s="528">
        <v>0.5</v>
      </c>
      <c r="K15" s="528">
        <v>0.57999999999999996</v>
      </c>
      <c r="L15" s="528"/>
      <c r="M15" s="528">
        <v>0.72</v>
      </c>
      <c r="N15" s="528">
        <v>0.83</v>
      </c>
      <c r="O15" s="528"/>
      <c r="P15" s="528"/>
      <c r="Q15" s="528"/>
      <c r="R15" s="528">
        <f t="shared" si="0"/>
        <v>0</v>
      </c>
      <c r="S15" s="564"/>
      <c r="T15" s="1161">
        <f t="shared" si="1"/>
        <v>0</v>
      </c>
      <c r="U15" s="1161"/>
      <c r="V15" s="1161">
        <f t="shared" si="2"/>
        <v>0</v>
      </c>
      <c r="W15" s="1161" t="s">
        <v>554</v>
      </c>
    </row>
    <row r="16" spans="2:23" hidden="1">
      <c r="B16" s="69"/>
      <c r="C16" s="69">
        <v>15707</v>
      </c>
      <c r="D16" s="748">
        <v>7591112460989</v>
      </c>
      <c r="E16" s="1159" t="s">
        <v>1727</v>
      </c>
      <c r="F16" s="643"/>
      <c r="G16" s="528">
        <v>24</v>
      </c>
      <c r="H16" s="528">
        <v>20.13</v>
      </c>
      <c r="I16" s="528">
        <v>23.35</v>
      </c>
      <c r="J16" s="528">
        <v>0.84</v>
      </c>
      <c r="K16" s="528">
        <v>0.97</v>
      </c>
      <c r="L16" s="528"/>
      <c r="M16" s="528">
        <v>1.2</v>
      </c>
      <c r="N16" s="528">
        <v>1.39</v>
      </c>
      <c r="O16" s="528"/>
      <c r="P16" s="528"/>
      <c r="Q16" s="528"/>
      <c r="R16" s="528">
        <f t="shared" si="0"/>
        <v>0</v>
      </c>
      <c r="S16" s="564"/>
      <c r="T16" s="1161">
        <f t="shared" si="1"/>
        <v>0</v>
      </c>
      <c r="U16" s="1161"/>
      <c r="V16" s="1161">
        <f t="shared" si="2"/>
        <v>0</v>
      </c>
      <c r="W16" s="1161" t="s">
        <v>554</v>
      </c>
    </row>
    <row r="17" spans="2:23" hidden="1">
      <c r="B17" s="69"/>
      <c r="C17" s="69">
        <v>15232</v>
      </c>
      <c r="D17" s="748">
        <v>7591112023061</v>
      </c>
      <c r="E17" s="1159" t="s">
        <v>1728</v>
      </c>
      <c r="F17" s="643"/>
      <c r="G17" s="528">
        <v>24</v>
      </c>
      <c r="H17" s="528">
        <v>15.06</v>
      </c>
      <c r="I17" s="528">
        <v>17.47</v>
      </c>
      <c r="J17" s="528">
        <v>0.63</v>
      </c>
      <c r="K17" s="528">
        <v>0.73</v>
      </c>
      <c r="L17" s="528"/>
      <c r="M17" s="528">
        <v>0.78</v>
      </c>
      <c r="N17" s="528">
        <v>0.91</v>
      </c>
      <c r="O17" s="528"/>
      <c r="P17" s="528"/>
      <c r="Q17" s="528"/>
      <c r="R17" s="528">
        <f t="shared" si="0"/>
        <v>0</v>
      </c>
      <c r="S17" s="564"/>
      <c r="T17" s="1161">
        <f t="shared" si="1"/>
        <v>0</v>
      </c>
      <c r="U17" s="1161"/>
      <c r="V17" s="1161">
        <f t="shared" si="2"/>
        <v>0</v>
      </c>
      <c r="W17" s="1161" t="s">
        <v>554</v>
      </c>
    </row>
    <row r="18" spans="2:23" hidden="1">
      <c r="B18" s="69" t="s">
        <v>1729</v>
      </c>
      <c r="C18" s="69">
        <v>15266</v>
      </c>
      <c r="D18" s="748">
        <v>75916237</v>
      </c>
      <c r="E18" s="1159" t="s">
        <v>1730</v>
      </c>
      <c r="F18" s="643"/>
      <c r="G18" s="528">
        <v>24</v>
      </c>
      <c r="H18" s="528">
        <v>12.02</v>
      </c>
      <c r="I18" s="528">
        <v>13.94</v>
      </c>
      <c r="J18" s="528">
        <v>0.5</v>
      </c>
      <c r="K18" s="528">
        <v>0.57999999999999996</v>
      </c>
      <c r="L18" s="528"/>
      <c r="M18" s="528">
        <v>0.72</v>
      </c>
      <c r="N18" s="528">
        <v>0.83</v>
      </c>
      <c r="O18" s="528"/>
      <c r="P18" s="528"/>
      <c r="Q18" s="528"/>
      <c r="R18" s="528">
        <f t="shared" si="0"/>
        <v>0</v>
      </c>
      <c r="S18" s="564"/>
      <c r="T18" s="1161">
        <f t="shared" si="1"/>
        <v>0</v>
      </c>
      <c r="U18" s="1161"/>
      <c r="V18" s="1161">
        <f t="shared" si="2"/>
        <v>0</v>
      </c>
      <c r="W18" s="1161" t="s">
        <v>554</v>
      </c>
    </row>
    <row r="19" spans="2:23" hidden="1">
      <c r="B19" s="69"/>
      <c r="C19" s="69">
        <v>15267</v>
      </c>
      <c r="D19" s="748">
        <v>75916176</v>
      </c>
      <c r="E19" s="1159" t="s">
        <v>1731</v>
      </c>
      <c r="F19" s="643"/>
      <c r="G19" s="528">
        <v>24</v>
      </c>
      <c r="H19" s="528">
        <v>20.13</v>
      </c>
      <c r="I19" s="528">
        <v>23.35</v>
      </c>
      <c r="J19" s="528">
        <v>0.84</v>
      </c>
      <c r="K19" s="528">
        <v>0.97</v>
      </c>
      <c r="L19" s="528"/>
      <c r="M19" s="528">
        <v>1.2</v>
      </c>
      <c r="N19" s="528">
        <v>1.39</v>
      </c>
      <c r="O19" s="528"/>
      <c r="P19" s="528"/>
      <c r="Q19" s="528"/>
      <c r="R19" s="528">
        <f t="shared" si="0"/>
        <v>0</v>
      </c>
      <c r="S19" s="564"/>
      <c r="T19" s="1161">
        <f t="shared" si="1"/>
        <v>0</v>
      </c>
      <c r="U19" s="1161"/>
      <c r="V19" s="1161">
        <f t="shared" si="2"/>
        <v>0</v>
      </c>
      <c r="W19" s="1161" t="s">
        <v>554</v>
      </c>
    </row>
    <row r="20" spans="2:23" hidden="1">
      <c r="B20" s="69" t="s">
        <v>1732</v>
      </c>
      <c r="C20" s="69">
        <v>15714</v>
      </c>
      <c r="D20" s="748">
        <v>7591112460842</v>
      </c>
      <c r="E20" s="1159" t="s">
        <v>1733</v>
      </c>
      <c r="F20" s="643"/>
      <c r="G20" s="528">
        <v>24</v>
      </c>
      <c r="H20" s="528">
        <v>12.17</v>
      </c>
      <c r="I20" s="528">
        <v>14.11</v>
      </c>
      <c r="J20" s="528">
        <v>0.51</v>
      </c>
      <c r="K20" s="528">
        <v>0.59</v>
      </c>
      <c r="L20" s="528"/>
      <c r="M20" s="528">
        <v>0.72</v>
      </c>
      <c r="N20" s="528">
        <v>0.84</v>
      </c>
      <c r="O20" s="528"/>
      <c r="P20" s="528"/>
      <c r="Q20" s="528"/>
      <c r="R20" s="528">
        <f t="shared" si="0"/>
        <v>0</v>
      </c>
      <c r="S20" s="564"/>
      <c r="T20" s="1161">
        <f t="shared" si="1"/>
        <v>0</v>
      </c>
      <c r="U20" s="1161"/>
      <c r="V20" s="1161">
        <f t="shared" si="2"/>
        <v>0</v>
      </c>
      <c r="W20" s="1161" t="s">
        <v>554</v>
      </c>
    </row>
    <row r="21" spans="2:23" hidden="1">
      <c r="B21" s="69"/>
      <c r="C21" s="69">
        <v>15258</v>
      </c>
      <c r="D21" s="748">
        <v>7591112041010</v>
      </c>
      <c r="E21" s="1159" t="s">
        <v>1734</v>
      </c>
      <c r="F21" s="643"/>
      <c r="G21" s="528">
        <v>24</v>
      </c>
      <c r="H21" s="528">
        <v>18.25</v>
      </c>
      <c r="I21" s="528">
        <v>21.17</v>
      </c>
      <c r="J21" s="528">
        <v>0.76</v>
      </c>
      <c r="K21" s="528">
        <v>0.88</v>
      </c>
      <c r="L21" s="528"/>
      <c r="M21" s="528">
        <v>1.0900000000000001</v>
      </c>
      <c r="N21" s="528">
        <v>1.26</v>
      </c>
      <c r="O21" s="528"/>
      <c r="P21" s="528"/>
      <c r="Q21" s="528"/>
      <c r="R21" s="528">
        <f t="shared" si="0"/>
        <v>0</v>
      </c>
      <c r="S21" s="564"/>
      <c r="T21" s="1161">
        <f t="shared" si="1"/>
        <v>0</v>
      </c>
      <c r="U21" s="1161"/>
      <c r="V21" s="1161">
        <f t="shared" si="2"/>
        <v>0</v>
      </c>
      <c r="W21" s="1161" t="s">
        <v>554</v>
      </c>
    </row>
    <row r="22" spans="2:23" hidden="1">
      <c r="B22" s="69"/>
      <c r="C22" s="69">
        <v>15260</v>
      </c>
      <c r="D22" s="748">
        <v>7591112041041</v>
      </c>
      <c r="E22" s="1159" t="s">
        <v>1735</v>
      </c>
      <c r="F22" s="643"/>
      <c r="G22" s="528">
        <v>12</v>
      </c>
      <c r="H22" s="528">
        <v>18.32</v>
      </c>
      <c r="I22" s="528">
        <v>21.25</v>
      </c>
      <c r="J22" s="528">
        <v>1.53</v>
      </c>
      <c r="K22" s="528">
        <v>1.77</v>
      </c>
      <c r="L22" s="528"/>
      <c r="M22" s="528">
        <v>2.1800000000000002</v>
      </c>
      <c r="N22" s="528">
        <v>2.5299999999999998</v>
      </c>
      <c r="O22" s="528">
        <v>40</v>
      </c>
      <c r="P22" s="528"/>
      <c r="Q22" s="528"/>
      <c r="R22" s="528">
        <f t="shared" si="0"/>
        <v>850</v>
      </c>
      <c r="S22" s="564"/>
      <c r="T22" s="1161">
        <f t="shared" si="1"/>
        <v>0</v>
      </c>
      <c r="U22" s="1161"/>
      <c r="V22" s="1161">
        <f t="shared" si="2"/>
        <v>0</v>
      </c>
      <c r="W22" s="1161" t="s">
        <v>554</v>
      </c>
    </row>
    <row r="23" spans="2:23" hidden="1">
      <c r="B23" s="69"/>
      <c r="C23" s="69">
        <v>15265</v>
      </c>
      <c r="D23" s="748">
        <v>7591112057042</v>
      </c>
      <c r="E23" s="1159" t="s">
        <v>1736</v>
      </c>
      <c r="F23" s="643"/>
      <c r="G23" s="528">
        <v>12</v>
      </c>
      <c r="H23" s="528">
        <v>15.57</v>
      </c>
      <c r="I23" s="528">
        <v>18.059999999999999</v>
      </c>
      <c r="J23" s="528">
        <v>1.3</v>
      </c>
      <c r="K23" s="528">
        <v>1.51</v>
      </c>
      <c r="L23" s="528"/>
      <c r="M23" s="528">
        <v>1.85</v>
      </c>
      <c r="N23" s="528">
        <v>2.15</v>
      </c>
      <c r="O23" s="528"/>
      <c r="P23" s="528"/>
      <c r="Q23" s="528"/>
      <c r="R23" s="528">
        <f t="shared" si="0"/>
        <v>0</v>
      </c>
      <c r="S23" s="564"/>
      <c r="T23" s="1161">
        <f t="shared" si="1"/>
        <v>0</v>
      </c>
      <c r="U23" s="1161"/>
      <c r="V23" s="1161">
        <f t="shared" si="2"/>
        <v>0</v>
      </c>
      <c r="W23" s="1161" t="s">
        <v>554</v>
      </c>
    </row>
    <row r="24" spans="2:23" hidden="1">
      <c r="B24" s="69"/>
      <c r="C24" s="69">
        <v>15261</v>
      </c>
      <c r="D24" s="748">
        <v>7591112041058</v>
      </c>
      <c r="E24" s="1159" t="s">
        <v>1737</v>
      </c>
      <c r="F24" s="643"/>
      <c r="G24" s="528">
        <v>4</v>
      </c>
      <c r="H24" s="528">
        <v>44.73</v>
      </c>
      <c r="I24" s="528">
        <v>51.88</v>
      </c>
      <c r="J24" s="528">
        <v>11.18</v>
      </c>
      <c r="K24" s="528">
        <v>12.97</v>
      </c>
      <c r="L24" s="528"/>
      <c r="M24" s="528">
        <v>15.97</v>
      </c>
      <c r="N24" s="528">
        <v>18.53</v>
      </c>
      <c r="O24" s="528"/>
      <c r="P24" s="528"/>
      <c r="Q24" s="528"/>
      <c r="R24" s="528">
        <f t="shared" si="0"/>
        <v>0</v>
      </c>
      <c r="S24" s="564"/>
      <c r="T24" s="1161">
        <f t="shared" si="1"/>
        <v>0</v>
      </c>
      <c r="U24" s="1161"/>
      <c r="V24" s="1161">
        <f t="shared" si="2"/>
        <v>0</v>
      </c>
      <c r="W24" s="1161" t="s">
        <v>554</v>
      </c>
    </row>
    <row r="25" spans="2:23" hidden="1">
      <c r="B25" s="69" t="s">
        <v>768</v>
      </c>
      <c r="C25" s="69">
        <v>15288</v>
      </c>
      <c r="D25" s="748">
        <v>7591112038010</v>
      </c>
      <c r="E25" s="1159" t="s">
        <v>1738</v>
      </c>
      <c r="F25" s="643"/>
      <c r="G25" s="528">
        <v>24</v>
      </c>
      <c r="H25" s="528">
        <v>14.48</v>
      </c>
      <c r="I25" s="528">
        <v>16.8</v>
      </c>
      <c r="J25" s="528">
        <v>0.6</v>
      </c>
      <c r="K25" s="528">
        <v>0.7</v>
      </c>
      <c r="L25" s="528"/>
      <c r="M25" s="528">
        <v>0.86</v>
      </c>
      <c r="N25" s="528">
        <v>1</v>
      </c>
      <c r="O25" s="528"/>
      <c r="P25" s="528"/>
      <c r="Q25" s="528"/>
      <c r="R25" s="528">
        <f t="shared" si="0"/>
        <v>0</v>
      </c>
      <c r="S25" s="564"/>
      <c r="T25" s="1161">
        <f t="shared" si="1"/>
        <v>0</v>
      </c>
      <c r="U25" s="1161"/>
      <c r="V25" s="1161">
        <f t="shared" si="2"/>
        <v>0</v>
      </c>
      <c r="W25" s="1161" t="s">
        <v>554</v>
      </c>
    </row>
    <row r="26" spans="2:23" hidden="1">
      <c r="B26" s="69"/>
      <c r="C26" s="69">
        <v>15566</v>
      </c>
      <c r="D26" s="748">
        <v>7591112155663</v>
      </c>
      <c r="E26" s="1159" t="s">
        <v>1739</v>
      </c>
      <c r="F26" s="643"/>
      <c r="G26" s="528">
        <v>24</v>
      </c>
      <c r="H26" s="528">
        <v>17.38</v>
      </c>
      <c r="I26" s="528">
        <v>20.16</v>
      </c>
      <c r="J26" s="528">
        <v>0.72</v>
      </c>
      <c r="K26" s="528">
        <v>0.84</v>
      </c>
      <c r="L26" s="528"/>
      <c r="M26" s="528">
        <v>1.03</v>
      </c>
      <c r="N26" s="528">
        <v>1.2</v>
      </c>
      <c r="O26" s="528"/>
      <c r="P26" s="528"/>
      <c r="Q26" s="528"/>
      <c r="R26" s="528">
        <f t="shared" si="0"/>
        <v>0</v>
      </c>
      <c r="S26" s="564"/>
      <c r="T26" s="1161">
        <f t="shared" si="1"/>
        <v>0</v>
      </c>
      <c r="U26" s="1161"/>
      <c r="V26" s="1161">
        <f t="shared" si="2"/>
        <v>0</v>
      </c>
      <c r="W26" s="1161" t="s">
        <v>554</v>
      </c>
    </row>
    <row r="27" spans="2:23" hidden="1">
      <c r="B27" s="69" t="s">
        <v>1740</v>
      </c>
      <c r="C27" s="69">
        <v>15281</v>
      </c>
      <c r="D27" s="748">
        <v>7591112025263</v>
      </c>
      <c r="E27" s="1159" t="s">
        <v>1741</v>
      </c>
      <c r="F27" s="643"/>
      <c r="G27" s="528">
        <v>24</v>
      </c>
      <c r="H27" s="528">
        <v>14.34</v>
      </c>
      <c r="I27" s="528">
        <v>16.63</v>
      </c>
      <c r="J27" s="528">
        <v>0.6</v>
      </c>
      <c r="K27" s="528">
        <v>0.69</v>
      </c>
      <c r="L27" s="528"/>
      <c r="M27" s="528">
        <v>0.85</v>
      </c>
      <c r="N27" s="528">
        <v>0.99</v>
      </c>
      <c r="O27" s="528">
        <v>10</v>
      </c>
      <c r="P27" s="528"/>
      <c r="Q27" s="528"/>
      <c r="R27" s="528">
        <f t="shared" si="0"/>
        <v>166.29999999999998</v>
      </c>
      <c r="S27" s="564"/>
      <c r="T27" s="1161">
        <f t="shared" si="1"/>
        <v>0</v>
      </c>
      <c r="U27" s="1161"/>
      <c r="V27" s="1161">
        <f t="shared" si="2"/>
        <v>0</v>
      </c>
      <c r="W27" s="1161" t="s">
        <v>554</v>
      </c>
    </row>
    <row r="28" spans="2:23" hidden="1">
      <c r="B28" s="69"/>
      <c r="C28" s="69">
        <v>15282</v>
      </c>
      <c r="D28" s="748">
        <v>7591112025287</v>
      </c>
      <c r="E28" s="1159" t="s">
        <v>1742</v>
      </c>
      <c r="F28" s="643"/>
      <c r="G28" s="528">
        <v>24</v>
      </c>
      <c r="H28" s="528">
        <v>25.06</v>
      </c>
      <c r="I28" s="528">
        <v>29.06</v>
      </c>
      <c r="J28" s="528">
        <v>1.04</v>
      </c>
      <c r="K28" s="528">
        <v>1.21</v>
      </c>
      <c r="L28" s="528"/>
      <c r="M28" s="528">
        <v>1.49</v>
      </c>
      <c r="N28" s="528">
        <v>1.73</v>
      </c>
      <c r="O28" s="528">
        <v>10</v>
      </c>
      <c r="P28" s="528"/>
      <c r="Q28" s="528"/>
      <c r="R28" s="528">
        <f t="shared" si="0"/>
        <v>290.59999999999997</v>
      </c>
      <c r="S28" s="564"/>
      <c r="T28" s="1161">
        <f t="shared" si="1"/>
        <v>0</v>
      </c>
      <c r="U28" s="1161"/>
      <c r="V28" s="1161">
        <f t="shared" si="2"/>
        <v>0</v>
      </c>
      <c r="W28" s="1161" t="s">
        <v>554</v>
      </c>
    </row>
    <row r="29" spans="2:23" hidden="1">
      <c r="B29" s="69"/>
      <c r="C29" s="69">
        <v>15284</v>
      </c>
      <c r="D29" s="748">
        <v>7591112025294</v>
      </c>
      <c r="E29" s="1159" t="s">
        <v>1743</v>
      </c>
      <c r="F29" s="643"/>
      <c r="G29" s="528">
        <v>4</v>
      </c>
      <c r="H29" s="528">
        <v>41.76</v>
      </c>
      <c r="I29" s="528">
        <v>48.44</v>
      </c>
      <c r="J29" s="528">
        <v>10.44</v>
      </c>
      <c r="K29" s="528">
        <v>12.11</v>
      </c>
      <c r="L29" s="528"/>
      <c r="M29" s="528">
        <v>14.91</v>
      </c>
      <c r="N29" s="528">
        <v>17.3</v>
      </c>
      <c r="O29" s="528"/>
      <c r="P29" s="528"/>
      <c r="Q29" s="528"/>
      <c r="R29" s="528">
        <f t="shared" si="0"/>
        <v>0</v>
      </c>
      <c r="S29" s="564"/>
      <c r="T29" s="1161">
        <f t="shared" si="1"/>
        <v>0</v>
      </c>
      <c r="U29" s="1161"/>
      <c r="V29" s="1161">
        <f t="shared" si="2"/>
        <v>0</v>
      </c>
      <c r="W29" s="1161" t="s">
        <v>554</v>
      </c>
    </row>
    <row r="30" spans="2:23" hidden="1">
      <c r="B30" s="69" t="s">
        <v>1744</v>
      </c>
      <c r="C30" s="69">
        <v>15286</v>
      </c>
      <c r="D30" s="748">
        <v>7591112055017</v>
      </c>
      <c r="E30" s="1159" t="s">
        <v>1745</v>
      </c>
      <c r="F30" s="643"/>
      <c r="G30" s="528">
        <v>24</v>
      </c>
      <c r="H30" s="528">
        <v>12.31</v>
      </c>
      <c r="I30" s="528">
        <v>14.28</v>
      </c>
      <c r="J30" s="528">
        <v>0.51</v>
      </c>
      <c r="K30" s="528">
        <v>0.6</v>
      </c>
      <c r="L30" s="528"/>
      <c r="M30" s="528">
        <v>0.73</v>
      </c>
      <c r="N30" s="528">
        <v>0.85</v>
      </c>
      <c r="O30" s="528">
        <v>10</v>
      </c>
      <c r="P30" s="528"/>
      <c r="Q30" s="528"/>
      <c r="R30" s="528">
        <f t="shared" si="0"/>
        <v>142.79999999999998</v>
      </c>
      <c r="S30" s="564"/>
      <c r="T30" s="1161">
        <f t="shared" si="1"/>
        <v>0</v>
      </c>
      <c r="U30" s="1161"/>
      <c r="V30" s="1161">
        <f t="shared" si="2"/>
        <v>0</v>
      </c>
      <c r="W30" s="1161" t="s">
        <v>554</v>
      </c>
    </row>
    <row r="31" spans="2:23" hidden="1">
      <c r="B31" s="69"/>
      <c r="C31" s="69">
        <v>15287</v>
      </c>
      <c r="D31" s="748">
        <v>7591112055024</v>
      </c>
      <c r="E31" s="1159" t="s">
        <v>1746</v>
      </c>
      <c r="F31" s="643"/>
      <c r="G31" s="528">
        <v>24</v>
      </c>
      <c r="H31" s="528">
        <v>21.29</v>
      </c>
      <c r="I31" s="528">
        <v>24.7</v>
      </c>
      <c r="J31" s="528">
        <v>0.89</v>
      </c>
      <c r="K31" s="528">
        <v>1.03</v>
      </c>
      <c r="L31" s="528"/>
      <c r="M31" s="528">
        <v>1.27</v>
      </c>
      <c r="N31" s="528">
        <v>1.47</v>
      </c>
      <c r="O31" s="528">
        <v>15</v>
      </c>
      <c r="P31" s="528"/>
      <c r="Q31" s="528"/>
      <c r="R31" s="528">
        <f t="shared" si="0"/>
        <v>370.5</v>
      </c>
      <c r="S31" s="564"/>
      <c r="T31" s="1161">
        <f t="shared" si="1"/>
        <v>0</v>
      </c>
      <c r="U31" s="1161"/>
      <c r="V31" s="1161">
        <f t="shared" si="2"/>
        <v>0</v>
      </c>
      <c r="W31" s="1161" t="s">
        <v>554</v>
      </c>
    </row>
    <row r="32" spans="2:23" hidden="1">
      <c r="B32" s="69"/>
      <c r="C32" s="69">
        <v>15280</v>
      </c>
      <c r="D32" s="748">
        <v>7591112025331</v>
      </c>
      <c r="E32" s="1159" t="s">
        <v>1747</v>
      </c>
      <c r="F32" s="643"/>
      <c r="G32" s="528">
        <v>24</v>
      </c>
      <c r="H32" s="528">
        <v>10.14</v>
      </c>
      <c r="I32" s="528">
        <v>11.76</v>
      </c>
      <c r="J32" s="528">
        <v>0.42</v>
      </c>
      <c r="K32" s="528">
        <v>0.49</v>
      </c>
      <c r="L32" s="528"/>
      <c r="M32" s="528">
        <v>0.6</v>
      </c>
      <c r="N32" s="528">
        <v>0.7</v>
      </c>
      <c r="O32" s="528"/>
      <c r="P32" s="528"/>
      <c r="Q32" s="528"/>
      <c r="R32" s="528">
        <f t="shared" si="0"/>
        <v>0</v>
      </c>
      <c r="S32" s="564"/>
      <c r="T32" s="1161">
        <f t="shared" si="1"/>
        <v>0</v>
      </c>
      <c r="U32" s="1161"/>
      <c r="V32" s="1161">
        <f t="shared" si="2"/>
        <v>0</v>
      </c>
      <c r="W32" s="1161" t="s">
        <v>554</v>
      </c>
    </row>
    <row r="33" spans="2:23" hidden="1">
      <c r="B33" s="69"/>
      <c r="C33" s="69">
        <v>15755</v>
      </c>
      <c r="D33" s="748">
        <v>7591112462136</v>
      </c>
      <c r="E33" s="1159" t="s">
        <v>1748</v>
      </c>
      <c r="F33" s="643"/>
      <c r="G33" s="528">
        <v>4</v>
      </c>
      <c r="H33" s="528">
        <v>33.619999999999997</v>
      </c>
      <c r="I33" s="528">
        <v>39</v>
      </c>
      <c r="J33" s="528">
        <v>8.41</v>
      </c>
      <c r="K33" s="528">
        <v>9.75</v>
      </c>
      <c r="L33" s="528"/>
      <c r="M33" s="528">
        <v>12.01</v>
      </c>
      <c r="N33" s="528">
        <v>13.93</v>
      </c>
      <c r="O33" s="528"/>
      <c r="P33" s="528"/>
      <c r="Q33" s="528"/>
      <c r="R33" s="528">
        <f t="shared" si="0"/>
        <v>0</v>
      </c>
      <c r="S33" s="564"/>
      <c r="T33" s="1161">
        <f t="shared" si="1"/>
        <v>0</v>
      </c>
      <c r="U33" s="1161"/>
      <c r="V33" s="1161">
        <f t="shared" si="2"/>
        <v>0</v>
      </c>
      <c r="W33" s="1161" t="s">
        <v>554</v>
      </c>
    </row>
    <row r="34" spans="2:23" hidden="1">
      <c r="B34" s="69" t="s">
        <v>1749</v>
      </c>
      <c r="C34" s="69">
        <v>15271</v>
      </c>
      <c r="D34" s="748">
        <v>7591112029018</v>
      </c>
      <c r="E34" s="1159" t="s">
        <v>1750</v>
      </c>
      <c r="F34" s="643"/>
      <c r="G34" s="528">
        <v>24</v>
      </c>
      <c r="H34" s="528">
        <v>17.52</v>
      </c>
      <c r="I34" s="528">
        <v>20.329999999999998</v>
      </c>
      <c r="J34" s="528">
        <v>0.73</v>
      </c>
      <c r="K34" s="528">
        <v>0.85</v>
      </c>
      <c r="L34" s="528"/>
      <c r="M34" s="528">
        <v>1.04</v>
      </c>
      <c r="N34" s="528">
        <v>1.21</v>
      </c>
      <c r="O34" s="528">
        <v>10</v>
      </c>
      <c r="P34" s="528"/>
      <c r="Q34" s="528"/>
      <c r="R34" s="528">
        <f t="shared" si="0"/>
        <v>203.29999999999998</v>
      </c>
      <c r="S34" s="564"/>
      <c r="T34" s="1161">
        <f t="shared" si="1"/>
        <v>0</v>
      </c>
      <c r="U34" s="1161"/>
      <c r="V34" s="1161">
        <f t="shared" si="2"/>
        <v>0</v>
      </c>
      <c r="W34" s="1161" t="s">
        <v>554</v>
      </c>
    </row>
    <row r="35" spans="2:23" hidden="1">
      <c r="B35" s="69"/>
      <c r="C35" s="69">
        <v>15272</v>
      </c>
      <c r="D35" s="748">
        <v>7591112029025</v>
      </c>
      <c r="E35" s="1159" t="s">
        <v>1751</v>
      </c>
      <c r="F35" s="643"/>
      <c r="G35" s="528">
        <v>24</v>
      </c>
      <c r="H35" s="528">
        <v>30.41</v>
      </c>
      <c r="I35" s="528">
        <v>35.28</v>
      </c>
      <c r="J35" s="528">
        <v>1.27</v>
      </c>
      <c r="K35" s="528">
        <v>1.47</v>
      </c>
      <c r="L35" s="528"/>
      <c r="M35" s="528">
        <v>1.81</v>
      </c>
      <c r="N35" s="528">
        <v>2.1</v>
      </c>
      <c r="O35" s="528">
        <v>10</v>
      </c>
      <c r="P35" s="528"/>
      <c r="Q35" s="528"/>
      <c r="R35" s="528">
        <f t="shared" si="0"/>
        <v>352.8</v>
      </c>
      <c r="S35" s="564"/>
      <c r="T35" s="1161">
        <f t="shared" si="1"/>
        <v>0</v>
      </c>
      <c r="U35" s="1161"/>
      <c r="V35" s="1161">
        <f t="shared" si="2"/>
        <v>0</v>
      </c>
      <c r="W35" s="1161" t="s">
        <v>554</v>
      </c>
    </row>
    <row r="36" spans="2:23" hidden="1">
      <c r="B36" s="69"/>
      <c r="C36" s="69">
        <v>15610</v>
      </c>
      <c r="D36" s="748">
        <v>7591112156103</v>
      </c>
      <c r="E36" s="1159" t="s">
        <v>1752</v>
      </c>
      <c r="F36" s="643"/>
      <c r="G36" s="528">
        <v>4</v>
      </c>
      <c r="H36" s="528">
        <v>54.07</v>
      </c>
      <c r="I36" s="528">
        <v>62.72</v>
      </c>
      <c r="J36" s="528">
        <v>13.52</v>
      </c>
      <c r="K36" s="528">
        <v>15.68</v>
      </c>
      <c r="L36" s="528"/>
      <c r="M36" s="528">
        <v>19.309999999999999</v>
      </c>
      <c r="N36" s="528">
        <v>22.4</v>
      </c>
      <c r="O36" s="528"/>
      <c r="P36" s="528"/>
      <c r="Q36" s="528"/>
      <c r="R36" s="528">
        <f t="shared" si="0"/>
        <v>0</v>
      </c>
      <c r="S36" s="564"/>
      <c r="T36" s="1161">
        <f t="shared" si="1"/>
        <v>0</v>
      </c>
      <c r="U36" s="1161"/>
      <c r="V36" s="1161">
        <f t="shared" si="2"/>
        <v>0</v>
      </c>
      <c r="W36" s="1161" t="s">
        <v>554</v>
      </c>
    </row>
    <row r="37" spans="2:23" hidden="1">
      <c r="B37" s="69"/>
      <c r="C37" s="69">
        <v>15275</v>
      </c>
      <c r="D37" s="748">
        <v>7591112056014</v>
      </c>
      <c r="E37" s="1159" t="s">
        <v>1753</v>
      </c>
      <c r="F37" s="643"/>
      <c r="G37" s="528">
        <v>24</v>
      </c>
      <c r="H37" s="528">
        <v>14.92</v>
      </c>
      <c r="I37" s="528">
        <v>17.3</v>
      </c>
      <c r="J37" s="528">
        <v>0.62</v>
      </c>
      <c r="K37" s="528">
        <v>0.72</v>
      </c>
      <c r="L37" s="528"/>
      <c r="M37" s="528">
        <v>0.89</v>
      </c>
      <c r="N37" s="528">
        <v>1.03</v>
      </c>
      <c r="O37" s="528">
        <v>0</v>
      </c>
      <c r="P37" s="528"/>
      <c r="Q37" s="528"/>
      <c r="R37" s="528">
        <f t="shared" si="0"/>
        <v>0</v>
      </c>
      <c r="S37" s="564"/>
      <c r="T37" s="1161">
        <f t="shared" si="1"/>
        <v>0</v>
      </c>
      <c r="U37" s="1161"/>
      <c r="V37" s="1161">
        <f t="shared" si="2"/>
        <v>0</v>
      </c>
      <c r="W37" s="1161" t="s">
        <v>554</v>
      </c>
    </row>
    <row r="38" spans="2:23" hidden="1">
      <c r="B38" s="69"/>
      <c r="C38" s="69">
        <v>15276</v>
      </c>
      <c r="D38" s="748">
        <v>7591112056021</v>
      </c>
      <c r="E38" s="1159" t="s">
        <v>1754</v>
      </c>
      <c r="F38" s="643"/>
      <c r="G38" s="528">
        <v>24</v>
      </c>
      <c r="H38" s="528">
        <v>25.92</v>
      </c>
      <c r="I38" s="528">
        <v>30.07</v>
      </c>
      <c r="J38" s="528">
        <v>1.08</v>
      </c>
      <c r="K38" s="528">
        <v>1.25</v>
      </c>
      <c r="L38" s="528"/>
      <c r="M38" s="528">
        <v>1.54</v>
      </c>
      <c r="N38" s="528">
        <v>1.79</v>
      </c>
      <c r="O38" s="528">
        <v>10</v>
      </c>
      <c r="P38" s="528"/>
      <c r="Q38" s="528"/>
      <c r="R38" s="528">
        <f t="shared" si="0"/>
        <v>300.7</v>
      </c>
      <c r="S38" s="564"/>
      <c r="T38" s="1161">
        <f t="shared" si="1"/>
        <v>0</v>
      </c>
      <c r="U38" s="1161"/>
      <c r="V38" s="1161">
        <f t="shared" si="2"/>
        <v>0</v>
      </c>
      <c r="W38" s="1161" t="s">
        <v>554</v>
      </c>
    </row>
    <row r="39" spans="2:23" hidden="1">
      <c r="B39" s="69"/>
      <c r="C39" s="69">
        <v>15274</v>
      </c>
      <c r="D39" s="748">
        <v>7591112029070</v>
      </c>
      <c r="E39" s="1159" t="s">
        <v>1755</v>
      </c>
      <c r="F39" s="643"/>
      <c r="G39" s="528">
        <v>24</v>
      </c>
      <c r="H39" s="528">
        <v>12.31</v>
      </c>
      <c r="I39" s="528">
        <v>14.28</v>
      </c>
      <c r="J39" s="528">
        <v>0.51</v>
      </c>
      <c r="K39" s="528">
        <v>0.6</v>
      </c>
      <c r="L39" s="528"/>
      <c r="M39" s="528">
        <v>0.73</v>
      </c>
      <c r="N39" s="528">
        <v>0.85</v>
      </c>
      <c r="O39" s="528"/>
      <c r="P39" s="528"/>
      <c r="Q39" s="528"/>
      <c r="R39" s="528">
        <f t="shared" si="0"/>
        <v>0</v>
      </c>
      <c r="S39" s="564"/>
      <c r="T39" s="1161">
        <f t="shared" si="1"/>
        <v>0</v>
      </c>
      <c r="U39" s="1161"/>
      <c r="V39" s="1161">
        <f t="shared" si="2"/>
        <v>0</v>
      </c>
      <c r="W39" s="1161" t="s">
        <v>554</v>
      </c>
    </row>
    <row r="40" spans="2:23" hidden="1">
      <c r="B40" s="69" t="s">
        <v>1756</v>
      </c>
      <c r="C40" s="69">
        <v>15430</v>
      </c>
      <c r="D40" s="748">
        <v>7591112029032</v>
      </c>
      <c r="E40" s="1159" t="s">
        <v>1757</v>
      </c>
      <c r="F40" s="643"/>
      <c r="G40" s="528">
        <v>24</v>
      </c>
      <c r="H40" s="528">
        <v>15.93</v>
      </c>
      <c r="I40" s="528">
        <v>18.48</v>
      </c>
      <c r="J40" s="528">
        <v>0.66</v>
      </c>
      <c r="K40" s="528">
        <v>0.77</v>
      </c>
      <c r="L40" s="528"/>
      <c r="M40" s="528">
        <v>0.95</v>
      </c>
      <c r="N40" s="528">
        <v>1.1000000000000001</v>
      </c>
      <c r="O40" s="528"/>
      <c r="P40" s="528"/>
      <c r="Q40" s="528"/>
      <c r="R40" s="528">
        <f t="shared" si="0"/>
        <v>0</v>
      </c>
      <c r="S40" s="564"/>
      <c r="T40" s="1161">
        <f t="shared" si="1"/>
        <v>0</v>
      </c>
      <c r="U40" s="1161"/>
      <c r="V40" s="1161">
        <f t="shared" si="2"/>
        <v>0</v>
      </c>
      <c r="W40" s="1161" t="s">
        <v>554</v>
      </c>
    </row>
    <row r="41" spans="2:23" hidden="1">
      <c r="B41" s="69" t="s">
        <v>1758</v>
      </c>
      <c r="C41" s="69">
        <v>15295</v>
      </c>
      <c r="D41" s="748">
        <v>7591112037013</v>
      </c>
      <c r="E41" s="1159" t="s">
        <v>1759</v>
      </c>
      <c r="F41" s="643"/>
      <c r="G41" s="528">
        <v>24</v>
      </c>
      <c r="H41" s="528">
        <v>14.34</v>
      </c>
      <c r="I41" s="528">
        <v>16.63</v>
      </c>
      <c r="J41" s="528">
        <v>0.6</v>
      </c>
      <c r="K41" s="528">
        <v>0.69</v>
      </c>
      <c r="L41" s="528"/>
      <c r="M41" s="528">
        <v>0.85</v>
      </c>
      <c r="N41" s="528">
        <v>0.99</v>
      </c>
      <c r="O41" s="528">
        <v>10</v>
      </c>
      <c r="P41" s="528"/>
      <c r="Q41" s="528"/>
      <c r="R41" s="528">
        <f t="shared" si="0"/>
        <v>166.29999999999998</v>
      </c>
      <c r="S41" s="564"/>
      <c r="T41" s="1161">
        <f t="shared" si="1"/>
        <v>0</v>
      </c>
      <c r="U41" s="1161"/>
      <c r="V41" s="1161">
        <f t="shared" si="2"/>
        <v>0</v>
      </c>
      <c r="W41" s="1161" t="s">
        <v>554</v>
      </c>
    </row>
    <row r="42" spans="2:23" hidden="1">
      <c r="B42" s="69"/>
      <c r="C42" s="69">
        <v>15296</v>
      </c>
      <c r="D42" s="748">
        <v>7591112037020</v>
      </c>
      <c r="E42" s="1159" t="s">
        <v>1760</v>
      </c>
      <c r="F42" s="643"/>
      <c r="G42" s="528">
        <v>24</v>
      </c>
      <c r="H42" s="528">
        <v>25.06</v>
      </c>
      <c r="I42" s="528">
        <v>29.06</v>
      </c>
      <c r="J42" s="528">
        <v>1.04</v>
      </c>
      <c r="K42" s="528">
        <v>1.21</v>
      </c>
      <c r="L42" s="528"/>
      <c r="M42" s="528">
        <v>1.49</v>
      </c>
      <c r="N42" s="528">
        <v>1.73</v>
      </c>
      <c r="O42" s="528">
        <v>10</v>
      </c>
      <c r="P42" s="528"/>
      <c r="Q42" s="528"/>
      <c r="R42" s="528">
        <f t="shared" ref="R42:R73" si="3">O42*I42</f>
        <v>290.59999999999997</v>
      </c>
      <c r="S42" s="564"/>
      <c r="T42" s="1161">
        <f t="shared" ref="T42:T73" si="4">S42/G42</f>
        <v>0</v>
      </c>
      <c r="U42" s="1161"/>
      <c r="V42" s="1161">
        <f t="shared" ref="V42:V73" si="5">U42/G42</f>
        <v>0</v>
      </c>
      <c r="W42" s="1161" t="s">
        <v>554</v>
      </c>
    </row>
    <row r="43" spans="2:23" hidden="1">
      <c r="B43" s="69"/>
      <c r="C43" s="69">
        <v>15588</v>
      </c>
      <c r="D43" s="748">
        <v>7591112025294</v>
      </c>
      <c r="E43" s="1159" t="s">
        <v>1761</v>
      </c>
      <c r="F43" s="643"/>
      <c r="G43" s="528">
        <v>4</v>
      </c>
      <c r="H43" s="528">
        <v>41.76</v>
      </c>
      <c r="I43" s="528">
        <v>48.44</v>
      </c>
      <c r="J43" s="528">
        <v>10.44</v>
      </c>
      <c r="K43" s="528">
        <v>12.11</v>
      </c>
      <c r="L43" s="528"/>
      <c r="M43" s="528">
        <v>14.91</v>
      </c>
      <c r="N43" s="528">
        <v>17.3</v>
      </c>
      <c r="O43" s="528"/>
      <c r="P43" s="528"/>
      <c r="Q43" s="528"/>
      <c r="R43" s="528">
        <f t="shared" si="3"/>
        <v>0</v>
      </c>
      <c r="S43" s="564"/>
      <c r="T43" s="1161">
        <f t="shared" si="4"/>
        <v>0</v>
      </c>
      <c r="U43" s="1161"/>
      <c r="V43" s="1161">
        <f t="shared" si="5"/>
        <v>0</v>
      </c>
      <c r="W43" s="1161" t="s">
        <v>554</v>
      </c>
    </row>
    <row r="44" spans="2:23" hidden="1">
      <c r="B44" s="69"/>
      <c r="C44" s="69">
        <v>15298</v>
      </c>
      <c r="D44" s="748">
        <v>7591112052016</v>
      </c>
      <c r="E44" s="1159" t="s">
        <v>1762</v>
      </c>
      <c r="F44" s="643"/>
      <c r="G44" s="528">
        <v>24</v>
      </c>
      <c r="H44" s="528">
        <v>12.31</v>
      </c>
      <c r="I44" s="528">
        <v>14.28</v>
      </c>
      <c r="J44" s="528">
        <v>0.51</v>
      </c>
      <c r="K44" s="528">
        <v>0.6</v>
      </c>
      <c r="L44" s="528"/>
      <c r="M44" s="528">
        <v>0.73</v>
      </c>
      <c r="N44" s="528">
        <v>0.85</v>
      </c>
      <c r="O44" s="528"/>
      <c r="P44" s="528"/>
      <c r="Q44" s="528"/>
      <c r="R44" s="528">
        <f t="shared" si="3"/>
        <v>0</v>
      </c>
      <c r="S44" s="564"/>
      <c r="T44" s="1161">
        <f t="shared" si="4"/>
        <v>0</v>
      </c>
      <c r="U44" s="1161"/>
      <c r="V44" s="1161">
        <f t="shared" si="5"/>
        <v>0</v>
      </c>
      <c r="W44" s="1161" t="s">
        <v>554</v>
      </c>
    </row>
    <row r="45" spans="2:23" hidden="1">
      <c r="B45" s="69"/>
      <c r="C45" s="69">
        <v>15297</v>
      </c>
      <c r="D45" s="748">
        <v>7591112462013</v>
      </c>
      <c r="E45" s="1159" t="s">
        <v>1763</v>
      </c>
      <c r="F45" s="643"/>
      <c r="G45" s="528">
        <v>24</v>
      </c>
      <c r="H45" s="528">
        <v>10.14</v>
      </c>
      <c r="I45" s="528">
        <v>11.76</v>
      </c>
      <c r="J45" s="528">
        <v>0.42</v>
      </c>
      <c r="K45" s="528">
        <v>0.49</v>
      </c>
      <c r="L45" s="528"/>
      <c r="M45" s="528">
        <v>0.6</v>
      </c>
      <c r="N45" s="528">
        <v>0.7</v>
      </c>
      <c r="O45" s="528"/>
      <c r="P45" s="528"/>
      <c r="Q45" s="528"/>
      <c r="R45" s="528">
        <f t="shared" si="3"/>
        <v>0</v>
      </c>
      <c r="S45" s="564"/>
      <c r="T45" s="1161">
        <f t="shared" si="4"/>
        <v>0</v>
      </c>
      <c r="U45" s="1161"/>
      <c r="V45" s="1161">
        <f t="shared" si="5"/>
        <v>0</v>
      </c>
      <c r="W45" s="1161" t="s">
        <v>554</v>
      </c>
    </row>
    <row r="46" spans="2:23" hidden="1">
      <c r="B46" s="69"/>
      <c r="C46" s="69">
        <v>15757</v>
      </c>
      <c r="D46" s="748">
        <v>7591112462129</v>
      </c>
      <c r="E46" s="1159" t="s">
        <v>1764</v>
      </c>
      <c r="F46" s="643"/>
      <c r="G46" s="528">
        <v>4</v>
      </c>
      <c r="H46" s="528">
        <v>33.619999999999997</v>
      </c>
      <c r="I46" s="528">
        <v>39</v>
      </c>
      <c r="J46" s="528">
        <v>8.41</v>
      </c>
      <c r="K46" s="528">
        <v>9.75</v>
      </c>
      <c r="L46" s="528"/>
      <c r="M46" s="528">
        <v>12.01</v>
      </c>
      <c r="N46" s="528">
        <v>13.93</v>
      </c>
      <c r="O46" s="528"/>
      <c r="P46" s="528"/>
      <c r="Q46" s="528"/>
      <c r="R46" s="528">
        <f t="shared" si="3"/>
        <v>0</v>
      </c>
      <c r="S46" s="564"/>
      <c r="T46" s="1161">
        <f t="shared" si="4"/>
        <v>0</v>
      </c>
      <c r="U46" s="1161"/>
      <c r="V46" s="1161">
        <f t="shared" si="5"/>
        <v>0</v>
      </c>
      <c r="W46" s="1161" t="s">
        <v>554</v>
      </c>
    </row>
    <row r="47" spans="2:23" hidden="1">
      <c r="B47" s="69" t="s">
        <v>1765</v>
      </c>
      <c r="C47" s="69">
        <v>15231</v>
      </c>
      <c r="D47" s="748">
        <v>7591112059015</v>
      </c>
      <c r="E47" s="1159" t="s">
        <v>1766</v>
      </c>
      <c r="F47" s="643"/>
      <c r="G47" s="528">
        <v>24</v>
      </c>
      <c r="H47" s="528">
        <v>18.68</v>
      </c>
      <c r="I47" s="528">
        <v>21.67</v>
      </c>
      <c r="J47" s="528">
        <v>0.78</v>
      </c>
      <c r="K47" s="528">
        <v>0.9</v>
      </c>
      <c r="L47" s="528"/>
      <c r="M47" s="528">
        <v>1.1100000000000001</v>
      </c>
      <c r="N47" s="528">
        <v>1.29</v>
      </c>
      <c r="O47" s="528"/>
      <c r="P47" s="528"/>
      <c r="Q47" s="528"/>
      <c r="R47" s="528">
        <f t="shared" si="3"/>
        <v>0</v>
      </c>
      <c r="S47" s="564"/>
      <c r="T47" s="1161">
        <f t="shared" si="4"/>
        <v>0</v>
      </c>
      <c r="U47" s="1161"/>
      <c r="V47" s="1161">
        <f t="shared" si="5"/>
        <v>0</v>
      </c>
      <c r="W47" s="1161" t="s">
        <v>554</v>
      </c>
    </row>
    <row r="48" spans="2:23" hidden="1">
      <c r="B48" s="69" t="s">
        <v>736</v>
      </c>
      <c r="C48" s="69">
        <v>15289</v>
      </c>
      <c r="D48" s="748">
        <v>7591112015059</v>
      </c>
      <c r="E48" s="1159" t="s">
        <v>1767</v>
      </c>
      <c r="F48" s="643"/>
      <c r="G48" s="528">
        <v>24</v>
      </c>
      <c r="H48" s="528">
        <v>11.88</v>
      </c>
      <c r="I48" s="528">
        <v>13.78</v>
      </c>
      <c r="J48" s="528">
        <v>0.49</v>
      </c>
      <c r="K48" s="528">
        <v>0.56999999999999995</v>
      </c>
      <c r="L48" s="528"/>
      <c r="M48" s="528">
        <v>0.71</v>
      </c>
      <c r="N48" s="528">
        <v>0.82</v>
      </c>
      <c r="O48" s="528">
        <v>0</v>
      </c>
      <c r="P48" s="528"/>
      <c r="Q48" s="528"/>
      <c r="R48" s="528">
        <f t="shared" si="3"/>
        <v>0</v>
      </c>
      <c r="S48" s="564"/>
      <c r="T48" s="1161">
        <f t="shared" si="4"/>
        <v>0</v>
      </c>
      <c r="U48" s="1161"/>
      <c r="V48" s="1161">
        <f t="shared" si="5"/>
        <v>0</v>
      </c>
      <c r="W48" s="1161" t="s">
        <v>554</v>
      </c>
    </row>
    <row r="49" spans="2:23" hidden="1">
      <c r="B49" s="69"/>
      <c r="C49" s="69">
        <v>15290</v>
      </c>
      <c r="D49" s="748">
        <v>7591112015103</v>
      </c>
      <c r="E49" s="1159" t="s">
        <v>1768</v>
      </c>
      <c r="F49" s="643"/>
      <c r="G49" s="528">
        <v>12</v>
      </c>
      <c r="H49" s="528">
        <v>10.28</v>
      </c>
      <c r="I49" s="528">
        <v>11.93</v>
      </c>
      <c r="J49" s="528">
        <v>0.86</v>
      </c>
      <c r="K49" s="528">
        <v>0.99</v>
      </c>
      <c r="L49" s="528"/>
      <c r="M49" s="528">
        <v>1.22</v>
      </c>
      <c r="N49" s="528">
        <v>1.42</v>
      </c>
      <c r="O49" s="528">
        <v>20</v>
      </c>
      <c r="P49" s="528"/>
      <c r="Q49" s="528"/>
      <c r="R49" s="528">
        <f t="shared" si="3"/>
        <v>238.6</v>
      </c>
      <c r="S49" s="564"/>
      <c r="T49" s="1161">
        <f t="shared" si="4"/>
        <v>0</v>
      </c>
      <c r="U49" s="1161"/>
      <c r="V49" s="1161">
        <f t="shared" si="5"/>
        <v>0</v>
      </c>
      <c r="W49" s="1161" t="s">
        <v>554</v>
      </c>
    </row>
    <row r="50" spans="2:23" hidden="1">
      <c r="B50" s="69"/>
      <c r="C50" s="69">
        <v>15278</v>
      </c>
      <c r="D50" s="748">
        <v>7591112015141</v>
      </c>
      <c r="E50" s="1159" t="s">
        <v>1769</v>
      </c>
      <c r="F50" s="643"/>
      <c r="G50" s="528">
        <v>4</v>
      </c>
      <c r="H50" s="528">
        <v>12.33</v>
      </c>
      <c r="I50" s="528">
        <v>14.31</v>
      </c>
      <c r="J50" s="528">
        <v>3.08</v>
      </c>
      <c r="K50" s="528">
        <v>3.58</v>
      </c>
      <c r="L50" s="528"/>
      <c r="M50" s="528">
        <v>4.41</v>
      </c>
      <c r="N50" s="528">
        <v>5.1100000000000003</v>
      </c>
      <c r="O50" s="528"/>
      <c r="P50" s="528"/>
      <c r="Q50" s="528"/>
      <c r="R50" s="528">
        <f t="shared" si="3"/>
        <v>0</v>
      </c>
      <c r="S50" s="564"/>
      <c r="T50" s="1161">
        <f t="shared" si="4"/>
        <v>0</v>
      </c>
      <c r="U50" s="1161"/>
      <c r="V50" s="1161">
        <f t="shared" si="5"/>
        <v>0</v>
      </c>
      <c r="W50" s="1161" t="s">
        <v>554</v>
      </c>
    </row>
    <row r="51" spans="2:23" hidden="1">
      <c r="B51" s="69"/>
      <c r="C51" s="69">
        <v>15292</v>
      </c>
      <c r="D51" s="748">
        <v>7591112049016</v>
      </c>
      <c r="E51" s="1159" t="s">
        <v>1770</v>
      </c>
      <c r="F51" s="643"/>
      <c r="G51" s="528">
        <v>24</v>
      </c>
      <c r="H51" s="528">
        <v>10.57</v>
      </c>
      <c r="I51" s="528">
        <v>12.26</v>
      </c>
      <c r="J51" s="528">
        <v>0.44</v>
      </c>
      <c r="K51" s="528">
        <v>0.51</v>
      </c>
      <c r="L51" s="528"/>
      <c r="M51" s="528">
        <v>0.63</v>
      </c>
      <c r="N51" s="528">
        <v>0.73</v>
      </c>
      <c r="O51" s="528">
        <v>0</v>
      </c>
      <c r="P51" s="528"/>
      <c r="Q51" s="528"/>
      <c r="R51" s="528">
        <f t="shared" si="3"/>
        <v>0</v>
      </c>
      <c r="S51" s="564"/>
      <c r="T51" s="1161">
        <f t="shared" si="4"/>
        <v>0</v>
      </c>
      <c r="U51" s="1161"/>
      <c r="V51" s="1161">
        <f t="shared" si="5"/>
        <v>0</v>
      </c>
      <c r="W51" s="1161" t="s">
        <v>554</v>
      </c>
    </row>
    <row r="52" spans="2:23" hidden="1">
      <c r="B52" s="69"/>
      <c r="C52" s="69">
        <v>15293</v>
      </c>
      <c r="D52" s="748">
        <v>7591112049023</v>
      </c>
      <c r="E52" s="1159" t="s">
        <v>1771</v>
      </c>
      <c r="F52" s="643"/>
      <c r="G52" s="528">
        <v>12</v>
      </c>
      <c r="H52" s="528">
        <v>9.27</v>
      </c>
      <c r="I52" s="528">
        <v>10.75</v>
      </c>
      <c r="J52" s="528">
        <v>0.77</v>
      </c>
      <c r="K52" s="528">
        <v>0.9</v>
      </c>
      <c r="L52" s="528"/>
      <c r="M52" s="528">
        <v>1.1000000000000001</v>
      </c>
      <c r="N52" s="528">
        <v>1.28</v>
      </c>
      <c r="O52" s="528">
        <v>20</v>
      </c>
      <c r="P52" s="528"/>
      <c r="Q52" s="528"/>
      <c r="R52" s="528">
        <f t="shared" si="3"/>
        <v>215</v>
      </c>
      <c r="S52" s="564"/>
      <c r="T52" s="1161">
        <f t="shared" si="4"/>
        <v>0</v>
      </c>
      <c r="U52" s="1161"/>
      <c r="V52" s="1161">
        <f t="shared" si="5"/>
        <v>0</v>
      </c>
      <c r="W52" s="1161" t="s">
        <v>554</v>
      </c>
    </row>
    <row r="53" spans="2:23" ht="13.5" hidden="1" customHeight="1">
      <c r="B53" s="69"/>
      <c r="C53" s="69">
        <v>15239</v>
      </c>
      <c r="D53" s="748">
        <v>7591112026154</v>
      </c>
      <c r="E53" s="1159" t="s">
        <v>1772</v>
      </c>
      <c r="F53" s="643"/>
      <c r="G53" s="528">
        <v>24</v>
      </c>
      <c r="H53" s="528">
        <v>18.100000000000001</v>
      </c>
      <c r="I53" s="528">
        <v>21</v>
      </c>
      <c r="J53" s="528">
        <v>0.75</v>
      </c>
      <c r="K53" s="528">
        <v>0.88</v>
      </c>
      <c r="L53" s="528"/>
      <c r="M53" s="528">
        <v>1.08</v>
      </c>
      <c r="N53" s="528">
        <v>1.25</v>
      </c>
      <c r="O53" s="528"/>
      <c r="P53" s="528"/>
      <c r="Q53" s="528"/>
      <c r="R53" s="528">
        <f t="shared" si="3"/>
        <v>0</v>
      </c>
      <c r="S53" s="564"/>
      <c r="T53" s="1161">
        <f t="shared" si="4"/>
        <v>0</v>
      </c>
      <c r="U53" s="1161"/>
      <c r="V53" s="1161">
        <f t="shared" si="5"/>
        <v>0</v>
      </c>
      <c r="W53" s="1161" t="s">
        <v>554</v>
      </c>
    </row>
    <row r="54" spans="2:23" hidden="1">
      <c r="B54" s="69" t="s">
        <v>1773</v>
      </c>
      <c r="C54" s="69">
        <v>15240</v>
      </c>
      <c r="D54" s="748">
        <v>7591112026161</v>
      </c>
      <c r="E54" s="1159" t="s">
        <v>1774</v>
      </c>
      <c r="F54" s="643"/>
      <c r="G54" s="528">
        <v>12</v>
      </c>
      <c r="H54" s="528">
        <v>18.829999999999998</v>
      </c>
      <c r="I54" s="528">
        <v>21.84</v>
      </c>
      <c r="J54" s="528">
        <v>1.57</v>
      </c>
      <c r="K54" s="528">
        <v>1.82</v>
      </c>
      <c r="L54" s="528"/>
      <c r="M54" s="528">
        <v>2.2400000000000002</v>
      </c>
      <c r="N54" s="528">
        <v>2.6</v>
      </c>
      <c r="O54" s="528">
        <v>0</v>
      </c>
      <c r="P54" s="528"/>
      <c r="Q54" s="528"/>
      <c r="R54" s="528">
        <f t="shared" si="3"/>
        <v>0</v>
      </c>
      <c r="S54" s="564"/>
      <c r="T54" s="1161">
        <f t="shared" si="4"/>
        <v>0</v>
      </c>
      <c r="U54" s="1161"/>
      <c r="V54" s="1161">
        <f t="shared" si="5"/>
        <v>0</v>
      </c>
      <c r="W54" s="1161" t="s">
        <v>554</v>
      </c>
    </row>
    <row r="55" spans="2:23" hidden="1">
      <c r="B55" s="69"/>
      <c r="C55" s="69">
        <v>15243</v>
      </c>
      <c r="D55" s="748">
        <v>7591112026420</v>
      </c>
      <c r="E55" s="1159" t="s">
        <v>1775</v>
      </c>
      <c r="F55" s="643"/>
      <c r="G55" s="528">
        <v>24</v>
      </c>
      <c r="H55" s="528">
        <v>18.100000000000001</v>
      </c>
      <c r="I55" s="528">
        <v>21</v>
      </c>
      <c r="J55" s="528">
        <v>0.75</v>
      </c>
      <c r="K55" s="528">
        <v>0.88</v>
      </c>
      <c r="L55" s="528"/>
      <c r="M55" s="528">
        <v>1.08</v>
      </c>
      <c r="N55" s="528">
        <v>1.25</v>
      </c>
      <c r="O55" s="528"/>
      <c r="P55" s="528"/>
      <c r="Q55" s="528"/>
      <c r="R55" s="528">
        <f t="shared" si="3"/>
        <v>0</v>
      </c>
      <c r="S55" s="564"/>
      <c r="T55" s="1161">
        <f t="shared" si="4"/>
        <v>0</v>
      </c>
      <c r="U55" s="1161"/>
      <c r="V55" s="1161">
        <f t="shared" si="5"/>
        <v>0</v>
      </c>
      <c r="W55" s="1161" t="s">
        <v>554</v>
      </c>
    </row>
    <row r="56" spans="2:23" hidden="1">
      <c r="B56" s="69"/>
      <c r="C56" s="69">
        <v>15244</v>
      </c>
      <c r="D56" s="748">
        <v>7591112026437</v>
      </c>
      <c r="E56" s="1159" t="s">
        <v>1776</v>
      </c>
      <c r="F56" s="643"/>
      <c r="G56" s="528">
        <v>12</v>
      </c>
      <c r="H56" s="528">
        <v>18.829999999999998</v>
      </c>
      <c r="I56" s="528">
        <v>21.84</v>
      </c>
      <c r="J56" s="528">
        <v>1.57</v>
      </c>
      <c r="K56" s="528">
        <v>1.82</v>
      </c>
      <c r="L56" s="528"/>
      <c r="M56" s="528">
        <v>2.2400000000000002</v>
      </c>
      <c r="N56" s="528">
        <v>2.6</v>
      </c>
      <c r="O56" s="528"/>
      <c r="P56" s="528"/>
      <c r="Q56" s="528"/>
      <c r="R56" s="528">
        <f t="shared" si="3"/>
        <v>0</v>
      </c>
      <c r="S56" s="564"/>
      <c r="T56" s="1161">
        <f t="shared" si="4"/>
        <v>0</v>
      </c>
      <c r="U56" s="1161"/>
      <c r="V56" s="1161">
        <f t="shared" si="5"/>
        <v>0</v>
      </c>
      <c r="W56" s="1161" t="s">
        <v>554</v>
      </c>
    </row>
    <row r="57" spans="2:23" hidden="1">
      <c r="B57" s="69"/>
      <c r="C57" s="69">
        <v>15245</v>
      </c>
      <c r="D57" s="748">
        <v>7591112026444</v>
      </c>
      <c r="E57" s="1159" t="s">
        <v>1777</v>
      </c>
      <c r="F57" s="643"/>
      <c r="G57" s="528">
        <v>24</v>
      </c>
      <c r="H57" s="528">
        <v>18.100000000000001</v>
      </c>
      <c r="I57" s="528">
        <v>21</v>
      </c>
      <c r="J57" s="528">
        <v>0.75</v>
      </c>
      <c r="K57" s="528">
        <v>0.88</v>
      </c>
      <c r="L57" s="528"/>
      <c r="M57" s="528">
        <v>1.08</v>
      </c>
      <c r="N57" s="528">
        <v>1.25</v>
      </c>
      <c r="O57" s="528"/>
      <c r="P57" s="528"/>
      <c r="Q57" s="528"/>
      <c r="R57" s="528">
        <f t="shared" si="3"/>
        <v>0</v>
      </c>
      <c r="S57" s="564"/>
      <c r="T57" s="1161">
        <f t="shared" si="4"/>
        <v>0</v>
      </c>
      <c r="U57" s="1161"/>
      <c r="V57" s="1161">
        <f t="shared" si="5"/>
        <v>0</v>
      </c>
      <c r="W57" s="1161" t="s">
        <v>554</v>
      </c>
    </row>
    <row r="58" spans="2:23" hidden="1">
      <c r="B58" s="69"/>
      <c r="C58" s="69">
        <v>15246</v>
      </c>
      <c r="D58" s="748">
        <v>7591112026451</v>
      </c>
      <c r="E58" s="1159" t="s">
        <v>1778</v>
      </c>
      <c r="F58" s="643"/>
      <c r="G58" s="528">
        <v>12</v>
      </c>
      <c r="H58" s="528">
        <v>18.829999999999998</v>
      </c>
      <c r="I58" s="528">
        <v>21.84</v>
      </c>
      <c r="J58" s="528">
        <v>1.57</v>
      </c>
      <c r="K58" s="528">
        <v>1.82</v>
      </c>
      <c r="L58" s="528"/>
      <c r="M58" s="528">
        <v>2.2400000000000002</v>
      </c>
      <c r="N58" s="528">
        <v>2.6</v>
      </c>
      <c r="O58" s="528"/>
      <c r="P58" s="528"/>
      <c r="Q58" s="528"/>
      <c r="R58" s="528">
        <f t="shared" si="3"/>
        <v>0</v>
      </c>
      <c r="S58" s="564"/>
      <c r="T58" s="1161">
        <f t="shared" si="4"/>
        <v>0</v>
      </c>
      <c r="U58" s="1161"/>
      <c r="V58" s="1161">
        <f t="shared" si="5"/>
        <v>0</v>
      </c>
      <c r="W58" s="1161" t="s">
        <v>554</v>
      </c>
    </row>
    <row r="59" spans="2:23" hidden="1">
      <c r="B59" s="69"/>
      <c r="C59" s="69">
        <v>15251</v>
      </c>
      <c r="D59" s="748">
        <v>7591112067027</v>
      </c>
      <c r="E59" s="1159" t="s">
        <v>1779</v>
      </c>
      <c r="F59" s="643"/>
      <c r="G59" s="528">
        <v>12</v>
      </c>
      <c r="H59" s="528">
        <v>20.71</v>
      </c>
      <c r="I59" s="528">
        <v>24.02</v>
      </c>
      <c r="J59" s="528">
        <v>1.73</v>
      </c>
      <c r="K59" s="528">
        <v>2</v>
      </c>
      <c r="L59" s="528"/>
      <c r="M59" s="528">
        <v>2.4700000000000002</v>
      </c>
      <c r="N59" s="528">
        <v>2.86</v>
      </c>
      <c r="O59" s="528"/>
      <c r="P59" s="528"/>
      <c r="Q59" s="528"/>
      <c r="R59" s="528">
        <f t="shared" si="3"/>
        <v>0</v>
      </c>
      <c r="S59" s="564"/>
      <c r="T59" s="1161">
        <f t="shared" si="4"/>
        <v>0</v>
      </c>
      <c r="U59" s="1161"/>
      <c r="V59" s="1161">
        <f t="shared" si="5"/>
        <v>0</v>
      </c>
      <c r="W59" s="1161" t="s">
        <v>554</v>
      </c>
    </row>
    <row r="60" spans="2:23" hidden="1">
      <c r="B60" s="69" t="s">
        <v>1780</v>
      </c>
      <c r="C60" s="69">
        <v>15253</v>
      </c>
      <c r="D60" s="748">
        <v>75916145</v>
      </c>
      <c r="E60" s="1159" t="s">
        <v>1781</v>
      </c>
      <c r="F60" s="643"/>
      <c r="G60" s="528">
        <v>24</v>
      </c>
      <c r="H60" s="528">
        <v>20.71</v>
      </c>
      <c r="I60" s="528">
        <v>24.02</v>
      </c>
      <c r="J60" s="528">
        <v>0.86</v>
      </c>
      <c r="K60" s="528">
        <v>1</v>
      </c>
      <c r="L60" s="528"/>
      <c r="M60" s="528">
        <v>2.4700000000000002</v>
      </c>
      <c r="N60" s="528">
        <v>2.86</v>
      </c>
      <c r="O60" s="528">
        <v>0</v>
      </c>
      <c r="P60" s="528"/>
      <c r="Q60" s="528"/>
      <c r="R60" s="528">
        <f t="shared" si="3"/>
        <v>0</v>
      </c>
      <c r="S60" s="564"/>
      <c r="T60" s="1161">
        <f t="shared" si="4"/>
        <v>0</v>
      </c>
      <c r="U60" s="1161"/>
      <c r="V60" s="1161">
        <f t="shared" si="5"/>
        <v>0</v>
      </c>
      <c r="W60" s="1161" t="s">
        <v>554</v>
      </c>
    </row>
    <row r="61" spans="2:23" hidden="1">
      <c r="B61" s="69"/>
      <c r="C61" s="69">
        <v>15255</v>
      </c>
      <c r="D61" s="748">
        <v>75916169</v>
      </c>
      <c r="E61" s="1159" t="s">
        <v>1782</v>
      </c>
      <c r="F61" s="643"/>
      <c r="G61" s="528">
        <v>24</v>
      </c>
      <c r="H61" s="528">
        <v>33.89</v>
      </c>
      <c r="I61" s="528">
        <v>39.31</v>
      </c>
      <c r="J61" s="528">
        <v>1.41</v>
      </c>
      <c r="K61" s="528">
        <v>1.64</v>
      </c>
      <c r="L61" s="528"/>
      <c r="M61" s="528">
        <v>2.02</v>
      </c>
      <c r="N61" s="528">
        <v>2.34</v>
      </c>
      <c r="O61" s="528"/>
      <c r="P61" s="528"/>
      <c r="Q61" s="528"/>
      <c r="R61" s="528">
        <f t="shared" si="3"/>
        <v>0</v>
      </c>
      <c r="S61" s="564"/>
      <c r="T61" s="1161">
        <f t="shared" si="4"/>
        <v>0</v>
      </c>
      <c r="U61" s="1161"/>
      <c r="V61" s="1161">
        <f t="shared" si="5"/>
        <v>0</v>
      </c>
      <c r="W61" s="1161" t="s">
        <v>554</v>
      </c>
    </row>
    <row r="62" spans="2:23" hidden="1">
      <c r="B62" s="69"/>
      <c r="C62" s="69">
        <v>15254</v>
      </c>
      <c r="D62" s="748">
        <v>75916152</v>
      </c>
      <c r="E62" s="1159" t="s">
        <v>1783</v>
      </c>
      <c r="F62" s="643"/>
      <c r="G62" s="528">
        <v>24</v>
      </c>
      <c r="H62" s="528">
        <v>8.18</v>
      </c>
      <c r="I62" s="528">
        <v>9.49</v>
      </c>
      <c r="J62" s="528">
        <v>0.34</v>
      </c>
      <c r="K62" s="528">
        <v>0.4</v>
      </c>
      <c r="L62" s="528"/>
      <c r="M62" s="528">
        <v>0.97</v>
      </c>
      <c r="N62" s="528">
        <v>1.1299999999999999</v>
      </c>
      <c r="O62" s="528">
        <v>10</v>
      </c>
      <c r="P62" s="528"/>
      <c r="Q62" s="528"/>
      <c r="R62" s="528">
        <f t="shared" si="3"/>
        <v>94.9</v>
      </c>
      <c r="S62" s="564"/>
      <c r="T62" s="1161">
        <f t="shared" si="4"/>
        <v>0</v>
      </c>
      <c r="U62" s="1161"/>
      <c r="V62" s="1161">
        <f t="shared" si="5"/>
        <v>0</v>
      </c>
      <c r="W62" s="1161" t="s">
        <v>554</v>
      </c>
    </row>
    <row r="63" spans="2:23" hidden="1">
      <c r="B63" s="69" t="s">
        <v>1784</v>
      </c>
      <c r="C63" s="69">
        <v>15249</v>
      </c>
      <c r="D63" s="748">
        <v>7591112028042</v>
      </c>
      <c r="E63" s="1159" t="s">
        <v>1785</v>
      </c>
      <c r="F63" s="643"/>
      <c r="G63" s="528">
        <v>12</v>
      </c>
      <c r="H63" s="528">
        <v>18.829999999999998</v>
      </c>
      <c r="I63" s="528">
        <v>21.84</v>
      </c>
      <c r="J63" s="528">
        <v>1.57</v>
      </c>
      <c r="K63" s="528">
        <v>1.82</v>
      </c>
      <c r="L63" s="528"/>
      <c r="M63" s="528">
        <v>2.2400000000000002</v>
      </c>
      <c r="N63" s="528">
        <v>2.6</v>
      </c>
      <c r="O63" s="528">
        <v>10</v>
      </c>
      <c r="P63" s="528"/>
      <c r="Q63" s="528"/>
      <c r="R63" s="528">
        <f t="shared" si="3"/>
        <v>218.4</v>
      </c>
      <c r="S63" s="564"/>
      <c r="T63" s="1161">
        <f t="shared" si="4"/>
        <v>0</v>
      </c>
      <c r="U63" s="1161"/>
      <c r="V63" s="1161">
        <f t="shared" si="5"/>
        <v>0</v>
      </c>
      <c r="W63" s="1161" t="s">
        <v>554</v>
      </c>
    </row>
    <row r="64" spans="2:23" hidden="1">
      <c r="B64" s="69" t="s">
        <v>1786</v>
      </c>
      <c r="C64" s="69">
        <v>15753</v>
      </c>
      <c r="D64" s="748">
        <v>7591112462150</v>
      </c>
      <c r="E64" s="1159" t="s">
        <v>1787</v>
      </c>
      <c r="F64" s="643"/>
      <c r="G64" s="528">
        <v>24</v>
      </c>
      <c r="H64" s="528">
        <v>33.89</v>
      </c>
      <c r="I64" s="528">
        <v>39.31</v>
      </c>
      <c r="J64" s="528">
        <v>1.41</v>
      </c>
      <c r="K64" s="528">
        <v>1.64</v>
      </c>
      <c r="L64" s="528"/>
      <c r="M64" s="528">
        <v>2.02</v>
      </c>
      <c r="N64" s="528">
        <v>2.34</v>
      </c>
      <c r="O64" s="528"/>
      <c r="P64" s="528"/>
      <c r="Q64" s="528"/>
      <c r="R64" s="528">
        <f t="shared" si="3"/>
        <v>0</v>
      </c>
      <c r="S64" s="564"/>
      <c r="T64" s="1161">
        <f t="shared" si="4"/>
        <v>0</v>
      </c>
      <c r="U64" s="1161"/>
      <c r="V64" s="1161">
        <f t="shared" si="5"/>
        <v>0</v>
      </c>
      <c r="W64" s="1161" t="s">
        <v>554</v>
      </c>
    </row>
    <row r="65" spans="2:23" hidden="1">
      <c r="B65" s="69"/>
      <c r="C65" s="69">
        <v>15754</v>
      </c>
      <c r="D65" s="748">
        <v>7591112462112</v>
      </c>
      <c r="E65" s="1159" t="s">
        <v>1788</v>
      </c>
      <c r="F65" s="643"/>
      <c r="G65" s="528">
        <v>12</v>
      </c>
      <c r="H65" s="528">
        <v>8.18</v>
      </c>
      <c r="I65" s="528">
        <v>9.49</v>
      </c>
      <c r="J65" s="528">
        <v>0.68</v>
      </c>
      <c r="K65" s="528">
        <v>0.79</v>
      </c>
      <c r="L65" s="528"/>
      <c r="M65" s="528">
        <v>0.97</v>
      </c>
      <c r="N65" s="528">
        <v>1.1299999999999999</v>
      </c>
      <c r="O65" s="528"/>
      <c r="P65" s="528"/>
      <c r="Q65" s="528"/>
      <c r="R65" s="528">
        <f t="shared" si="3"/>
        <v>0</v>
      </c>
      <c r="S65" s="564"/>
      <c r="T65" s="1161">
        <f t="shared" si="4"/>
        <v>0</v>
      </c>
      <c r="U65" s="1161"/>
      <c r="V65" s="1161">
        <f t="shared" si="5"/>
        <v>0</v>
      </c>
      <c r="W65" s="1161" t="s">
        <v>554</v>
      </c>
    </row>
    <row r="66" spans="2:23" hidden="1">
      <c r="B66" s="69" t="s">
        <v>1789</v>
      </c>
      <c r="C66" s="69">
        <v>15736</v>
      </c>
      <c r="D66" s="748">
        <v>7591112462020</v>
      </c>
      <c r="E66" s="1159" t="s">
        <v>3331</v>
      </c>
      <c r="F66" s="643"/>
      <c r="G66" s="528">
        <v>12</v>
      </c>
      <c r="H66" s="528">
        <v>17.809999999999999</v>
      </c>
      <c r="I66" s="528">
        <v>20.66</v>
      </c>
      <c r="J66" s="528">
        <v>1.48</v>
      </c>
      <c r="K66" s="528">
        <v>1.72</v>
      </c>
      <c r="L66" s="528"/>
      <c r="M66" s="528">
        <v>2.12</v>
      </c>
      <c r="N66" s="528">
        <v>2.46</v>
      </c>
      <c r="O66" s="528">
        <v>10</v>
      </c>
      <c r="P66" s="528"/>
      <c r="Q66" s="528"/>
      <c r="R66" s="528">
        <f t="shared" si="3"/>
        <v>206.6</v>
      </c>
      <c r="S66" s="564"/>
      <c r="T66" s="1161">
        <f t="shared" si="4"/>
        <v>0</v>
      </c>
      <c r="U66" s="1161"/>
      <c r="V66" s="1161">
        <f t="shared" si="5"/>
        <v>0</v>
      </c>
      <c r="W66" s="1161" t="s">
        <v>554</v>
      </c>
    </row>
    <row r="67" spans="2:23" hidden="1">
      <c r="B67" s="69" t="s">
        <v>1790</v>
      </c>
      <c r="C67" s="69">
        <v>15218</v>
      </c>
      <c r="D67" s="748">
        <v>7591112021852</v>
      </c>
      <c r="E67" s="1159" t="s">
        <v>1791</v>
      </c>
      <c r="F67" s="643"/>
      <c r="G67" s="528">
        <v>24</v>
      </c>
      <c r="H67" s="528">
        <v>19.12</v>
      </c>
      <c r="I67" s="528">
        <v>22.18</v>
      </c>
      <c r="J67" s="528">
        <v>0.8</v>
      </c>
      <c r="K67" s="528">
        <v>0.92</v>
      </c>
      <c r="L67" s="528"/>
      <c r="M67" s="528">
        <v>1.1399999999999999</v>
      </c>
      <c r="N67" s="528">
        <v>1.32</v>
      </c>
      <c r="O67" s="528"/>
      <c r="P67" s="528"/>
      <c r="Q67" s="528"/>
      <c r="R67" s="528">
        <f t="shared" si="3"/>
        <v>0</v>
      </c>
      <c r="S67" s="564"/>
      <c r="T67" s="1161">
        <f t="shared" si="4"/>
        <v>0</v>
      </c>
      <c r="U67" s="1161"/>
      <c r="V67" s="1161">
        <f t="shared" si="5"/>
        <v>0</v>
      </c>
      <c r="W67" s="1161" t="s">
        <v>554</v>
      </c>
    </row>
    <row r="68" spans="2:23" hidden="1">
      <c r="B68" s="69"/>
      <c r="C68" s="69">
        <v>15217</v>
      </c>
      <c r="D68" s="748">
        <v>7591112021845</v>
      </c>
      <c r="E68" s="1159" t="s">
        <v>3330</v>
      </c>
      <c r="F68" s="643"/>
      <c r="G68" s="528">
        <v>12</v>
      </c>
      <c r="H68" s="528">
        <v>19.77</v>
      </c>
      <c r="I68" s="528">
        <v>22.93</v>
      </c>
      <c r="J68" s="528">
        <v>1.65</v>
      </c>
      <c r="K68" s="528">
        <v>1.91</v>
      </c>
      <c r="L68" s="528"/>
      <c r="M68" s="528">
        <v>2.35</v>
      </c>
      <c r="N68" s="528">
        <v>2.73</v>
      </c>
      <c r="O68" s="528">
        <v>10</v>
      </c>
      <c r="P68" s="528"/>
      <c r="Q68" s="528"/>
      <c r="R68" s="528">
        <f t="shared" si="3"/>
        <v>229.3</v>
      </c>
      <c r="S68" s="564"/>
      <c r="T68" s="1161">
        <f t="shared" si="4"/>
        <v>0</v>
      </c>
      <c r="U68" s="1161"/>
      <c r="V68" s="1161">
        <f t="shared" si="5"/>
        <v>0</v>
      </c>
      <c r="W68" s="1161" t="s">
        <v>554</v>
      </c>
    </row>
    <row r="69" spans="2:23" hidden="1">
      <c r="B69" s="69" t="s">
        <v>1792</v>
      </c>
      <c r="C69" s="69">
        <v>15219</v>
      </c>
      <c r="D69" s="748">
        <v>7591112022675</v>
      </c>
      <c r="E69" s="1159" t="s">
        <v>1793</v>
      </c>
      <c r="F69" s="643"/>
      <c r="G69" s="528">
        <v>24</v>
      </c>
      <c r="H69" s="528">
        <v>27.08</v>
      </c>
      <c r="I69" s="528">
        <v>31.42</v>
      </c>
      <c r="J69" s="528">
        <v>1.1299999999999999</v>
      </c>
      <c r="K69" s="528">
        <v>1.31</v>
      </c>
      <c r="L69" s="528"/>
      <c r="M69" s="528">
        <v>1.61</v>
      </c>
      <c r="N69" s="528">
        <v>1.87</v>
      </c>
      <c r="O69" s="528"/>
      <c r="P69" s="528"/>
      <c r="Q69" s="528"/>
      <c r="R69" s="528">
        <f t="shared" si="3"/>
        <v>0</v>
      </c>
      <c r="S69" s="564"/>
      <c r="T69" s="1161">
        <f t="shared" si="4"/>
        <v>0</v>
      </c>
      <c r="U69" s="1161"/>
      <c r="V69" s="1161">
        <f t="shared" si="5"/>
        <v>0</v>
      </c>
      <c r="W69" s="1161" t="s">
        <v>554</v>
      </c>
    </row>
    <row r="70" spans="2:23" hidden="1">
      <c r="B70" s="69"/>
      <c r="C70" s="69">
        <v>15220</v>
      </c>
      <c r="D70" s="748">
        <v>7591112022682</v>
      </c>
      <c r="E70" s="1159" t="s">
        <v>1794</v>
      </c>
      <c r="F70" s="643"/>
      <c r="G70" s="528">
        <v>12</v>
      </c>
      <c r="H70" s="528">
        <v>28.24</v>
      </c>
      <c r="I70" s="528">
        <v>32.76</v>
      </c>
      <c r="J70" s="528">
        <v>2.35</v>
      </c>
      <c r="K70" s="528">
        <v>2.73</v>
      </c>
      <c r="L70" s="528"/>
      <c r="M70" s="528">
        <v>3.36</v>
      </c>
      <c r="N70" s="528">
        <v>3.9</v>
      </c>
      <c r="O70" s="528"/>
      <c r="P70" s="528"/>
      <c r="Q70" s="528"/>
      <c r="R70" s="528">
        <f t="shared" si="3"/>
        <v>0</v>
      </c>
      <c r="S70" s="564"/>
      <c r="T70" s="1161">
        <f t="shared" si="4"/>
        <v>0</v>
      </c>
      <c r="U70" s="1161"/>
      <c r="V70" s="1161">
        <f t="shared" si="5"/>
        <v>0</v>
      </c>
      <c r="W70" s="1161" t="s">
        <v>554</v>
      </c>
    </row>
    <row r="71" spans="2:23" hidden="1">
      <c r="B71" s="69"/>
      <c r="C71" s="69">
        <v>15229</v>
      </c>
      <c r="D71" s="748">
        <v>7591112048019</v>
      </c>
      <c r="E71" s="1159" t="s">
        <v>1795</v>
      </c>
      <c r="F71" s="643"/>
      <c r="G71" s="528">
        <v>24</v>
      </c>
      <c r="H71" s="528">
        <v>24.33</v>
      </c>
      <c r="I71" s="528">
        <v>28.22</v>
      </c>
      <c r="J71" s="528">
        <v>1.01</v>
      </c>
      <c r="K71" s="528">
        <v>1.18</v>
      </c>
      <c r="L71" s="528"/>
      <c r="M71" s="528">
        <v>1.45</v>
      </c>
      <c r="N71" s="528">
        <v>1.68</v>
      </c>
      <c r="O71" s="528">
        <v>10</v>
      </c>
      <c r="P71" s="528"/>
      <c r="Q71" s="528"/>
      <c r="R71" s="528">
        <f t="shared" si="3"/>
        <v>282.2</v>
      </c>
      <c r="S71" s="564"/>
      <c r="T71" s="1161">
        <f t="shared" si="4"/>
        <v>0</v>
      </c>
      <c r="U71" s="1161"/>
      <c r="V71" s="1161">
        <f t="shared" si="5"/>
        <v>0</v>
      </c>
      <c r="W71" s="1161" t="s">
        <v>554</v>
      </c>
    </row>
    <row r="72" spans="2:23" hidden="1">
      <c r="B72" s="69"/>
      <c r="C72" s="69">
        <v>15230</v>
      </c>
      <c r="D72" s="748">
        <v>7591112048026</v>
      </c>
      <c r="E72" s="1159" t="s">
        <v>1796</v>
      </c>
      <c r="F72" s="643"/>
      <c r="G72" s="528">
        <v>12</v>
      </c>
      <c r="H72" s="528">
        <v>25.42</v>
      </c>
      <c r="I72" s="528">
        <v>29.48</v>
      </c>
      <c r="J72" s="528">
        <v>2.12</v>
      </c>
      <c r="K72" s="528">
        <v>2.46</v>
      </c>
      <c r="L72" s="528"/>
      <c r="M72" s="528">
        <v>3.03</v>
      </c>
      <c r="N72" s="528">
        <v>3.51</v>
      </c>
      <c r="O72" s="528"/>
      <c r="P72" s="528"/>
      <c r="Q72" s="528"/>
      <c r="R72" s="528">
        <f t="shared" si="3"/>
        <v>0</v>
      </c>
      <c r="S72" s="564"/>
      <c r="T72" s="1161">
        <f t="shared" si="4"/>
        <v>0</v>
      </c>
      <c r="U72" s="1161"/>
      <c r="V72" s="1161">
        <f t="shared" si="5"/>
        <v>0</v>
      </c>
      <c r="W72" s="1161" t="s">
        <v>554</v>
      </c>
    </row>
    <row r="73" spans="2:23" hidden="1">
      <c r="B73" s="69" t="s">
        <v>1797</v>
      </c>
      <c r="C73" s="69">
        <v>15156</v>
      </c>
      <c r="D73" s="748">
        <v>75916084</v>
      </c>
      <c r="E73" s="1159" t="s">
        <v>1798</v>
      </c>
      <c r="F73" s="643"/>
      <c r="G73" s="528">
        <v>24</v>
      </c>
      <c r="H73" s="528">
        <v>10.86</v>
      </c>
      <c r="I73" s="528">
        <v>12.6</v>
      </c>
      <c r="J73" s="528">
        <v>0.45</v>
      </c>
      <c r="K73" s="528">
        <v>0.53</v>
      </c>
      <c r="L73" s="528"/>
      <c r="M73" s="528">
        <v>0.65</v>
      </c>
      <c r="N73" s="528">
        <v>0.75</v>
      </c>
      <c r="O73" s="528">
        <v>25</v>
      </c>
      <c r="P73" s="528"/>
      <c r="Q73" s="528"/>
      <c r="R73" s="528">
        <f t="shared" si="3"/>
        <v>315</v>
      </c>
      <c r="S73" s="564"/>
      <c r="T73" s="1161">
        <f t="shared" si="4"/>
        <v>0</v>
      </c>
      <c r="U73" s="1161"/>
      <c r="V73" s="1161">
        <f t="shared" si="5"/>
        <v>0</v>
      </c>
      <c r="W73" s="1161" t="s">
        <v>554</v>
      </c>
    </row>
    <row r="74" spans="2:23" hidden="1">
      <c r="B74" s="69"/>
      <c r="C74" s="69">
        <v>15761</v>
      </c>
      <c r="D74" s="748">
        <v>759111000017</v>
      </c>
      <c r="E74" s="1159" t="s">
        <v>1799</v>
      </c>
      <c r="F74" s="643"/>
      <c r="G74" s="528">
        <v>24</v>
      </c>
      <c r="H74" s="528">
        <v>13.47</v>
      </c>
      <c r="I74" s="528">
        <v>15.62</v>
      </c>
      <c r="J74" s="528">
        <v>0.56000000000000005</v>
      </c>
      <c r="K74" s="528">
        <v>0.65</v>
      </c>
      <c r="L74" s="528"/>
      <c r="M74" s="528">
        <v>0.8</v>
      </c>
      <c r="N74" s="528">
        <v>0.93</v>
      </c>
      <c r="O74" s="528">
        <v>10</v>
      </c>
      <c r="P74" s="528"/>
      <c r="Q74" s="528"/>
      <c r="R74" s="528">
        <f t="shared" ref="R74:R103" si="6">O74*I74</f>
        <v>156.19999999999999</v>
      </c>
      <c r="S74" s="564"/>
      <c r="T74" s="1161">
        <f t="shared" ref="T74:T103" si="7">S74/G74</f>
        <v>0</v>
      </c>
      <c r="U74" s="1161"/>
      <c r="V74" s="1161">
        <f t="shared" ref="V74:V103" si="8">U74/G74</f>
        <v>0</v>
      </c>
      <c r="W74" s="1161" t="s">
        <v>554</v>
      </c>
    </row>
    <row r="75" spans="2:23" hidden="1">
      <c r="B75" s="69"/>
      <c r="C75" s="69">
        <v>15157</v>
      </c>
      <c r="D75" s="748">
        <v>75916091</v>
      </c>
      <c r="E75" s="1159" t="s">
        <v>1800</v>
      </c>
      <c r="F75" s="643"/>
      <c r="G75" s="528">
        <v>24</v>
      </c>
      <c r="H75" s="528">
        <v>10.86</v>
      </c>
      <c r="I75" s="528">
        <v>12.6</v>
      </c>
      <c r="J75" s="528">
        <v>0.45</v>
      </c>
      <c r="K75" s="528">
        <v>0.53</v>
      </c>
      <c r="L75" s="528"/>
      <c r="M75" s="528">
        <v>0.65</v>
      </c>
      <c r="N75" s="528">
        <v>0.75</v>
      </c>
      <c r="O75" s="528">
        <v>25</v>
      </c>
      <c r="P75" s="528"/>
      <c r="Q75" s="528"/>
      <c r="R75" s="528">
        <f t="shared" si="6"/>
        <v>315</v>
      </c>
      <c r="S75" s="564"/>
      <c r="T75" s="1161">
        <f t="shared" si="7"/>
        <v>0</v>
      </c>
      <c r="U75" s="1161"/>
      <c r="V75" s="1161">
        <f t="shared" si="8"/>
        <v>0</v>
      </c>
      <c r="W75" s="1161" t="s">
        <v>554</v>
      </c>
    </row>
    <row r="76" spans="2:23" hidden="1">
      <c r="B76" s="69"/>
      <c r="C76" s="69">
        <v>15760</v>
      </c>
      <c r="D76" s="748">
        <v>759111000024</v>
      </c>
      <c r="E76" s="1159" t="s">
        <v>1801</v>
      </c>
      <c r="F76" s="643"/>
      <c r="G76" s="528">
        <v>24</v>
      </c>
      <c r="H76" s="528">
        <v>13.47</v>
      </c>
      <c r="I76" s="528">
        <v>15.62</v>
      </c>
      <c r="J76" s="528">
        <v>0.56000000000000005</v>
      </c>
      <c r="K76" s="528">
        <v>0.65</v>
      </c>
      <c r="L76" s="528"/>
      <c r="M76" s="528">
        <v>0.8</v>
      </c>
      <c r="N76" s="528">
        <v>0.93</v>
      </c>
      <c r="O76" s="528">
        <v>10</v>
      </c>
      <c r="P76" s="528"/>
      <c r="Q76" s="528"/>
      <c r="R76" s="528">
        <f t="shared" si="6"/>
        <v>156.19999999999999</v>
      </c>
      <c r="S76" s="564"/>
      <c r="T76" s="1161">
        <f t="shared" si="7"/>
        <v>0</v>
      </c>
      <c r="U76" s="1161"/>
      <c r="V76" s="1161">
        <f t="shared" si="8"/>
        <v>0</v>
      </c>
      <c r="W76" s="1161" t="s">
        <v>554</v>
      </c>
    </row>
    <row r="77" spans="2:23" hidden="1">
      <c r="B77" s="69"/>
      <c r="C77" s="69">
        <v>15152</v>
      </c>
      <c r="D77" s="748">
        <v>75916053</v>
      </c>
      <c r="E77" s="1159" t="s">
        <v>1802</v>
      </c>
      <c r="F77" s="643"/>
      <c r="G77" s="528">
        <v>24</v>
      </c>
      <c r="H77" s="528">
        <v>10.86</v>
      </c>
      <c r="I77" s="528">
        <v>12.6</v>
      </c>
      <c r="J77" s="528">
        <v>0.45</v>
      </c>
      <c r="K77" s="528">
        <v>0.53</v>
      </c>
      <c r="L77" s="528"/>
      <c r="M77" s="528">
        <v>0.65</v>
      </c>
      <c r="N77" s="528">
        <v>0.75</v>
      </c>
      <c r="O77" s="528">
        <v>25</v>
      </c>
      <c r="P77" s="528"/>
      <c r="Q77" s="528"/>
      <c r="R77" s="528">
        <f t="shared" si="6"/>
        <v>315</v>
      </c>
      <c r="S77" s="564"/>
      <c r="T77" s="1161">
        <f t="shared" si="7"/>
        <v>0</v>
      </c>
      <c r="U77" s="1161"/>
      <c r="V77" s="1161">
        <f t="shared" si="8"/>
        <v>0</v>
      </c>
      <c r="W77" s="1161" t="s">
        <v>554</v>
      </c>
    </row>
    <row r="78" spans="2:23" hidden="1">
      <c r="B78" s="69"/>
      <c r="C78" s="69">
        <v>15765</v>
      </c>
      <c r="D78" s="748">
        <v>759111000062</v>
      </c>
      <c r="E78" s="1159" t="s">
        <v>1803</v>
      </c>
      <c r="F78" s="643"/>
      <c r="G78" s="528">
        <v>24</v>
      </c>
      <c r="H78" s="528">
        <v>13.47</v>
      </c>
      <c r="I78" s="528">
        <v>15.62</v>
      </c>
      <c r="J78" s="528">
        <v>0.56000000000000005</v>
      </c>
      <c r="K78" s="528">
        <v>0.65</v>
      </c>
      <c r="L78" s="528"/>
      <c r="M78" s="528">
        <v>0.8</v>
      </c>
      <c r="N78" s="528">
        <v>0.93</v>
      </c>
      <c r="O78" s="528">
        <v>0</v>
      </c>
      <c r="P78" s="528"/>
      <c r="Q78" s="528"/>
      <c r="R78" s="528">
        <f t="shared" si="6"/>
        <v>0</v>
      </c>
      <c r="S78" s="564"/>
      <c r="T78" s="1161">
        <f t="shared" si="7"/>
        <v>0</v>
      </c>
      <c r="U78" s="1161"/>
      <c r="V78" s="1161">
        <f t="shared" si="8"/>
        <v>0</v>
      </c>
      <c r="W78" s="1161" t="s">
        <v>554</v>
      </c>
    </row>
    <row r="79" spans="2:23" hidden="1">
      <c r="B79" s="69"/>
      <c r="C79" s="69">
        <v>15158</v>
      </c>
      <c r="D79" s="748">
        <v>75916909</v>
      </c>
      <c r="E79" s="1159" t="s">
        <v>1804</v>
      </c>
      <c r="F79" s="643"/>
      <c r="G79" s="528">
        <v>24</v>
      </c>
      <c r="H79" s="528">
        <v>10.86</v>
      </c>
      <c r="I79" s="528">
        <v>12.6</v>
      </c>
      <c r="J79" s="528">
        <v>0.45</v>
      </c>
      <c r="K79" s="528">
        <v>0.53</v>
      </c>
      <c r="L79" s="528"/>
      <c r="M79" s="528">
        <v>0.65</v>
      </c>
      <c r="N79" s="528">
        <v>0.75</v>
      </c>
      <c r="O79" s="528"/>
      <c r="P79" s="528"/>
      <c r="Q79" s="528"/>
      <c r="R79" s="528">
        <f t="shared" si="6"/>
        <v>0</v>
      </c>
      <c r="S79" s="564"/>
      <c r="T79" s="1161">
        <f t="shared" si="7"/>
        <v>0</v>
      </c>
      <c r="U79" s="1161"/>
      <c r="V79" s="1161">
        <f t="shared" si="8"/>
        <v>0</v>
      </c>
      <c r="W79" s="1161" t="s">
        <v>554</v>
      </c>
    </row>
    <row r="80" spans="2:23" hidden="1">
      <c r="B80" s="69"/>
      <c r="C80" s="69">
        <v>15762</v>
      </c>
      <c r="D80" s="748">
        <v>759111000055</v>
      </c>
      <c r="E80" s="1159" t="s">
        <v>1805</v>
      </c>
      <c r="F80" s="643"/>
      <c r="G80" s="528">
        <v>24</v>
      </c>
      <c r="H80" s="528">
        <v>13.47</v>
      </c>
      <c r="I80" s="528">
        <v>15.62</v>
      </c>
      <c r="J80" s="528">
        <v>0.56000000000000005</v>
      </c>
      <c r="K80" s="528">
        <v>0.65</v>
      </c>
      <c r="L80" s="528"/>
      <c r="M80" s="528">
        <v>0.8</v>
      </c>
      <c r="N80" s="528">
        <v>0.93</v>
      </c>
      <c r="O80" s="528"/>
      <c r="P80" s="528"/>
      <c r="Q80" s="528"/>
      <c r="R80" s="528">
        <f t="shared" si="6"/>
        <v>0</v>
      </c>
      <c r="S80" s="564"/>
      <c r="T80" s="1161">
        <f t="shared" si="7"/>
        <v>0</v>
      </c>
      <c r="U80" s="1161"/>
      <c r="V80" s="1161">
        <f t="shared" si="8"/>
        <v>0</v>
      </c>
      <c r="W80" s="1161" t="s">
        <v>554</v>
      </c>
    </row>
    <row r="81" spans="2:23" hidden="1">
      <c r="B81" s="69"/>
      <c r="C81" s="69">
        <v>15172</v>
      </c>
      <c r="D81" s="748">
        <v>75920128</v>
      </c>
      <c r="E81" s="1159" t="s">
        <v>1806</v>
      </c>
      <c r="F81" s="643"/>
      <c r="G81" s="528">
        <v>24</v>
      </c>
      <c r="H81" s="528">
        <v>10.86</v>
      </c>
      <c r="I81" s="528">
        <v>12.6</v>
      </c>
      <c r="J81" s="528">
        <v>0.45</v>
      </c>
      <c r="K81" s="528">
        <v>0.53</v>
      </c>
      <c r="L81" s="528"/>
      <c r="M81" s="528">
        <v>0.65</v>
      </c>
      <c r="N81" s="528">
        <v>0.75</v>
      </c>
      <c r="O81" s="528"/>
      <c r="P81" s="528"/>
      <c r="Q81" s="528"/>
      <c r="R81" s="528">
        <f t="shared" si="6"/>
        <v>0</v>
      </c>
      <c r="S81" s="564"/>
      <c r="T81" s="1161">
        <f t="shared" si="7"/>
        <v>0</v>
      </c>
      <c r="U81" s="1161"/>
      <c r="V81" s="1161">
        <f t="shared" si="8"/>
        <v>0</v>
      </c>
      <c r="W81" s="1161" t="s">
        <v>554</v>
      </c>
    </row>
    <row r="82" spans="2:23" hidden="1">
      <c r="B82" s="69"/>
      <c r="C82" s="69">
        <v>15153</v>
      </c>
      <c r="D82" s="748">
        <v>75916060</v>
      </c>
      <c r="E82" s="1159" t="s">
        <v>1807</v>
      </c>
      <c r="F82" s="643"/>
      <c r="G82" s="528">
        <v>24</v>
      </c>
      <c r="H82" s="528">
        <v>10.86</v>
      </c>
      <c r="I82" s="528">
        <v>12.6</v>
      </c>
      <c r="J82" s="528">
        <v>0.45</v>
      </c>
      <c r="K82" s="528">
        <v>0.53</v>
      </c>
      <c r="L82" s="528"/>
      <c r="M82" s="528">
        <v>0.65</v>
      </c>
      <c r="N82" s="528">
        <v>0.75</v>
      </c>
      <c r="O82" s="528">
        <v>25</v>
      </c>
      <c r="P82" s="528"/>
      <c r="Q82" s="528"/>
      <c r="R82" s="528">
        <f t="shared" si="6"/>
        <v>315</v>
      </c>
      <c r="S82" s="564"/>
      <c r="T82" s="1161">
        <f t="shared" si="7"/>
        <v>0</v>
      </c>
      <c r="U82" s="1161"/>
      <c r="V82" s="1161">
        <f t="shared" si="8"/>
        <v>0</v>
      </c>
      <c r="W82" s="1161" t="s">
        <v>554</v>
      </c>
    </row>
    <row r="83" spans="2:23" hidden="1">
      <c r="B83" s="69"/>
      <c r="C83" s="69"/>
      <c r="D83" s="748"/>
      <c r="E83" s="1159"/>
      <c r="F83" s="643"/>
      <c r="G83" s="528"/>
      <c r="H83" s="528"/>
      <c r="I83" s="528"/>
      <c r="J83" s="528"/>
      <c r="K83" s="528"/>
      <c r="L83" s="528"/>
      <c r="M83" s="528"/>
      <c r="N83" s="528"/>
      <c r="O83" s="528"/>
      <c r="P83" s="528"/>
      <c r="Q83" s="528"/>
      <c r="R83" s="528">
        <f t="shared" si="6"/>
        <v>0</v>
      </c>
      <c r="S83" s="564"/>
      <c r="T83" s="1161" t="e">
        <f t="shared" si="7"/>
        <v>#DIV/0!</v>
      </c>
      <c r="U83" s="1161"/>
      <c r="V83" s="1161" t="e">
        <f t="shared" si="8"/>
        <v>#DIV/0!</v>
      </c>
      <c r="W83" s="1161" t="s">
        <v>554</v>
      </c>
    </row>
    <row r="84" spans="2:23" hidden="1">
      <c r="B84" s="69"/>
      <c r="C84" s="69">
        <v>15766</v>
      </c>
      <c r="D84" s="748">
        <v>759111000079</v>
      </c>
      <c r="E84" s="1159" t="s">
        <v>1808</v>
      </c>
      <c r="F84" s="643"/>
      <c r="G84" s="528">
        <v>24</v>
      </c>
      <c r="H84" s="528">
        <v>13.47</v>
      </c>
      <c r="I84" s="528">
        <v>15.62</v>
      </c>
      <c r="J84" s="528">
        <v>0.56000000000000005</v>
      </c>
      <c r="K84" s="528">
        <v>0.65</v>
      </c>
      <c r="L84" s="528"/>
      <c r="M84" s="528">
        <v>0.8</v>
      </c>
      <c r="N84" s="528">
        <v>0.93</v>
      </c>
      <c r="O84" s="528">
        <v>0</v>
      </c>
      <c r="P84" s="528"/>
      <c r="Q84" s="528"/>
      <c r="R84" s="528">
        <f t="shared" si="6"/>
        <v>0</v>
      </c>
      <c r="S84" s="564"/>
      <c r="T84" s="1161">
        <f t="shared" si="7"/>
        <v>0</v>
      </c>
      <c r="U84" s="1161"/>
      <c r="V84" s="1161">
        <f t="shared" si="8"/>
        <v>0</v>
      </c>
      <c r="W84" s="1161" t="s">
        <v>554</v>
      </c>
    </row>
    <row r="85" spans="2:23" hidden="1">
      <c r="B85" s="69"/>
      <c r="C85" s="69">
        <v>15149</v>
      </c>
      <c r="D85" s="748">
        <v>75916022</v>
      </c>
      <c r="E85" s="1159" t="s">
        <v>1809</v>
      </c>
      <c r="F85" s="643"/>
      <c r="G85" s="528">
        <v>24</v>
      </c>
      <c r="H85" s="528">
        <v>10.86</v>
      </c>
      <c r="I85" s="528">
        <v>12.6</v>
      </c>
      <c r="J85" s="528">
        <v>0.45</v>
      </c>
      <c r="K85" s="528">
        <v>0.53</v>
      </c>
      <c r="L85" s="528"/>
      <c r="M85" s="528">
        <v>0.65</v>
      </c>
      <c r="N85" s="528">
        <v>0.75</v>
      </c>
      <c r="O85" s="528">
        <v>10</v>
      </c>
      <c r="P85" s="528"/>
      <c r="Q85" s="528"/>
      <c r="R85" s="528">
        <f t="shared" si="6"/>
        <v>126</v>
      </c>
      <c r="S85" s="564"/>
      <c r="T85" s="1161">
        <f t="shared" si="7"/>
        <v>0</v>
      </c>
      <c r="U85" s="1161"/>
      <c r="V85" s="1161">
        <f t="shared" si="8"/>
        <v>0</v>
      </c>
      <c r="W85" s="1161" t="s">
        <v>554</v>
      </c>
    </row>
    <row r="86" spans="2:23" hidden="1">
      <c r="B86" s="69"/>
      <c r="C86" s="69">
        <v>15764</v>
      </c>
      <c r="D86" s="748">
        <v>759111000031</v>
      </c>
      <c r="E86" s="1159" t="s">
        <v>1810</v>
      </c>
      <c r="F86" s="643"/>
      <c r="G86" s="528">
        <v>24</v>
      </c>
      <c r="H86" s="528">
        <v>13.47</v>
      </c>
      <c r="I86" s="528">
        <v>15.62</v>
      </c>
      <c r="J86" s="528">
        <v>0.56000000000000005</v>
      </c>
      <c r="K86" s="528">
        <v>0.65</v>
      </c>
      <c r="L86" s="528"/>
      <c r="M86" s="528">
        <v>0.8</v>
      </c>
      <c r="N86" s="528">
        <v>0.93</v>
      </c>
      <c r="O86" s="528"/>
      <c r="P86" s="528"/>
      <c r="Q86" s="528"/>
      <c r="R86" s="528">
        <f t="shared" si="6"/>
        <v>0</v>
      </c>
      <c r="S86" s="564"/>
      <c r="T86" s="1161">
        <f t="shared" si="7"/>
        <v>0</v>
      </c>
      <c r="U86" s="1161"/>
      <c r="V86" s="1161">
        <f t="shared" si="8"/>
        <v>0</v>
      </c>
      <c r="W86" s="1161" t="s">
        <v>554</v>
      </c>
    </row>
    <row r="87" spans="2:23" hidden="1">
      <c r="B87" s="69"/>
      <c r="C87" s="69">
        <v>15154</v>
      </c>
      <c r="D87" s="748">
        <v>75916077</v>
      </c>
      <c r="E87" s="1159" t="s">
        <v>1811</v>
      </c>
      <c r="F87" s="643"/>
      <c r="G87" s="528">
        <v>24</v>
      </c>
      <c r="H87" s="528">
        <v>10.86</v>
      </c>
      <c r="I87" s="528">
        <v>12.6</v>
      </c>
      <c r="J87" s="528">
        <v>0.45</v>
      </c>
      <c r="K87" s="528">
        <v>0.53</v>
      </c>
      <c r="L87" s="528"/>
      <c r="M87" s="528">
        <v>0.65</v>
      </c>
      <c r="N87" s="528">
        <v>0.75</v>
      </c>
      <c r="O87" s="528"/>
      <c r="P87" s="528"/>
      <c r="Q87" s="528"/>
      <c r="R87" s="528">
        <f t="shared" si="6"/>
        <v>0</v>
      </c>
      <c r="S87" s="564"/>
      <c r="T87" s="1161">
        <f t="shared" si="7"/>
        <v>0</v>
      </c>
      <c r="U87" s="1161"/>
      <c r="V87" s="1161">
        <f t="shared" si="8"/>
        <v>0</v>
      </c>
      <c r="W87" s="1161" t="s">
        <v>554</v>
      </c>
    </row>
    <row r="88" spans="2:23" hidden="1">
      <c r="B88" s="69"/>
      <c r="C88" s="69">
        <v>15768</v>
      </c>
      <c r="D88" s="748">
        <v>7591112000185</v>
      </c>
      <c r="E88" s="1159" t="s">
        <v>1812</v>
      </c>
      <c r="F88" s="643"/>
      <c r="G88" s="528">
        <v>24</v>
      </c>
      <c r="H88" s="528">
        <v>13.47</v>
      </c>
      <c r="I88" s="528">
        <v>15.62</v>
      </c>
      <c r="J88" s="528">
        <v>0.56000000000000005</v>
      </c>
      <c r="K88" s="528">
        <v>0.65</v>
      </c>
      <c r="L88" s="528"/>
      <c r="M88" s="528">
        <v>0.8</v>
      </c>
      <c r="N88" s="528">
        <v>0.93</v>
      </c>
      <c r="O88" s="528"/>
      <c r="P88" s="528"/>
      <c r="Q88" s="528"/>
      <c r="R88" s="528">
        <f t="shared" si="6"/>
        <v>0</v>
      </c>
      <c r="S88" s="564"/>
      <c r="T88" s="1161">
        <f t="shared" si="7"/>
        <v>0</v>
      </c>
      <c r="U88" s="1161"/>
      <c r="V88" s="1161">
        <f t="shared" si="8"/>
        <v>0</v>
      </c>
      <c r="W88" s="1161" t="s">
        <v>554</v>
      </c>
    </row>
    <row r="89" spans="2:23" hidden="1">
      <c r="B89" s="69" t="s">
        <v>1813</v>
      </c>
      <c r="C89" s="69">
        <v>15557</v>
      </c>
      <c r="D89" s="748">
        <v>75930776</v>
      </c>
      <c r="E89" s="1159" t="s">
        <v>1814</v>
      </c>
      <c r="F89" s="643"/>
      <c r="G89" s="528">
        <v>24</v>
      </c>
      <c r="H89" s="528">
        <v>12.74</v>
      </c>
      <c r="I89" s="528">
        <v>14.78</v>
      </c>
      <c r="J89" s="528">
        <v>0.53</v>
      </c>
      <c r="K89" s="528">
        <v>0.62</v>
      </c>
      <c r="L89" s="528"/>
      <c r="M89" s="528">
        <v>0.76</v>
      </c>
      <c r="N89" s="528">
        <v>0.88</v>
      </c>
      <c r="O89" s="528"/>
      <c r="P89" s="528"/>
      <c r="Q89" s="528"/>
      <c r="R89" s="528">
        <f t="shared" si="6"/>
        <v>0</v>
      </c>
      <c r="S89" s="564"/>
      <c r="T89" s="1161">
        <f t="shared" si="7"/>
        <v>0</v>
      </c>
      <c r="U89" s="1161"/>
      <c r="V89" s="1161">
        <f t="shared" si="8"/>
        <v>0</v>
      </c>
      <c r="W89" s="1161" t="s">
        <v>554</v>
      </c>
    </row>
    <row r="90" spans="2:23" hidden="1">
      <c r="B90" s="69"/>
      <c r="C90" s="69">
        <v>15558</v>
      </c>
      <c r="D90" s="748">
        <v>75930790</v>
      </c>
      <c r="E90" s="1159" t="s">
        <v>1815</v>
      </c>
      <c r="F90" s="643"/>
      <c r="G90" s="528">
        <v>24</v>
      </c>
      <c r="H90" s="528">
        <v>12.74</v>
      </c>
      <c r="I90" s="528">
        <v>14.78</v>
      </c>
      <c r="J90" s="528">
        <v>0.53</v>
      </c>
      <c r="K90" s="528">
        <v>0.62</v>
      </c>
      <c r="L90" s="528"/>
      <c r="M90" s="528">
        <v>0.76</v>
      </c>
      <c r="N90" s="528">
        <v>0.88</v>
      </c>
      <c r="O90" s="528"/>
      <c r="P90" s="528"/>
      <c r="Q90" s="528"/>
      <c r="R90" s="528">
        <f t="shared" si="6"/>
        <v>0</v>
      </c>
      <c r="S90" s="564"/>
      <c r="T90" s="1161">
        <f t="shared" si="7"/>
        <v>0</v>
      </c>
      <c r="U90" s="1161"/>
      <c r="V90" s="1161">
        <f t="shared" si="8"/>
        <v>0</v>
      </c>
      <c r="W90" s="1161" t="s">
        <v>554</v>
      </c>
    </row>
    <row r="91" spans="2:23" hidden="1">
      <c r="B91" s="69" t="s">
        <v>1816</v>
      </c>
      <c r="C91" s="69">
        <v>15679</v>
      </c>
      <c r="D91" s="748">
        <v>7591112156493</v>
      </c>
      <c r="E91" s="1159" t="s">
        <v>1817</v>
      </c>
      <c r="F91" s="643"/>
      <c r="G91" s="528">
        <v>24</v>
      </c>
      <c r="H91" s="528">
        <v>16.079999999999998</v>
      </c>
      <c r="I91" s="528">
        <v>18.649999999999999</v>
      </c>
      <c r="J91" s="528">
        <v>0.67</v>
      </c>
      <c r="K91" s="528">
        <v>0.78</v>
      </c>
      <c r="L91" s="528"/>
      <c r="M91" s="528">
        <v>0.96</v>
      </c>
      <c r="N91" s="528">
        <v>1.1100000000000001</v>
      </c>
      <c r="O91" s="528"/>
      <c r="P91" s="528"/>
      <c r="Q91" s="528"/>
      <c r="R91" s="528">
        <f t="shared" si="6"/>
        <v>0</v>
      </c>
      <c r="S91" s="564"/>
      <c r="T91" s="1161">
        <f t="shared" si="7"/>
        <v>0</v>
      </c>
      <c r="U91" s="1161"/>
      <c r="V91" s="1161">
        <f t="shared" si="8"/>
        <v>0</v>
      </c>
      <c r="W91" s="1161" t="s">
        <v>554</v>
      </c>
    </row>
    <row r="92" spans="2:23" hidden="1">
      <c r="B92" s="69"/>
      <c r="C92" s="69">
        <v>15678</v>
      </c>
      <c r="D92" s="748">
        <v>7591112156486</v>
      </c>
      <c r="E92" s="1159" t="s">
        <v>1818</v>
      </c>
      <c r="F92" s="643"/>
      <c r="G92" s="528">
        <v>24</v>
      </c>
      <c r="H92" s="528">
        <v>16.079999999999998</v>
      </c>
      <c r="I92" s="528">
        <v>18.649999999999999</v>
      </c>
      <c r="J92" s="528">
        <v>0.67</v>
      </c>
      <c r="K92" s="528">
        <v>0.78</v>
      </c>
      <c r="L92" s="528"/>
      <c r="M92" s="528">
        <v>0.96</v>
      </c>
      <c r="N92" s="528">
        <v>1.1100000000000001</v>
      </c>
      <c r="O92" s="528"/>
      <c r="P92" s="528"/>
      <c r="Q92" s="528"/>
      <c r="R92" s="528">
        <f t="shared" si="6"/>
        <v>0</v>
      </c>
      <c r="S92" s="564"/>
      <c r="T92" s="1161">
        <f t="shared" si="7"/>
        <v>0</v>
      </c>
      <c r="U92" s="1161"/>
      <c r="V92" s="1161">
        <f t="shared" si="8"/>
        <v>0</v>
      </c>
      <c r="W92" s="1161" t="s">
        <v>554</v>
      </c>
    </row>
    <row r="93" spans="2:23" hidden="1">
      <c r="B93" s="69"/>
      <c r="C93" s="69">
        <v>15380</v>
      </c>
      <c r="D93" s="748">
        <v>7591112004435</v>
      </c>
      <c r="E93" s="1159" t="s">
        <v>1819</v>
      </c>
      <c r="F93" s="643"/>
      <c r="G93" s="528">
        <v>12</v>
      </c>
      <c r="H93" s="528">
        <v>8.32</v>
      </c>
      <c r="I93" s="528">
        <v>8.32</v>
      </c>
      <c r="J93" s="528">
        <v>0.69</v>
      </c>
      <c r="K93" s="528">
        <v>0.69</v>
      </c>
      <c r="L93" s="528"/>
      <c r="M93" s="528">
        <v>0.99</v>
      </c>
      <c r="N93" s="528">
        <v>0.99</v>
      </c>
      <c r="O93" s="528"/>
      <c r="P93" s="528"/>
      <c r="Q93" s="528"/>
      <c r="R93" s="528">
        <f t="shared" si="6"/>
        <v>0</v>
      </c>
      <c r="S93" s="564"/>
      <c r="T93" s="1161">
        <f t="shared" si="7"/>
        <v>0</v>
      </c>
      <c r="U93" s="1161"/>
      <c r="V93" s="1161">
        <f t="shared" si="8"/>
        <v>0</v>
      </c>
      <c r="W93" s="1161" t="s">
        <v>554</v>
      </c>
    </row>
    <row r="94" spans="2:23" hidden="1">
      <c r="B94" s="69"/>
      <c r="C94" s="69">
        <v>15372</v>
      </c>
      <c r="D94" s="748">
        <v>7591112004039</v>
      </c>
      <c r="E94" s="1159" t="s">
        <v>1820</v>
      </c>
      <c r="F94" s="643"/>
      <c r="G94" s="528">
        <v>12</v>
      </c>
      <c r="H94" s="528">
        <v>13.1</v>
      </c>
      <c r="I94" s="528">
        <v>13.1</v>
      </c>
      <c r="J94" s="528">
        <v>1.0900000000000001</v>
      </c>
      <c r="K94" s="528">
        <v>1.0900000000000001</v>
      </c>
      <c r="L94" s="528"/>
      <c r="M94" s="528">
        <v>1.56</v>
      </c>
      <c r="N94" s="528">
        <v>1.56</v>
      </c>
      <c r="O94" s="528"/>
      <c r="P94" s="528"/>
      <c r="Q94" s="528"/>
      <c r="R94" s="528">
        <f t="shared" si="6"/>
        <v>0</v>
      </c>
      <c r="S94" s="564"/>
      <c r="T94" s="1161">
        <f t="shared" si="7"/>
        <v>0</v>
      </c>
      <c r="U94" s="1161"/>
      <c r="V94" s="1161">
        <f t="shared" si="8"/>
        <v>0</v>
      </c>
      <c r="W94" s="1161" t="s">
        <v>554</v>
      </c>
    </row>
    <row r="95" spans="2:23" hidden="1">
      <c r="B95" s="69"/>
      <c r="C95" s="69">
        <v>15379</v>
      </c>
      <c r="D95" s="748">
        <v>7591112004428</v>
      </c>
      <c r="E95" s="1159" t="s">
        <v>1821</v>
      </c>
      <c r="F95" s="643"/>
      <c r="G95" s="528">
        <v>4</v>
      </c>
      <c r="H95" s="528">
        <v>8.5399999999999991</v>
      </c>
      <c r="I95" s="528">
        <v>8.5399999999999991</v>
      </c>
      <c r="J95" s="528">
        <v>2.14</v>
      </c>
      <c r="K95" s="528">
        <v>2.14</v>
      </c>
      <c r="L95" s="528"/>
      <c r="M95" s="528">
        <v>3.05</v>
      </c>
      <c r="N95" s="528">
        <v>3.05</v>
      </c>
      <c r="O95" s="528"/>
      <c r="P95" s="528"/>
      <c r="Q95" s="528"/>
      <c r="R95" s="528">
        <f t="shared" si="6"/>
        <v>0</v>
      </c>
      <c r="S95" s="564"/>
      <c r="T95" s="1161">
        <f t="shared" si="7"/>
        <v>0</v>
      </c>
      <c r="U95" s="1161"/>
      <c r="V95" s="1161">
        <f t="shared" si="8"/>
        <v>0</v>
      </c>
      <c r="W95" s="1161" t="s">
        <v>554</v>
      </c>
    </row>
    <row r="96" spans="2:23" hidden="1">
      <c r="B96" s="69" t="s">
        <v>1822</v>
      </c>
      <c r="C96" s="69">
        <v>15758</v>
      </c>
      <c r="D96" s="748">
        <v>7591112462235</v>
      </c>
      <c r="E96" s="1159" t="s">
        <v>1823</v>
      </c>
      <c r="F96" s="643"/>
      <c r="G96" s="528">
        <v>12</v>
      </c>
      <c r="H96" s="528">
        <v>16.22</v>
      </c>
      <c r="I96" s="528">
        <v>18.82</v>
      </c>
      <c r="J96" s="528">
        <v>1.35</v>
      </c>
      <c r="K96" s="528">
        <v>1.57</v>
      </c>
      <c r="L96" s="528"/>
      <c r="M96" s="528">
        <v>1.93</v>
      </c>
      <c r="N96" s="528">
        <v>2.2400000000000002</v>
      </c>
      <c r="O96" s="528"/>
      <c r="P96" s="528"/>
      <c r="Q96" s="528"/>
      <c r="R96" s="528">
        <f t="shared" si="6"/>
        <v>0</v>
      </c>
      <c r="S96" s="564"/>
      <c r="T96" s="1161">
        <f t="shared" si="7"/>
        <v>0</v>
      </c>
      <c r="U96" s="1161"/>
      <c r="V96" s="1161">
        <f t="shared" si="8"/>
        <v>0</v>
      </c>
      <c r="W96" s="1161" t="s">
        <v>554</v>
      </c>
    </row>
    <row r="97" spans="2:23" hidden="1">
      <c r="B97" s="69" t="s">
        <v>1824</v>
      </c>
      <c r="C97" s="69">
        <v>15704</v>
      </c>
      <c r="D97" s="748">
        <v>7591112462105</v>
      </c>
      <c r="E97" s="1159" t="s">
        <v>1825</v>
      </c>
      <c r="F97" s="643"/>
      <c r="G97" s="528">
        <v>12</v>
      </c>
      <c r="H97" s="528">
        <v>21</v>
      </c>
      <c r="I97" s="528">
        <v>24.36</v>
      </c>
      <c r="J97" s="528">
        <v>1.75</v>
      </c>
      <c r="K97" s="528">
        <v>2.0299999999999998</v>
      </c>
      <c r="L97" s="528"/>
      <c r="M97" s="528">
        <v>2.5</v>
      </c>
      <c r="N97" s="528">
        <v>2.9</v>
      </c>
      <c r="O97" s="528"/>
      <c r="P97" s="528"/>
      <c r="Q97" s="528"/>
      <c r="R97" s="528">
        <f t="shared" si="6"/>
        <v>0</v>
      </c>
      <c r="S97" s="564"/>
      <c r="T97" s="1161">
        <f t="shared" si="7"/>
        <v>0</v>
      </c>
      <c r="U97" s="1161"/>
      <c r="V97" s="1161">
        <f t="shared" si="8"/>
        <v>0</v>
      </c>
      <c r="W97" s="1161" t="s">
        <v>554</v>
      </c>
    </row>
    <row r="98" spans="2:23" hidden="1">
      <c r="B98" s="69" t="s">
        <v>1826</v>
      </c>
      <c r="C98" s="69">
        <v>15336</v>
      </c>
      <c r="D98" s="748">
        <v>7591112061667</v>
      </c>
      <c r="E98" s="1159" t="s">
        <v>1827</v>
      </c>
      <c r="F98" s="643"/>
      <c r="G98" s="528">
        <v>48</v>
      </c>
      <c r="H98" s="528">
        <v>31.86</v>
      </c>
      <c r="I98" s="528">
        <v>36.96</v>
      </c>
      <c r="J98" s="528">
        <v>0.66</v>
      </c>
      <c r="K98" s="528">
        <v>0.77</v>
      </c>
      <c r="L98" s="528"/>
      <c r="M98" s="528">
        <v>0.95</v>
      </c>
      <c r="N98" s="528">
        <v>1.1000000000000001</v>
      </c>
      <c r="O98" s="528"/>
      <c r="P98" s="528"/>
      <c r="Q98" s="528"/>
      <c r="R98" s="528">
        <f t="shared" si="6"/>
        <v>0</v>
      </c>
      <c r="S98" s="564"/>
      <c r="T98" s="1161">
        <f t="shared" si="7"/>
        <v>0</v>
      </c>
      <c r="U98" s="1161"/>
      <c r="V98" s="1161">
        <f t="shared" si="8"/>
        <v>0</v>
      </c>
      <c r="W98" s="1161" t="s">
        <v>554</v>
      </c>
    </row>
    <row r="99" spans="2:23" hidden="1">
      <c r="B99" s="69"/>
      <c r="C99" s="69">
        <v>15340</v>
      </c>
      <c r="D99" s="748">
        <v>7591112061902</v>
      </c>
      <c r="E99" s="1159" t="s">
        <v>1828</v>
      </c>
      <c r="F99" s="643"/>
      <c r="G99" s="528">
        <v>48</v>
      </c>
      <c r="H99" s="528">
        <v>31.86</v>
      </c>
      <c r="I99" s="528">
        <v>36.96</v>
      </c>
      <c r="J99" s="528">
        <v>0.66</v>
      </c>
      <c r="K99" s="528">
        <v>0.77</v>
      </c>
      <c r="L99" s="528"/>
      <c r="M99" s="528">
        <v>0.95</v>
      </c>
      <c r="N99" s="528">
        <v>1.1000000000000001</v>
      </c>
      <c r="O99" s="528">
        <v>5</v>
      </c>
      <c r="P99" s="528"/>
      <c r="Q99" s="528"/>
      <c r="R99" s="528">
        <f t="shared" si="6"/>
        <v>184.8</v>
      </c>
      <c r="S99" s="564"/>
      <c r="T99" s="1161">
        <f t="shared" si="7"/>
        <v>0</v>
      </c>
      <c r="U99" s="1161"/>
      <c r="V99" s="1161">
        <f t="shared" si="8"/>
        <v>0</v>
      </c>
      <c r="W99" s="1161" t="s">
        <v>554</v>
      </c>
    </row>
    <row r="100" spans="2:23" hidden="1">
      <c r="B100" s="69"/>
      <c r="C100" s="69">
        <v>15329</v>
      </c>
      <c r="D100" s="748">
        <v>7591112061421</v>
      </c>
      <c r="E100" s="1159" t="s">
        <v>1829</v>
      </c>
      <c r="F100" s="643"/>
      <c r="G100" s="528">
        <v>48</v>
      </c>
      <c r="H100" s="528">
        <v>31.86</v>
      </c>
      <c r="I100" s="528">
        <v>36.96</v>
      </c>
      <c r="J100" s="528">
        <v>0.66</v>
      </c>
      <c r="K100" s="528">
        <v>0.77</v>
      </c>
      <c r="L100" s="528"/>
      <c r="M100" s="528">
        <v>0.95</v>
      </c>
      <c r="N100" s="528">
        <v>1.1000000000000001</v>
      </c>
      <c r="O100" s="528"/>
      <c r="P100" s="528"/>
      <c r="Q100" s="528"/>
      <c r="R100" s="528">
        <f t="shared" si="6"/>
        <v>0</v>
      </c>
      <c r="S100" s="564"/>
      <c r="T100" s="1161">
        <f t="shared" si="7"/>
        <v>0</v>
      </c>
      <c r="U100" s="1161"/>
      <c r="V100" s="1161">
        <f t="shared" si="8"/>
        <v>0</v>
      </c>
      <c r="W100" s="1161" t="s">
        <v>554</v>
      </c>
    </row>
    <row r="101" spans="2:23" hidden="1">
      <c r="B101" s="69"/>
      <c r="C101" s="69">
        <v>15740</v>
      </c>
      <c r="D101" s="748">
        <v>7591112462174</v>
      </c>
      <c r="E101" s="1159" t="s">
        <v>1830</v>
      </c>
      <c r="F101" s="643"/>
      <c r="G101" s="528">
        <v>48</v>
      </c>
      <c r="H101" s="528">
        <v>31.86</v>
      </c>
      <c r="I101" s="528">
        <v>36.96</v>
      </c>
      <c r="J101" s="528">
        <v>0.66</v>
      </c>
      <c r="K101" s="528">
        <v>0.77</v>
      </c>
      <c r="L101" s="528"/>
      <c r="M101" s="528">
        <v>0.95</v>
      </c>
      <c r="N101" s="528">
        <v>1.1000000000000001</v>
      </c>
      <c r="O101" s="528"/>
      <c r="P101" s="528"/>
      <c r="Q101" s="528"/>
      <c r="R101" s="528">
        <f t="shared" si="6"/>
        <v>0</v>
      </c>
      <c r="S101" s="564"/>
      <c r="T101" s="1161">
        <f t="shared" si="7"/>
        <v>0</v>
      </c>
      <c r="U101" s="1161"/>
      <c r="V101" s="1161">
        <f t="shared" si="8"/>
        <v>0</v>
      </c>
      <c r="W101" s="1161" t="s">
        <v>554</v>
      </c>
    </row>
    <row r="102" spans="2:23" hidden="1">
      <c r="B102" s="69"/>
      <c r="C102" s="69">
        <v>15752</v>
      </c>
      <c r="D102" s="748">
        <v>759112462167</v>
      </c>
      <c r="E102" s="1159" t="s">
        <v>1831</v>
      </c>
      <c r="F102" s="643"/>
      <c r="G102" s="528">
        <v>48</v>
      </c>
      <c r="H102" s="528">
        <v>31.86</v>
      </c>
      <c r="I102" s="528">
        <v>36.96</v>
      </c>
      <c r="J102" s="528">
        <v>0.66</v>
      </c>
      <c r="K102" s="528">
        <v>0.77</v>
      </c>
      <c r="L102" s="528"/>
      <c r="M102" s="528">
        <v>0.95</v>
      </c>
      <c r="N102" s="528">
        <v>1.1000000000000001</v>
      </c>
      <c r="O102" s="528"/>
      <c r="P102" s="528"/>
      <c r="Q102" s="528"/>
      <c r="R102" s="528">
        <f t="shared" si="6"/>
        <v>0</v>
      </c>
      <c r="S102" s="564"/>
      <c r="T102" s="1161">
        <f t="shared" si="7"/>
        <v>0</v>
      </c>
      <c r="U102" s="1161"/>
      <c r="V102" s="1161">
        <f t="shared" si="8"/>
        <v>0</v>
      </c>
      <c r="W102" s="1161" t="s">
        <v>554</v>
      </c>
    </row>
    <row r="103" spans="2:23" hidden="1">
      <c r="B103" s="69"/>
      <c r="C103" s="69">
        <v>15339</v>
      </c>
      <c r="D103" s="748">
        <v>759112061896</v>
      </c>
      <c r="E103" s="1159" t="s">
        <v>1832</v>
      </c>
      <c r="F103" s="643"/>
      <c r="G103" s="528">
        <v>48</v>
      </c>
      <c r="H103" s="528">
        <v>31.86</v>
      </c>
      <c r="I103" s="528">
        <v>36.96</v>
      </c>
      <c r="J103" s="528">
        <v>0.66</v>
      </c>
      <c r="K103" s="528">
        <v>0.77</v>
      </c>
      <c r="L103" s="528"/>
      <c r="M103" s="528">
        <v>0.95</v>
      </c>
      <c r="N103" s="528">
        <v>1.1000000000000001</v>
      </c>
      <c r="O103" s="528">
        <v>5</v>
      </c>
      <c r="P103" s="528"/>
      <c r="Q103" s="528"/>
      <c r="R103" s="528">
        <f t="shared" si="6"/>
        <v>184.8</v>
      </c>
      <c r="S103" s="564"/>
      <c r="T103" s="1161">
        <f t="shared" si="7"/>
        <v>0</v>
      </c>
      <c r="U103" s="1161"/>
      <c r="V103" s="1161">
        <f t="shared" si="8"/>
        <v>0</v>
      </c>
      <c r="W103" s="1161" t="s">
        <v>554</v>
      </c>
    </row>
    <row r="104" spans="2:23" hidden="1">
      <c r="B104" s="69"/>
      <c r="C104" s="749">
        <v>15770</v>
      </c>
      <c r="D104" s="750">
        <v>7591112000161</v>
      </c>
      <c r="E104" s="751" t="s">
        <v>1833</v>
      </c>
      <c r="F104" s="749"/>
      <c r="G104" s="524">
        <v>48</v>
      </c>
      <c r="H104" s="524">
        <v>31.86</v>
      </c>
      <c r="I104" s="524">
        <v>36.96</v>
      </c>
      <c r="J104" s="1162">
        <v>0.66</v>
      </c>
      <c r="K104" s="524">
        <v>0.77</v>
      </c>
      <c r="L104" s="524"/>
      <c r="M104" s="524">
        <v>0.95</v>
      </c>
      <c r="N104" s="524">
        <v>1.1000000000000001</v>
      </c>
      <c r="O104" s="524"/>
      <c r="P104" s="524"/>
      <c r="Q104" s="524"/>
      <c r="R104" s="524">
        <f t="shared" ref="R104:R115" si="9">I104*O104</f>
        <v>0</v>
      </c>
      <c r="S104" s="1140"/>
      <c r="T104" s="269"/>
      <c r="U104" s="269"/>
      <c r="V104" s="269"/>
      <c r="W104" s="269" t="s">
        <v>554</v>
      </c>
    </row>
    <row r="105" spans="2:23" hidden="1">
      <c r="B105" s="69"/>
      <c r="C105" s="69">
        <v>15320</v>
      </c>
      <c r="D105" s="745">
        <v>7591112061193</v>
      </c>
      <c r="E105" s="752" t="s">
        <v>1834</v>
      </c>
      <c r="F105" s="69"/>
      <c r="G105" s="1140">
        <v>48</v>
      </c>
      <c r="H105" s="1140">
        <v>50.98</v>
      </c>
      <c r="I105" s="1140">
        <v>59.14</v>
      </c>
      <c r="J105" s="326">
        <v>1.06</v>
      </c>
      <c r="K105" s="1140">
        <v>1.23</v>
      </c>
      <c r="L105" s="1140"/>
      <c r="M105" s="1140">
        <v>1.52</v>
      </c>
      <c r="N105" s="1140">
        <v>1.76</v>
      </c>
      <c r="O105" s="1140"/>
      <c r="P105" s="1140"/>
      <c r="Q105" s="1140"/>
      <c r="R105" s="1140">
        <f t="shared" si="9"/>
        <v>0</v>
      </c>
      <c r="S105" s="1140"/>
      <c r="T105" s="269"/>
      <c r="U105" s="269"/>
      <c r="V105" s="269"/>
      <c r="W105" s="269" t="s">
        <v>554</v>
      </c>
    </row>
    <row r="106" spans="2:23" hidden="1">
      <c r="B106" s="69"/>
      <c r="C106" s="69">
        <v>15322</v>
      </c>
      <c r="D106" s="745">
        <v>7591112061230</v>
      </c>
      <c r="E106" s="752" t="s">
        <v>1835</v>
      </c>
      <c r="F106" s="69"/>
      <c r="G106" s="1140">
        <v>48</v>
      </c>
      <c r="H106" s="1140">
        <v>50.98</v>
      </c>
      <c r="I106" s="1140">
        <v>59.14</v>
      </c>
      <c r="J106" s="326">
        <v>1.06</v>
      </c>
      <c r="K106" s="1140">
        <v>1.23</v>
      </c>
      <c r="L106" s="1140"/>
      <c r="M106" s="1140">
        <v>1.52</v>
      </c>
      <c r="N106" s="1140">
        <v>1.76</v>
      </c>
      <c r="O106" s="1140"/>
      <c r="P106" s="1140"/>
      <c r="Q106" s="1140"/>
      <c r="R106" s="1140">
        <f t="shared" si="9"/>
        <v>0</v>
      </c>
      <c r="S106" s="1140"/>
      <c r="T106" s="269"/>
      <c r="U106" s="269"/>
      <c r="V106" s="269"/>
      <c r="W106" s="269" t="s">
        <v>554</v>
      </c>
    </row>
    <row r="107" spans="2:23" hidden="1">
      <c r="B107" s="69"/>
      <c r="C107" s="69">
        <v>15326</v>
      </c>
      <c r="D107" s="745">
        <v>7591112061315</v>
      </c>
      <c r="E107" s="752" t="s">
        <v>1836</v>
      </c>
      <c r="F107" s="69"/>
      <c r="G107" s="1140">
        <v>48</v>
      </c>
      <c r="H107" s="1140">
        <v>50.98</v>
      </c>
      <c r="I107" s="1140">
        <v>59.14</v>
      </c>
      <c r="J107" s="326">
        <v>1.06</v>
      </c>
      <c r="K107" s="1140">
        <v>1.23</v>
      </c>
      <c r="L107" s="1140"/>
      <c r="M107" s="1140">
        <v>1.52</v>
      </c>
      <c r="N107" s="1140">
        <v>1.76</v>
      </c>
      <c r="O107" s="1140"/>
      <c r="P107" s="1140"/>
      <c r="Q107" s="1140"/>
      <c r="R107" s="1140">
        <f t="shared" si="9"/>
        <v>0</v>
      </c>
      <c r="S107" s="1140"/>
      <c r="T107" s="269"/>
      <c r="U107" s="269"/>
      <c r="V107" s="269"/>
      <c r="W107" s="269" t="s">
        <v>554</v>
      </c>
    </row>
    <row r="108" spans="2:23" hidden="1">
      <c r="B108" s="69"/>
      <c r="C108" s="69">
        <v>15324</v>
      </c>
      <c r="D108" s="745">
        <v>7591112061278</v>
      </c>
      <c r="E108" s="752" t="s">
        <v>1837</v>
      </c>
      <c r="F108" s="69"/>
      <c r="G108" s="1140">
        <v>48</v>
      </c>
      <c r="H108" s="1140">
        <v>50.98</v>
      </c>
      <c r="I108" s="1140">
        <v>59.14</v>
      </c>
      <c r="J108" s="326">
        <v>1.06</v>
      </c>
      <c r="K108" s="1140">
        <v>1.23</v>
      </c>
      <c r="L108" s="1140"/>
      <c r="M108" s="1140">
        <v>1.52</v>
      </c>
      <c r="N108" s="1140">
        <v>1.76</v>
      </c>
      <c r="O108" s="1140"/>
      <c r="P108" s="1140"/>
      <c r="Q108" s="1140"/>
      <c r="R108" s="1140">
        <f t="shared" si="9"/>
        <v>0</v>
      </c>
      <c r="S108" s="1140"/>
      <c r="T108" s="269"/>
      <c r="U108" s="269"/>
      <c r="V108" s="269"/>
      <c r="W108" s="269" t="s">
        <v>554</v>
      </c>
    </row>
    <row r="109" spans="2:23" hidden="1">
      <c r="B109" s="69"/>
      <c r="C109" s="69">
        <v>15330</v>
      </c>
      <c r="D109" s="745">
        <v>7591112061438</v>
      </c>
      <c r="E109" s="752" t="s">
        <v>1838</v>
      </c>
      <c r="F109" s="69"/>
      <c r="G109" s="1140">
        <v>48</v>
      </c>
      <c r="H109" s="1140">
        <v>50.98</v>
      </c>
      <c r="I109" s="1140">
        <v>59.14</v>
      </c>
      <c r="J109" s="326">
        <v>1.06</v>
      </c>
      <c r="K109" s="1140">
        <v>1.23</v>
      </c>
      <c r="L109" s="1140"/>
      <c r="M109" s="1140">
        <v>1.52</v>
      </c>
      <c r="N109" s="1140">
        <v>1.76</v>
      </c>
      <c r="O109" s="1140"/>
      <c r="P109" s="1140"/>
      <c r="Q109" s="1140"/>
      <c r="R109" s="1140">
        <f t="shared" si="9"/>
        <v>0</v>
      </c>
      <c r="S109" s="1140"/>
      <c r="T109" s="269"/>
      <c r="U109" s="269"/>
      <c r="V109" s="269"/>
      <c r="W109" s="269" t="s">
        <v>554</v>
      </c>
    </row>
    <row r="110" spans="2:23" hidden="1">
      <c r="B110" s="69"/>
      <c r="C110" s="69">
        <v>15338</v>
      </c>
      <c r="D110" s="745">
        <v>7591112061827</v>
      </c>
      <c r="E110" s="752" t="s">
        <v>1839</v>
      </c>
      <c r="F110" s="69"/>
      <c r="G110" s="1140">
        <v>48</v>
      </c>
      <c r="H110" s="1140">
        <v>52.72</v>
      </c>
      <c r="I110" s="1140">
        <v>61.15</v>
      </c>
      <c r="J110" s="326">
        <v>1.1000000000000001</v>
      </c>
      <c r="K110" s="1140">
        <v>1.27</v>
      </c>
      <c r="L110" s="1140"/>
      <c r="M110" s="1140">
        <v>1.57</v>
      </c>
      <c r="N110" s="1140">
        <v>1.82</v>
      </c>
      <c r="O110" s="1140"/>
      <c r="P110" s="1140"/>
      <c r="Q110" s="1140"/>
      <c r="R110" s="1140">
        <f t="shared" si="9"/>
        <v>0</v>
      </c>
      <c r="S110" s="1140"/>
      <c r="T110" s="269"/>
      <c r="U110" s="269"/>
      <c r="V110" s="269"/>
      <c r="W110" s="269" t="s">
        <v>554</v>
      </c>
    </row>
    <row r="111" spans="2:23" hidden="1">
      <c r="B111" s="69"/>
      <c r="C111" s="69">
        <v>15348</v>
      </c>
      <c r="D111" s="745">
        <v>7591112062183</v>
      </c>
      <c r="E111" s="752" t="s">
        <v>1840</v>
      </c>
      <c r="F111" s="69"/>
      <c r="G111" s="1140">
        <v>48</v>
      </c>
      <c r="H111" s="1140">
        <v>26.07</v>
      </c>
      <c r="I111" s="1140">
        <v>30.24</v>
      </c>
      <c r="J111" s="326">
        <v>0.54</v>
      </c>
      <c r="K111" s="1140">
        <v>0.63</v>
      </c>
      <c r="L111" s="1140"/>
      <c r="M111" s="1140">
        <v>0.78</v>
      </c>
      <c r="N111" s="1140">
        <v>0.9</v>
      </c>
      <c r="O111" s="1140"/>
      <c r="P111" s="1140"/>
      <c r="Q111" s="1140"/>
      <c r="R111" s="1140">
        <f t="shared" si="9"/>
        <v>0</v>
      </c>
      <c r="S111" s="1140"/>
      <c r="T111" s="269"/>
      <c r="U111" s="269"/>
      <c r="V111" s="269"/>
      <c r="W111" s="269" t="s">
        <v>554</v>
      </c>
    </row>
    <row r="112" spans="2:23" hidden="1">
      <c r="B112" s="69"/>
      <c r="C112" s="69">
        <v>15352</v>
      </c>
      <c r="D112" s="745">
        <v>7591112062213</v>
      </c>
      <c r="E112" s="752" t="s">
        <v>1841</v>
      </c>
      <c r="F112" s="69"/>
      <c r="G112" s="1140">
        <v>48</v>
      </c>
      <c r="H112" s="1140">
        <v>26.07</v>
      </c>
      <c r="I112" s="1140">
        <v>30.24</v>
      </c>
      <c r="J112" s="326">
        <v>0.54</v>
      </c>
      <c r="K112" s="1140">
        <v>0.63</v>
      </c>
      <c r="L112" s="1140"/>
      <c r="M112" s="1140">
        <v>0.78</v>
      </c>
      <c r="N112" s="1140">
        <v>0.9</v>
      </c>
      <c r="O112" s="1140"/>
      <c r="P112" s="1140"/>
      <c r="Q112" s="1140"/>
      <c r="R112" s="1140">
        <f t="shared" si="9"/>
        <v>0</v>
      </c>
      <c r="S112" s="1140"/>
      <c r="T112" s="269"/>
      <c r="U112" s="269"/>
      <c r="V112" s="269"/>
      <c r="W112" s="269" t="s">
        <v>554</v>
      </c>
    </row>
    <row r="113" spans="1:23" hidden="1">
      <c r="B113" s="69"/>
      <c r="C113" s="69">
        <v>15350</v>
      </c>
      <c r="D113" s="745">
        <v>7591112062206</v>
      </c>
      <c r="E113" s="752" t="s">
        <v>1842</v>
      </c>
      <c r="F113" s="69"/>
      <c r="G113" s="1140">
        <v>48</v>
      </c>
      <c r="H113" s="1140">
        <v>26.07</v>
      </c>
      <c r="I113" s="1140">
        <v>30.24</v>
      </c>
      <c r="J113" s="326">
        <v>0.54</v>
      </c>
      <c r="K113" s="1140">
        <v>0.63</v>
      </c>
      <c r="L113" s="1140"/>
      <c r="M113" s="1140">
        <v>0.78</v>
      </c>
      <c r="N113" s="1140">
        <v>0.9</v>
      </c>
      <c r="O113" s="1140"/>
      <c r="P113" s="1140"/>
      <c r="Q113" s="1140"/>
      <c r="R113" s="1140">
        <f t="shared" si="9"/>
        <v>0</v>
      </c>
      <c r="S113" s="1140"/>
      <c r="T113" s="269"/>
      <c r="U113" s="269"/>
      <c r="V113" s="269"/>
      <c r="W113" s="269" t="s">
        <v>554</v>
      </c>
    </row>
    <row r="114" spans="1:23" hidden="1">
      <c r="B114" s="69" t="s">
        <v>1843</v>
      </c>
      <c r="C114" s="69">
        <v>15353</v>
      </c>
      <c r="D114" s="745">
        <v>7591112063081</v>
      </c>
      <c r="E114" s="752" t="s">
        <v>1844</v>
      </c>
      <c r="F114" s="69"/>
      <c r="G114" s="1140">
        <v>48</v>
      </c>
      <c r="H114" s="1140">
        <v>30.12</v>
      </c>
      <c r="I114" s="1140">
        <v>34.94</v>
      </c>
      <c r="J114" s="326">
        <v>0.63</v>
      </c>
      <c r="K114" s="1140">
        <v>0.73</v>
      </c>
      <c r="L114" s="1140"/>
      <c r="M114" s="1140">
        <v>0.9</v>
      </c>
      <c r="N114" s="1140">
        <v>1.04</v>
      </c>
      <c r="O114" s="1140"/>
      <c r="P114" s="1140"/>
      <c r="Q114" s="1140"/>
      <c r="R114" s="1140">
        <f t="shared" si="9"/>
        <v>0</v>
      </c>
      <c r="S114" s="1140"/>
      <c r="T114" s="269"/>
      <c r="U114" s="269"/>
      <c r="V114" s="269"/>
      <c r="W114" s="269" t="s">
        <v>554</v>
      </c>
    </row>
    <row r="115" spans="1:23" hidden="1">
      <c r="B115" s="69"/>
      <c r="C115" s="69">
        <v>15355</v>
      </c>
      <c r="D115" s="745">
        <v>7591112063098</v>
      </c>
      <c r="E115" s="752" t="s">
        <v>1845</v>
      </c>
      <c r="F115" s="69"/>
      <c r="G115" s="1140">
        <v>48</v>
      </c>
      <c r="H115" s="1140">
        <v>50.98</v>
      </c>
      <c r="I115" s="1140">
        <v>59.14</v>
      </c>
      <c r="J115" s="1070">
        <v>1.06</v>
      </c>
      <c r="K115" s="1070">
        <v>1.23</v>
      </c>
      <c r="L115" s="1070"/>
      <c r="M115" s="1070">
        <v>1.52</v>
      </c>
      <c r="N115" s="1070">
        <v>1.76</v>
      </c>
      <c r="O115" s="1140"/>
      <c r="P115" s="1140"/>
      <c r="Q115" s="1140"/>
      <c r="R115" s="1140">
        <f t="shared" si="9"/>
        <v>0</v>
      </c>
      <c r="S115" s="1140"/>
      <c r="T115" s="269"/>
      <c r="U115" s="269"/>
      <c r="V115" s="269"/>
      <c r="W115" s="269" t="s">
        <v>554</v>
      </c>
    </row>
    <row r="116" spans="1:23" ht="14.25" hidden="1" customHeight="1">
      <c r="B116" s="69"/>
      <c r="C116" s="69"/>
      <c r="D116" s="745"/>
      <c r="E116" s="746"/>
      <c r="F116" s="69"/>
      <c r="G116" s="1140"/>
      <c r="H116" s="1140"/>
      <c r="I116" s="1140"/>
      <c r="J116" s="326"/>
      <c r="K116" s="1140"/>
      <c r="L116" s="1140"/>
      <c r="M116" s="1140"/>
      <c r="N116" s="1140"/>
      <c r="O116" s="1140"/>
      <c r="P116" s="1140"/>
      <c r="Q116" s="1140"/>
      <c r="R116" s="1140" t="s">
        <v>65</v>
      </c>
      <c r="S116" s="1140"/>
      <c r="T116" s="269"/>
      <c r="U116" s="269"/>
      <c r="V116" s="269"/>
      <c r="W116" s="269"/>
    </row>
    <row r="117" spans="1:23" ht="14.25" hidden="1" customHeight="1">
      <c r="R117" s="101" t="s">
        <v>65</v>
      </c>
    </row>
    <row r="118" spans="1:23" hidden="1">
      <c r="O118" s="1140" t="s">
        <v>3333</v>
      </c>
      <c r="P118" s="1140"/>
      <c r="Q118" s="1140"/>
      <c r="R118" s="1140">
        <f>SUM(R10:R103)</f>
        <v>8823.7999999999993</v>
      </c>
      <c r="W118" s="1123" t="s">
        <v>1389</v>
      </c>
    </row>
    <row r="119" spans="1:23" hidden="1">
      <c r="O119" s="1140" t="s">
        <v>1389</v>
      </c>
      <c r="P119" s="1140"/>
      <c r="Q119" s="1140"/>
      <c r="R119" s="1140">
        <v>4.5199999999999996</v>
      </c>
    </row>
    <row r="120" spans="1:23" hidden="1">
      <c r="O120" s="1140" t="s">
        <v>245</v>
      </c>
      <c r="P120" s="1140"/>
      <c r="Q120" s="1140"/>
      <c r="R120" s="52">
        <f>R118/R119</f>
        <v>1952.1681415929204</v>
      </c>
    </row>
    <row r="121" spans="1:23" hidden="1"/>
    <row r="122" spans="1:23" hidden="1"/>
    <row r="123" spans="1:23" hidden="1"/>
    <row r="124" spans="1:23" hidden="1"/>
    <row r="127" spans="1:23">
      <c r="A127" s="25"/>
      <c r="B127" s="101"/>
      <c r="C127" s="101"/>
      <c r="D127" s="1165"/>
      <c r="E127" s="1160"/>
      <c r="F127" s="101"/>
    </row>
    <row r="128" spans="1:23">
      <c r="A128" s="25"/>
      <c r="B128" s="101"/>
      <c r="C128" s="101"/>
      <c r="D128" s="1165"/>
      <c r="E128" s="1160" t="s">
        <v>4777</v>
      </c>
      <c r="F128" s="101"/>
    </row>
    <row r="129" spans="1:24" ht="45">
      <c r="A129" s="25"/>
      <c r="B129" s="1140"/>
      <c r="C129" s="1140" t="s">
        <v>1709</v>
      </c>
      <c r="D129" s="23" t="s">
        <v>1710</v>
      </c>
      <c r="E129" s="1140" t="s">
        <v>4126</v>
      </c>
      <c r="F129" s="1140" t="s">
        <v>1711</v>
      </c>
      <c r="G129" s="1142" t="s">
        <v>4127</v>
      </c>
      <c r="H129" s="1142" t="s">
        <v>4128</v>
      </c>
      <c r="I129" s="574" t="s">
        <v>4129</v>
      </c>
      <c r="J129" s="310" t="s">
        <v>4130</v>
      </c>
      <c r="K129" s="685" t="s">
        <v>4131</v>
      </c>
      <c r="L129" s="685" t="s">
        <v>4132</v>
      </c>
      <c r="M129" s="1140" t="s">
        <v>4133</v>
      </c>
      <c r="N129" s="1140" t="s">
        <v>4134</v>
      </c>
      <c r="O129" s="1140" t="s">
        <v>4135</v>
      </c>
      <c r="P129" s="1140"/>
      <c r="Q129" s="574" t="s">
        <v>4233</v>
      </c>
      <c r="R129" s="1138" t="s">
        <v>68</v>
      </c>
      <c r="S129" s="1138" t="s">
        <v>560</v>
      </c>
      <c r="T129" s="1138" t="s">
        <v>3332</v>
      </c>
      <c r="U129" s="753" t="s">
        <v>2567</v>
      </c>
      <c r="V129" s="1138" t="s">
        <v>2572</v>
      </c>
      <c r="W129" s="753" t="s">
        <v>2568</v>
      </c>
      <c r="X129" s="1139"/>
    </row>
    <row r="130" spans="1:24" hidden="1">
      <c r="A130" s="25"/>
      <c r="B130" s="1140" t="s">
        <v>1718</v>
      </c>
      <c r="C130" s="1140">
        <v>15196</v>
      </c>
      <c r="D130" s="23">
        <v>75916220</v>
      </c>
      <c r="E130" s="275" t="s">
        <v>1719</v>
      </c>
      <c r="F130" s="1140">
        <v>24</v>
      </c>
      <c r="G130" s="978">
        <v>12.1</v>
      </c>
      <c r="H130" s="978">
        <v>14.035999999999998</v>
      </c>
      <c r="I130" s="1164">
        <v>0.50416666666666665</v>
      </c>
      <c r="J130" s="900">
        <v>0.58483333333333321</v>
      </c>
      <c r="K130" s="978">
        <v>0.6724137931034484</v>
      </c>
      <c r="L130" s="978">
        <v>0.78</v>
      </c>
      <c r="M130" s="978">
        <v>0.25000000000000011</v>
      </c>
      <c r="N130" s="1140" t="s">
        <v>2971</v>
      </c>
      <c r="O130" s="978">
        <v>0</v>
      </c>
      <c r="P130" s="978">
        <f>+I130*O130</f>
        <v>0</v>
      </c>
      <c r="Q130" s="1164">
        <f>+I130+P130</f>
        <v>0.50416666666666665</v>
      </c>
      <c r="R130" s="1140"/>
      <c r="S130" s="1140">
        <f>+G130*R130</f>
        <v>0</v>
      </c>
      <c r="T130" s="269"/>
      <c r="U130" s="269"/>
      <c r="V130" s="269"/>
      <c r="W130" s="269"/>
      <c r="X130" s="1140"/>
    </row>
    <row r="131" spans="1:24">
      <c r="A131" s="25"/>
      <c r="B131" s="1140"/>
      <c r="C131" s="1140">
        <v>15197</v>
      </c>
      <c r="D131" s="23">
        <v>75916107</v>
      </c>
      <c r="E131" s="275" t="s">
        <v>4136</v>
      </c>
      <c r="F131" s="1140">
        <v>24</v>
      </c>
      <c r="G131" s="978">
        <v>21.52</v>
      </c>
      <c r="H131" s="978">
        <v>24.963199999999997</v>
      </c>
      <c r="I131" s="1164">
        <v>0.89666666666666661</v>
      </c>
      <c r="J131" s="900">
        <v>1.0401333333333331</v>
      </c>
      <c r="K131" s="978">
        <v>1.1206896551724139</v>
      </c>
      <c r="L131" s="978">
        <v>1.3</v>
      </c>
      <c r="M131" s="978">
        <v>0.2</v>
      </c>
      <c r="N131" s="1140" t="s">
        <v>2971</v>
      </c>
      <c r="O131" s="978">
        <v>0</v>
      </c>
      <c r="P131" s="978">
        <f t="shared" ref="P131:P194" si="10">+I131*O131</f>
        <v>0</v>
      </c>
      <c r="Q131" s="1164">
        <f t="shared" ref="Q131:Q194" si="11">+I131+P131</f>
        <v>0.89666666666666661</v>
      </c>
      <c r="R131" s="1140"/>
      <c r="S131" s="1140">
        <f t="shared" ref="S131:S194" si="12">+G131*R131</f>
        <v>0</v>
      </c>
      <c r="T131" s="269">
        <v>200</v>
      </c>
      <c r="U131" s="269">
        <f>+T131/F131</f>
        <v>8.3333333333333339</v>
      </c>
      <c r="V131" s="269"/>
      <c r="W131" s="269">
        <f>+V131/F131</f>
        <v>0</v>
      </c>
      <c r="X131" s="1140"/>
    </row>
    <row r="132" spans="1:24" hidden="1">
      <c r="A132" s="25"/>
      <c r="B132" s="1140"/>
      <c r="C132" s="1140">
        <v>15203</v>
      </c>
      <c r="D132" s="23">
        <v>75920531</v>
      </c>
      <c r="E132" s="275" t="s">
        <v>1721</v>
      </c>
      <c r="F132" s="1140">
        <v>24</v>
      </c>
      <c r="G132" s="978">
        <v>10.24</v>
      </c>
      <c r="H132" s="978">
        <v>11.878399999999999</v>
      </c>
      <c r="I132" s="1164">
        <v>0.42666666666666669</v>
      </c>
      <c r="J132" s="900">
        <v>0.49493333333333328</v>
      </c>
      <c r="K132" s="978">
        <v>0.56896551724137934</v>
      </c>
      <c r="L132" s="978">
        <v>0.66</v>
      </c>
      <c r="M132" s="978">
        <v>0.25</v>
      </c>
      <c r="N132" s="1140" t="s">
        <v>2971</v>
      </c>
      <c r="O132" s="978">
        <v>0</v>
      </c>
      <c r="P132" s="978">
        <f t="shared" si="10"/>
        <v>0</v>
      </c>
      <c r="Q132" s="1164">
        <f t="shared" si="11"/>
        <v>0.42666666666666669</v>
      </c>
      <c r="R132" s="1140"/>
      <c r="S132" s="1140">
        <f t="shared" si="12"/>
        <v>0</v>
      </c>
      <c r="T132" s="269"/>
      <c r="U132" s="269">
        <f t="shared" ref="U132:U195" si="13">+T132/F132</f>
        <v>0</v>
      </c>
      <c r="V132" s="269"/>
      <c r="W132" s="269">
        <f t="shared" ref="W132:W195" si="14">+V132/F132</f>
        <v>0</v>
      </c>
      <c r="X132" s="1140"/>
    </row>
    <row r="133" spans="1:24">
      <c r="A133" s="25"/>
      <c r="B133" s="1140"/>
      <c r="C133" s="1140">
        <v>15228</v>
      </c>
      <c r="D133" s="23">
        <v>75919740</v>
      </c>
      <c r="E133" s="275" t="s">
        <v>1722</v>
      </c>
      <c r="F133" s="1140">
        <v>24</v>
      </c>
      <c r="G133" s="978">
        <v>18.37</v>
      </c>
      <c r="H133" s="978">
        <v>21.309200000000001</v>
      </c>
      <c r="I133" s="1164">
        <v>0.76541666666666675</v>
      </c>
      <c r="J133" s="900">
        <v>0.88788333333333336</v>
      </c>
      <c r="K133" s="978">
        <v>0.95689655172413812</v>
      </c>
      <c r="L133" s="978">
        <v>1.1100000000000001</v>
      </c>
      <c r="M133" s="978">
        <v>0.2</v>
      </c>
      <c r="N133" s="1140" t="s">
        <v>2971</v>
      </c>
      <c r="O133" s="978">
        <v>0</v>
      </c>
      <c r="P133" s="978">
        <f t="shared" si="10"/>
        <v>0</v>
      </c>
      <c r="Q133" s="1164">
        <f t="shared" si="11"/>
        <v>0.76541666666666675</v>
      </c>
      <c r="R133" s="1140"/>
      <c r="S133" s="1140">
        <f t="shared" si="12"/>
        <v>0</v>
      </c>
      <c r="T133" s="269"/>
      <c r="U133" s="269">
        <f t="shared" si="13"/>
        <v>0</v>
      </c>
      <c r="V133" s="269"/>
      <c r="W133" s="269">
        <f t="shared" si="14"/>
        <v>0</v>
      </c>
      <c r="X133" s="1140"/>
    </row>
    <row r="134" spans="1:24" hidden="1">
      <c r="A134" s="25"/>
      <c r="B134" s="1140"/>
      <c r="C134" s="1140">
        <v>15759</v>
      </c>
      <c r="D134" s="23">
        <v>7591112000086</v>
      </c>
      <c r="E134" s="275" t="s">
        <v>4137</v>
      </c>
      <c r="F134" s="1140">
        <v>24</v>
      </c>
      <c r="G134" s="978">
        <v>12.02</v>
      </c>
      <c r="H134" s="978">
        <v>13.943199999999999</v>
      </c>
      <c r="I134" s="1164">
        <v>0.50083333333333335</v>
      </c>
      <c r="J134" s="900">
        <v>0.58096666666666663</v>
      </c>
      <c r="K134" s="978">
        <v>0.71551724137931039</v>
      </c>
      <c r="L134" s="978">
        <v>0.83</v>
      </c>
      <c r="M134" s="978">
        <v>0.3</v>
      </c>
      <c r="N134" s="1140" t="s">
        <v>2971</v>
      </c>
      <c r="O134" s="978">
        <v>0</v>
      </c>
      <c r="P134" s="978">
        <f t="shared" si="10"/>
        <v>0</v>
      </c>
      <c r="Q134" s="1164">
        <f t="shared" si="11"/>
        <v>0.50083333333333335</v>
      </c>
      <c r="R134" s="1140"/>
      <c r="S134" s="1140">
        <f t="shared" si="12"/>
        <v>0</v>
      </c>
      <c r="T134" s="269"/>
      <c r="U134" s="269">
        <f t="shared" si="13"/>
        <v>0</v>
      </c>
      <c r="V134" s="269"/>
      <c r="W134" s="269">
        <f t="shared" si="14"/>
        <v>0</v>
      </c>
      <c r="X134" s="1140"/>
    </row>
    <row r="135" spans="1:24" hidden="1">
      <c r="A135" s="25"/>
      <c r="B135" s="1140"/>
      <c r="C135" s="1140">
        <v>15553</v>
      </c>
      <c r="D135" s="23">
        <v>75922078</v>
      </c>
      <c r="E135" s="275" t="s">
        <v>4138</v>
      </c>
      <c r="F135" s="1140">
        <v>24</v>
      </c>
      <c r="G135" s="978">
        <v>20.13</v>
      </c>
      <c r="H135" s="978">
        <v>23.350799999999996</v>
      </c>
      <c r="I135" s="1164">
        <v>0.83875</v>
      </c>
      <c r="J135" s="900">
        <v>0.97294999999999987</v>
      </c>
      <c r="K135" s="978">
        <v>1.1982758620689655</v>
      </c>
      <c r="L135" s="978">
        <v>1.39</v>
      </c>
      <c r="M135" s="978">
        <v>0.3</v>
      </c>
      <c r="N135" s="1140" t="s">
        <v>2971</v>
      </c>
      <c r="O135" s="978">
        <v>0</v>
      </c>
      <c r="P135" s="978">
        <f t="shared" si="10"/>
        <v>0</v>
      </c>
      <c r="Q135" s="1164">
        <f t="shared" si="11"/>
        <v>0.83875</v>
      </c>
      <c r="R135" s="1140"/>
      <c r="S135" s="1140">
        <f t="shared" si="12"/>
        <v>0</v>
      </c>
      <c r="T135" s="269"/>
      <c r="U135" s="269">
        <f t="shared" si="13"/>
        <v>0</v>
      </c>
      <c r="V135" s="269"/>
      <c r="W135" s="269">
        <f t="shared" si="14"/>
        <v>0</v>
      </c>
      <c r="X135" s="1140"/>
    </row>
    <row r="136" spans="1:24" hidden="1">
      <c r="A136" s="25"/>
      <c r="B136" s="1140" t="s">
        <v>4139</v>
      </c>
      <c r="C136" s="1140">
        <v>15767</v>
      </c>
      <c r="D136" s="23">
        <v>7591112000093</v>
      </c>
      <c r="E136" s="275" t="s">
        <v>4140</v>
      </c>
      <c r="F136" s="1140">
        <v>24</v>
      </c>
      <c r="G136" s="978">
        <v>12.02</v>
      </c>
      <c r="H136" s="978">
        <v>13.943199999999999</v>
      </c>
      <c r="I136" s="1164">
        <v>0.50083333333333335</v>
      </c>
      <c r="J136" s="900">
        <v>0.58096666666666663</v>
      </c>
      <c r="K136" s="978">
        <v>0.71551724137931039</v>
      </c>
      <c r="L136" s="978">
        <v>0.83</v>
      </c>
      <c r="M136" s="978">
        <v>0.29999999999999993</v>
      </c>
      <c r="N136" s="1140" t="s">
        <v>2971</v>
      </c>
      <c r="O136" s="978">
        <v>0</v>
      </c>
      <c r="P136" s="978">
        <f t="shared" si="10"/>
        <v>0</v>
      </c>
      <c r="Q136" s="1164">
        <f t="shared" si="11"/>
        <v>0.50083333333333335</v>
      </c>
      <c r="R136" s="1140"/>
      <c r="S136" s="1140">
        <f t="shared" si="12"/>
        <v>0</v>
      </c>
      <c r="T136" s="269"/>
      <c r="U136" s="269">
        <f t="shared" si="13"/>
        <v>0</v>
      </c>
      <c r="V136" s="269"/>
      <c r="W136" s="269">
        <f t="shared" si="14"/>
        <v>0</v>
      </c>
      <c r="X136" s="1140"/>
    </row>
    <row r="137" spans="1:24">
      <c r="A137" s="25"/>
      <c r="B137" s="1140"/>
      <c r="C137" s="1140">
        <v>15707</v>
      </c>
      <c r="D137" s="23">
        <v>7591112460989</v>
      </c>
      <c r="E137" s="275" t="s">
        <v>4141</v>
      </c>
      <c r="F137" s="1140">
        <v>24</v>
      </c>
      <c r="G137" s="978">
        <v>20.13</v>
      </c>
      <c r="H137" s="978">
        <v>23.350799999999996</v>
      </c>
      <c r="I137" s="1164">
        <v>0.83875</v>
      </c>
      <c r="J137" s="900">
        <v>0.97294999999999987</v>
      </c>
      <c r="K137" s="978">
        <v>1.1982758620689655</v>
      </c>
      <c r="L137" s="978">
        <v>1.39</v>
      </c>
      <c r="M137" s="978">
        <v>0.29999999999999993</v>
      </c>
      <c r="N137" s="1140" t="s">
        <v>2971</v>
      </c>
      <c r="O137" s="978">
        <v>0</v>
      </c>
      <c r="P137" s="978">
        <f t="shared" si="10"/>
        <v>0</v>
      </c>
      <c r="Q137" s="1164">
        <f t="shared" si="11"/>
        <v>0.83875</v>
      </c>
      <c r="R137" s="1140"/>
      <c r="S137" s="1140">
        <f t="shared" si="12"/>
        <v>0</v>
      </c>
      <c r="T137" s="269"/>
      <c r="U137" s="269">
        <f t="shared" si="13"/>
        <v>0</v>
      </c>
      <c r="V137" s="269"/>
      <c r="W137" s="269">
        <f t="shared" si="14"/>
        <v>0</v>
      </c>
      <c r="X137" s="1140"/>
    </row>
    <row r="138" spans="1:24" hidden="1">
      <c r="A138" s="25"/>
      <c r="B138" s="1140"/>
      <c r="C138" s="1140">
        <v>15232</v>
      </c>
      <c r="D138" s="23">
        <v>7591112023061</v>
      </c>
      <c r="E138" s="275" t="s">
        <v>4142</v>
      </c>
      <c r="F138" s="1140">
        <v>24</v>
      </c>
      <c r="G138" s="978">
        <v>15.06</v>
      </c>
      <c r="H138" s="978">
        <v>17.4696</v>
      </c>
      <c r="I138" s="1164">
        <v>0.62750000000000006</v>
      </c>
      <c r="J138" s="900">
        <v>0.72789999999999999</v>
      </c>
      <c r="K138" s="978">
        <v>0.78448275862068972</v>
      </c>
      <c r="L138" s="978">
        <v>0.91</v>
      </c>
      <c r="M138" s="978">
        <v>0.2</v>
      </c>
      <c r="N138" s="1140" t="s">
        <v>2971</v>
      </c>
      <c r="O138" s="978">
        <v>0</v>
      </c>
      <c r="P138" s="978">
        <f t="shared" si="10"/>
        <v>0</v>
      </c>
      <c r="Q138" s="1164">
        <f t="shared" si="11"/>
        <v>0.62750000000000006</v>
      </c>
      <c r="R138" s="1140"/>
      <c r="S138" s="1140">
        <f t="shared" si="12"/>
        <v>0</v>
      </c>
      <c r="T138" s="269"/>
      <c r="U138" s="269">
        <f t="shared" si="13"/>
        <v>0</v>
      </c>
      <c r="V138" s="269"/>
      <c r="W138" s="269">
        <f t="shared" si="14"/>
        <v>0</v>
      </c>
      <c r="X138" s="1140"/>
    </row>
    <row r="139" spans="1:24" hidden="1">
      <c r="A139" s="25"/>
      <c r="B139" s="1140" t="s">
        <v>1729</v>
      </c>
      <c r="C139" s="1140">
        <v>15266</v>
      </c>
      <c r="D139" s="23">
        <v>75916237</v>
      </c>
      <c r="E139" s="275" t="s">
        <v>1730</v>
      </c>
      <c r="F139" s="1140">
        <v>24</v>
      </c>
      <c r="G139" s="978">
        <v>12.02</v>
      </c>
      <c r="H139" s="978">
        <v>13.943199999999999</v>
      </c>
      <c r="I139" s="1164">
        <v>0.50083333333333335</v>
      </c>
      <c r="J139" s="900">
        <v>0.58096666666666663</v>
      </c>
      <c r="K139" s="978">
        <v>0.71551724137931039</v>
      </c>
      <c r="L139" s="978">
        <v>0.83</v>
      </c>
      <c r="M139" s="978">
        <v>0.29999999999999993</v>
      </c>
      <c r="N139" s="1140" t="s">
        <v>2971</v>
      </c>
      <c r="O139" s="978">
        <v>0</v>
      </c>
      <c r="P139" s="978">
        <f t="shared" si="10"/>
        <v>0</v>
      </c>
      <c r="Q139" s="1164">
        <f t="shared" si="11"/>
        <v>0.50083333333333335</v>
      </c>
      <c r="R139" s="1140"/>
      <c r="S139" s="1140">
        <f t="shared" si="12"/>
        <v>0</v>
      </c>
      <c r="T139" s="269"/>
      <c r="U139" s="269">
        <f t="shared" si="13"/>
        <v>0</v>
      </c>
      <c r="V139" s="269"/>
      <c r="W139" s="269">
        <f t="shared" si="14"/>
        <v>0</v>
      </c>
      <c r="X139" s="1140"/>
    </row>
    <row r="140" spans="1:24" hidden="1">
      <c r="A140" s="25"/>
      <c r="B140" s="1140"/>
      <c r="C140" s="1140">
        <v>15267</v>
      </c>
      <c r="D140" s="23">
        <v>75916176</v>
      </c>
      <c r="E140" s="275" t="s">
        <v>1731</v>
      </c>
      <c r="F140" s="1140">
        <v>24</v>
      </c>
      <c r="G140" s="978">
        <v>20.13</v>
      </c>
      <c r="H140" s="978">
        <v>23.350799999999996</v>
      </c>
      <c r="I140" s="1164">
        <v>0.83875</v>
      </c>
      <c r="J140" s="900">
        <v>0.97294999999999987</v>
      </c>
      <c r="K140" s="978">
        <v>1.1982758620689655</v>
      </c>
      <c r="L140" s="978">
        <v>1.39</v>
      </c>
      <c r="M140" s="978">
        <v>0.29999999999999993</v>
      </c>
      <c r="N140" s="1140" t="s">
        <v>2971</v>
      </c>
      <c r="O140" s="978">
        <v>0</v>
      </c>
      <c r="P140" s="978">
        <f t="shared" si="10"/>
        <v>0</v>
      </c>
      <c r="Q140" s="1164">
        <f t="shared" si="11"/>
        <v>0.83875</v>
      </c>
      <c r="R140" s="1140"/>
      <c r="S140" s="1140">
        <f t="shared" si="12"/>
        <v>0</v>
      </c>
      <c r="T140" s="269"/>
      <c r="U140" s="269">
        <f t="shared" si="13"/>
        <v>0</v>
      </c>
      <c r="V140" s="269"/>
      <c r="W140" s="269">
        <f t="shared" si="14"/>
        <v>0</v>
      </c>
      <c r="X140" s="1140"/>
    </row>
    <row r="141" spans="1:24" hidden="1">
      <c r="A141" s="25"/>
      <c r="B141" s="1140" t="s">
        <v>1732</v>
      </c>
      <c r="C141" s="1140">
        <v>15714</v>
      </c>
      <c r="D141" s="23">
        <v>7591112460842</v>
      </c>
      <c r="E141" s="275" t="s">
        <v>4143</v>
      </c>
      <c r="F141" s="1140">
        <v>24</v>
      </c>
      <c r="G141" s="978">
        <v>13.42</v>
      </c>
      <c r="H141" s="978">
        <v>15.5672</v>
      </c>
      <c r="I141" s="1164">
        <v>0.5591666666666667</v>
      </c>
      <c r="J141" s="900">
        <v>0.64863333333333328</v>
      </c>
      <c r="K141" s="978">
        <v>0.80172413793103459</v>
      </c>
      <c r="L141" s="978">
        <v>0.93</v>
      </c>
      <c r="M141" s="978">
        <v>0.3</v>
      </c>
      <c r="N141" s="1140" t="s">
        <v>2272</v>
      </c>
      <c r="O141" s="978">
        <v>2.9930928626247244E-2</v>
      </c>
      <c r="P141" s="978">
        <f t="shared" si="10"/>
        <v>1.6736377590176585E-2</v>
      </c>
      <c r="Q141" s="1164">
        <f t="shared" si="11"/>
        <v>0.57590304425684324</v>
      </c>
      <c r="R141" s="1140"/>
      <c r="S141" s="1140">
        <f t="shared" si="12"/>
        <v>0</v>
      </c>
      <c r="T141" s="269"/>
      <c r="U141" s="269">
        <f t="shared" si="13"/>
        <v>0</v>
      </c>
      <c r="V141" s="269"/>
      <c r="W141" s="269">
        <f t="shared" si="14"/>
        <v>0</v>
      </c>
      <c r="X141" s="1140"/>
    </row>
    <row r="142" spans="1:24">
      <c r="A142" s="25"/>
      <c r="B142" s="1140"/>
      <c r="C142" s="1140">
        <v>15258</v>
      </c>
      <c r="D142" s="23">
        <v>7591112041010</v>
      </c>
      <c r="E142" s="275" t="s">
        <v>1734</v>
      </c>
      <c r="F142" s="1140">
        <v>24</v>
      </c>
      <c r="G142" s="978">
        <v>20.14</v>
      </c>
      <c r="H142" s="978">
        <v>23.362399999999997</v>
      </c>
      <c r="I142" s="1164">
        <v>0.83916666666666673</v>
      </c>
      <c r="J142" s="900">
        <v>0.97343333333333326</v>
      </c>
      <c r="K142" s="978">
        <v>1.1982758620689655</v>
      </c>
      <c r="L142" s="978">
        <v>1.39</v>
      </c>
      <c r="M142" s="978">
        <v>0.3</v>
      </c>
      <c r="N142" s="1140" t="s">
        <v>2272</v>
      </c>
      <c r="O142" s="978">
        <v>3.0179028132992336E-2</v>
      </c>
      <c r="P142" s="978">
        <f t="shared" si="10"/>
        <v>2.5325234441602736E-2</v>
      </c>
      <c r="Q142" s="1164">
        <f t="shared" si="11"/>
        <v>0.86449190110826946</v>
      </c>
      <c r="R142" s="1140"/>
      <c r="S142" s="1140">
        <f t="shared" si="12"/>
        <v>0</v>
      </c>
      <c r="T142" s="269"/>
      <c r="U142" s="269">
        <f t="shared" si="13"/>
        <v>0</v>
      </c>
      <c r="V142" s="269"/>
      <c r="W142" s="269">
        <f t="shared" si="14"/>
        <v>0</v>
      </c>
      <c r="X142" s="1140"/>
    </row>
    <row r="143" spans="1:24">
      <c r="A143" s="25"/>
      <c r="B143" s="1140"/>
      <c r="C143" s="1140">
        <v>15260</v>
      </c>
      <c r="D143" s="23">
        <v>7591112041041</v>
      </c>
      <c r="E143" s="275" t="s">
        <v>1735</v>
      </c>
      <c r="F143" s="1140">
        <v>12</v>
      </c>
      <c r="G143" s="978">
        <v>20.21</v>
      </c>
      <c r="H143" s="978">
        <v>23.4436</v>
      </c>
      <c r="I143" s="1164">
        <v>1.6841666666666668</v>
      </c>
      <c r="J143" s="900">
        <v>1.9536333333333333</v>
      </c>
      <c r="K143" s="978">
        <v>2.4051724137931036</v>
      </c>
      <c r="L143" s="978">
        <v>2.79</v>
      </c>
      <c r="M143" s="978">
        <v>0.3</v>
      </c>
      <c r="N143" s="1140" t="s">
        <v>2272</v>
      </c>
      <c r="O143" s="978">
        <v>3.0071355759429208E-2</v>
      </c>
      <c r="P143" s="978">
        <f t="shared" si="10"/>
        <v>5.0645174991505365E-2</v>
      </c>
      <c r="Q143" s="1164">
        <f t="shared" si="11"/>
        <v>1.7348118416581721</v>
      </c>
      <c r="R143" s="1140"/>
      <c r="S143" s="1140">
        <f t="shared" si="12"/>
        <v>0</v>
      </c>
      <c r="T143" s="269"/>
      <c r="U143" s="269">
        <f t="shared" si="13"/>
        <v>0</v>
      </c>
      <c r="V143" s="269"/>
      <c r="W143" s="269">
        <f t="shared" si="14"/>
        <v>0</v>
      </c>
      <c r="X143" s="1140"/>
    </row>
    <row r="144" spans="1:24" hidden="1">
      <c r="A144" s="25"/>
      <c r="B144" s="1140"/>
      <c r="C144" s="1140">
        <v>15265</v>
      </c>
      <c r="D144" s="23">
        <v>7591112057042</v>
      </c>
      <c r="E144" s="275" t="s">
        <v>1736</v>
      </c>
      <c r="F144" s="1140">
        <v>12</v>
      </c>
      <c r="G144" s="978">
        <v>17.23</v>
      </c>
      <c r="H144" s="978">
        <v>19.986799999999999</v>
      </c>
      <c r="I144" s="1164">
        <v>1.4358333333333333</v>
      </c>
      <c r="J144" s="900">
        <v>1.6655666666666666</v>
      </c>
      <c r="K144" s="978">
        <v>2.0517241379310347</v>
      </c>
      <c r="L144" s="978">
        <v>2.38</v>
      </c>
      <c r="M144" s="978">
        <v>0.3</v>
      </c>
      <c r="N144" s="1140" t="s">
        <v>2272</v>
      </c>
      <c r="O144" s="978">
        <v>2.9886431560071758E-2</v>
      </c>
      <c r="P144" s="978">
        <f t="shared" si="10"/>
        <v>4.2911934648336363E-2</v>
      </c>
      <c r="Q144" s="1164">
        <f t="shared" si="11"/>
        <v>1.4787452679816697</v>
      </c>
      <c r="R144" s="1140"/>
      <c r="S144" s="1140">
        <f t="shared" si="12"/>
        <v>0</v>
      </c>
      <c r="T144" s="269"/>
      <c r="U144" s="269">
        <f t="shared" si="13"/>
        <v>0</v>
      </c>
      <c r="V144" s="269"/>
      <c r="W144" s="269">
        <f t="shared" si="14"/>
        <v>0</v>
      </c>
      <c r="X144" s="1140"/>
    </row>
    <row r="145" spans="1:24" hidden="1">
      <c r="A145" s="25"/>
      <c r="B145" s="1140"/>
      <c r="C145" s="1140">
        <v>15261</v>
      </c>
      <c r="D145" s="23">
        <v>7591112041058</v>
      </c>
      <c r="E145" s="275" t="s">
        <v>1737</v>
      </c>
      <c r="F145" s="1140">
        <v>4</v>
      </c>
      <c r="G145" s="978">
        <v>49.35</v>
      </c>
      <c r="H145" s="978">
        <v>57.245999999999995</v>
      </c>
      <c r="I145" s="1164">
        <v>12.3375</v>
      </c>
      <c r="J145" s="900">
        <v>14.311499999999999</v>
      </c>
      <c r="K145" s="978">
        <v>17.629310344827587</v>
      </c>
      <c r="L145" s="978">
        <v>20.45</v>
      </c>
      <c r="M145" s="978">
        <v>0.3</v>
      </c>
      <c r="N145" s="1140" t="s">
        <v>2272</v>
      </c>
      <c r="O145" s="978">
        <v>3.0056355666875589E-2</v>
      </c>
      <c r="P145" s="978">
        <f t="shared" si="10"/>
        <v>0.37082028804007761</v>
      </c>
      <c r="Q145" s="1164">
        <f t="shared" si="11"/>
        <v>12.708320288040078</v>
      </c>
      <c r="R145" s="1140"/>
      <c r="S145" s="1140">
        <f t="shared" si="12"/>
        <v>0</v>
      </c>
      <c r="T145" s="269"/>
      <c r="U145" s="269">
        <f t="shared" si="13"/>
        <v>0</v>
      </c>
      <c r="V145" s="269"/>
      <c r="W145" s="269">
        <f t="shared" si="14"/>
        <v>0</v>
      </c>
      <c r="X145" s="1140"/>
    </row>
    <row r="146" spans="1:24" hidden="1">
      <c r="A146" s="25"/>
      <c r="B146" s="1140" t="s">
        <v>768</v>
      </c>
      <c r="C146" s="1140">
        <v>15288</v>
      </c>
      <c r="D146" s="23">
        <v>7591112038010</v>
      </c>
      <c r="E146" s="275" t="s">
        <v>4144</v>
      </c>
      <c r="F146" s="1140">
        <v>24</v>
      </c>
      <c r="G146" s="978">
        <v>15.97</v>
      </c>
      <c r="H146" s="978">
        <v>18.525199999999998</v>
      </c>
      <c r="I146" s="1164">
        <v>0.66541666666666666</v>
      </c>
      <c r="J146" s="900">
        <v>0.77188333333333325</v>
      </c>
      <c r="K146" s="978">
        <v>0.94827586206896564</v>
      </c>
      <c r="L146" s="978">
        <v>1.1000000000000001</v>
      </c>
      <c r="M146" s="978">
        <v>0.3</v>
      </c>
      <c r="N146" s="1140" t="s">
        <v>2272</v>
      </c>
      <c r="O146" s="978">
        <v>3.0322580645161246E-2</v>
      </c>
      <c r="P146" s="978">
        <f t="shared" si="10"/>
        <v>2.0177150537634379E-2</v>
      </c>
      <c r="Q146" s="1164">
        <f t="shared" si="11"/>
        <v>0.68559381720430101</v>
      </c>
      <c r="R146" s="1140"/>
      <c r="S146" s="1140">
        <f t="shared" si="12"/>
        <v>0</v>
      </c>
      <c r="T146" s="269"/>
      <c r="U146" s="269">
        <f t="shared" si="13"/>
        <v>0</v>
      </c>
      <c r="V146" s="269"/>
      <c r="W146" s="269">
        <f t="shared" si="14"/>
        <v>0</v>
      </c>
      <c r="X146" s="1140"/>
    </row>
    <row r="147" spans="1:24" hidden="1">
      <c r="A147" s="25"/>
      <c r="B147" s="1140" t="s">
        <v>768</v>
      </c>
      <c r="C147" s="1140">
        <v>15566</v>
      </c>
      <c r="D147" s="23">
        <v>7591112155663</v>
      </c>
      <c r="E147" s="275" t="s">
        <v>4145</v>
      </c>
      <c r="F147" s="1140">
        <v>24</v>
      </c>
      <c r="G147" s="978">
        <v>19.239999999999998</v>
      </c>
      <c r="H147" s="978">
        <v>22.318399999999997</v>
      </c>
      <c r="I147" s="1164">
        <v>0.80166666666666664</v>
      </c>
      <c r="J147" s="900">
        <v>0.92993333333333317</v>
      </c>
      <c r="K147" s="978">
        <v>1.1465517241379313</v>
      </c>
      <c r="L147" s="978">
        <v>1.33</v>
      </c>
      <c r="M147" s="978">
        <v>0.3</v>
      </c>
      <c r="N147" s="1140" t="s">
        <v>2272</v>
      </c>
      <c r="O147" s="978">
        <v>2.9978586723768741E-2</v>
      </c>
      <c r="P147" s="978">
        <f t="shared" si="10"/>
        <v>2.4032833690221272E-2</v>
      </c>
      <c r="Q147" s="1164">
        <f t="shared" si="11"/>
        <v>0.82569950035688788</v>
      </c>
      <c r="R147" s="1140"/>
      <c r="S147" s="1140">
        <f t="shared" si="12"/>
        <v>0</v>
      </c>
      <c r="T147" s="269"/>
      <c r="U147" s="269">
        <f t="shared" si="13"/>
        <v>0</v>
      </c>
      <c r="V147" s="269"/>
      <c r="W147" s="269">
        <f t="shared" si="14"/>
        <v>0</v>
      </c>
      <c r="X147" s="1140"/>
    </row>
    <row r="148" spans="1:24">
      <c r="A148" s="25"/>
      <c r="B148" s="1140" t="s">
        <v>766</v>
      </c>
      <c r="C148" s="1140">
        <v>15281</v>
      </c>
      <c r="D148" s="23">
        <v>7591112025263</v>
      </c>
      <c r="E148" s="275" t="s">
        <v>1741</v>
      </c>
      <c r="F148" s="1140">
        <v>24</v>
      </c>
      <c r="G148" s="978">
        <v>15.66</v>
      </c>
      <c r="H148" s="978">
        <v>18.165599999999998</v>
      </c>
      <c r="I148" s="1164">
        <v>0.65249999999999997</v>
      </c>
      <c r="J148" s="900">
        <v>0.75689999999999991</v>
      </c>
      <c r="K148" s="978">
        <v>0.93103448275862077</v>
      </c>
      <c r="L148" s="978">
        <v>1.08</v>
      </c>
      <c r="M148" s="978">
        <v>0.3</v>
      </c>
      <c r="N148" s="1140" t="s">
        <v>2272</v>
      </c>
      <c r="O148" s="978">
        <v>2.0195439739413734E-2</v>
      </c>
      <c r="P148" s="978">
        <f t="shared" si="10"/>
        <v>1.317752442996746E-2</v>
      </c>
      <c r="Q148" s="1164">
        <f t="shared" si="11"/>
        <v>0.66567752442996742</v>
      </c>
      <c r="R148" s="1140"/>
      <c r="S148" s="1140">
        <f t="shared" si="12"/>
        <v>0</v>
      </c>
      <c r="T148" s="269"/>
      <c r="U148" s="269">
        <f t="shared" si="13"/>
        <v>0</v>
      </c>
      <c r="V148" s="269"/>
      <c r="W148" s="269">
        <f t="shared" si="14"/>
        <v>0</v>
      </c>
      <c r="X148" s="1140"/>
    </row>
    <row r="149" spans="1:24">
      <c r="A149" s="25"/>
      <c r="B149" s="1140"/>
      <c r="C149" s="1140">
        <v>15282</v>
      </c>
      <c r="D149" s="23">
        <v>7591112025287</v>
      </c>
      <c r="E149" s="275" t="s">
        <v>1742</v>
      </c>
      <c r="F149" s="1140">
        <v>24</v>
      </c>
      <c r="G149" s="978">
        <v>27.33</v>
      </c>
      <c r="H149" s="978">
        <v>31.702799999999996</v>
      </c>
      <c r="I149" s="1164">
        <v>1.1387499999999999</v>
      </c>
      <c r="J149" s="900">
        <v>1.3209499999999998</v>
      </c>
      <c r="K149" s="978">
        <v>1.6293103448275863</v>
      </c>
      <c r="L149" s="978">
        <v>1.89</v>
      </c>
      <c r="M149" s="978">
        <v>0.3</v>
      </c>
      <c r="N149" s="1140" t="s">
        <v>2272</v>
      </c>
      <c r="O149" s="978">
        <v>2.015677491601342E-2</v>
      </c>
      <c r="P149" s="978">
        <f t="shared" si="10"/>
        <v>2.2953527435610282E-2</v>
      </c>
      <c r="Q149" s="1164">
        <f t="shared" si="11"/>
        <v>1.1617035274356102</v>
      </c>
      <c r="R149" s="1140"/>
      <c r="S149" s="1140">
        <f t="shared" si="12"/>
        <v>0</v>
      </c>
      <c r="T149" s="269"/>
      <c r="U149" s="269">
        <f t="shared" si="13"/>
        <v>0</v>
      </c>
      <c r="V149" s="269"/>
      <c r="W149" s="269">
        <f t="shared" si="14"/>
        <v>0</v>
      </c>
      <c r="X149" s="1140"/>
    </row>
    <row r="150" spans="1:24" hidden="1">
      <c r="A150" s="25"/>
      <c r="B150" s="1140"/>
      <c r="C150" s="1140">
        <v>15284</v>
      </c>
      <c r="D150" s="23">
        <v>7591112025294</v>
      </c>
      <c r="E150" s="275" t="s">
        <v>4146</v>
      </c>
      <c r="F150" s="1140">
        <v>4</v>
      </c>
      <c r="G150" s="978">
        <v>45.62</v>
      </c>
      <c r="H150" s="978">
        <v>52.919199999999996</v>
      </c>
      <c r="I150" s="1164">
        <v>11.404999999999999</v>
      </c>
      <c r="J150" s="900">
        <v>13.229799999999999</v>
      </c>
      <c r="K150" s="978">
        <v>16.293103448275861</v>
      </c>
      <c r="L150" s="978">
        <v>18.899999999999999</v>
      </c>
      <c r="M150" s="978">
        <v>0.3</v>
      </c>
      <c r="N150" s="1140" t="s">
        <v>2272</v>
      </c>
      <c r="O150" s="978">
        <v>1.9897160742231135E-2</v>
      </c>
      <c r="P150" s="978">
        <f t="shared" si="10"/>
        <v>0.22692711826514608</v>
      </c>
      <c r="Q150" s="1164">
        <f t="shared" si="11"/>
        <v>11.631927118265146</v>
      </c>
      <c r="R150" s="1140"/>
      <c r="S150" s="1140">
        <f t="shared" si="12"/>
        <v>0</v>
      </c>
      <c r="T150" s="269"/>
      <c r="U150" s="269">
        <f t="shared" si="13"/>
        <v>0</v>
      </c>
      <c r="V150" s="269"/>
      <c r="W150" s="269">
        <f t="shared" si="14"/>
        <v>0</v>
      </c>
      <c r="X150" s="1140"/>
    </row>
    <row r="151" spans="1:24">
      <c r="A151" s="25"/>
      <c r="B151" s="1140"/>
      <c r="C151" s="1140">
        <v>15286</v>
      </c>
      <c r="D151" s="23">
        <v>7591112055017</v>
      </c>
      <c r="E151" s="275" t="s">
        <v>1745</v>
      </c>
      <c r="F151" s="1140">
        <v>24</v>
      </c>
      <c r="G151" s="978">
        <v>13.44</v>
      </c>
      <c r="H151" s="978">
        <v>15.590399999999999</v>
      </c>
      <c r="I151" s="1164">
        <v>0.55999999999999994</v>
      </c>
      <c r="J151" s="900">
        <v>0.64959999999999996</v>
      </c>
      <c r="K151" s="978">
        <v>0.80172413793103459</v>
      </c>
      <c r="L151" s="978">
        <v>0.93</v>
      </c>
      <c r="M151" s="978">
        <v>0.3</v>
      </c>
      <c r="N151" s="1140" t="s">
        <v>2272</v>
      </c>
      <c r="O151" s="978">
        <v>1.9726858877086473E-2</v>
      </c>
      <c r="P151" s="978">
        <f t="shared" si="10"/>
        <v>1.1047040971168424E-2</v>
      </c>
      <c r="Q151" s="1164">
        <f t="shared" si="11"/>
        <v>0.57104704097116832</v>
      </c>
      <c r="R151" s="1140"/>
      <c r="S151" s="1140">
        <f t="shared" si="12"/>
        <v>0</v>
      </c>
      <c r="T151" s="269"/>
      <c r="U151" s="269">
        <f t="shared" si="13"/>
        <v>0</v>
      </c>
      <c r="V151" s="269"/>
      <c r="W151" s="269">
        <f t="shared" si="14"/>
        <v>0</v>
      </c>
      <c r="X151" s="1140"/>
    </row>
    <row r="152" spans="1:24">
      <c r="A152" s="25"/>
      <c r="B152" s="1140"/>
      <c r="C152" s="1140">
        <v>15287</v>
      </c>
      <c r="D152" s="23">
        <v>7591112055024</v>
      </c>
      <c r="E152" s="275" t="s">
        <v>1746</v>
      </c>
      <c r="F152" s="1140">
        <v>24</v>
      </c>
      <c r="G152" s="978">
        <v>23.34</v>
      </c>
      <c r="H152" s="978">
        <v>27.074399999999997</v>
      </c>
      <c r="I152" s="1164">
        <v>0.97250000000000003</v>
      </c>
      <c r="J152" s="900">
        <v>1.1280999999999999</v>
      </c>
      <c r="K152" s="978">
        <v>1.3879310344827589</v>
      </c>
      <c r="L152" s="978">
        <v>1.61</v>
      </c>
      <c r="M152" s="978">
        <v>0.3</v>
      </c>
      <c r="N152" s="1140" t="s">
        <v>2272</v>
      </c>
      <c r="O152" s="978">
        <v>2.0104895104895215E-2</v>
      </c>
      <c r="P152" s="978">
        <f t="shared" si="10"/>
        <v>1.9552010489510597E-2</v>
      </c>
      <c r="Q152" s="1164">
        <f t="shared" si="11"/>
        <v>0.99205201048951064</v>
      </c>
      <c r="R152" s="1140"/>
      <c r="S152" s="1140">
        <f t="shared" si="12"/>
        <v>0</v>
      </c>
      <c r="T152" s="269"/>
      <c r="U152" s="269">
        <f t="shared" si="13"/>
        <v>0</v>
      </c>
      <c r="V152" s="269"/>
      <c r="W152" s="269">
        <f t="shared" si="14"/>
        <v>0</v>
      </c>
      <c r="X152" s="1140"/>
    </row>
    <row r="153" spans="1:24" hidden="1">
      <c r="A153" s="25"/>
      <c r="B153" s="1140"/>
      <c r="C153" s="1140">
        <v>15280</v>
      </c>
      <c r="D153" s="23">
        <v>7591112025331</v>
      </c>
      <c r="E153" s="275" t="s">
        <v>4147</v>
      </c>
      <c r="F153" s="1140">
        <v>24</v>
      </c>
      <c r="G153" s="978">
        <v>11.08</v>
      </c>
      <c r="H153" s="978">
        <v>12.852799999999998</v>
      </c>
      <c r="I153" s="1164">
        <v>0.46166666666666667</v>
      </c>
      <c r="J153" s="900">
        <v>0.53553333333333331</v>
      </c>
      <c r="K153" s="978">
        <v>0.66379310344827591</v>
      </c>
      <c r="L153" s="978">
        <v>0.77</v>
      </c>
      <c r="M153" s="978">
        <v>0.3</v>
      </c>
      <c r="N153" s="1140" t="s">
        <v>2272</v>
      </c>
      <c r="O153" s="978">
        <v>2.0257826887661201E-2</v>
      </c>
      <c r="P153" s="978">
        <f t="shared" si="10"/>
        <v>9.3523634131369212E-3</v>
      </c>
      <c r="Q153" s="1164">
        <f t="shared" si="11"/>
        <v>0.47101903007980361</v>
      </c>
      <c r="R153" s="1140"/>
      <c r="S153" s="1140">
        <f t="shared" si="12"/>
        <v>0</v>
      </c>
      <c r="T153" s="269"/>
      <c r="U153" s="269">
        <f t="shared" si="13"/>
        <v>0</v>
      </c>
      <c r="V153" s="269"/>
      <c r="W153" s="269">
        <f t="shared" si="14"/>
        <v>0</v>
      </c>
      <c r="X153" s="1140"/>
    </row>
    <row r="154" spans="1:24" hidden="1">
      <c r="A154" s="25"/>
      <c r="B154" s="1140"/>
      <c r="C154" s="1140">
        <v>15755</v>
      </c>
      <c r="D154" s="23">
        <v>7591112462136</v>
      </c>
      <c r="E154" s="275" t="s">
        <v>4148</v>
      </c>
      <c r="F154" s="1140">
        <v>4</v>
      </c>
      <c r="G154" s="978">
        <v>36.729999999999997</v>
      </c>
      <c r="H154" s="978">
        <v>42.606799999999993</v>
      </c>
      <c r="I154" s="1164">
        <v>9.1824999999999992</v>
      </c>
      <c r="J154" s="900">
        <v>10.651699999999998</v>
      </c>
      <c r="K154" s="978">
        <v>13.120689655172415</v>
      </c>
      <c r="L154" s="978">
        <v>15.22</v>
      </c>
      <c r="M154" s="978">
        <v>0.3</v>
      </c>
      <c r="N154" s="1140" t="s">
        <v>2272</v>
      </c>
      <c r="O154" s="978">
        <v>1.9994445987225662E-2</v>
      </c>
      <c r="P154" s="978">
        <f t="shared" si="10"/>
        <v>0.18359900027769963</v>
      </c>
      <c r="Q154" s="1164">
        <f t="shared" si="11"/>
        <v>9.366099000277698</v>
      </c>
      <c r="R154" s="1140"/>
      <c r="S154" s="1140">
        <f t="shared" si="12"/>
        <v>0</v>
      </c>
      <c r="T154" s="269"/>
      <c r="U154" s="269">
        <f t="shared" si="13"/>
        <v>0</v>
      </c>
      <c r="V154" s="269"/>
      <c r="W154" s="269">
        <f t="shared" si="14"/>
        <v>0</v>
      </c>
      <c r="X154" s="1140"/>
    </row>
    <row r="155" spans="1:24">
      <c r="A155" s="25"/>
      <c r="B155" s="1140" t="s">
        <v>1749</v>
      </c>
      <c r="C155" s="1140">
        <v>15271</v>
      </c>
      <c r="D155" s="23">
        <v>7591112029018</v>
      </c>
      <c r="E155" s="275" t="s">
        <v>1750</v>
      </c>
      <c r="F155" s="1140">
        <v>24</v>
      </c>
      <c r="G155" s="978">
        <v>19.21</v>
      </c>
      <c r="H155" s="978">
        <v>22.2836</v>
      </c>
      <c r="I155" s="1164">
        <v>0.80041666666666667</v>
      </c>
      <c r="J155" s="900">
        <v>0.92848333333333333</v>
      </c>
      <c r="K155" s="978">
        <v>1.1465517241379313</v>
      </c>
      <c r="L155" s="978">
        <v>1.33</v>
      </c>
      <c r="M155" s="978">
        <v>0.3</v>
      </c>
      <c r="N155" s="1140" t="s">
        <v>2272</v>
      </c>
      <c r="O155" s="978">
        <v>2.0180562931492396E-2</v>
      </c>
      <c r="P155" s="978">
        <f t="shared" si="10"/>
        <v>1.615285891308204E-2</v>
      </c>
      <c r="Q155" s="1164">
        <f t="shared" si="11"/>
        <v>0.81656952557974871</v>
      </c>
      <c r="R155" s="1140"/>
      <c r="S155" s="1140">
        <f t="shared" si="12"/>
        <v>0</v>
      </c>
      <c r="T155" s="269"/>
      <c r="U155" s="269">
        <f t="shared" si="13"/>
        <v>0</v>
      </c>
      <c r="V155" s="269"/>
      <c r="W155" s="269">
        <f t="shared" si="14"/>
        <v>0</v>
      </c>
      <c r="X155" s="1140"/>
    </row>
    <row r="156" spans="1:24">
      <c r="A156" s="25"/>
      <c r="B156" s="1140"/>
      <c r="C156" s="1140">
        <v>15272</v>
      </c>
      <c r="D156" s="23">
        <v>7591112029025</v>
      </c>
      <c r="E156" s="275" t="s">
        <v>1751</v>
      </c>
      <c r="F156" s="1140">
        <v>24</v>
      </c>
      <c r="G156" s="978">
        <v>33.24</v>
      </c>
      <c r="H156" s="978">
        <v>38.558399999999999</v>
      </c>
      <c r="I156" s="1164">
        <v>1.385</v>
      </c>
      <c r="J156" s="900">
        <v>1.6066</v>
      </c>
      <c r="K156" s="978">
        <v>1.9827586206896552</v>
      </c>
      <c r="L156" s="978">
        <v>2.2999999999999998</v>
      </c>
      <c r="M156" s="978">
        <v>0.3</v>
      </c>
      <c r="N156" s="1140" t="s">
        <v>2272</v>
      </c>
      <c r="O156" s="978">
        <v>1.9944768333844731E-2</v>
      </c>
      <c r="P156" s="978">
        <f t="shared" si="10"/>
        <v>2.7623504142374952E-2</v>
      </c>
      <c r="Q156" s="1164">
        <f t="shared" si="11"/>
        <v>1.4126235041423749</v>
      </c>
      <c r="R156" s="1140"/>
      <c r="S156" s="1140">
        <f t="shared" si="12"/>
        <v>0</v>
      </c>
      <c r="T156" s="269"/>
      <c r="U156" s="269">
        <f t="shared" si="13"/>
        <v>0</v>
      </c>
      <c r="V156" s="269"/>
      <c r="W156" s="269">
        <f t="shared" si="14"/>
        <v>0</v>
      </c>
      <c r="X156" s="1140"/>
    </row>
    <row r="157" spans="1:24" hidden="1">
      <c r="A157" s="25"/>
      <c r="B157" s="1140"/>
      <c r="C157" s="1140">
        <v>15610</v>
      </c>
      <c r="D157" s="23">
        <v>7591112156103</v>
      </c>
      <c r="E157" s="275" t="s">
        <v>1752</v>
      </c>
      <c r="F157" s="1140">
        <v>4</v>
      </c>
      <c r="G157" s="978">
        <v>59.09</v>
      </c>
      <c r="H157" s="978">
        <v>68.544399999999996</v>
      </c>
      <c r="I157" s="1164">
        <v>14.772500000000001</v>
      </c>
      <c r="J157" s="900">
        <v>17.136099999999999</v>
      </c>
      <c r="K157" s="978">
        <v>21.103448275862071</v>
      </c>
      <c r="L157" s="978">
        <v>24.48</v>
      </c>
      <c r="M157" s="978">
        <v>0.3</v>
      </c>
      <c r="N157" s="1140" t="s">
        <v>2272</v>
      </c>
      <c r="O157" s="978">
        <v>2.0024167098221968E-2</v>
      </c>
      <c r="P157" s="978">
        <f t="shared" si="10"/>
        <v>0.29580700845848401</v>
      </c>
      <c r="Q157" s="1164">
        <f t="shared" si="11"/>
        <v>15.068307008458484</v>
      </c>
      <c r="R157" s="1140"/>
      <c r="S157" s="1140">
        <f t="shared" si="12"/>
        <v>0</v>
      </c>
      <c r="T157" s="269"/>
      <c r="U157" s="269">
        <f t="shared" si="13"/>
        <v>0</v>
      </c>
      <c r="V157" s="269"/>
      <c r="W157" s="269">
        <f t="shared" si="14"/>
        <v>0</v>
      </c>
      <c r="X157" s="1140"/>
    </row>
    <row r="158" spans="1:24">
      <c r="A158" s="25"/>
      <c r="B158" s="1140"/>
      <c r="C158" s="1140">
        <v>15275</v>
      </c>
      <c r="D158" s="23">
        <v>7591112056014</v>
      </c>
      <c r="E158" s="275" t="s">
        <v>1753</v>
      </c>
      <c r="F158" s="1140">
        <v>24</v>
      </c>
      <c r="G158" s="978">
        <v>16.25</v>
      </c>
      <c r="H158" s="978">
        <v>18.849999999999998</v>
      </c>
      <c r="I158" s="1164">
        <v>0.67708333333333337</v>
      </c>
      <c r="J158" s="900">
        <v>0.78541666666666654</v>
      </c>
      <c r="K158" s="978">
        <v>0.9655172413793105</v>
      </c>
      <c r="L158" s="978">
        <v>1.1200000000000001</v>
      </c>
      <c r="M158" s="978">
        <v>0.3</v>
      </c>
      <c r="N158" s="1140" t="s">
        <v>2272</v>
      </c>
      <c r="O158" s="978">
        <v>2.0087884494664143E-2</v>
      </c>
      <c r="P158" s="978">
        <f t="shared" si="10"/>
        <v>1.360117179326218E-2</v>
      </c>
      <c r="Q158" s="1164">
        <f t="shared" si="11"/>
        <v>0.69068450512659552</v>
      </c>
      <c r="R158" s="1140"/>
      <c r="S158" s="1140">
        <f t="shared" si="12"/>
        <v>0</v>
      </c>
      <c r="T158" s="269"/>
      <c r="U158" s="269">
        <f t="shared" si="13"/>
        <v>0</v>
      </c>
      <c r="V158" s="269"/>
      <c r="W158" s="269">
        <f t="shared" si="14"/>
        <v>0</v>
      </c>
      <c r="X158" s="1140"/>
    </row>
    <row r="159" spans="1:24">
      <c r="A159" s="25"/>
      <c r="B159" s="1140"/>
      <c r="C159" s="1140">
        <v>15276</v>
      </c>
      <c r="D159" s="23">
        <v>7591112056021</v>
      </c>
      <c r="E159" s="275" t="s">
        <v>1754</v>
      </c>
      <c r="F159" s="1140">
        <v>24</v>
      </c>
      <c r="G159" s="978">
        <v>28.37</v>
      </c>
      <c r="H159" s="978">
        <v>32.909199999999998</v>
      </c>
      <c r="I159" s="1164">
        <v>1.1820833333333334</v>
      </c>
      <c r="J159" s="900">
        <v>1.3712166666666665</v>
      </c>
      <c r="K159" s="978">
        <v>1.6896551724137931</v>
      </c>
      <c r="L159" s="978">
        <v>1.96</v>
      </c>
      <c r="M159" s="978">
        <v>0.3</v>
      </c>
      <c r="N159" s="1140" t="s">
        <v>2272</v>
      </c>
      <c r="O159" s="978">
        <v>2.0136641495864804E-2</v>
      </c>
      <c r="P159" s="978">
        <f t="shared" si="10"/>
        <v>2.3803188301570188E-2</v>
      </c>
      <c r="Q159" s="1164">
        <f t="shared" si="11"/>
        <v>1.2058865216349035</v>
      </c>
      <c r="R159" s="1140"/>
      <c r="S159" s="1140">
        <f t="shared" si="12"/>
        <v>0</v>
      </c>
      <c r="T159" s="269"/>
      <c r="U159" s="269">
        <f t="shared" si="13"/>
        <v>0</v>
      </c>
      <c r="V159" s="269"/>
      <c r="W159" s="269">
        <f t="shared" si="14"/>
        <v>0</v>
      </c>
      <c r="X159" s="1140"/>
    </row>
    <row r="160" spans="1:24" hidden="1">
      <c r="A160" s="25"/>
      <c r="B160" s="1140"/>
      <c r="C160" s="1140">
        <v>15274</v>
      </c>
      <c r="D160" s="23">
        <v>7591112029070</v>
      </c>
      <c r="E160" s="275" t="s">
        <v>4149</v>
      </c>
      <c r="F160" s="1140">
        <v>24</v>
      </c>
      <c r="G160" s="978">
        <v>13.44</v>
      </c>
      <c r="H160" s="978">
        <v>15.590399999999999</v>
      </c>
      <c r="I160" s="1164">
        <v>0.55999999999999994</v>
      </c>
      <c r="J160" s="900">
        <v>0.64959999999999996</v>
      </c>
      <c r="K160" s="978">
        <v>0.80172413793103459</v>
      </c>
      <c r="L160" s="978">
        <v>0.93</v>
      </c>
      <c r="M160" s="978">
        <v>0.3</v>
      </c>
      <c r="N160" s="1140" t="s">
        <v>2272</v>
      </c>
      <c r="O160" s="978">
        <v>1.9726858877086473E-2</v>
      </c>
      <c r="P160" s="978">
        <f t="shared" si="10"/>
        <v>1.1047040971168424E-2</v>
      </c>
      <c r="Q160" s="1164">
        <f t="shared" si="11"/>
        <v>0.57104704097116832</v>
      </c>
      <c r="R160" s="1140"/>
      <c r="S160" s="1140">
        <f t="shared" si="12"/>
        <v>0</v>
      </c>
      <c r="T160" s="269"/>
      <c r="U160" s="269">
        <f t="shared" si="13"/>
        <v>0</v>
      </c>
      <c r="V160" s="269"/>
      <c r="W160" s="269">
        <f t="shared" si="14"/>
        <v>0</v>
      </c>
      <c r="X160" s="1140"/>
    </row>
    <row r="161" spans="1:24" hidden="1">
      <c r="A161" s="25"/>
      <c r="B161" s="1140" t="s">
        <v>4150</v>
      </c>
      <c r="C161" s="1140">
        <v>15430</v>
      </c>
      <c r="D161" s="23">
        <v>7591112029032</v>
      </c>
      <c r="E161" s="275" t="s">
        <v>4151</v>
      </c>
      <c r="F161" s="1140">
        <v>24</v>
      </c>
      <c r="G161" s="978">
        <v>17.45</v>
      </c>
      <c r="H161" s="978">
        <v>20.241999999999997</v>
      </c>
      <c r="I161" s="1164">
        <v>0.7270833333333333</v>
      </c>
      <c r="J161" s="900">
        <v>0.84341666666666659</v>
      </c>
      <c r="K161" s="978">
        <v>1.0431034482758621</v>
      </c>
      <c r="L161" s="978">
        <v>1.21</v>
      </c>
      <c r="M161" s="978">
        <v>0.3</v>
      </c>
      <c r="N161" s="1140" t="s">
        <v>2272</v>
      </c>
      <c r="O161" s="978">
        <v>3.0106257378984536E-2</v>
      </c>
      <c r="P161" s="978">
        <f t="shared" si="10"/>
        <v>2.1889757969303338E-2</v>
      </c>
      <c r="Q161" s="1164">
        <f t="shared" si="11"/>
        <v>0.74897309130263667</v>
      </c>
      <c r="R161" s="1140"/>
      <c r="S161" s="1140">
        <f t="shared" si="12"/>
        <v>0</v>
      </c>
      <c r="T161" s="269"/>
      <c r="U161" s="269">
        <f t="shared" si="13"/>
        <v>0</v>
      </c>
      <c r="V161" s="269"/>
      <c r="W161" s="269">
        <f t="shared" si="14"/>
        <v>0</v>
      </c>
      <c r="X161" s="1140"/>
    </row>
    <row r="162" spans="1:24">
      <c r="A162" s="25"/>
      <c r="B162" s="1140" t="s">
        <v>764</v>
      </c>
      <c r="C162" s="1140">
        <v>15295</v>
      </c>
      <c r="D162" s="23">
        <v>7591112037013</v>
      </c>
      <c r="E162" s="275" t="s">
        <v>1759</v>
      </c>
      <c r="F162" s="1140">
        <v>24</v>
      </c>
      <c r="G162" s="978">
        <v>15.66</v>
      </c>
      <c r="H162" s="978">
        <v>18.165599999999998</v>
      </c>
      <c r="I162" s="1164">
        <v>0.65249999999999997</v>
      </c>
      <c r="J162" s="900">
        <v>0.75689999999999991</v>
      </c>
      <c r="K162" s="978">
        <v>0.93103448275862077</v>
      </c>
      <c r="L162" s="978">
        <v>1.08</v>
      </c>
      <c r="M162" s="978">
        <v>0.3</v>
      </c>
      <c r="N162" s="1140" t="s">
        <v>2272</v>
      </c>
      <c r="O162" s="978">
        <v>2.0195439739413734E-2</v>
      </c>
      <c r="P162" s="978">
        <f t="shared" si="10"/>
        <v>1.317752442996746E-2</v>
      </c>
      <c r="Q162" s="1164">
        <f t="shared" si="11"/>
        <v>0.66567752442996742</v>
      </c>
      <c r="R162" s="1140"/>
      <c r="S162" s="1140">
        <f t="shared" si="12"/>
        <v>0</v>
      </c>
      <c r="T162" s="269"/>
      <c r="U162" s="269">
        <f t="shared" si="13"/>
        <v>0</v>
      </c>
      <c r="V162" s="269"/>
      <c r="W162" s="269">
        <f t="shared" si="14"/>
        <v>0</v>
      </c>
      <c r="X162" s="1140"/>
    </row>
    <row r="163" spans="1:24">
      <c r="A163" s="25"/>
      <c r="B163" s="1140"/>
      <c r="C163" s="1140">
        <v>15296</v>
      </c>
      <c r="D163" s="23">
        <v>7591112037020</v>
      </c>
      <c r="E163" s="275" t="s">
        <v>1760</v>
      </c>
      <c r="F163" s="1140">
        <v>24</v>
      </c>
      <c r="G163" s="978">
        <v>27.33</v>
      </c>
      <c r="H163" s="978">
        <v>31.702799999999996</v>
      </c>
      <c r="I163" s="1164">
        <v>1.1387499999999999</v>
      </c>
      <c r="J163" s="900">
        <v>1.3209499999999998</v>
      </c>
      <c r="K163" s="978">
        <v>1.6293103448275863</v>
      </c>
      <c r="L163" s="978">
        <v>1.89</v>
      </c>
      <c r="M163" s="978">
        <v>0.3</v>
      </c>
      <c r="N163" s="1140" t="s">
        <v>2272</v>
      </c>
      <c r="O163" s="978">
        <v>2.015677491601342E-2</v>
      </c>
      <c r="P163" s="978">
        <f t="shared" si="10"/>
        <v>2.2953527435610282E-2</v>
      </c>
      <c r="Q163" s="1164">
        <f t="shared" si="11"/>
        <v>1.1617035274356102</v>
      </c>
      <c r="R163" s="1140"/>
      <c r="S163" s="1140">
        <f t="shared" si="12"/>
        <v>0</v>
      </c>
      <c r="T163" s="269"/>
      <c r="U163" s="269">
        <f t="shared" si="13"/>
        <v>0</v>
      </c>
      <c r="V163" s="269"/>
      <c r="W163" s="269">
        <f t="shared" si="14"/>
        <v>0</v>
      </c>
      <c r="X163" s="1140"/>
    </row>
    <row r="164" spans="1:24" hidden="1">
      <c r="A164" s="25"/>
      <c r="B164" s="1140"/>
      <c r="C164" s="1140">
        <v>15588</v>
      </c>
      <c r="D164" s="23">
        <v>7591112025294</v>
      </c>
      <c r="E164" s="275" t="s">
        <v>4152</v>
      </c>
      <c r="F164" s="1140">
        <v>4</v>
      </c>
      <c r="G164" s="978">
        <v>45.62</v>
      </c>
      <c r="H164" s="978">
        <v>52.919199999999996</v>
      </c>
      <c r="I164" s="1164">
        <v>11.404999999999999</v>
      </c>
      <c r="J164" s="900">
        <v>13.229799999999999</v>
      </c>
      <c r="K164" s="978">
        <v>16.293103448275861</v>
      </c>
      <c r="L164" s="978">
        <v>18.899999999999999</v>
      </c>
      <c r="M164" s="978">
        <v>0.3</v>
      </c>
      <c r="N164" s="1140" t="s">
        <v>2272</v>
      </c>
      <c r="O164" s="978">
        <v>1.9897160742231135E-2</v>
      </c>
      <c r="P164" s="978">
        <f t="shared" si="10"/>
        <v>0.22692711826514608</v>
      </c>
      <c r="Q164" s="1164">
        <f t="shared" si="11"/>
        <v>11.631927118265146</v>
      </c>
      <c r="R164" s="1140"/>
      <c r="S164" s="1140">
        <f t="shared" si="12"/>
        <v>0</v>
      </c>
      <c r="T164" s="269"/>
      <c r="U164" s="269">
        <f t="shared" si="13"/>
        <v>0</v>
      </c>
      <c r="V164" s="269"/>
      <c r="W164" s="269">
        <f t="shared" si="14"/>
        <v>0</v>
      </c>
      <c r="X164" s="1140"/>
    </row>
    <row r="165" spans="1:24">
      <c r="A165" s="25"/>
      <c r="B165" s="1140"/>
      <c r="C165" s="1140">
        <v>15298</v>
      </c>
      <c r="D165" s="23">
        <v>7591112052016</v>
      </c>
      <c r="E165" s="275" t="s">
        <v>4153</v>
      </c>
      <c r="F165" s="1140">
        <v>24</v>
      </c>
      <c r="G165" s="978">
        <v>13.44</v>
      </c>
      <c r="H165" s="978">
        <v>15.590399999999999</v>
      </c>
      <c r="I165" s="1164">
        <v>0.55999999999999994</v>
      </c>
      <c r="J165" s="900">
        <v>0.64959999999999996</v>
      </c>
      <c r="K165" s="978">
        <v>0.80172413793103459</v>
      </c>
      <c r="L165" s="978">
        <v>0.93</v>
      </c>
      <c r="M165" s="978">
        <v>0.3</v>
      </c>
      <c r="N165" s="1140" t="s">
        <v>2272</v>
      </c>
      <c r="O165" s="978">
        <v>1.9726858877086473E-2</v>
      </c>
      <c r="P165" s="978">
        <f t="shared" si="10"/>
        <v>1.1047040971168424E-2</v>
      </c>
      <c r="Q165" s="1164">
        <f t="shared" si="11"/>
        <v>0.57104704097116832</v>
      </c>
      <c r="R165" s="1140"/>
      <c r="S165" s="1140">
        <f t="shared" si="12"/>
        <v>0</v>
      </c>
      <c r="T165" s="269"/>
      <c r="U165" s="269">
        <f t="shared" si="13"/>
        <v>0</v>
      </c>
      <c r="V165" s="269"/>
      <c r="W165" s="269">
        <f t="shared" si="14"/>
        <v>0</v>
      </c>
      <c r="X165" s="1140"/>
    </row>
    <row r="166" spans="1:24" hidden="1">
      <c r="A166" s="25"/>
      <c r="B166" s="1140"/>
      <c r="C166" s="1140">
        <v>15297</v>
      </c>
      <c r="D166" s="23">
        <v>7591112462013</v>
      </c>
      <c r="E166" s="275" t="s">
        <v>4154</v>
      </c>
      <c r="F166" s="1140">
        <v>24</v>
      </c>
      <c r="G166" s="978">
        <v>11.08</v>
      </c>
      <c r="H166" s="978">
        <v>12.852799999999998</v>
      </c>
      <c r="I166" s="1164">
        <v>0.46166666666666667</v>
      </c>
      <c r="J166" s="900">
        <v>0.53553333333333331</v>
      </c>
      <c r="K166" s="978">
        <v>0.66379310344827591</v>
      </c>
      <c r="L166" s="978">
        <v>0.77</v>
      </c>
      <c r="M166" s="978">
        <v>0.3</v>
      </c>
      <c r="N166" s="1140" t="s">
        <v>2272</v>
      </c>
      <c r="O166" s="978">
        <v>2.0257826887661201E-2</v>
      </c>
      <c r="P166" s="978">
        <f t="shared" si="10"/>
        <v>9.3523634131369212E-3</v>
      </c>
      <c r="Q166" s="1164">
        <f t="shared" si="11"/>
        <v>0.47101903007980361</v>
      </c>
      <c r="R166" s="1140"/>
      <c r="S166" s="1140">
        <f t="shared" si="12"/>
        <v>0</v>
      </c>
      <c r="T166" s="269"/>
      <c r="U166" s="269">
        <f t="shared" si="13"/>
        <v>0</v>
      </c>
      <c r="V166" s="269"/>
      <c r="W166" s="269">
        <f t="shared" si="14"/>
        <v>0</v>
      </c>
      <c r="X166" s="1140"/>
    </row>
    <row r="167" spans="1:24" hidden="1">
      <c r="A167" s="25"/>
      <c r="B167" s="1140"/>
      <c r="C167" s="1140">
        <v>15757</v>
      </c>
      <c r="D167" s="23">
        <v>7591112462129</v>
      </c>
      <c r="E167" s="275" t="s">
        <v>4155</v>
      </c>
      <c r="F167" s="1140">
        <v>4</v>
      </c>
      <c r="G167" s="978">
        <v>36.729999999999997</v>
      </c>
      <c r="H167" s="978">
        <v>42.606799999999993</v>
      </c>
      <c r="I167" s="1164">
        <v>9.1824999999999992</v>
      </c>
      <c r="J167" s="900">
        <v>10.651699999999998</v>
      </c>
      <c r="K167" s="978">
        <v>13.120689655172415</v>
      </c>
      <c r="L167" s="978">
        <v>15.22</v>
      </c>
      <c r="M167" s="978">
        <v>0.3</v>
      </c>
      <c r="N167" s="1140" t="s">
        <v>2272</v>
      </c>
      <c r="O167" s="978">
        <v>1.9994445987225662E-2</v>
      </c>
      <c r="P167" s="978">
        <f t="shared" si="10"/>
        <v>0.18359900027769963</v>
      </c>
      <c r="Q167" s="1164">
        <f t="shared" si="11"/>
        <v>9.366099000277698</v>
      </c>
      <c r="R167" s="1140"/>
      <c r="S167" s="1140">
        <f t="shared" si="12"/>
        <v>0</v>
      </c>
      <c r="T167" s="269"/>
      <c r="U167" s="269">
        <f t="shared" si="13"/>
        <v>0</v>
      </c>
      <c r="V167" s="269"/>
      <c r="W167" s="269">
        <f t="shared" si="14"/>
        <v>0</v>
      </c>
      <c r="X167" s="1140"/>
    </row>
    <row r="168" spans="1:24" hidden="1">
      <c r="A168" s="25"/>
      <c r="B168" s="1140" t="s">
        <v>4156</v>
      </c>
      <c r="C168" s="1140">
        <v>15231</v>
      </c>
      <c r="D168" s="23">
        <v>7591112059015</v>
      </c>
      <c r="E168" s="275" t="s">
        <v>4157</v>
      </c>
      <c r="F168" s="1140">
        <v>24</v>
      </c>
      <c r="G168" s="978">
        <v>20.39</v>
      </c>
      <c r="H168" s="978">
        <v>23.6524</v>
      </c>
      <c r="I168" s="1164">
        <v>0.84958333333333336</v>
      </c>
      <c r="J168" s="900">
        <v>0.98551666666666671</v>
      </c>
      <c r="K168" s="978">
        <v>1.2155172413793103</v>
      </c>
      <c r="L168" s="978">
        <v>1.41</v>
      </c>
      <c r="M168" s="978">
        <v>0.3</v>
      </c>
      <c r="N168" s="1140" t="s">
        <v>2272</v>
      </c>
      <c r="O168" s="978">
        <v>2.0010005002501385E-2</v>
      </c>
      <c r="P168" s="978">
        <f t="shared" si="10"/>
        <v>1.7000166750041804E-2</v>
      </c>
      <c r="Q168" s="1164">
        <f t="shared" si="11"/>
        <v>0.86658350008337515</v>
      </c>
      <c r="R168" s="1140"/>
      <c r="S168" s="1140">
        <f t="shared" si="12"/>
        <v>0</v>
      </c>
      <c r="T168" s="269"/>
      <c r="U168" s="269">
        <f t="shared" si="13"/>
        <v>0</v>
      </c>
      <c r="V168" s="269"/>
      <c r="W168" s="269">
        <f t="shared" si="14"/>
        <v>0</v>
      </c>
      <c r="X168" s="1140"/>
    </row>
    <row r="169" spans="1:24">
      <c r="A169" s="25"/>
      <c r="B169" s="1140" t="s">
        <v>736</v>
      </c>
      <c r="C169" s="1140">
        <v>15289</v>
      </c>
      <c r="D169" s="23">
        <v>7591112015059</v>
      </c>
      <c r="E169" s="275" t="s">
        <v>4158</v>
      </c>
      <c r="F169" s="1140">
        <v>24</v>
      </c>
      <c r="G169" s="978">
        <v>12.74</v>
      </c>
      <c r="H169" s="978">
        <v>14.7784</v>
      </c>
      <c r="I169" s="1164">
        <v>0.53083333333333338</v>
      </c>
      <c r="J169" s="900">
        <v>0.61576666666666668</v>
      </c>
      <c r="K169" s="978">
        <v>0.75862068965517249</v>
      </c>
      <c r="L169" s="978">
        <v>0.88</v>
      </c>
      <c r="M169" s="978">
        <v>0.3</v>
      </c>
      <c r="N169" s="1140" t="s">
        <v>2971</v>
      </c>
      <c r="O169" s="978">
        <v>0</v>
      </c>
      <c r="P169" s="978">
        <f t="shared" si="10"/>
        <v>0</v>
      </c>
      <c r="Q169" s="1164">
        <f t="shared" si="11"/>
        <v>0.53083333333333338</v>
      </c>
      <c r="R169" s="1140"/>
      <c r="S169" s="1140">
        <f t="shared" si="12"/>
        <v>0</v>
      </c>
      <c r="T169" s="269"/>
      <c r="U169" s="269">
        <f t="shared" si="13"/>
        <v>0</v>
      </c>
      <c r="V169" s="269"/>
      <c r="W169" s="269">
        <f t="shared" si="14"/>
        <v>0</v>
      </c>
      <c r="X169" s="1140"/>
    </row>
    <row r="170" spans="1:24">
      <c r="A170" s="25"/>
      <c r="B170" s="1140"/>
      <c r="C170" s="1140">
        <v>15290</v>
      </c>
      <c r="D170" s="23">
        <v>7591112015103</v>
      </c>
      <c r="E170" s="275" t="s">
        <v>4159</v>
      </c>
      <c r="F170" s="1140">
        <v>12</v>
      </c>
      <c r="G170" s="978">
        <v>11.01</v>
      </c>
      <c r="H170" s="978">
        <v>12.771599999999999</v>
      </c>
      <c r="I170" s="1164">
        <v>0.91749999999999998</v>
      </c>
      <c r="J170" s="900">
        <v>1.0643</v>
      </c>
      <c r="K170" s="978">
        <v>1.3103448275862071</v>
      </c>
      <c r="L170" s="978">
        <v>1.52</v>
      </c>
      <c r="M170" s="978">
        <v>0.3</v>
      </c>
      <c r="N170" s="1140" t="s">
        <v>2971</v>
      </c>
      <c r="O170" s="978">
        <v>0</v>
      </c>
      <c r="P170" s="978">
        <f t="shared" si="10"/>
        <v>0</v>
      </c>
      <c r="Q170" s="1164">
        <f t="shared" si="11"/>
        <v>0.91749999999999998</v>
      </c>
      <c r="R170" s="1140"/>
      <c r="S170" s="1140">
        <f t="shared" si="12"/>
        <v>0</v>
      </c>
      <c r="T170" s="269"/>
      <c r="U170" s="269">
        <f t="shared" si="13"/>
        <v>0</v>
      </c>
      <c r="V170" s="269"/>
      <c r="W170" s="269">
        <f t="shared" si="14"/>
        <v>0</v>
      </c>
      <c r="X170" s="1140"/>
    </row>
    <row r="171" spans="1:24" hidden="1">
      <c r="A171" s="25"/>
      <c r="B171" s="1140"/>
      <c r="C171" s="1140">
        <v>15278</v>
      </c>
      <c r="D171" s="23">
        <v>7591112015141</v>
      </c>
      <c r="E171" s="275" t="s">
        <v>4160</v>
      </c>
      <c r="F171" s="1140">
        <v>4</v>
      </c>
      <c r="G171" s="978">
        <v>13.2</v>
      </c>
      <c r="H171" s="978">
        <v>15.311999999999998</v>
      </c>
      <c r="I171" s="1164">
        <v>3.3</v>
      </c>
      <c r="J171" s="900">
        <v>3.8279999999999994</v>
      </c>
      <c r="K171" s="978">
        <v>4.7155172413793105</v>
      </c>
      <c r="L171" s="978">
        <v>5.47</v>
      </c>
      <c r="M171" s="978">
        <v>0.3</v>
      </c>
      <c r="N171" s="1140" t="s">
        <v>2971</v>
      </c>
      <c r="O171" s="978">
        <v>0</v>
      </c>
      <c r="P171" s="978">
        <f t="shared" si="10"/>
        <v>0</v>
      </c>
      <c r="Q171" s="1164">
        <f t="shared" si="11"/>
        <v>3.3</v>
      </c>
      <c r="R171" s="1140"/>
      <c r="S171" s="1140">
        <f t="shared" si="12"/>
        <v>0</v>
      </c>
      <c r="T171" s="269"/>
      <c r="U171" s="269">
        <f t="shared" si="13"/>
        <v>0</v>
      </c>
      <c r="V171" s="269"/>
      <c r="W171" s="269">
        <f t="shared" si="14"/>
        <v>0</v>
      </c>
      <c r="X171" s="1140"/>
    </row>
    <row r="172" spans="1:24" hidden="1">
      <c r="A172" s="25"/>
      <c r="B172" s="1140"/>
      <c r="C172" s="1140">
        <v>15292</v>
      </c>
      <c r="D172" s="23">
        <v>7591112049016</v>
      </c>
      <c r="E172" s="275" t="s">
        <v>4161</v>
      </c>
      <c r="F172" s="1140">
        <v>24</v>
      </c>
      <c r="G172" s="978">
        <v>11.3</v>
      </c>
      <c r="H172" s="978">
        <v>13.108000000000001</v>
      </c>
      <c r="I172" s="1164">
        <v>0.47083333333333338</v>
      </c>
      <c r="J172" s="900">
        <v>0.54616666666666669</v>
      </c>
      <c r="K172" s="978">
        <v>0.6724137931034484</v>
      </c>
      <c r="L172" s="978">
        <v>0.78</v>
      </c>
      <c r="M172" s="978">
        <v>0.3</v>
      </c>
      <c r="N172" s="1140" t="s">
        <v>2971</v>
      </c>
      <c r="O172" s="978">
        <v>0</v>
      </c>
      <c r="P172" s="978">
        <f t="shared" si="10"/>
        <v>0</v>
      </c>
      <c r="Q172" s="1164">
        <f t="shared" si="11"/>
        <v>0.47083333333333338</v>
      </c>
      <c r="R172" s="1140"/>
      <c r="S172" s="1140">
        <f t="shared" si="12"/>
        <v>0</v>
      </c>
      <c r="T172" s="269"/>
      <c r="U172" s="269">
        <f t="shared" si="13"/>
        <v>0</v>
      </c>
      <c r="V172" s="269"/>
      <c r="W172" s="269">
        <f t="shared" si="14"/>
        <v>0</v>
      </c>
      <c r="X172" s="1140"/>
    </row>
    <row r="173" spans="1:24">
      <c r="A173" s="25"/>
      <c r="B173" s="1140"/>
      <c r="C173" s="1140">
        <v>15293</v>
      </c>
      <c r="D173" s="23">
        <v>7591112049023</v>
      </c>
      <c r="E173" s="275" t="s">
        <v>4162</v>
      </c>
      <c r="F173" s="1140">
        <v>12</v>
      </c>
      <c r="G173" s="978">
        <v>9.92</v>
      </c>
      <c r="H173" s="978">
        <v>11.507199999999999</v>
      </c>
      <c r="I173" s="1164">
        <v>0.82666666666666666</v>
      </c>
      <c r="J173" s="900">
        <v>0.9589333333333333</v>
      </c>
      <c r="K173" s="978">
        <v>1.1810344827586208</v>
      </c>
      <c r="L173" s="978">
        <v>1.37</v>
      </c>
      <c r="M173" s="978">
        <v>0.3</v>
      </c>
      <c r="N173" s="1140" t="s">
        <v>2971</v>
      </c>
      <c r="O173" s="978">
        <v>0</v>
      </c>
      <c r="P173" s="978">
        <f t="shared" si="10"/>
        <v>0</v>
      </c>
      <c r="Q173" s="1164">
        <f t="shared" si="11"/>
        <v>0.82666666666666666</v>
      </c>
      <c r="R173" s="1140"/>
      <c r="S173" s="1140">
        <f t="shared" si="12"/>
        <v>0</v>
      </c>
      <c r="T173" s="269"/>
      <c r="U173" s="269">
        <f t="shared" si="13"/>
        <v>0</v>
      </c>
      <c r="V173" s="269"/>
      <c r="W173" s="269">
        <f t="shared" si="14"/>
        <v>0</v>
      </c>
      <c r="X173" s="1140"/>
    </row>
    <row r="174" spans="1:24" hidden="1">
      <c r="A174" s="25"/>
      <c r="B174" s="1140" t="s">
        <v>1773</v>
      </c>
      <c r="C174" s="1140">
        <v>15239</v>
      </c>
      <c r="D174" s="23">
        <v>7591112026154</v>
      </c>
      <c r="E174" s="275" t="s">
        <v>1772</v>
      </c>
      <c r="F174" s="1140">
        <v>24</v>
      </c>
      <c r="G174" s="978">
        <v>19.8</v>
      </c>
      <c r="H174" s="978">
        <v>22.968</v>
      </c>
      <c r="I174" s="1164">
        <v>0.82500000000000007</v>
      </c>
      <c r="J174" s="900">
        <v>0.95699999999999996</v>
      </c>
      <c r="K174" s="978">
        <v>1.1810344827586208</v>
      </c>
      <c r="L174" s="978">
        <v>1.37</v>
      </c>
      <c r="M174" s="978">
        <v>0.3</v>
      </c>
      <c r="N174" s="1140" t="s">
        <v>2272</v>
      </c>
      <c r="O174" s="978">
        <v>2.0092735703245879E-2</v>
      </c>
      <c r="P174" s="978">
        <f t="shared" si="10"/>
        <v>1.6576506955177851E-2</v>
      </c>
      <c r="Q174" s="1164">
        <f t="shared" si="11"/>
        <v>0.84157650695517794</v>
      </c>
      <c r="R174" s="1140"/>
      <c r="S174" s="1140">
        <f t="shared" si="12"/>
        <v>0</v>
      </c>
      <c r="T174" s="269"/>
      <c r="U174" s="269">
        <f t="shared" si="13"/>
        <v>0</v>
      </c>
      <c r="V174" s="269"/>
      <c r="W174" s="269">
        <f t="shared" si="14"/>
        <v>0</v>
      </c>
      <c r="X174" s="1140"/>
    </row>
    <row r="175" spans="1:24">
      <c r="A175" s="25"/>
      <c r="B175" s="1140"/>
      <c r="C175" s="1140">
        <v>15240</v>
      </c>
      <c r="D175" s="23">
        <v>7591112026161</v>
      </c>
      <c r="E175" s="275" t="s">
        <v>1774</v>
      </c>
      <c r="F175" s="1140">
        <v>12</v>
      </c>
      <c r="G175" s="978">
        <v>20.53</v>
      </c>
      <c r="H175" s="978">
        <v>23.814799999999998</v>
      </c>
      <c r="I175" s="1164">
        <v>1.7108333333333334</v>
      </c>
      <c r="J175" s="900">
        <v>1.9845666666666666</v>
      </c>
      <c r="K175" s="978">
        <v>2.4482758620689657</v>
      </c>
      <c r="L175" s="978">
        <v>2.84</v>
      </c>
      <c r="M175" s="978">
        <v>0.3</v>
      </c>
      <c r="N175" s="1140" t="s">
        <v>2272</v>
      </c>
      <c r="O175" s="978">
        <v>1.9870839542970753E-2</v>
      </c>
      <c r="P175" s="978">
        <f t="shared" si="10"/>
        <v>3.3995694651432463E-2</v>
      </c>
      <c r="Q175" s="1164">
        <f t="shared" si="11"/>
        <v>1.7448290279847658</v>
      </c>
      <c r="R175" s="1140"/>
      <c r="S175" s="1140">
        <f t="shared" si="12"/>
        <v>0</v>
      </c>
      <c r="T175" s="269"/>
      <c r="U175" s="269">
        <f t="shared" si="13"/>
        <v>0</v>
      </c>
      <c r="V175" s="269"/>
      <c r="W175" s="269">
        <f t="shared" si="14"/>
        <v>0</v>
      </c>
      <c r="X175" s="1140"/>
    </row>
    <row r="176" spans="1:24" hidden="1">
      <c r="A176" s="25"/>
      <c r="B176" s="1140"/>
      <c r="C176" s="1140">
        <v>15243</v>
      </c>
      <c r="D176" s="23">
        <v>7591112026420</v>
      </c>
      <c r="E176" s="275" t="s">
        <v>4163</v>
      </c>
      <c r="F176" s="1140">
        <v>24</v>
      </c>
      <c r="G176" s="978">
        <v>19.8</v>
      </c>
      <c r="H176" s="978">
        <v>22.968</v>
      </c>
      <c r="I176" s="1164">
        <v>0.82500000000000007</v>
      </c>
      <c r="J176" s="900">
        <v>0.95699999999999996</v>
      </c>
      <c r="K176" s="978">
        <v>1.1810344827586208</v>
      </c>
      <c r="L176" s="978">
        <v>1.37</v>
      </c>
      <c r="M176" s="978">
        <v>0.3</v>
      </c>
      <c r="N176" s="1140" t="s">
        <v>2272</v>
      </c>
      <c r="O176" s="978">
        <v>2.0092735703245879E-2</v>
      </c>
      <c r="P176" s="978">
        <f t="shared" si="10"/>
        <v>1.6576506955177851E-2</v>
      </c>
      <c r="Q176" s="1164">
        <f t="shared" si="11"/>
        <v>0.84157650695517794</v>
      </c>
      <c r="R176" s="1140"/>
      <c r="S176" s="1140">
        <f t="shared" si="12"/>
        <v>0</v>
      </c>
      <c r="T176" s="269"/>
      <c r="U176" s="269">
        <f t="shared" si="13"/>
        <v>0</v>
      </c>
      <c r="V176" s="269"/>
      <c r="W176" s="269">
        <f t="shared" si="14"/>
        <v>0</v>
      </c>
      <c r="X176" s="1140"/>
    </row>
    <row r="177" spans="1:31">
      <c r="A177" s="25"/>
      <c r="B177" s="1140"/>
      <c r="C177" s="1140">
        <v>15244</v>
      </c>
      <c r="D177" s="23">
        <v>7591112026437</v>
      </c>
      <c r="E177" s="275" t="s">
        <v>1776</v>
      </c>
      <c r="F177" s="1140">
        <v>12</v>
      </c>
      <c r="G177" s="978">
        <v>20.53</v>
      </c>
      <c r="H177" s="978">
        <v>23.814799999999998</v>
      </c>
      <c r="I177" s="1164">
        <v>1.7108333333333334</v>
      </c>
      <c r="J177" s="900">
        <v>1.9845666666666666</v>
      </c>
      <c r="K177" s="978">
        <v>2.4482758620689657</v>
      </c>
      <c r="L177" s="978">
        <v>2.84</v>
      </c>
      <c r="M177" s="978">
        <v>0.3</v>
      </c>
      <c r="N177" s="1140" t="s">
        <v>2272</v>
      </c>
      <c r="O177" s="978">
        <v>1.9870839542970753E-2</v>
      </c>
      <c r="P177" s="978">
        <f t="shared" si="10"/>
        <v>3.3995694651432463E-2</v>
      </c>
      <c r="Q177" s="1164">
        <f t="shared" si="11"/>
        <v>1.7448290279847658</v>
      </c>
      <c r="R177" s="1140"/>
      <c r="S177" s="1140">
        <f t="shared" si="12"/>
        <v>0</v>
      </c>
      <c r="T177" s="269"/>
      <c r="U177" s="269">
        <f t="shared" si="13"/>
        <v>0</v>
      </c>
      <c r="V177" s="269"/>
      <c r="W177" s="269">
        <f t="shared" si="14"/>
        <v>0</v>
      </c>
      <c r="X177" s="1140"/>
      <c r="AC177" s="336"/>
      <c r="AE177" s="336"/>
    </row>
    <row r="178" spans="1:31" hidden="1">
      <c r="A178" s="25"/>
      <c r="B178" s="1140"/>
      <c r="C178" s="1140">
        <v>15245</v>
      </c>
      <c r="D178" s="23">
        <v>7591112026444</v>
      </c>
      <c r="E178" s="275" t="s">
        <v>1777</v>
      </c>
      <c r="F178" s="1140">
        <v>24</v>
      </c>
      <c r="G178" s="978">
        <v>19.8</v>
      </c>
      <c r="H178" s="978">
        <v>22.968</v>
      </c>
      <c r="I178" s="1164">
        <v>0.82500000000000007</v>
      </c>
      <c r="J178" s="900">
        <v>0.95699999999999996</v>
      </c>
      <c r="K178" s="978">
        <v>1.1810344827586208</v>
      </c>
      <c r="L178" s="978">
        <v>1.37</v>
      </c>
      <c r="M178" s="978">
        <v>0.3</v>
      </c>
      <c r="N178" s="1140" t="s">
        <v>2272</v>
      </c>
      <c r="O178" s="978">
        <v>2.0092735703245879E-2</v>
      </c>
      <c r="P178" s="978">
        <f t="shared" si="10"/>
        <v>1.6576506955177851E-2</v>
      </c>
      <c r="Q178" s="1164">
        <f t="shared" si="11"/>
        <v>0.84157650695517794</v>
      </c>
      <c r="R178" s="1140"/>
      <c r="S178" s="1140">
        <f t="shared" si="12"/>
        <v>0</v>
      </c>
      <c r="T178" s="269"/>
      <c r="U178" s="269">
        <f t="shared" si="13"/>
        <v>0</v>
      </c>
      <c r="V178" s="269"/>
      <c r="W178" s="269">
        <f t="shared" si="14"/>
        <v>0</v>
      </c>
      <c r="X178" s="1140"/>
      <c r="AC178" s="336"/>
      <c r="AE178" s="336"/>
    </row>
    <row r="179" spans="1:31">
      <c r="A179" s="25"/>
      <c r="B179" s="1140"/>
      <c r="C179" s="1140">
        <v>15246</v>
      </c>
      <c r="D179" s="23">
        <v>7591112026451</v>
      </c>
      <c r="E179" s="1431" t="s">
        <v>4164</v>
      </c>
      <c r="F179" s="573">
        <v>12</v>
      </c>
      <c r="G179" s="1432">
        <v>20.53</v>
      </c>
      <c r="H179" s="1432">
        <v>23.814799999999998</v>
      </c>
      <c r="I179" s="1432">
        <v>1.7108333333333334</v>
      </c>
      <c r="J179" s="1432">
        <v>1.9845666666666666</v>
      </c>
      <c r="K179" s="1432">
        <v>2.4482758620689657</v>
      </c>
      <c r="L179" s="1432">
        <v>2.84</v>
      </c>
      <c r="M179" s="1432">
        <v>0.3</v>
      </c>
      <c r="N179" s="573" t="s">
        <v>2272</v>
      </c>
      <c r="O179" s="1432">
        <v>1.9870839542970753E-2</v>
      </c>
      <c r="P179" s="1432">
        <f t="shared" si="10"/>
        <v>3.3995694651432463E-2</v>
      </c>
      <c r="Q179" s="1432">
        <f t="shared" si="11"/>
        <v>1.7448290279847658</v>
      </c>
      <c r="R179" s="1140"/>
      <c r="S179" s="1140">
        <f t="shared" si="12"/>
        <v>0</v>
      </c>
      <c r="T179" s="269"/>
      <c r="U179" s="269">
        <f t="shared" si="13"/>
        <v>0</v>
      </c>
      <c r="V179" s="269"/>
      <c r="W179" s="269">
        <f t="shared" si="14"/>
        <v>0</v>
      </c>
      <c r="X179" s="1140"/>
      <c r="AC179" s="336"/>
      <c r="AE179" s="336"/>
    </row>
    <row r="180" spans="1:31" hidden="1">
      <c r="A180" s="25"/>
      <c r="B180" s="1140"/>
      <c r="C180" s="1140">
        <v>15251</v>
      </c>
      <c r="D180" s="23">
        <v>7591112067027</v>
      </c>
      <c r="E180" s="275" t="s">
        <v>4165</v>
      </c>
      <c r="F180" s="1140">
        <v>12</v>
      </c>
      <c r="G180" s="978">
        <v>22.6</v>
      </c>
      <c r="H180" s="978">
        <v>26.216000000000001</v>
      </c>
      <c r="I180" s="1164">
        <v>1.8833333333333335</v>
      </c>
      <c r="J180" s="900">
        <v>2.1846666666666668</v>
      </c>
      <c r="K180" s="978">
        <v>2.6896551724137936</v>
      </c>
      <c r="L180" s="978">
        <v>3.12</v>
      </c>
      <c r="M180" s="978">
        <v>0.3</v>
      </c>
      <c r="N180" s="1140" t="s">
        <v>2272</v>
      </c>
      <c r="O180" s="978">
        <v>1.9855595667870096E-2</v>
      </c>
      <c r="P180" s="978">
        <f t="shared" si="10"/>
        <v>3.7394705174488688E-2</v>
      </c>
      <c r="Q180" s="1164">
        <f t="shared" si="11"/>
        <v>1.9207280385078223</v>
      </c>
      <c r="R180" s="1140"/>
      <c r="S180" s="1140">
        <f t="shared" si="12"/>
        <v>0</v>
      </c>
      <c r="T180" s="269"/>
      <c r="U180" s="269">
        <f t="shared" si="13"/>
        <v>0</v>
      </c>
      <c r="V180" s="269"/>
      <c r="W180" s="269">
        <f t="shared" si="14"/>
        <v>0</v>
      </c>
      <c r="X180" s="1140"/>
      <c r="AC180" s="336"/>
      <c r="AE180" s="336"/>
    </row>
    <row r="181" spans="1:31" ht="15.75" hidden="1" customHeight="1">
      <c r="A181" s="25"/>
      <c r="B181" s="1140"/>
      <c r="C181" s="1140">
        <v>15252</v>
      </c>
      <c r="D181" s="23">
        <v>7591112067034</v>
      </c>
      <c r="E181" s="275" t="s">
        <v>4166</v>
      </c>
      <c r="F181" s="1140">
        <v>12</v>
      </c>
      <c r="G181" s="978">
        <v>22.6</v>
      </c>
      <c r="H181" s="978">
        <v>26.216000000000001</v>
      </c>
      <c r="I181" s="1164">
        <v>1.8833333333333335</v>
      </c>
      <c r="J181" s="900">
        <v>2.1846666666666668</v>
      </c>
      <c r="K181" s="978">
        <v>2.6896551724137936</v>
      </c>
      <c r="L181" s="978">
        <v>3.12</v>
      </c>
      <c r="M181" s="978">
        <v>0.3</v>
      </c>
      <c r="N181" s="1140" t="s">
        <v>2272</v>
      </c>
      <c r="O181" s="978">
        <v>1.9855595667870096E-2</v>
      </c>
      <c r="P181" s="978">
        <f t="shared" si="10"/>
        <v>3.7394705174488688E-2</v>
      </c>
      <c r="Q181" s="1164">
        <f t="shared" si="11"/>
        <v>1.9207280385078223</v>
      </c>
      <c r="R181" s="1140"/>
      <c r="S181" s="1140">
        <f t="shared" si="12"/>
        <v>0</v>
      </c>
      <c r="T181" s="269"/>
      <c r="U181" s="269">
        <f t="shared" si="13"/>
        <v>0</v>
      </c>
      <c r="V181" s="269"/>
      <c r="W181" s="269">
        <f t="shared" si="14"/>
        <v>0</v>
      </c>
      <c r="X181" s="1140"/>
      <c r="AC181" s="336"/>
      <c r="AE181" s="336"/>
    </row>
    <row r="182" spans="1:31">
      <c r="A182" s="25"/>
      <c r="B182" s="1140" t="s">
        <v>1780</v>
      </c>
      <c r="C182" s="1140">
        <v>15253</v>
      </c>
      <c r="D182" s="23">
        <v>75916145</v>
      </c>
      <c r="E182" s="275" t="s">
        <v>1781</v>
      </c>
      <c r="F182" s="1140">
        <v>24</v>
      </c>
      <c r="G182" s="978">
        <v>14.63</v>
      </c>
      <c r="H182" s="978">
        <v>16.970800000000001</v>
      </c>
      <c r="I182" s="1164">
        <v>0.60958333333333337</v>
      </c>
      <c r="J182" s="900">
        <v>0.70711666666666673</v>
      </c>
      <c r="K182" s="978">
        <v>0.87068965517241381</v>
      </c>
      <c r="L182" s="978">
        <v>1.01</v>
      </c>
      <c r="M182" s="978">
        <v>0.3</v>
      </c>
      <c r="N182" s="1140" t="s">
        <v>2272</v>
      </c>
      <c r="O182" s="978">
        <v>2.0223152022315283E-2</v>
      </c>
      <c r="P182" s="978">
        <f t="shared" si="10"/>
        <v>1.2327696420269691E-2</v>
      </c>
      <c r="Q182" s="1164">
        <f t="shared" si="11"/>
        <v>0.62191102975360302</v>
      </c>
      <c r="R182" s="1140"/>
      <c r="S182" s="1140">
        <f t="shared" si="12"/>
        <v>0</v>
      </c>
      <c r="T182" s="269"/>
      <c r="U182" s="269">
        <f t="shared" si="13"/>
        <v>0</v>
      </c>
      <c r="V182" s="269"/>
      <c r="W182" s="269">
        <f t="shared" si="14"/>
        <v>0</v>
      </c>
      <c r="X182" s="1140"/>
      <c r="AC182" s="336"/>
      <c r="AE182" s="336"/>
    </row>
    <row r="183" spans="1:31">
      <c r="A183" s="25"/>
      <c r="B183" s="1140"/>
      <c r="C183" s="1140">
        <v>15255</v>
      </c>
      <c r="D183" s="23">
        <v>75916169</v>
      </c>
      <c r="E183" s="275" t="s">
        <v>1782</v>
      </c>
      <c r="F183" s="1140">
        <v>24</v>
      </c>
      <c r="G183" s="978">
        <v>17.57</v>
      </c>
      <c r="H183" s="978">
        <v>20.3812</v>
      </c>
      <c r="I183" s="1164">
        <v>0.73208333333333331</v>
      </c>
      <c r="J183" s="900">
        <v>0.84921666666666662</v>
      </c>
      <c r="K183" s="978">
        <v>1.0431034482758621</v>
      </c>
      <c r="L183" s="978">
        <v>1.21</v>
      </c>
      <c r="M183" s="978">
        <v>0.3</v>
      </c>
      <c r="N183" s="1140" t="s">
        <v>2272</v>
      </c>
      <c r="O183" s="978">
        <v>1.9733023795705185E-2</v>
      </c>
      <c r="P183" s="978">
        <f t="shared" si="10"/>
        <v>1.4446217837105837E-2</v>
      </c>
      <c r="Q183" s="1164">
        <f t="shared" si="11"/>
        <v>0.74652955117043918</v>
      </c>
      <c r="R183" s="1140"/>
      <c r="S183" s="1140">
        <f t="shared" si="12"/>
        <v>0</v>
      </c>
      <c r="T183" s="269"/>
      <c r="U183" s="269">
        <f t="shared" si="13"/>
        <v>0</v>
      </c>
      <c r="V183" s="269"/>
      <c r="W183" s="269">
        <f t="shared" si="14"/>
        <v>0</v>
      </c>
      <c r="X183" s="1140"/>
    </row>
    <row r="184" spans="1:31">
      <c r="A184" s="25"/>
      <c r="B184" s="1140"/>
      <c r="C184" s="1140">
        <v>15254</v>
      </c>
      <c r="D184" s="23">
        <v>75916152</v>
      </c>
      <c r="E184" s="1431" t="s">
        <v>1783</v>
      </c>
      <c r="F184" s="573">
        <v>24</v>
      </c>
      <c r="G184" s="1432">
        <v>17.57</v>
      </c>
      <c r="H184" s="1432">
        <v>20.3812</v>
      </c>
      <c r="I184" s="1432">
        <v>0.73208333333333331</v>
      </c>
      <c r="J184" s="1432">
        <v>0.84921666666666662</v>
      </c>
      <c r="K184" s="1432">
        <v>1.0431034482758621</v>
      </c>
      <c r="L184" s="1432">
        <v>1.21</v>
      </c>
      <c r="M184" s="1432">
        <v>0.3</v>
      </c>
      <c r="N184" s="573" t="s">
        <v>2272</v>
      </c>
      <c r="O184" s="1432">
        <v>1.9733023795705185E-2</v>
      </c>
      <c r="P184" s="1432">
        <f t="shared" si="10"/>
        <v>1.4446217837105837E-2</v>
      </c>
      <c r="Q184" s="1432">
        <f t="shared" si="11"/>
        <v>0.74652955117043918</v>
      </c>
      <c r="R184" s="1140"/>
      <c r="S184" s="1140">
        <f t="shared" si="12"/>
        <v>0</v>
      </c>
      <c r="T184" s="269"/>
      <c r="U184" s="269">
        <f t="shared" si="13"/>
        <v>0</v>
      </c>
      <c r="V184" s="269"/>
      <c r="W184" s="269">
        <f t="shared" si="14"/>
        <v>0</v>
      </c>
      <c r="X184" s="1140"/>
    </row>
    <row r="185" spans="1:31">
      <c r="A185" s="25"/>
      <c r="B185" s="1140" t="s">
        <v>4167</v>
      </c>
      <c r="C185" s="1140">
        <v>15249</v>
      </c>
      <c r="D185" s="23">
        <v>7591112028042</v>
      </c>
      <c r="E185" s="275" t="s">
        <v>1785</v>
      </c>
      <c r="F185" s="1140">
        <v>12</v>
      </c>
      <c r="G185" s="978">
        <v>20.53</v>
      </c>
      <c r="H185" s="978">
        <v>23.814799999999998</v>
      </c>
      <c r="I185" s="1164">
        <v>1.7108333333333334</v>
      </c>
      <c r="J185" s="900">
        <v>1.9845666666666666</v>
      </c>
      <c r="K185" s="978">
        <v>2.4482758620689657</v>
      </c>
      <c r="L185" s="978">
        <v>2.84</v>
      </c>
      <c r="M185" s="978">
        <v>0.3</v>
      </c>
      <c r="N185" s="1140" t="s">
        <v>2272</v>
      </c>
      <c r="O185" s="978">
        <v>1.9870839542970753E-2</v>
      </c>
      <c r="P185" s="978">
        <f t="shared" si="10"/>
        <v>3.3995694651432463E-2</v>
      </c>
      <c r="Q185" s="1164">
        <f t="shared" si="11"/>
        <v>1.7448290279847658</v>
      </c>
      <c r="R185" s="1140"/>
      <c r="S185" s="1140">
        <f t="shared" si="12"/>
        <v>0</v>
      </c>
      <c r="T185" s="269"/>
      <c r="U185" s="269">
        <f t="shared" si="13"/>
        <v>0</v>
      </c>
      <c r="V185" s="269"/>
      <c r="W185" s="269">
        <f t="shared" si="14"/>
        <v>0</v>
      </c>
      <c r="X185" s="1140"/>
    </row>
    <row r="186" spans="1:31" hidden="1">
      <c r="A186" s="25"/>
      <c r="B186" s="1140" t="s">
        <v>4168</v>
      </c>
      <c r="C186" s="1140">
        <v>15753</v>
      </c>
      <c r="D186" s="23">
        <v>7591112462150</v>
      </c>
      <c r="E186" s="275" t="s">
        <v>1787</v>
      </c>
      <c r="F186" s="1140">
        <v>24</v>
      </c>
      <c r="G186" s="978">
        <v>18.02</v>
      </c>
      <c r="H186" s="978">
        <v>20.903199999999998</v>
      </c>
      <c r="I186" s="1164">
        <v>0.75083333333333335</v>
      </c>
      <c r="J186" s="900">
        <v>0.87096666666666656</v>
      </c>
      <c r="K186" s="978">
        <v>1.0689655172413794</v>
      </c>
      <c r="L186" s="978">
        <v>1.24</v>
      </c>
      <c r="M186" s="978">
        <v>0.3</v>
      </c>
      <c r="N186" s="1140" t="s">
        <v>2272</v>
      </c>
      <c r="O186" s="978">
        <v>1.9807583474815926E-2</v>
      </c>
      <c r="P186" s="978">
        <f t="shared" si="10"/>
        <v>1.4872193925674291E-2</v>
      </c>
      <c r="Q186" s="1164">
        <f t="shared" si="11"/>
        <v>0.76570552725900765</v>
      </c>
      <c r="R186" s="1140"/>
      <c r="S186" s="1140">
        <f t="shared" si="12"/>
        <v>0</v>
      </c>
      <c r="T186" s="269"/>
      <c r="U186" s="269">
        <f t="shared" si="13"/>
        <v>0</v>
      </c>
      <c r="V186" s="269"/>
      <c r="W186" s="269">
        <f t="shared" si="14"/>
        <v>0</v>
      </c>
      <c r="X186" s="1140"/>
    </row>
    <row r="187" spans="1:31" hidden="1">
      <c r="A187" s="25"/>
      <c r="B187" s="1140"/>
      <c r="C187" s="1140">
        <v>15754</v>
      </c>
      <c r="D187" s="23">
        <v>7591112462112</v>
      </c>
      <c r="E187" s="275" t="s">
        <v>1788</v>
      </c>
      <c r="F187" s="1140">
        <v>12</v>
      </c>
      <c r="G187" s="978">
        <v>18.46</v>
      </c>
      <c r="H187" s="978">
        <v>21.413599999999999</v>
      </c>
      <c r="I187" s="1164">
        <v>1.5383333333333333</v>
      </c>
      <c r="J187" s="900">
        <v>1.7844666666666666</v>
      </c>
      <c r="K187" s="978">
        <v>2.1982758620689653</v>
      </c>
      <c r="L187" s="978">
        <v>2.5499999999999998</v>
      </c>
      <c r="M187" s="978">
        <v>0.3</v>
      </c>
      <c r="N187" s="1140" t="s">
        <v>2272</v>
      </c>
      <c r="O187" s="978">
        <v>1.9889502762430844E-2</v>
      </c>
      <c r="P187" s="978">
        <f t="shared" si="10"/>
        <v>3.059668508287278E-2</v>
      </c>
      <c r="Q187" s="1164">
        <f t="shared" si="11"/>
        <v>1.5689300184162061</v>
      </c>
      <c r="R187" s="1140"/>
      <c r="S187" s="1140">
        <f t="shared" si="12"/>
        <v>0</v>
      </c>
      <c r="T187" s="269"/>
      <c r="U187" s="269">
        <f t="shared" si="13"/>
        <v>0</v>
      </c>
      <c r="V187" s="269"/>
      <c r="W187" s="269">
        <f t="shared" si="14"/>
        <v>0</v>
      </c>
      <c r="X187" s="1140"/>
    </row>
    <row r="188" spans="1:31">
      <c r="A188" s="25"/>
      <c r="B188" s="1140" t="s">
        <v>4169</v>
      </c>
      <c r="C188" s="1140">
        <v>15736</v>
      </c>
      <c r="D188" s="23">
        <v>7591112462020</v>
      </c>
      <c r="E188" s="275" t="s">
        <v>3331</v>
      </c>
      <c r="F188" s="1140">
        <v>12</v>
      </c>
      <c r="G188" s="978">
        <v>19.5</v>
      </c>
      <c r="H188" s="978">
        <v>22.619999999999997</v>
      </c>
      <c r="I188" s="1164">
        <v>1.625</v>
      </c>
      <c r="J188" s="900">
        <v>1.8849999999999998</v>
      </c>
      <c r="K188" s="978">
        <v>2.3189655172413794</v>
      </c>
      <c r="L188" s="978">
        <v>2.69</v>
      </c>
      <c r="M188" s="978">
        <v>0.3</v>
      </c>
      <c r="N188" s="1140" t="s">
        <v>2272</v>
      </c>
      <c r="O188" s="978">
        <v>1.9874476987447709E-2</v>
      </c>
      <c r="P188" s="978">
        <f t="shared" si="10"/>
        <v>3.2296025104602527E-2</v>
      </c>
      <c r="Q188" s="1164">
        <f t="shared" si="11"/>
        <v>1.6572960251046025</v>
      </c>
      <c r="R188" s="1140"/>
      <c r="S188" s="1140">
        <f t="shared" si="12"/>
        <v>0</v>
      </c>
      <c r="T188" s="269"/>
      <c r="U188" s="269">
        <f t="shared" si="13"/>
        <v>0</v>
      </c>
      <c r="V188" s="269"/>
      <c r="W188" s="269">
        <f t="shared" si="14"/>
        <v>0</v>
      </c>
      <c r="X188" s="1140"/>
    </row>
    <row r="189" spans="1:31" hidden="1">
      <c r="A189" s="25"/>
      <c r="B189" s="1140" t="s">
        <v>4170</v>
      </c>
      <c r="C189" s="1140">
        <v>15218</v>
      </c>
      <c r="D189" s="23">
        <v>7591112021852</v>
      </c>
      <c r="E189" s="275" t="s">
        <v>4171</v>
      </c>
      <c r="F189" s="1140">
        <v>24</v>
      </c>
      <c r="G189" s="978">
        <v>20.83</v>
      </c>
      <c r="H189" s="978">
        <v>24.162799999999997</v>
      </c>
      <c r="I189" s="1164">
        <v>0.86791666666666656</v>
      </c>
      <c r="J189" s="900">
        <v>1.0067833333333331</v>
      </c>
      <c r="K189" s="978">
        <v>1.2413793103448276</v>
      </c>
      <c r="L189" s="978">
        <v>1.44</v>
      </c>
      <c r="M189" s="978">
        <v>0.3</v>
      </c>
      <c r="N189" s="1140" t="s">
        <v>2272</v>
      </c>
      <c r="O189" s="978">
        <v>2.0078354554358357E-2</v>
      </c>
      <c r="P189" s="978">
        <f t="shared" si="10"/>
        <v>1.7426338556970188E-2</v>
      </c>
      <c r="Q189" s="1164">
        <f t="shared" si="11"/>
        <v>0.88534300522363674</v>
      </c>
      <c r="R189" s="1140"/>
      <c r="S189" s="1140">
        <f t="shared" si="12"/>
        <v>0</v>
      </c>
      <c r="T189" s="269"/>
      <c r="U189" s="269">
        <f t="shared" si="13"/>
        <v>0</v>
      </c>
      <c r="V189" s="269"/>
      <c r="W189" s="269">
        <f t="shared" si="14"/>
        <v>0</v>
      </c>
      <c r="X189" s="1140"/>
    </row>
    <row r="190" spans="1:31" hidden="1">
      <c r="A190" s="25"/>
      <c r="B190" s="1140"/>
      <c r="C190" s="1140">
        <v>15217</v>
      </c>
      <c r="D190" s="23">
        <v>7591112021845</v>
      </c>
      <c r="E190" s="275" t="s">
        <v>3330</v>
      </c>
      <c r="F190" s="1140">
        <v>12</v>
      </c>
      <c r="G190" s="978">
        <v>21.64</v>
      </c>
      <c r="H190" s="978">
        <v>25.102399999999999</v>
      </c>
      <c r="I190" s="1164">
        <v>1.8033333333333335</v>
      </c>
      <c r="J190" s="900">
        <v>2.0918666666666668</v>
      </c>
      <c r="K190" s="978">
        <v>2.577586206896552</v>
      </c>
      <c r="L190" s="978">
        <v>2.99</v>
      </c>
      <c r="M190" s="978">
        <v>0.3</v>
      </c>
      <c r="N190" s="1140" t="s">
        <v>2272</v>
      </c>
      <c r="O190" s="978">
        <v>1.9792648444863392E-2</v>
      </c>
      <c r="P190" s="978">
        <f t="shared" si="10"/>
        <v>3.5692742695570316E-2</v>
      </c>
      <c r="Q190" s="1164">
        <f t="shared" si="11"/>
        <v>1.8390260760289037</v>
      </c>
      <c r="R190" s="1140"/>
      <c r="S190" s="1140">
        <f t="shared" si="12"/>
        <v>0</v>
      </c>
      <c r="T190" s="269"/>
      <c r="U190" s="269">
        <f t="shared" si="13"/>
        <v>0</v>
      </c>
      <c r="V190" s="269"/>
      <c r="W190" s="269">
        <f t="shared" si="14"/>
        <v>0</v>
      </c>
      <c r="X190" s="1140"/>
    </row>
    <row r="191" spans="1:31">
      <c r="A191" s="25"/>
      <c r="B191" s="1140" t="s">
        <v>4172</v>
      </c>
      <c r="C191" s="1140">
        <v>15219</v>
      </c>
      <c r="D191" s="23">
        <v>7591112022675</v>
      </c>
      <c r="E191" s="275" t="s">
        <v>4173</v>
      </c>
      <c r="F191" s="1140">
        <v>24</v>
      </c>
      <c r="G191" s="978">
        <v>29.55</v>
      </c>
      <c r="H191" s="978">
        <v>34.277999999999999</v>
      </c>
      <c r="I191" s="1164">
        <v>1.23125</v>
      </c>
      <c r="J191" s="900">
        <v>1.42825</v>
      </c>
      <c r="K191" s="978">
        <v>1.7586206896551726</v>
      </c>
      <c r="L191" s="978">
        <v>2.04</v>
      </c>
      <c r="M191" s="978">
        <v>0.3</v>
      </c>
      <c r="N191" s="1140" t="s">
        <v>2272</v>
      </c>
      <c r="O191" s="978">
        <v>2.0020711080428022E-2</v>
      </c>
      <c r="P191" s="978">
        <f t="shared" si="10"/>
        <v>2.4650500517777001E-2</v>
      </c>
      <c r="Q191" s="1164">
        <f t="shared" si="11"/>
        <v>1.255900500517777</v>
      </c>
      <c r="R191" s="1140"/>
      <c r="S191" s="1140">
        <f t="shared" si="12"/>
        <v>0</v>
      </c>
      <c r="T191" s="269"/>
      <c r="U191" s="269">
        <f t="shared" si="13"/>
        <v>0</v>
      </c>
      <c r="V191" s="269"/>
      <c r="W191" s="269">
        <f t="shared" si="14"/>
        <v>0</v>
      </c>
      <c r="X191" s="1140"/>
    </row>
    <row r="192" spans="1:31">
      <c r="A192" s="25"/>
      <c r="B192" s="1140"/>
      <c r="C192" s="1140">
        <v>15220</v>
      </c>
      <c r="D192" s="23">
        <v>7591112022682</v>
      </c>
      <c r="E192" s="275" t="s">
        <v>4174</v>
      </c>
      <c r="F192" s="1140">
        <v>12</v>
      </c>
      <c r="G192" s="978">
        <v>30.88</v>
      </c>
      <c r="H192" s="978">
        <v>35.820799999999998</v>
      </c>
      <c r="I192" s="1164">
        <v>2.5733333333333333</v>
      </c>
      <c r="J192" s="900">
        <v>2.9850666666666665</v>
      </c>
      <c r="K192" s="978">
        <v>3.6724137931034484</v>
      </c>
      <c r="L192" s="978">
        <v>4.26</v>
      </c>
      <c r="M192" s="978">
        <v>0.3</v>
      </c>
      <c r="N192" s="1140" t="s">
        <v>2272</v>
      </c>
      <c r="O192" s="978">
        <v>2.0151965642550396E-2</v>
      </c>
      <c r="P192" s="978">
        <f t="shared" si="10"/>
        <v>5.1857724920163016E-2</v>
      </c>
      <c r="Q192" s="1164">
        <f t="shared" si="11"/>
        <v>2.6251910582534963</v>
      </c>
      <c r="R192" s="1140"/>
      <c r="S192" s="1140">
        <f t="shared" si="12"/>
        <v>0</v>
      </c>
      <c r="T192" s="269"/>
      <c r="U192" s="269">
        <f t="shared" si="13"/>
        <v>0</v>
      </c>
      <c r="V192" s="269"/>
      <c r="W192" s="269">
        <f t="shared" si="14"/>
        <v>0</v>
      </c>
      <c r="X192" s="1140"/>
    </row>
    <row r="193" spans="1:31">
      <c r="A193" s="25"/>
      <c r="B193" s="1140"/>
      <c r="C193" s="1140">
        <v>15229</v>
      </c>
      <c r="D193" s="23">
        <v>7591112048019</v>
      </c>
      <c r="E193" s="275" t="s">
        <v>4175</v>
      </c>
      <c r="F193" s="1140">
        <v>24</v>
      </c>
      <c r="G193" s="978">
        <v>26.59</v>
      </c>
      <c r="H193" s="978">
        <v>30.844399999999997</v>
      </c>
      <c r="I193" s="1164">
        <v>1.1079166666666667</v>
      </c>
      <c r="J193" s="900">
        <v>1.2851833333333331</v>
      </c>
      <c r="K193" s="978">
        <v>1.5862068965517244</v>
      </c>
      <c r="L193" s="978">
        <v>1.84</v>
      </c>
      <c r="M193" s="978">
        <v>0.3</v>
      </c>
      <c r="N193" s="1140" t="s">
        <v>2272</v>
      </c>
      <c r="O193" s="978">
        <v>1.9946298427311104E-2</v>
      </c>
      <c r="P193" s="978">
        <f t="shared" si="10"/>
        <v>2.2098836465925094E-2</v>
      </c>
      <c r="Q193" s="1164">
        <f t="shared" si="11"/>
        <v>1.1300155031325918</v>
      </c>
      <c r="R193" s="1140"/>
      <c r="S193" s="1140">
        <f t="shared" si="12"/>
        <v>0</v>
      </c>
      <c r="T193" s="269"/>
      <c r="U193" s="269">
        <f t="shared" si="13"/>
        <v>0</v>
      </c>
      <c r="V193" s="269"/>
      <c r="W193" s="269">
        <f t="shared" si="14"/>
        <v>0</v>
      </c>
      <c r="X193" s="1140"/>
    </row>
    <row r="194" spans="1:31">
      <c r="A194" s="25"/>
      <c r="B194" s="1140"/>
      <c r="C194" s="1140">
        <v>15230</v>
      </c>
      <c r="D194" s="23">
        <v>7591112048026</v>
      </c>
      <c r="E194" s="275" t="s">
        <v>4176</v>
      </c>
      <c r="F194" s="1140">
        <v>12</v>
      </c>
      <c r="G194" s="978">
        <v>27.77</v>
      </c>
      <c r="H194" s="978">
        <v>32.213200000000001</v>
      </c>
      <c r="I194" s="1164">
        <v>2.3141666666666665</v>
      </c>
      <c r="J194" s="900">
        <v>2.6844333333333332</v>
      </c>
      <c r="K194" s="978">
        <v>3.3103448275862069</v>
      </c>
      <c r="L194" s="978">
        <v>3.84</v>
      </c>
      <c r="M194" s="978">
        <v>0.3</v>
      </c>
      <c r="N194" s="1140" t="s">
        <v>2272</v>
      </c>
      <c r="O194" s="978">
        <v>1.9831068674256214E-2</v>
      </c>
      <c r="P194" s="978">
        <f t="shared" si="10"/>
        <v>4.5892398090341249E-2</v>
      </c>
      <c r="Q194" s="1164">
        <f t="shared" si="11"/>
        <v>2.3600590647570079</v>
      </c>
      <c r="R194" s="1140"/>
      <c r="S194" s="1140">
        <f t="shared" si="12"/>
        <v>0</v>
      </c>
      <c r="T194" s="269"/>
      <c r="U194" s="269">
        <f t="shared" si="13"/>
        <v>0</v>
      </c>
      <c r="V194" s="269"/>
      <c r="W194" s="269">
        <f t="shared" si="14"/>
        <v>0</v>
      </c>
      <c r="X194" s="1140"/>
      <c r="AE194" s="827"/>
    </row>
    <row r="195" spans="1:31">
      <c r="A195" s="25"/>
      <c r="B195" s="1140" t="s">
        <v>4177</v>
      </c>
      <c r="C195" s="1140">
        <v>15156</v>
      </c>
      <c r="D195" s="23">
        <v>75916084</v>
      </c>
      <c r="E195" s="275" t="s">
        <v>1798</v>
      </c>
      <c r="F195" s="1140">
        <v>24</v>
      </c>
      <c r="G195" s="978">
        <v>11.64</v>
      </c>
      <c r="H195" s="978">
        <v>13.5024</v>
      </c>
      <c r="I195" s="1164">
        <v>0.48500000000000004</v>
      </c>
      <c r="J195" s="900">
        <v>0.56259999999999999</v>
      </c>
      <c r="K195" s="978">
        <v>0.68965517241379315</v>
      </c>
      <c r="L195" s="978">
        <v>0.8</v>
      </c>
      <c r="M195" s="978">
        <v>0.3</v>
      </c>
      <c r="N195" s="1140" t="s">
        <v>2272</v>
      </c>
      <c r="O195" s="978">
        <v>3.0088495575221197E-2</v>
      </c>
      <c r="P195" s="978">
        <f t="shared" ref="P195:P243" si="15">+I195*O195</f>
        <v>1.4592920353982282E-2</v>
      </c>
      <c r="Q195" s="1164">
        <f t="shared" ref="Q195:Q243" si="16">+I195+P195</f>
        <v>0.49959292035398234</v>
      </c>
      <c r="R195" s="1140"/>
      <c r="S195" s="1140">
        <f t="shared" ref="S195:S243" si="17">+G195*R195</f>
        <v>0</v>
      </c>
      <c r="T195" s="269"/>
      <c r="U195" s="269">
        <f t="shared" si="13"/>
        <v>0</v>
      </c>
      <c r="V195" s="269"/>
      <c r="W195" s="269">
        <f t="shared" si="14"/>
        <v>0</v>
      </c>
      <c r="X195" s="1140"/>
    </row>
    <row r="196" spans="1:31" hidden="1">
      <c r="A196" s="25"/>
      <c r="B196" s="1140"/>
      <c r="C196" s="1140">
        <v>15761</v>
      </c>
      <c r="D196" s="23">
        <v>759111000017</v>
      </c>
      <c r="E196" s="275" t="s">
        <v>4178</v>
      </c>
      <c r="F196" s="1140">
        <v>24</v>
      </c>
      <c r="G196" s="978">
        <v>14.47</v>
      </c>
      <c r="H196" s="978">
        <v>16.7852</v>
      </c>
      <c r="I196" s="1164">
        <v>0.60291666666666666</v>
      </c>
      <c r="J196" s="900">
        <v>0.69938333333333336</v>
      </c>
      <c r="K196" s="978">
        <v>0.86206896551724144</v>
      </c>
      <c r="L196" s="978">
        <v>1</v>
      </c>
      <c r="M196" s="978">
        <v>0.3</v>
      </c>
      <c r="N196" s="1140" t="s">
        <v>2272</v>
      </c>
      <c r="O196" s="978">
        <v>2.9893238434163694E-2</v>
      </c>
      <c r="P196" s="978">
        <f t="shared" si="15"/>
        <v>1.8023131672597861E-2</v>
      </c>
      <c r="Q196" s="1164">
        <f t="shared" si="16"/>
        <v>0.62093979833926449</v>
      </c>
      <c r="R196" s="1140"/>
      <c r="S196" s="1140">
        <f t="shared" si="17"/>
        <v>0</v>
      </c>
      <c r="T196" s="269"/>
      <c r="U196" s="269">
        <f t="shared" ref="U196:U243" si="18">+T196/F196</f>
        <v>0</v>
      </c>
      <c r="V196" s="269"/>
      <c r="W196" s="269">
        <f t="shared" ref="W196:W243" si="19">+V196/F196</f>
        <v>0</v>
      </c>
      <c r="X196" s="1140"/>
    </row>
    <row r="197" spans="1:31">
      <c r="A197" s="25"/>
      <c r="B197" s="1140"/>
      <c r="C197" s="1140">
        <v>15157</v>
      </c>
      <c r="D197" s="23">
        <v>75916091</v>
      </c>
      <c r="E197" s="275" t="s">
        <v>1800</v>
      </c>
      <c r="F197" s="1140">
        <v>24</v>
      </c>
      <c r="G197" s="978">
        <v>11.64</v>
      </c>
      <c r="H197" s="978">
        <v>13.5024</v>
      </c>
      <c r="I197" s="1164">
        <v>0.48500000000000004</v>
      </c>
      <c r="J197" s="900">
        <v>0.56259999999999999</v>
      </c>
      <c r="K197" s="978">
        <v>0.68965517241379315</v>
      </c>
      <c r="L197" s="978">
        <v>0.8</v>
      </c>
      <c r="M197" s="978">
        <v>0.3</v>
      </c>
      <c r="N197" s="1140" t="s">
        <v>2272</v>
      </c>
      <c r="O197" s="978">
        <v>3.0088495575221197E-2</v>
      </c>
      <c r="P197" s="978">
        <f t="shared" si="15"/>
        <v>1.4592920353982282E-2</v>
      </c>
      <c r="Q197" s="1164">
        <f t="shared" si="16"/>
        <v>0.49959292035398234</v>
      </c>
      <c r="R197" s="1140"/>
      <c r="S197" s="1140">
        <f t="shared" si="17"/>
        <v>0</v>
      </c>
      <c r="T197" s="269"/>
      <c r="U197" s="269">
        <f t="shared" si="18"/>
        <v>0</v>
      </c>
      <c r="V197" s="269"/>
      <c r="W197" s="269">
        <f t="shared" si="19"/>
        <v>0</v>
      </c>
      <c r="X197" s="1140"/>
    </row>
    <row r="198" spans="1:31" ht="14.25" hidden="1" customHeight="1">
      <c r="A198" s="25"/>
      <c r="B198" s="1140"/>
      <c r="C198" s="1140">
        <v>15760</v>
      </c>
      <c r="D198" s="23">
        <v>759111000024</v>
      </c>
      <c r="E198" s="275" t="s">
        <v>4179</v>
      </c>
      <c r="F198" s="1140">
        <v>24</v>
      </c>
      <c r="G198" s="978">
        <v>14.47</v>
      </c>
      <c r="H198" s="978">
        <v>16.7852</v>
      </c>
      <c r="I198" s="1164">
        <v>0.60291666666666666</v>
      </c>
      <c r="J198" s="900">
        <v>0.69938333333333336</v>
      </c>
      <c r="K198" s="978">
        <v>0.86206896551724144</v>
      </c>
      <c r="L198" s="978">
        <v>1</v>
      </c>
      <c r="M198" s="978">
        <v>0.3</v>
      </c>
      <c r="N198" s="1140" t="s">
        <v>2272</v>
      </c>
      <c r="O198" s="978">
        <v>2.9893238434163694E-2</v>
      </c>
      <c r="P198" s="978">
        <f t="shared" si="15"/>
        <v>1.8023131672597861E-2</v>
      </c>
      <c r="Q198" s="1164">
        <f t="shared" si="16"/>
        <v>0.62093979833926449</v>
      </c>
      <c r="R198" s="1140"/>
      <c r="S198" s="1140">
        <f t="shared" si="17"/>
        <v>0</v>
      </c>
      <c r="T198" s="269"/>
      <c r="U198" s="269">
        <f t="shared" si="18"/>
        <v>0</v>
      </c>
      <c r="V198" s="269"/>
      <c r="W198" s="269">
        <f t="shared" si="19"/>
        <v>0</v>
      </c>
      <c r="X198" s="1140"/>
    </row>
    <row r="199" spans="1:31">
      <c r="A199" s="25"/>
      <c r="B199" s="1140"/>
      <c r="C199" s="1140">
        <v>15152</v>
      </c>
      <c r="D199" s="23">
        <v>75916053</v>
      </c>
      <c r="E199" s="275" t="s">
        <v>4180</v>
      </c>
      <c r="F199" s="1140">
        <v>24</v>
      </c>
      <c r="G199" s="978">
        <v>11.64</v>
      </c>
      <c r="H199" s="978">
        <v>13.5024</v>
      </c>
      <c r="I199" s="1164">
        <v>0.48500000000000004</v>
      </c>
      <c r="J199" s="900">
        <v>0.56259999999999999</v>
      </c>
      <c r="K199" s="978">
        <v>0.68965517241379315</v>
      </c>
      <c r="L199" s="978">
        <v>0.8</v>
      </c>
      <c r="M199" s="978">
        <v>0.3</v>
      </c>
      <c r="N199" s="1140" t="s">
        <v>2272</v>
      </c>
      <c r="O199" s="978">
        <v>3.0088495575221197E-2</v>
      </c>
      <c r="P199" s="978">
        <f t="shared" si="15"/>
        <v>1.4592920353982282E-2</v>
      </c>
      <c r="Q199" s="1164">
        <f t="shared" si="16"/>
        <v>0.49959292035398234</v>
      </c>
      <c r="R199" s="1140"/>
      <c r="S199" s="1140">
        <f t="shared" si="17"/>
        <v>0</v>
      </c>
      <c r="T199" s="269"/>
      <c r="U199" s="269">
        <f t="shared" si="18"/>
        <v>0</v>
      </c>
      <c r="V199" s="269"/>
      <c r="W199" s="269">
        <f t="shared" si="19"/>
        <v>0</v>
      </c>
      <c r="X199" s="1140"/>
    </row>
    <row r="200" spans="1:31" hidden="1">
      <c r="A200" s="25"/>
      <c r="B200" s="1140"/>
      <c r="C200" s="1140">
        <v>15765</v>
      </c>
      <c r="D200" s="23">
        <v>759111000062</v>
      </c>
      <c r="E200" s="275" t="s">
        <v>4181</v>
      </c>
      <c r="F200" s="1140">
        <v>24</v>
      </c>
      <c r="G200" s="978">
        <v>14.47</v>
      </c>
      <c r="H200" s="978">
        <v>16.7852</v>
      </c>
      <c r="I200" s="1164">
        <v>0.60291666666666666</v>
      </c>
      <c r="J200" s="900">
        <v>0.69938333333333336</v>
      </c>
      <c r="K200" s="978">
        <v>0.86206896551724144</v>
      </c>
      <c r="L200" s="978">
        <v>1</v>
      </c>
      <c r="M200" s="978">
        <v>0.3</v>
      </c>
      <c r="N200" s="1140" t="s">
        <v>2272</v>
      </c>
      <c r="O200" s="978">
        <v>2.9893238434163694E-2</v>
      </c>
      <c r="P200" s="978">
        <f t="shared" si="15"/>
        <v>1.8023131672597861E-2</v>
      </c>
      <c r="Q200" s="1164">
        <f t="shared" si="16"/>
        <v>0.62093979833926449</v>
      </c>
      <c r="R200" s="1140"/>
      <c r="S200" s="1140">
        <f t="shared" si="17"/>
        <v>0</v>
      </c>
      <c r="T200" s="269"/>
      <c r="U200" s="269">
        <f t="shared" si="18"/>
        <v>0</v>
      </c>
      <c r="V200" s="269"/>
      <c r="W200" s="269">
        <f t="shared" si="19"/>
        <v>0</v>
      </c>
      <c r="X200" s="1140"/>
    </row>
    <row r="201" spans="1:31" hidden="1">
      <c r="A201" s="25"/>
      <c r="B201" s="1140"/>
      <c r="C201" s="1140">
        <v>15158</v>
      </c>
      <c r="D201" s="23">
        <v>75916909</v>
      </c>
      <c r="E201" s="275" t="s">
        <v>1804</v>
      </c>
      <c r="F201" s="1140">
        <v>24</v>
      </c>
      <c r="G201" s="978">
        <v>11.64</v>
      </c>
      <c r="H201" s="978">
        <v>13.5024</v>
      </c>
      <c r="I201" s="1164">
        <v>0.48500000000000004</v>
      </c>
      <c r="J201" s="900">
        <v>0.56259999999999999</v>
      </c>
      <c r="K201" s="978">
        <v>0.68965517241379315</v>
      </c>
      <c r="L201" s="978">
        <v>0.8</v>
      </c>
      <c r="M201" s="978">
        <v>0.3</v>
      </c>
      <c r="N201" s="1140" t="s">
        <v>2272</v>
      </c>
      <c r="O201" s="978">
        <v>3.0088495575221197E-2</v>
      </c>
      <c r="P201" s="978">
        <f t="shared" si="15"/>
        <v>1.4592920353982282E-2</v>
      </c>
      <c r="Q201" s="1164">
        <f t="shared" si="16"/>
        <v>0.49959292035398234</v>
      </c>
      <c r="R201" s="1140"/>
      <c r="S201" s="1140">
        <f t="shared" si="17"/>
        <v>0</v>
      </c>
      <c r="T201" s="269"/>
      <c r="U201" s="269">
        <f t="shared" si="18"/>
        <v>0</v>
      </c>
      <c r="V201" s="269"/>
      <c r="W201" s="269">
        <f t="shared" si="19"/>
        <v>0</v>
      </c>
      <c r="X201" s="1140"/>
    </row>
    <row r="202" spans="1:31" hidden="1">
      <c r="A202" s="25"/>
      <c r="B202" s="1140"/>
      <c r="C202" s="1140">
        <v>15762</v>
      </c>
      <c r="D202" s="23">
        <v>759111000055</v>
      </c>
      <c r="E202" s="275" t="s">
        <v>1805</v>
      </c>
      <c r="F202" s="1140">
        <v>24</v>
      </c>
      <c r="G202" s="978">
        <v>14.47</v>
      </c>
      <c r="H202" s="978">
        <v>16.7852</v>
      </c>
      <c r="I202" s="1164">
        <v>0.60291666666666666</v>
      </c>
      <c r="J202" s="900">
        <v>0.69938333333333336</v>
      </c>
      <c r="K202" s="978">
        <v>0.86206896551724144</v>
      </c>
      <c r="L202" s="978">
        <v>1</v>
      </c>
      <c r="M202" s="978">
        <v>0.3</v>
      </c>
      <c r="N202" s="1140" t="s">
        <v>2272</v>
      </c>
      <c r="O202" s="978">
        <v>2.9893238434163694E-2</v>
      </c>
      <c r="P202" s="978">
        <f t="shared" si="15"/>
        <v>1.8023131672597861E-2</v>
      </c>
      <c r="Q202" s="1164">
        <f t="shared" si="16"/>
        <v>0.62093979833926449</v>
      </c>
      <c r="R202" s="1140"/>
      <c r="S202" s="1140">
        <f t="shared" si="17"/>
        <v>0</v>
      </c>
      <c r="T202" s="269"/>
      <c r="U202" s="269">
        <f t="shared" si="18"/>
        <v>0</v>
      </c>
      <c r="V202" s="269"/>
      <c r="W202" s="269">
        <f t="shared" si="19"/>
        <v>0</v>
      </c>
      <c r="X202" s="1140"/>
    </row>
    <row r="203" spans="1:31" hidden="1">
      <c r="A203" s="25"/>
      <c r="B203" s="1140"/>
      <c r="C203" s="1140">
        <v>15172</v>
      </c>
      <c r="D203" s="23">
        <v>75920128</v>
      </c>
      <c r="E203" s="275" t="s">
        <v>1806</v>
      </c>
      <c r="F203" s="1140">
        <v>24</v>
      </c>
      <c r="G203" s="978">
        <v>11.64</v>
      </c>
      <c r="H203" s="978">
        <v>13.5024</v>
      </c>
      <c r="I203" s="1164">
        <v>0.48500000000000004</v>
      </c>
      <c r="J203" s="900">
        <v>0.56259999999999999</v>
      </c>
      <c r="K203" s="978">
        <v>0.68965517241379315</v>
      </c>
      <c r="L203" s="978">
        <v>0.8</v>
      </c>
      <c r="M203" s="978">
        <v>0.3</v>
      </c>
      <c r="N203" s="1140" t="s">
        <v>2272</v>
      </c>
      <c r="O203" s="978">
        <v>3.0088495575221197E-2</v>
      </c>
      <c r="P203" s="978">
        <f t="shared" si="15"/>
        <v>1.4592920353982282E-2</v>
      </c>
      <c r="Q203" s="1164">
        <f t="shared" si="16"/>
        <v>0.49959292035398234</v>
      </c>
      <c r="R203" s="1140"/>
      <c r="S203" s="1140">
        <f t="shared" si="17"/>
        <v>0</v>
      </c>
      <c r="T203" s="269"/>
      <c r="U203" s="269">
        <f t="shared" si="18"/>
        <v>0</v>
      </c>
      <c r="V203" s="269"/>
      <c r="W203" s="269">
        <f t="shared" si="19"/>
        <v>0</v>
      </c>
      <c r="X203" s="1140"/>
    </row>
    <row r="204" spans="1:31">
      <c r="A204" s="25"/>
      <c r="B204" s="1140"/>
      <c r="C204" s="1140">
        <v>15153</v>
      </c>
      <c r="D204" s="23">
        <v>75916060</v>
      </c>
      <c r="E204" s="275" t="s">
        <v>4182</v>
      </c>
      <c r="F204" s="1140">
        <v>24</v>
      </c>
      <c r="G204" s="978">
        <v>11.64</v>
      </c>
      <c r="H204" s="978">
        <v>13.5024</v>
      </c>
      <c r="I204" s="1164">
        <v>0.48500000000000004</v>
      </c>
      <c r="J204" s="900">
        <v>0.56259999999999999</v>
      </c>
      <c r="K204" s="978">
        <v>0.68965517241379315</v>
      </c>
      <c r="L204" s="978">
        <v>0.8</v>
      </c>
      <c r="M204" s="978">
        <v>0.3</v>
      </c>
      <c r="N204" s="1140" t="s">
        <v>2272</v>
      </c>
      <c r="O204" s="978">
        <v>3.0088495575221197E-2</v>
      </c>
      <c r="P204" s="978">
        <f t="shared" si="15"/>
        <v>1.4592920353982282E-2</v>
      </c>
      <c r="Q204" s="1164">
        <f t="shared" si="16"/>
        <v>0.49959292035398234</v>
      </c>
      <c r="R204" s="1140"/>
      <c r="S204" s="1140">
        <f t="shared" si="17"/>
        <v>0</v>
      </c>
      <c r="T204" s="269"/>
      <c r="U204" s="269">
        <f t="shared" si="18"/>
        <v>0</v>
      </c>
      <c r="V204" s="269"/>
      <c r="W204" s="269">
        <f t="shared" si="19"/>
        <v>0</v>
      </c>
      <c r="X204" s="1140"/>
    </row>
    <row r="205" spans="1:31" hidden="1">
      <c r="A205" s="25"/>
      <c r="B205" s="1140"/>
      <c r="C205" s="1140">
        <v>15766</v>
      </c>
      <c r="D205" s="23">
        <v>759111000079</v>
      </c>
      <c r="E205" s="275" t="s">
        <v>4183</v>
      </c>
      <c r="F205" s="1140">
        <v>24</v>
      </c>
      <c r="G205" s="978">
        <v>14.47</v>
      </c>
      <c r="H205" s="978">
        <v>16.7852</v>
      </c>
      <c r="I205" s="1164">
        <v>0.60291666666666666</v>
      </c>
      <c r="J205" s="900">
        <v>0.69938333333333336</v>
      </c>
      <c r="K205" s="978">
        <v>0.86206896551724144</v>
      </c>
      <c r="L205" s="978">
        <v>1</v>
      </c>
      <c r="M205" s="978">
        <v>0.3</v>
      </c>
      <c r="N205" s="1140" t="s">
        <v>2272</v>
      </c>
      <c r="O205" s="978">
        <v>2.9893238434163694E-2</v>
      </c>
      <c r="P205" s="978">
        <f t="shared" si="15"/>
        <v>1.8023131672597861E-2</v>
      </c>
      <c r="Q205" s="1164">
        <f t="shared" si="16"/>
        <v>0.62093979833926449</v>
      </c>
      <c r="R205" s="1140"/>
      <c r="S205" s="1140">
        <f t="shared" si="17"/>
        <v>0</v>
      </c>
      <c r="T205" s="269"/>
      <c r="U205" s="269">
        <f t="shared" si="18"/>
        <v>0</v>
      </c>
      <c r="V205" s="269"/>
      <c r="W205" s="269">
        <f t="shared" si="19"/>
        <v>0</v>
      </c>
      <c r="X205" s="1140"/>
    </row>
    <row r="206" spans="1:31" hidden="1">
      <c r="A206" s="25"/>
      <c r="B206" s="1140"/>
      <c r="C206" s="1140">
        <v>15149</v>
      </c>
      <c r="D206" s="23">
        <v>75916022</v>
      </c>
      <c r="E206" s="275" t="s">
        <v>1809</v>
      </c>
      <c r="F206" s="1140">
        <v>24</v>
      </c>
      <c r="G206" s="978">
        <v>11.64</v>
      </c>
      <c r="H206" s="978">
        <v>13.5024</v>
      </c>
      <c r="I206" s="1164">
        <v>0.48500000000000004</v>
      </c>
      <c r="J206" s="900">
        <v>0.56259999999999999</v>
      </c>
      <c r="K206" s="978">
        <v>0.68965517241379315</v>
      </c>
      <c r="L206" s="978">
        <v>0.8</v>
      </c>
      <c r="M206" s="978">
        <v>0.3</v>
      </c>
      <c r="N206" s="1140" t="s">
        <v>2272</v>
      </c>
      <c r="O206" s="978">
        <v>3.0088495575221197E-2</v>
      </c>
      <c r="P206" s="978">
        <f t="shared" si="15"/>
        <v>1.4592920353982282E-2</v>
      </c>
      <c r="Q206" s="1164">
        <f t="shared" si="16"/>
        <v>0.49959292035398234</v>
      </c>
      <c r="R206" s="1140"/>
      <c r="S206" s="1140">
        <f t="shared" si="17"/>
        <v>0</v>
      </c>
      <c r="T206" s="269"/>
      <c r="U206" s="269">
        <f t="shared" si="18"/>
        <v>0</v>
      </c>
      <c r="V206" s="269"/>
      <c r="W206" s="269">
        <f t="shared" si="19"/>
        <v>0</v>
      </c>
      <c r="X206" s="1140"/>
    </row>
    <row r="207" spans="1:31" hidden="1">
      <c r="A207" s="25"/>
      <c r="B207" s="1140"/>
      <c r="C207" s="1140">
        <v>15764</v>
      </c>
      <c r="D207" s="23">
        <v>759111000031</v>
      </c>
      <c r="E207" s="275" t="s">
        <v>4184</v>
      </c>
      <c r="F207" s="1140">
        <v>24</v>
      </c>
      <c r="G207" s="978">
        <v>14.47</v>
      </c>
      <c r="H207" s="978">
        <v>16.7852</v>
      </c>
      <c r="I207" s="1164">
        <v>0.60291666666666666</v>
      </c>
      <c r="J207" s="900">
        <v>0.69938333333333336</v>
      </c>
      <c r="K207" s="978">
        <v>0.86206896551724144</v>
      </c>
      <c r="L207" s="978">
        <v>1</v>
      </c>
      <c r="M207" s="978">
        <v>0.3</v>
      </c>
      <c r="N207" s="1140" t="s">
        <v>2272</v>
      </c>
      <c r="O207" s="978">
        <v>2.9893238434163694E-2</v>
      </c>
      <c r="P207" s="978">
        <f t="shared" si="15"/>
        <v>1.8023131672597861E-2</v>
      </c>
      <c r="Q207" s="1164">
        <f t="shared" si="16"/>
        <v>0.62093979833926449</v>
      </c>
      <c r="R207" s="1140"/>
      <c r="S207" s="1140">
        <f t="shared" si="17"/>
        <v>0</v>
      </c>
      <c r="T207" s="269"/>
      <c r="U207" s="269">
        <f t="shared" si="18"/>
        <v>0</v>
      </c>
      <c r="V207" s="269"/>
      <c r="W207" s="269">
        <f t="shared" si="19"/>
        <v>0</v>
      </c>
      <c r="X207" s="1140"/>
    </row>
    <row r="208" spans="1:31" hidden="1">
      <c r="A208" s="25"/>
      <c r="B208" s="1140"/>
      <c r="C208" s="1140">
        <v>15154</v>
      </c>
      <c r="D208" s="23">
        <v>75916077</v>
      </c>
      <c r="E208" s="275" t="s">
        <v>4185</v>
      </c>
      <c r="F208" s="1140">
        <v>24</v>
      </c>
      <c r="G208" s="978">
        <v>11.64</v>
      </c>
      <c r="H208" s="978">
        <v>13.5024</v>
      </c>
      <c r="I208" s="1164">
        <v>0.48500000000000004</v>
      </c>
      <c r="J208" s="900">
        <v>0.56259999999999999</v>
      </c>
      <c r="K208" s="978">
        <v>0.68965517241379315</v>
      </c>
      <c r="L208" s="978">
        <v>0.8</v>
      </c>
      <c r="M208" s="978">
        <v>0.3</v>
      </c>
      <c r="N208" s="1140" t="s">
        <v>2272</v>
      </c>
      <c r="O208" s="978">
        <v>3.0088495575221197E-2</v>
      </c>
      <c r="P208" s="978">
        <f t="shared" si="15"/>
        <v>1.4592920353982282E-2</v>
      </c>
      <c r="Q208" s="1164">
        <f t="shared" si="16"/>
        <v>0.49959292035398234</v>
      </c>
      <c r="R208" s="1140"/>
      <c r="S208" s="1140">
        <f t="shared" si="17"/>
        <v>0</v>
      </c>
      <c r="T208" s="269"/>
      <c r="U208" s="269">
        <f t="shared" si="18"/>
        <v>0</v>
      </c>
      <c r="V208" s="269"/>
      <c r="W208" s="269">
        <f t="shared" si="19"/>
        <v>0</v>
      </c>
      <c r="X208" s="1140"/>
    </row>
    <row r="209" spans="1:24" hidden="1">
      <c r="A209" s="25"/>
      <c r="B209" s="1140"/>
      <c r="C209" s="1140">
        <v>15768</v>
      </c>
      <c r="D209" s="23">
        <v>759111200018</v>
      </c>
      <c r="E209" s="275" t="s">
        <v>4186</v>
      </c>
      <c r="F209" s="1140">
        <v>24</v>
      </c>
      <c r="G209" s="978">
        <v>14.47</v>
      </c>
      <c r="H209" s="978">
        <v>16.7852</v>
      </c>
      <c r="I209" s="1164">
        <v>0.60291666666666666</v>
      </c>
      <c r="J209" s="900">
        <v>0.69938333333333336</v>
      </c>
      <c r="K209" s="978">
        <v>0.86206896551724144</v>
      </c>
      <c r="L209" s="978">
        <v>1</v>
      </c>
      <c r="M209" s="978">
        <v>0.3</v>
      </c>
      <c r="N209" s="1140" t="s">
        <v>2272</v>
      </c>
      <c r="O209" s="978">
        <v>2.9893238434163694E-2</v>
      </c>
      <c r="P209" s="978">
        <f t="shared" si="15"/>
        <v>1.8023131672597861E-2</v>
      </c>
      <c r="Q209" s="1164">
        <f t="shared" si="16"/>
        <v>0.62093979833926449</v>
      </c>
      <c r="R209" s="1140"/>
      <c r="S209" s="1140">
        <f t="shared" si="17"/>
        <v>0</v>
      </c>
      <c r="T209" s="269"/>
      <c r="U209" s="269">
        <f t="shared" si="18"/>
        <v>0</v>
      </c>
      <c r="V209" s="269"/>
      <c r="W209" s="269">
        <f t="shared" si="19"/>
        <v>0</v>
      </c>
      <c r="X209" s="1140"/>
    </row>
    <row r="210" spans="1:24" hidden="1">
      <c r="A210" s="25"/>
      <c r="B210" s="1140"/>
      <c r="C210" s="1140">
        <v>15159</v>
      </c>
      <c r="D210" s="23">
        <v>75916916</v>
      </c>
      <c r="E210" s="275" t="s">
        <v>4187</v>
      </c>
      <c r="F210" s="1140">
        <v>24</v>
      </c>
      <c r="G210" s="978">
        <v>11.64</v>
      </c>
      <c r="H210" s="978">
        <v>13.5024</v>
      </c>
      <c r="I210" s="1164">
        <v>0.48500000000000004</v>
      </c>
      <c r="J210" s="900">
        <v>0.56259999999999999</v>
      </c>
      <c r="K210" s="978">
        <v>0.68965517241379315</v>
      </c>
      <c r="L210" s="978">
        <v>0.8</v>
      </c>
      <c r="M210" s="978">
        <v>0.3</v>
      </c>
      <c r="N210" s="1140" t="s">
        <v>2272</v>
      </c>
      <c r="O210" s="978">
        <v>3.0088495575221197E-2</v>
      </c>
      <c r="P210" s="978">
        <f t="shared" si="15"/>
        <v>1.4592920353982282E-2</v>
      </c>
      <c r="Q210" s="1164">
        <f t="shared" si="16"/>
        <v>0.49959292035398234</v>
      </c>
      <c r="R210" s="1140"/>
      <c r="S210" s="1140">
        <f t="shared" si="17"/>
        <v>0</v>
      </c>
      <c r="T210" s="269"/>
      <c r="U210" s="269">
        <f t="shared" si="18"/>
        <v>0</v>
      </c>
      <c r="V210" s="269"/>
      <c r="W210" s="269">
        <f t="shared" si="19"/>
        <v>0</v>
      </c>
      <c r="X210" s="1140"/>
    </row>
    <row r="211" spans="1:24" hidden="1">
      <c r="A211" s="25"/>
      <c r="B211" s="1140" t="s">
        <v>1813</v>
      </c>
      <c r="C211" s="1140">
        <v>15557</v>
      </c>
      <c r="D211" s="23">
        <v>75930776</v>
      </c>
      <c r="E211" s="275" t="s">
        <v>4188</v>
      </c>
      <c r="F211" s="1140">
        <v>24</v>
      </c>
      <c r="G211" s="978">
        <v>13.72</v>
      </c>
      <c r="H211" s="978">
        <v>15.9152</v>
      </c>
      <c r="I211" s="1164">
        <v>0.57166666666666666</v>
      </c>
      <c r="J211" s="900">
        <v>0.66313333333333335</v>
      </c>
      <c r="K211" s="978">
        <v>0.81896551724137934</v>
      </c>
      <c r="L211" s="978">
        <v>0.95</v>
      </c>
      <c r="M211" s="978">
        <v>0.3</v>
      </c>
      <c r="N211" s="1140" t="s">
        <v>2272</v>
      </c>
      <c r="O211" s="978">
        <v>3.0030030030030019E-2</v>
      </c>
      <c r="P211" s="978">
        <f t="shared" si="15"/>
        <v>1.7167167167167159E-2</v>
      </c>
      <c r="Q211" s="1164">
        <f t="shared" si="16"/>
        <v>0.58883383383383381</v>
      </c>
      <c r="R211" s="1140"/>
      <c r="S211" s="1140">
        <f t="shared" si="17"/>
        <v>0</v>
      </c>
      <c r="T211" s="269"/>
      <c r="U211" s="269">
        <f t="shared" si="18"/>
        <v>0</v>
      </c>
      <c r="V211" s="269"/>
      <c r="W211" s="269">
        <f t="shared" si="19"/>
        <v>0</v>
      </c>
      <c r="X211" s="1140"/>
    </row>
    <row r="212" spans="1:24" hidden="1">
      <c r="A212" s="25"/>
      <c r="B212" s="1140"/>
      <c r="C212" s="1140">
        <v>15558</v>
      </c>
      <c r="D212" s="23">
        <v>75930790</v>
      </c>
      <c r="E212" s="275" t="s">
        <v>1815</v>
      </c>
      <c r="F212" s="1140">
        <v>24</v>
      </c>
      <c r="G212" s="978">
        <v>13.72</v>
      </c>
      <c r="H212" s="978">
        <v>15.9152</v>
      </c>
      <c r="I212" s="1164">
        <v>0.57166666666666666</v>
      </c>
      <c r="J212" s="900">
        <v>0.66313333333333335</v>
      </c>
      <c r="K212" s="978">
        <v>0.81896551724137934</v>
      </c>
      <c r="L212" s="978">
        <v>0.95</v>
      </c>
      <c r="M212" s="978">
        <v>0.3</v>
      </c>
      <c r="N212" s="1140" t="s">
        <v>2272</v>
      </c>
      <c r="O212" s="978">
        <v>3.0030030030030019E-2</v>
      </c>
      <c r="P212" s="978">
        <f t="shared" si="15"/>
        <v>1.7167167167167159E-2</v>
      </c>
      <c r="Q212" s="1164">
        <f t="shared" si="16"/>
        <v>0.58883383383383381</v>
      </c>
      <c r="R212" s="1140"/>
      <c r="S212" s="1140">
        <f t="shared" si="17"/>
        <v>0</v>
      </c>
      <c r="T212" s="269"/>
      <c r="U212" s="269">
        <f t="shared" si="18"/>
        <v>0</v>
      </c>
      <c r="V212" s="269"/>
      <c r="W212" s="269">
        <f t="shared" si="19"/>
        <v>0</v>
      </c>
      <c r="X212" s="1140"/>
    </row>
    <row r="213" spans="1:24" hidden="1">
      <c r="A213" s="25"/>
      <c r="B213" s="1140" t="s">
        <v>1816</v>
      </c>
      <c r="C213" s="1140">
        <v>15679</v>
      </c>
      <c r="D213" s="23">
        <v>7591112156493</v>
      </c>
      <c r="E213" s="275" t="s">
        <v>1817</v>
      </c>
      <c r="F213" s="1140">
        <v>24</v>
      </c>
      <c r="G213" s="978">
        <v>14.34</v>
      </c>
      <c r="H213" s="978">
        <v>16.634399999999999</v>
      </c>
      <c r="I213" s="1164">
        <v>0.59750000000000003</v>
      </c>
      <c r="J213" s="900">
        <v>0.69309999999999994</v>
      </c>
      <c r="K213" s="978">
        <v>0.85344827586206906</v>
      </c>
      <c r="L213" s="978">
        <v>0.99</v>
      </c>
      <c r="M213" s="978">
        <v>0.3</v>
      </c>
      <c r="N213" s="1140" t="s">
        <v>2971</v>
      </c>
      <c r="O213" s="978">
        <v>0</v>
      </c>
      <c r="P213" s="978">
        <f t="shared" si="15"/>
        <v>0</v>
      </c>
      <c r="Q213" s="1164">
        <f t="shared" si="16"/>
        <v>0.59750000000000003</v>
      </c>
      <c r="R213" s="1140"/>
      <c r="S213" s="1140">
        <f t="shared" si="17"/>
        <v>0</v>
      </c>
      <c r="T213" s="269"/>
      <c r="U213" s="269">
        <f t="shared" si="18"/>
        <v>0</v>
      </c>
      <c r="V213" s="269"/>
      <c r="W213" s="269">
        <f t="shared" si="19"/>
        <v>0</v>
      </c>
      <c r="X213" s="1140"/>
    </row>
    <row r="214" spans="1:24" hidden="1">
      <c r="A214" s="25"/>
      <c r="B214" s="1140"/>
      <c r="C214" s="1140">
        <v>15678</v>
      </c>
      <c r="D214" s="23">
        <v>7591112156486</v>
      </c>
      <c r="E214" s="275" t="s">
        <v>4189</v>
      </c>
      <c r="F214" s="1140">
        <v>24</v>
      </c>
      <c r="G214" s="978">
        <v>14.34</v>
      </c>
      <c r="H214" s="978">
        <v>16.634399999999999</v>
      </c>
      <c r="I214" s="1164">
        <v>0.59750000000000003</v>
      </c>
      <c r="J214" s="900">
        <v>0.69309999999999994</v>
      </c>
      <c r="K214" s="978">
        <v>0.85344827586206906</v>
      </c>
      <c r="L214" s="978">
        <v>0.99</v>
      </c>
      <c r="M214" s="978">
        <v>0.3</v>
      </c>
      <c r="N214" s="1140" t="s">
        <v>2971</v>
      </c>
      <c r="O214" s="978">
        <v>0</v>
      </c>
      <c r="P214" s="978">
        <f t="shared" si="15"/>
        <v>0</v>
      </c>
      <c r="Q214" s="1164">
        <f t="shared" si="16"/>
        <v>0.59750000000000003</v>
      </c>
      <c r="R214" s="1140"/>
      <c r="S214" s="1140">
        <f t="shared" si="17"/>
        <v>0</v>
      </c>
      <c r="T214" s="269"/>
      <c r="U214" s="269">
        <f t="shared" si="18"/>
        <v>0</v>
      </c>
      <c r="V214" s="269"/>
      <c r="W214" s="269">
        <f t="shared" si="19"/>
        <v>0</v>
      </c>
      <c r="X214" s="1140"/>
    </row>
    <row r="215" spans="1:24" hidden="1">
      <c r="A215" s="25"/>
      <c r="B215" s="1140"/>
      <c r="C215" s="1140">
        <v>15645</v>
      </c>
      <c r="D215" s="23">
        <v>7591112156455</v>
      </c>
      <c r="E215" s="275" t="s">
        <v>4190</v>
      </c>
      <c r="F215" s="1140">
        <v>24</v>
      </c>
      <c r="G215" s="978">
        <v>14.34</v>
      </c>
      <c r="H215" s="978">
        <v>16.634399999999999</v>
      </c>
      <c r="I215" s="1164">
        <v>0.59750000000000003</v>
      </c>
      <c r="J215" s="900">
        <v>0.69309999999999994</v>
      </c>
      <c r="K215" s="978">
        <v>0.85344827586206906</v>
      </c>
      <c r="L215" s="978">
        <v>0.99</v>
      </c>
      <c r="M215" s="978">
        <v>0.3</v>
      </c>
      <c r="N215" s="1140" t="s">
        <v>2971</v>
      </c>
      <c r="O215" s="978">
        <v>0</v>
      </c>
      <c r="P215" s="978">
        <f t="shared" si="15"/>
        <v>0</v>
      </c>
      <c r="Q215" s="1164">
        <f t="shared" si="16"/>
        <v>0.59750000000000003</v>
      </c>
      <c r="R215" s="1140"/>
      <c r="S215" s="1140">
        <f t="shared" si="17"/>
        <v>0</v>
      </c>
      <c r="T215" s="269"/>
      <c r="U215" s="269">
        <f t="shared" si="18"/>
        <v>0</v>
      </c>
      <c r="V215" s="269"/>
      <c r="W215" s="269">
        <f t="shared" si="19"/>
        <v>0</v>
      </c>
      <c r="X215" s="1140"/>
    </row>
    <row r="216" spans="1:24" hidden="1">
      <c r="A216" s="25"/>
      <c r="B216" s="1140"/>
      <c r="C216" s="1140">
        <v>15671</v>
      </c>
      <c r="D216" s="23">
        <v>7591112000130</v>
      </c>
      <c r="E216" s="275" t="s">
        <v>4191</v>
      </c>
      <c r="F216" s="1140">
        <v>24</v>
      </c>
      <c r="G216" s="978">
        <v>14.34</v>
      </c>
      <c r="H216" s="978">
        <v>16.634399999999999</v>
      </c>
      <c r="I216" s="1164">
        <v>0.59750000000000003</v>
      </c>
      <c r="J216" s="900">
        <v>0.69309999999999994</v>
      </c>
      <c r="K216" s="978">
        <v>0.85344827586206906</v>
      </c>
      <c r="L216" s="978">
        <v>0.99</v>
      </c>
      <c r="M216" s="978">
        <v>0.3</v>
      </c>
      <c r="N216" s="1140" t="s">
        <v>2971</v>
      </c>
      <c r="O216" s="978">
        <v>0</v>
      </c>
      <c r="P216" s="978">
        <f t="shared" si="15"/>
        <v>0</v>
      </c>
      <c r="Q216" s="1164">
        <f t="shared" si="16"/>
        <v>0.59750000000000003</v>
      </c>
      <c r="R216" s="1140"/>
      <c r="S216" s="1140">
        <f t="shared" si="17"/>
        <v>0</v>
      </c>
      <c r="T216" s="269"/>
      <c r="U216" s="269">
        <f t="shared" si="18"/>
        <v>0</v>
      </c>
      <c r="V216" s="269"/>
      <c r="W216" s="269">
        <f t="shared" si="19"/>
        <v>0</v>
      </c>
      <c r="X216" s="1140"/>
    </row>
    <row r="217" spans="1:24" hidden="1">
      <c r="A217" s="25"/>
      <c r="B217" s="1140"/>
      <c r="C217" s="1140">
        <v>15673</v>
      </c>
      <c r="D217" s="23">
        <v>7591112000154</v>
      </c>
      <c r="E217" s="275" t="s">
        <v>4192</v>
      </c>
      <c r="F217" s="1140">
        <v>24</v>
      </c>
      <c r="G217" s="978">
        <v>14.34</v>
      </c>
      <c r="H217" s="978">
        <v>16.634399999999999</v>
      </c>
      <c r="I217" s="1164">
        <v>0.59750000000000003</v>
      </c>
      <c r="J217" s="900">
        <v>0.69309999999999994</v>
      </c>
      <c r="K217" s="978">
        <v>0.85344827586206906</v>
      </c>
      <c r="L217" s="978">
        <v>0.99</v>
      </c>
      <c r="M217" s="978">
        <v>0.3</v>
      </c>
      <c r="N217" s="1140" t="s">
        <v>2971</v>
      </c>
      <c r="O217" s="978">
        <v>0</v>
      </c>
      <c r="P217" s="978">
        <f t="shared" si="15"/>
        <v>0</v>
      </c>
      <c r="Q217" s="1164">
        <f t="shared" si="16"/>
        <v>0.59750000000000003</v>
      </c>
      <c r="R217" s="1140"/>
      <c r="S217" s="1140">
        <f t="shared" si="17"/>
        <v>0</v>
      </c>
      <c r="T217" s="269"/>
      <c r="U217" s="269">
        <f t="shared" si="18"/>
        <v>0</v>
      </c>
      <c r="V217" s="269"/>
      <c r="W217" s="269">
        <f t="shared" si="19"/>
        <v>0</v>
      </c>
      <c r="X217" s="1140"/>
    </row>
    <row r="218" spans="1:24" hidden="1">
      <c r="A218" s="25"/>
      <c r="B218" s="1140"/>
      <c r="C218" s="1140">
        <v>15647</v>
      </c>
      <c r="D218" s="23">
        <v>7591112156479</v>
      </c>
      <c r="E218" s="275" t="s">
        <v>4193</v>
      </c>
      <c r="F218" s="1140">
        <v>24</v>
      </c>
      <c r="G218" s="978">
        <v>14.34</v>
      </c>
      <c r="H218" s="978">
        <v>16.634399999999999</v>
      </c>
      <c r="I218" s="1164">
        <v>0.59750000000000003</v>
      </c>
      <c r="J218" s="900">
        <v>0.69309999999999994</v>
      </c>
      <c r="K218" s="978">
        <v>0.85344827586206906</v>
      </c>
      <c r="L218" s="978">
        <v>0.99</v>
      </c>
      <c r="M218" s="978">
        <v>0.3</v>
      </c>
      <c r="N218" s="1140" t="s">
        <v>2971</v>
      </c>
      <c r="O218" s="978">
        <v>0</v>
      </c>
      <c r="P218" s="978">
        <f t="shared" si="15"/>
        <v>0</v>
      </c>
      <c r="Q218" s="1164">
        <f t="shared" si="16"/>
        <v>0.59750000000000003</v>
      </c>
      <c r="R218" s="1140"/>
      <c r="S218" s="1140">
        <f t="shared" si="17"/>
        <v>0</v>
      </c>
      <c r="T218" s="269"/>
      <c r="U218" s="269">
        <f t="shared" si="18"/>
        <v>0</v>
      </c>
      <c r="V218" s="269"/>
      <c r="W218" s="269">
        <f t="shared" si="19"/>
        <v>0</v>
      </c>
      <c r="X218" s="1140"/>
    </row>
    <row r="219" spans="1:24" hidden="1">
      <c r="A219" s="25"/>
      <c r="B219" s="1140"/>
      <c r="C219" s="1140">
        <v>15672</v>
      </c>
      <c r="D219" s="23">
        <v>7591112000147</v>
      </c>
      <c r="E219" s="275" t="s">
        <v>4194</v>
      </c>
      <c r="F219" s="1140">
        <v>24</v>
      </c>
      <c r="G219" s="978">
        <v>14.34</v>
      </c>
      <c r="H219" s="978">
        <v>16.634399999999999</v>
      </c>
      <c r="I219" s="1164">
        <v>0.59750000000000003</v>
      </c>
      <c r="J219" s="900">
        <v>0.69309999999999994</v>
      </c>
      <c r="K219" s="978">
        <v>0.85344827586206906</v>
      </c>
      <c r="L219" s="978">
        <v>0.99</v>
      </c>
      <c r="M219" s="978">
        <v>0.3</v>
      </c>
      <c r="N219" s="1140" t="s">
        <v>2971</v>
      </c>
      <c r="O219" s="978">
        <v>0</v>
      </c>
      <c r="P219" s="978">
        <f t="shared" si="15"/>
        <v>0</v>
      </c>
      <c r="Q219" s="1164">
        <f t="shared" si="16"/>
        <v>0.59750000000000003</v>
      </c>
      <c r="R219" s="1140"/>
      <c r="S219" s="1140">
        <f t="shared" si="17"/>
        <v>0</v>
      </c>
      <c r="T219" s="269"/>
      <c r="U219" s="269">
        <f t="shared" si="18"/>
        <v>0</v>
      </c>
      <c r="V219" s="269"/>
      <c r="W219" s="269">
        <f t="shared" si="19"/>
        <v>0</v>
      </c>
      <c r="X219" s="1140"/>
    </row>
    <row r="220" spans="1:24" hidden="1">
      <c r="A220" s="25"/>
      <c r="B220" s="1140"/>
      <c r="C220" s="1140">
        <v>15380</v>
      </c>
      <c r="D220" s="23">
        <v>7591112004435</v>
      </c>
      <c r="E220" s="275" t="s">
        <v>4195</v>
      </c>
      <c r="F220" s="1140">
        <v>12</v>
      </c>
      <c r="G220" s="978">
        <v>11.91</v>
      </c>
      <c r="H220" s="978">
        <v>11.91</v>
      </c>
      <c r="I220" s="1164">
        <v>0.99250000000000005</v>
      </c>
      <c r="J220" s="900">
        <v>0.99250000000000005</v>
      </c>
      <c r="K220" s="978">
        <v>1.42</v>
      </c>
      <c r="L220" s="978">
        <v>1.42</v>
      </c>
      <c r="M220" s="978">
        <v>0.3</v>
      </c>
      <c r="N220" s="1140" t="s">
        <v>2272</v>
      </c>
      <c r="O220" s="978">
        <v>1.9691780821917915E-2</v>
      </c>
      <c r="P220" s="978">
        <f t="shared" si="15"/>
        <v>1.9544092465753532E-2</v>
      </c>
      <c r="Q220" s="1164">
        <f t="shared" si="16"/>
        <v>1.0120440924657537</v>
      </c>
      <c r="R220" s="1140"/>
      <c r="S220" s="1140">
        <f t="shared" si="17"/>
        <v>0</v>
      </c>
      <c r="T220" s="269"/>
      <c r="U220" s="269">
        <f t="shared" si="18"/>
        <v>0</v>
      </c>
      <c r="V220" s="269"/>
      <c r="W220" s="269">
        <f t="shared" si="19"/>
        <v>0</v>
      </c>
      <c r="X220" s="1140"/>
    </row>
    <row r="221" spans="1:24" hidden="1">
      <c r="A221" s="25"/>
      <c r="B221" s="1140"/>
      <c r="C221" s="1140">
        <v>15372</v>
      </c>
      <c r="D221" s="23">
        <v>7591112004039</v>
      </c>
      <c r="E221" s="275" t="s">
        <v>4196</v>
      </c>
      <c r="F221" s="1140">
        <v>12</v>
      </c>
      <c r="G221" s="978">
        <v>18.77</v>
      </c>
      <c r="H221" s="978">
        <v>18.77</v>
      </c>
      <c r="I221" s="1164">
        <v>1.5641666666666667</v>
      </c>
      <c r="J221" s="900">
        <v>1.5641666666666667</v>
      </c>
      <c r="K221" s="978">
        <v>2.23</v>
      </c>
      <c r="L221" s="978">
        <v>2.23</v>
      </c>
      <c r="M221" s="978">
        <v>0.3</v>
      </c>
      <c r="N221" s="1140" t="s">
        <v>2272</v>
      </c>
      <c r="O221" s="978">
        <v>2.010869565217388E-2</v>
      </c>
      <c r="P221" s="978">
        <f t="shared" si="15"/>
        <v>3.1453351449275309E-2</v>
      </c>
      <c r="Q221" s="1164">
        <f t="shared" si="16"/>
        <v>1.5956200181159421</v>
      </c>
      <c r="R221" s="1140"/>
      <c r="S221" s="1140">
        <f t="shared" si="17"/>
        <v>0</v>
      </c>
      <c r="T221" s="269"/>
      <c r="U221" s="269">
        <f t="shared" si="18"/>
        <v>0</v>
      </c>
      <c r="V221" s="269"/>
      <c r="W221" s="269">
        <f t="shared" si="19"/>
        <v>0</v>
      </c>
      <c r="X221" s="1140"/>
    </row>
    <row r="222" spans="1:24" hidden="1">
      <c r="A222" s="25"/>
      <c r="B222" s="1140"/>
      <c r="C222" s="1140">
        <v>15379</v>
      </c>
      <c r="D222" s="23">
        <v>7591112004428</v>
      </c>
      <c r="E222" s="275" t="s">
        <v>4197</v>
      </c>
      <c r="F222" s="1140">
        <v>4</v>
      </c>
      <c r="G222" s="978">
        <v>12.28</v>
      </c>
      <c r="H222" s="978">
        <v>12.28</v>
      </c>
      <c r="I222" s="1164">
        <v>3.07</v>
      </c>
      <c r="J222" s="900">
        <v>3.07</v>
      </c>
      <c r="K222" s="978">
        <v>4.3899999999999997</v>
      </c>
      <c r="L222" s="978">
        <v>4.3899999999999997</v>
      </c>
      <c r="M222" s="978">
        <v>0.3</v>
      </c>
      <c r="N222" s="1140" t="s">
        <v>2272</v>
      </c>
      <c r="O222" s="978">
        <v>1.9933554817275656E-2</v>
      </c>
      <c r="P222" s="978">
        <f t="shared" si="15"/>
        <v>6.1196013289036261E-2</v>
      </c>
      <c r="Q222" s="1164">
        <f t="shared" si="16"/>
        <v>3.1311960132890362</v>
      </c>
      <c r="R222" s="1140"/>
      <c r="S222" s="1140">
        <f t="shared" si="17"/>
        <v>0</v>
      </c>
      <c r="T222" s="269"/>
      <c r="U222" s="269">
        <f t="shared" si="18"/>
        <v>0</v>
      </c>
      <c r="V222" s="269"/>
      <c r="W222" s="269">
        <f t="shared" si="19"/>
        <v>0</v>
      </c>
      <c r="X222" s="1140"/>
    </row>
    <row r="223" spans="1:24" hidden="1">
      <c r="A223" s="25"/>
      <c r="B223" s="1140" t="s">
        <v>4198</v>
      </c>
      <c r="C223" s="1140">
        <v>15758</v>
      </c>
      <c r="D223" s="23">
        <v>7591112462235</v>
      </c>
      <c r="E223" s="275" t="s">
        <v>4199</v>
      </c>
      <c r="F223" s="1140">
        <v>12</v>
      </c>
      <c r="G223" s="978">
        <v>17.899999999999999</v>
      </c>
      <c r="H223" s="978">
        <v>20.763999999999996</v>
      </c>
      <c r="I223" s="1164">
        <v>1.4916666666666665</v>
      </c>
      <c r="J223" s="900">
        <v>1.7303333333333331</v>
      </c>
      <c r="K223" s="978">
        <v>2.1293103448275867</v>
      </c>
      <c r="L223" s="978">
        <v>2.4700000000000002</v>
      </c>
      <c r="M223" s="978">
        <v>0.3</v>
      </c>
      <c r="N223" s="1140" t="s">
        <v>2272</v>
      </c>
      <c r="O223" s="978">
        <v>2.9919447640966546E-2</v>
      </c>
      <c r="P223" s="978">
        <f t="shared" si="15"/>
        <v>4.4629842731108427E-2</v>
      </c>
      <c r="Q223" s="1164">
        <f t="shared" si="16"/>
        <v>1.536296509397775</v>
      </c>
      <c r="R223" s="1140"/>
      <c r="S223" s="1140">
        <f t="shared" si="17"/>
        <v>0</v>
      </c>
      <c r="T223" s="269"/>
      <c r="U223" s="269">
        <f t="shared" si="18"/>
        <v>0</v>
      </c>
      <c r="V223" s="269"/>
      <c r="W223" s="269">
        <f t="shared" si="19"/>
        <v>0</v>
      </c>
      <c r="X223" s="1140"/>
    </row>
    <row r="224" spans="1:24" hidden="1">
      <c r="A224" s="25"/>
      <c r="B224" s="1140" t="s">
        <v>4200</v>
      </c>
      <c r="C224" s="1140">
        <v>15704</v>
      </c>
      <c r="D224" s="23">
        <v>7591112462105</v>
      </c>
      <c r="E224" s="275" t="s">
        <v>4201</v>
      </c>
      <c r="F224" s="1140">
        <v>12</v>
      </c>
      <c r="G224" s="978">
        <v>22.53</v>
      </c>
      <c r="H224" s="978">
        <v>26.134799999999998</v>
      </c>
      <c r="I224" s="1164">
        <v>1.8775000000000002</v>
      </c>
      <c r="J224" s="900">
        <v>2.1778999999999997</v>
      </c>
      <c r="K224" s="978">
        <v>2.6810344827586206</v>
      </c>
      <c r="L224" s="978">
        <v>3.11</v>
      </c>
      <c r="M224" s="978">
        <v>0.3</v>
      </c>
      <c r="N224" s="1140" t="s">
        <v>2272</v>
      </c>
      <c r="O224" s="978">
        <v>3.0178326474622708E-2</v>
      </c>
      <c r="P224" s="978">
        <f t="shared" si="15"/>
        <v>5.665980795610414E-2</v>
      </c>
      <c r="Q224" s="1164">
        <f t="shared" si="16"/>
        <v>1.9341598079561042</v>
      </c>
      <c r="R224" s="1140"/>
      <c r="S224" s="1140">
        <f t="shared" si="17"/>
        <v>0</v>
      </c>
      <c r="T224" s="269"/>
      <c r="U224" s="269">
        <f t="shared" si="18"/>
        <v>0</v>
      </c>
      <c r="V224" s="269"/>
      <c r="W224" s="269">
        <f t="shared" si="19"/>
        <v>0</v>
      </c>
      <c r="X224" s="1140"/>
    </row>
    <row r="225" spans="1:24" hidden="1">
      <c r="A225" s="25"/>
      <c r="B225" s="1140" t="s">
        <v>1826</v>
      </c>
      <c r="C225" s="1140">
        <v>15336</v>
      </c>
      <c r="D225" s="23">
        <v>7591112061667</v>
      </c>
      <c r="E225" s="275" t="s">
        <v>4202</v>
      </c>
      <c r="F225" s="1140">
        <v>48</v>
      </c>
      <c r="G225" s="978">
        <v>34.909999999999997</v>
      </c>
      <c r="H225" s="978">
        <v>40.495599999999996</v>
      </c>
      <c r="I225" s="1164">
        <v>0.72729166666666656</v>
      </c>
      <c r="J225" s="900">
        <v>0.84365833333333329</v>
      </c>
      <c r="K225" s="978">
        <v>1.0431034482758621</v>
      </c>
      <c r="L225" s="978">
        <v>1.21</v>
      </c>
      <c r="M225" s="978">
        <v>0.3</v>
      </c>
      <c r="N225" s="1140" t="s">
        <v>2272</v>
      </c>
      <c r="O225" s="978">
        <v>3.0097373856594833E-2</v>
      </c>
      <c r="P225" s="978">
        <f t="shared" si="15"/>
        <v>2.1889569194452615E-2</v>
      </c>
      <c r="Q225" s="1164">
        <f t="shared" si="16"/>
        <v>0.74918123586111918</v>
      </c>
      <c r="R225" s="1140"/>
      <c r="S225" s="1140">
        <f t="shared" si="17"/>
        <v>0</v>
      </c>
      <c r="T225" s="269"/>
      <c r="U225" s="269">
        <f t="shared" si="18"/>
        <v>0</v>
      </c>
      <c r="V225" s="269"/>
      <c r="W225" s="269">
        <f t="shared" si="19"/>
        <v>0</v>
      </c>
      <c r="X225" s="1140"/>
    </row>
    <row r="226" spans="1:24">
      <c r="A226" s="25"/>
      <c r="B226" s="1140"/>
      <c r="C226" s="1140">
        <v>15340</v>
      </c>
      <c r="D226" s="23">
        <v>7591112061902</v>
      </c>
      <c r="E226" s="275" t="s">
        <v>4203</v>
      </c>
      <c r="F226" s="1140">
        <v>48</v>
      </c>
      <c r="G226" s="978">
        <v>34.909999999999997</v>
      </c>
      <c r="H226" s="978">
        <v>40.495599999999996</v>
      </c>
      <c r="I226" s="1164">
        <v>0.72729166666666656</v>
      </c>
      <c r="J226" s="900">
        <v>0.84365833333333329</v>
      </c>
      <c r="K226" s="978">
        <v>1.0431034482758621</v>
      </c>
      <c r="L226" s="978">
        <v>1.21</v>
      </c>
      <c r="M226" s="978">
        <v>0.3</v>
      </c>
      <c r="N226" s="1140" t="s">
        <v>2272</v>
      </c>
      <c r="O226" s="978">
        <v>3.0097373856594833E-2</v>
      </c>
      <c r="P226" s="978">
        <f t="shared" si="15"/>
        <v>2.1889569194452615E-2</v>
      </c>
      <c r="Q226" s="1164">
        <f t="shared" si="16"/>
        <v>0.74918123586111918</v>
      </c>
      <c r="R226" s="1140"/>
      <c r="S226" s="1140">
        <f t="shared" si="17"/>
        <v>0</v>
      </c>
      <c r="T226" s="269"/>
      <c r="U226" s="269">
        <f t="shared" si="18"/>
        <v>0</v>
      </c>
      <c r="V226" s="269"/>
      <c r="W226" s="269">
        <f t="shared" si="19"/>
        <v>0</v>
      </c>
      <c r="X226" s="1140"/>
    </row>
    <row r="227" spans="1:24" hidden="1">
      <c r="A227" s="25"/>
      <c r="B227" s="1140"/>
      <c r="C227" s="1140">
        <v>15329</v>
      </c>
      <c r="D227" s="23">
        <v>7591112061421</v>
      </c>
      <c r="E227" s="275" t="s">
        <v>4204</v>
      </c>
      <c r="F227" s="1140">
        <v>48</v>
      </c>
      <c r="G227" s="978">
        <v>34.909999999999997</v>
      </c>
      <c r="H227" s="978">
        <v>40.495599999999996</v>
      </c>
      <c r="I227" s="1164">
        <v>0.72729166666666656</v>
      </c>
      <c r="J227" s="900">
        <v>0.84365833333333329</v>
      </c>
      <c r="K227" s="978">
        <v>1.0431034482758621</v>
      </c>
      <c r="L227" s="978">
        <v>1.21</v>
      </c>
      <c r="M227" s="978">
        <v>0.3</v>
      </c>
      <c r="N227" s="1140" t="s">
        <v>2272</v>
      </c>
      <c r="O227" s="978">
        <v>3.0097373856594833E-2</v>
      </c>
      <c r="P227" s="978">
        <f t="shared" si="15"/>
        <v>2.1889569194452615E-2</v>
      </c>
      <c r="Q227" s="1164">
        <f t="shared" si="16"/>
        <v>0.74918123586111918</v>
      </c>
      <c r="R227" s="1140"/>
      <c r="S227" s="1140">
        <f t="shared" si="17"/>
        <v>0</v>
      </c>
      <c r="T227" s="269"/>
      <c r="U227" s="269">
        <f t="shared" si="18"/>
        <v>0</v>
      </c>
      <c r="V227" s="269"/>
      <c r="W227" s="269">
        <f t="shared" si="19"/>
        <v>0</v>
      </c>
      <c r="X227" s="1140"/>
    </row>
    <row r="228" spans="1:24" hidden="1">
      <c r="A228" s="25"/>
      <c r="B228" s="1140"/>
      <c r="C228" s="1140">
        <v>15740</v>
      </c>
      <c r="D228" s="23">
        <v>7591112462174</v>
      </c>
      <c r="E228" s="275" t="s">
        <v>4205</v>
      </c>
      <c r="F228" s="1140">
        <v>48</v>
      </c>
      <c r="G228" s="978">
        <v>34.909999999999997</v>
      </c>
      <c r="H228" s="978">
        <v>40.495599999999996</v>
      </c>
      <c r="I228" s="1164">
        <v>0.72729166666666656</v>
      </c>
      <c r="J228" s="900">
        <v>0.84365833333333329</v>
      </c>
      <c r="K228" s="978">
        <v>1.0431034482758621</v>
      </c>
      <c r="L228" s="978">
        <v>1.21</v>
      </c>
      <c r="M228" s="978">
        <v>0.3</v>
      </c>
      <c r="N228" s="1140" t="s">
        <v>2272</v>
      </c>
      <c r="O228" s="978">
        <v>3.0097373856594833E-2</v>
      </c>
      <c r="P228" s="978">
        <f t="shared" si="15"/>
        <v>2.1889569194452615E-2</v>
      </c>
      <c r="Q228" s="1164">
        <f t="shared" si="16"/>
        <v>0.74918123586111918</v>
      </c>
      <c r="R228" s="1140"/>
      <c r="S228" s="1140">
        <f t="shared" si="17"/>
        <v>0</v>
      </c>
      <c r="T228" s="269"/>
      <c r="U228" s="269">
        <f t="shared" si="18"/>
        <v>0</v>
      </c>
      <c r="V228" s="269"/>
      <c r="W228" s="269">
        <f t="shared" si="19"/>
        <v>0</v>
      </c>
      <c r="X228" s="1140"/>
    </row>
    <row r="229" spans="1:24" hidden="1">
      <c r="A229" s="25"/>
      <c r="B229" s="1140"/>
      <c r="C229" s="1140">
        <v>15752</v>
      </c>
      <c r="D229" s="23">
        <v>759112462167</v>
      </c>
      <c r="E229" s="275" t="s">
        <v>4206</v>
      </c>
      <c r="F229" s="1140">
        <v>48</v>
      </c>
      <c r="G229" s="978">
        <v>34.909999999999997</v>
      </c>
      <c r="H229" s="978">
        <v>40.495599999999996</v>
      </c>
      <c r="I229" s="1164">
        <v>0.72729166666666656</v>
      </c>
      <c r="J229" s="900">
        <v>0.84365833333333329</v>
      </c>
      <c r="K229" s="978">
        <v>1.0431034482758621</v>
      </c>
      <c r="L229" s="978">
        <v>1.21</v>
      </c>
      <c r="M229" s="978">
        <v>0.3</v>
      </c>
      <c r="N229" s="1140" t="s">
        <v>2272</v>
      </c>
      <c r="O229" s="978">
        <v>3.0097373856594833E-2</v>
      </c>
      <c r="P229" s="978">
        <f t="shared" si="15"/>
        <v>2.1889569194452615E-2</v>
      </c>
      <c r="Q229" s="1164">
        <f t="shared" si="16"/>
        <v>0.74918123586111918</v>
      </c>
      <c r="R229" s="1140"/>
      <c r="S229" s="1140">
        <f t="shared" si="17"/>
        <v>0</v>
      </c>
      <c r="T229" s="269"/>
      <c r="U229" s="269">
        <f t="shared" si="18"/>
        <v>0</v>
      </c>
      <c r="V229" s="269"/>
      <c r="W229" s="269">
        <f t="shared" si="19"/>
        <v>0</v>
      </c>
      <c r="X229" s="1140"/>
    </row>
    <row r="230" spans="1:24" hidden="1">
      <c r="A230" s="25"/>
      <c r="B230" s="1140"/>
      <c r="C230" s="1140">
        <v>15339</v>
      </c>
      <c r="D230" s="23">
        <v>759112061896</v>
      </c>
      <c r="E230" s="275" t="s">
        <v>4207</v>
      </c>
      <c r="F230" s="1140">
        <v>48</v>
      </c>
      <c r="G230" s="978">
        <v>34.909999999999997</v>
      </c>
      <c r="H230" s="978">
        <v>40.495599999999996</v>
      </c>
      <c r="I230" s="1164">
        <v>0.72729166666666656</v>
      </c>
      <c r="J230" s="900">
        <v>0.84365833333333329</v>
      </c>
      <c r="K230" s="978">
        <v>1.0431034482758621</v>
      </c>
      <c r="L230" s="978">
        <v>1.21</v>
      </c>
      <c r="M230" s="978">
        <v>0.3</v>
      </c>
      <c r="N230" s="1140" t="s">
        <v>2272</v>
      </c>
      <c r="O230" s="978">
        <v>3.0097373856594833E-2</v>
      </c>
      <c r="P230" s="978">
        <f t="shared" si="15"/>
        <v>2.1889569194452615E-2</v>
      </c>
      <c r="Q230" s="1164">
        <f t="shared" si="16"/>
        <v>0.74918123586111918</v>
      </c>
      <c r="R230" s="1140"/>
      <c r="S230" s="1140">
        <f t="shared" si="17"/>
        <v>0</v>
      </c>
      <c r="T230" s="269"/>
      <c r="U230" s="269">
        <f t="shared" si="18"/>
        <v>0</v>
      </c>
      <c r="V230" s="269"/>
      <c r="W230" s="269">
        <f t="shared" si="19"/>
        <v>0</v>
      </c>
      <c r="X230" s="1140"/>
    </row>
    <row r="231" spans="1:24" hidden="1">
      <c r="A231" s="25"/>
      <c r="B231" s="1140"/>
      <c r="C231" s="1140">
        <v>15770</v>
      </c>
      <c r="D231" s="23">
        <v>7591112000161</v>
      </c>
      <c r="E231" s="275" t="s">
        <v>4208</v>
      </c>
      <c r="F231" s="1140">
        <v>48</v>
      </c>
      <c r="G231" s="978">
        <v>34.909999999999997</v>
      </c>
      <c r="H231" s="978">
        <v>40.495599999999996</v>
      </c>
      <c r="I231" s="1164">
        <v>0.72729166666666656</v>
      </c>
      <c r="J231" s="900">
        <v>0.84365833333333329</v>
      </c>
      <c r="K231" s="978">
        <v>1.0431034482758621</v>
      </c>
      <c r="L231" s="978">
        <v>1.21</v>
      </c>
      <c r="M231" s="978">
        <v>0.3</v>
      </c>
      <c r="N231" s="1140" t="s">
        <v>2272</v>
      </c>
      <c r="O231" s="978">
        <v>3.0097373856594833E-2</v>
      </c>
      <c r="P231" s="978">
        <f t="shared" si="15"/>
        <v>2.1889569194452615E-2</v>
      </c>
      <c r="Q231" s="1164">
        <f t="shared" si="16"/>
        <v>0.74918123586111918</v>
      </c>
      <c r="R231" s="1140"/>
      <c r="S231" s="1140">
        <f t="shared" si="17"/>
        <v>0</v>
      </c>
      <c r="T231" s="269"/>
      <c r="U231" s="269">
        <f t="shared" si="18"/>
        <v>0</v>
      </c>
      <c r="V231" s="269"/>
      <c r="W231" s="269">
        <f t="shared" si="19"/>
        <v>0</v>
      </c>
      <c r="X231" s="1140"/>
    </row>
    <row r="232" spans="1:24" hidden="1">
      <c r="A232" s="25"/>
      <c r="B232" s="1140"/>
      <c r="C232" s="1140">
        <v>15320</v>
      </c>
      <c r="D232" s="23">
        <v>7591112061193</v>
      </c>
      <c r="E232" s="275" t="s">
        <v>4209</v>
      </c>
      <c r="F232" s="1140">
        <v>48</v>
      </c>
      <c r="G232" s="978">
        <v>56.09</v>
      </c>
      <c r="H232" s="978">
        <v>65.064400000000006</v>
      </c>
      <c r="I232" s="1164">
        <v>1.1685416666666668</v>
      </c>
      <c r="J232" s="900">
        <v>1.3555083333333335</v>
      </c>
      <c r="K232" s="978">
        <v>1.6724137931034484</v>
      </c>
      <c r="L232" s="978">
        <v>1.94</v>
      </c>
      <c r="M232" s="978">
        <v>0.3</v>
      </c>
      <c r="N232" s="1140" t="s">
        <v>2272</v>
      </c>
      <c r="O232" s="978">
        <v>2.9930224017627571E-2</v>
      </c>
      <c r="P232" s="978">
        <f t="shared" si="15"/>
        <v>3.4974713857265222E-2</v>
      </c>
      <c r="Q232" s="1164">
        <f t="shared" si="16"/>
        <v>1.203516380523932</v>
      </c>
      <c r="R232" s="1140"/>
      <c r="S232" s="1140">
        <f t="shared" si="17"/>
        <v>0</v>
      </c>
      <c r="T232" s="269"/>
      <c r="U232" s="269">
        <f t="shared" si="18"/>
        <v>0</v>
      </c>
      <c r="V232" s="269"/>
      <c r="W232" s="269">
        <f t="shared" si="19"/>
        <v>0</v>
      </c>
      <c r="X232" s="1140"/>
    </row>
    <row r="233" spans="1:24" hidden="1">
      <c r="A233" s="25"/>
      <c r="B233" s="1140"/>
      <c r="C233" s="1140">
        <v>15322</v>
      </c>
      <c r="D233" s="23">
        <v>7591112061230</v>
      </c>
      <c r="E233" s="275" t="s">
        <v>4210</v>
      </c>
      <c r="F233" s="1140">
        <v>48</v>
      </c>
      <c r="G233" s="978">
        <v>56.09</v>
      </c>
      <c r="H233" s="978">
        <v>65.064400000000006</v>
      </c>
      <c r="I233" s="1164">
        <v>1.1685416666666668</v>
      </c>
      <c r="J233" s="900">
        <v>1.3555083333333335</v>
      </c>
      <c r="K233" s="978">
        <v>1.6724137931034484</v>
      </c>
      <c r="L233" s="978">
        <v>1.94</v>
      </c>
      <c r="M233" s="978">
        <v>0.3</v>
      </c>
      <c r="N233" s="1140" t="s">
        <v>2272</v>
      </c>
      <c r="O233" s="978">
        <v>2.9930224017627571E-2</v>
      </c>
      <c r="P233" s="978">
        <f t="shared" si="15"/>
        <v>3.4974713857265222E-2</v>
      </c>
      <c r="Q233" s="1164">
        <f t="shared" si="16"/>
        <v>1.203516380523932</v>
      </c>
      <c r="R233" s="1140"/>
      <c r="S233" s="1140">
        <f t="shared" si="17"/>
        <v>0</v>
      </c>
      <c r="T233" s="269"/>
      <c r="U233" s="269">
        <f t="shared" si="18"/>
        <v>0</v>
      </c>
      <c r="V233" s="269"/>
      <c r="W233" s="269">
        <f t="shared" si="19"/>
        <v>0</v>
      </c>
      <c r="X233" s="1140"/>
    </row>
    <row r="234" spans="1:24" hidden="1">
      <c r="A234" s="25"/>
      <c r="B234" s="1140"/>
      <c r="C234" s="1140">
        <v>15326</v>
      </c>
      <c r="D234" s="23">
        <v>7591112061315</v>
      </c>
      <c r="E234" s="275" t="s">
        <v>4211</v>
      </c>
      <c r="F234" s="1140">
        <v>48</v>
      </c>
      <c r="G234" s="978">
        <v>56.09</v>
      </c>
      <c r="H234" s="978">
        <v>65.064400000000006</v>
      </c>
      <c r="I234" s="1164">
        <v>1.1685416666666668</v>
      </c>
      <c r="J234" s="900">
        <v>1.3555083333333335</v>
      </c>
      <c r="K234" s="978">
        <v>1.6724137931034484</v>
      </c>
      <c r="L234" s="978">
        <v>1.94</v>
      </c>
      <c r="M234" s="978">
        <v>0.3</v>
      </c>
      <c r="N234" s="1140" t="s">
        <v>2272</v>
      </c>
      <c r="O234" s="978">
        <v>2.9930224017627571E-2</v>
      </c>
      <c r="P234" s="978">
        <f t="shared" si="15"/>
        <v>3.4974713857265222E-2</v>
      </c>
      <c r="Q234" s="1164">
        <f t="shared" si="16"/>
        <v>1.203516380523932</v>
      </c>
      <c r="R234" s="1140"/>
      <c r="S234" s="1140">
        <f t="shared" si="17"/>
        <v>0</v>
      </c>
      <c r="T234" s="269"/>
      <c r="U234" s="269">
        <f t="shared" si="18"/>
        <v>0</v>
      </c>
      <c r="V234" s="269"/>
      <c r="W234" s="269">
        <f t="shared" si="19"/>
        <v>0</v>
      </c>
      <c r="X234" s="1140"/>
    </row>
    <row r="235" spans="1:24" hidden="1">
      <c r="A235" s="25"/>
      <c r="B235" s="1140"/>
      <c r="C235" s="1140">
        <v>15324</v>
      </c>
      <c r="D235" s="23">
        <v>7591112061278</v>
      </c>
      <c r="E235" s="275" t="s">
        <v>4212</v>
      </c>
      <c r="F235" s="1140">
        <v>48</v>
      </c>
      <c r="G235" s="978">
        <v>56.09</v>
      </c>
      <c r="H235" s="978">
        <v>65.064400000000006</v>
      </c>
      <c r="I235" s="1164">
        <v>1.1685416666666668</v>
      </c>
      <c r="J235" s="900">
        <v>1.3555083333333335</v>
      </c>
      <c r="K235" s="978">
        <v>1.6724137931034484</v>
      </c>
      <c r="L235" s="978">
        <v>1.94</v>
      </c>
      <c r="M235" s="978">
        <v>0.3</v>
      </c>
      <c r="N235" s="1140" t="s">
        <v>2272</v>
      </c>
      <c r="O235" s="978">
        <v>2.9930224017627571E-2</v>
      </c>
      <c r="P235" s="978">
        <f t="shared" si="15"/>
        <v>3.4974713857265222E-2</v>
      </c>
      <c r="Q235" s="1164">
        <f t="shared" si="16"/>
        <v>1.203516380523932</v>
      </c>
      <c r="R235" s="1140"/>
      <c r="S235" s="1140">
        <f t="shared" si="17"/>
        <v>0</v>
      </c>
      <c r="T235" s="269"/>
      <c r="U235" s="269">
        <f t="shared" si="18"/>
        <v>0</v>
      </c>
      <c r="V235" s="269"/>
      <c r="W235" s="269">
        <f t="shared" si="19"/>
        <v>0</v>
      </c>
      <c r="X235" s="1140"/>
    </row>
    <row r="236" spans="1:24" hidden="1">
      <c r="A236" s="25"/>
      <c r="B236" s="1140"/>
      <c r="C236" s="1140">
        <v>15323</v>
      </c>
      <c r="D236" s="23">
        <v>7591112061247</v>
      </c>
      <c r="E236" s="275" t="s">
        <v>4213</v>
      </c>
      <c r="F236" s="1140">
        <v>48</v>
      </c>
      <c r="G236" s="978">
        <v>56.09</v>
      </c>
      <c r="H236" s="978">
        <v>65.064400000000006</v>
      </c>
      <c r="I236" s="1164">
        <v>1.1685416666666668</v>
      </c>
      <c r="J236" s="900">
        <v>1.3555083333333335</v>
      </c>
      <c r="K236" s="978">
        <v>1.6724137931034484</v>
      </c>
      <c r="L236" s="978">
        <v>1.94</v>
      </c>
      <c r="M236" s="978">
        <v>0.3</v>
      </c>
      <c r="N236" s="1140" t="s">
        <v>2272</v>
      </c>
      <c r="O236" s="978">
        <v>2.9930224017627571E-2</v>
      </c>
      <c r="P236" s="978">
        <f t="shared" si="15"/>
        <v>3.4974713857265222E-2</v>
      </c>
      <c r="Q236" s="1164">
        <f t="shared" si="16"/>
        <v>1.203516380523932</v>
      </c>
      <c r="R236" s="1140"/>
      <c r="S236" s="1140">
        <f t="shared" si="17"/>
        <v>0</v>
      </c>
      <c r="T236" s="269"/>
      <c r="U236" s="269">
        <f t="shared" si="18"/>
        <v>0</v>
      </c>
      <c r="V236" s="269"/>
      <c r="W236" s="269">
        <f t="shared" si="19"/>
        <v>0</v>
      </c>
      <c r="X236" s="1140"/>
    </row>
    <row r="237" spans="1:24" hidden="1">
      <c r="A237" s="25"/>
      <c r="B237" s="1140"/>
      <c r="C237" s="1140">
        <v>15330</v>
      </c>
      <c r="D237" s="23">
        <v>7591112061438</v>
      </c>
      <c r="E237" s="275" t="s">
        <v>4214</v>
      </c>
      <c r="F237" s="1140">
        <v>48</v>
      </c>
      <c r="G237" s="978">
        <v>56.09</v>
      </c>
      <c r="H237" s="978">
        <v>65.064400000000006</v>
      </c>
      <c r="I237" s="1164">
        <v>1.1685416666666668</v>
      </c>
      <c r="J237" s="900">
        <v>1.3555083333333335</v>
      </c>
      <c r="K237" s="978">
        <v>1.6724137931034484</v>
      </c>
      <c r="L237" s="978">
        <v>1.94</v>
      </c>
      <c r="M237" s="978">
        <v>0.3</v>
      </c>
      <c r="N237" s="1140" t="s">
        <v>2272</v>
      </c>
      <c r="O237" s="978">
        <v>2.9930224017627571E-2</v>
      </c>
      <c r="P237" s="978">
        <f t="shared" si="15"/>
        <v>3.4974713857265222E-2</v>
      </c>
      <c r="Q237" s="1164">
        <f t="shared" si="16"/>
        <v>1.203516380523932</v>
      </c>
      <c r="R237" s="1140"/>
      <c r="S237" s="1140">
        <f t="shared" si="17"/>
        <v>0</v>
      </c>
      <c r="T237" s="269"/>
      <c r="U237" s="269">
        <f t="shared" si="18"/>
        <v>0</v>
      </c>
      <c r="V237" s="269"/>
      <c r="W237" s="269">
        <f t="shared" si="19"/>
        <v>0</v>
      </c>
      <c r="X237" s="1140"/>
    </row>
    <row r="238" spans="1:24" hidden="1">
      <c r="A238" s="25"/>
      <c r="B238" s="1140"/>
      <c r="C238" s="1140">
        <v>15338</v>
      </c>
      <c r="D238" s="23">
        <v>7591112061827</v>
      </c>
      <c r="E238" s="275" t="s">
        <v>4215</v>
      </c>
      <c r="F238" s="1140">
        <v>48</v>
      </c>
      <c r="G238" s="978">
        <v>58.17</v>
      </c>
      <c r="H238" s="978">
        <v>67.477199999999996</v>
      </c>
      <c r="I238" s="1164">
        <v>1.211875</v>
      </c>
      <c r="J238" s="900">
        <v>1.405775</v>
      </c>
      <c r="K238" s="978">
        <v>1.732758620689655</v>
      </c>
      <c r="L238" s="978">
        <v>2.0099999999999998</v>
      </c>
      <c r="M238" s="978">
        <v>0.3</v>
      </c>
      <c r="N238" s="1140" t="s">
        <v>2272</v>
      </c>
      <c r="O238" s="978">
        <v>2.99220963172806E-2</v>
      </c>
      <c r="P238" s="978">
        <f t="shared" si="15"/>
        <v>3.6261840474504425E-2</v>
      </c>
      <c r="Q238" s="1164">
        <f t="shared" si="16"/>
        <v>1.2481368404745043</v>
      </c>
      <c r="R238" s="1140"/>
      <c r="S238" s="1140">
        <f t="shared" si="17"/>
        <v>0</v>
      </c>
      <c r="T238" s="269"/>
      <c r="U238" s="269">
        <f t="shared" si="18"/>
        <v>0</v>
      </c>
      <c r="V238" s="269"/>
      <c r="W238" s="269">
        <f t="shared" si="19"/>
        <v>0</v>
      </c>
      <c r="X238" s="1140"/>
    </row>
    <row r="239" spans="1:24" hidden="1">
      <c r="A239" s="25"/>
      <c r="B239" s="1140" t="s">
        <v>4216</v>
      </c>
      <c r="C239" s="1140">
        <v>15348</v>
      </c>
      <c r="D239" s="23">
        <v>7591112062183</v>
      </c>
      <c r="E239" s="275" t="s">
        <v>4217</v>
      </c>
      <c r="F239" s="1140">
        <v>48</v>
      </c>
      <c r="G239" s="978">
        <v>28.94</v>
      </c>
      <c r="H239" s="978">
        <v>33.570399999999999</v>
      </c>
      <c r="I239" s="1164">
        <v>0.60291666666666666</v>
      </c>
      <c r="J239" s="900">
        <v>0.69938333333333336</v>
      </c>
      <c r="K239" s="978">
        <v>0.86206896551724144</v>
      </c>
      <c r="L239" s="978">
        <v>1</v>
      </c>
      <c r="M239" s="978">
        <v>0.3</v>
      </c>
      <c r="N239" s="1140" t="s">
        <v>2272</v>
      </c>
      <c r="O239" s="978">
        <v>2.9893238434163694E-2</v>
      </c>
      <c r="P239" s="978">
        <f t="shared" si="15"/>
        <v>1.8023131672597861E-2</v>
      </c>
      <c r="Q239" s="1164">
        <f t="shared" si="16"/>
        <v>0.62093979833926449</v>
      </c>
      <c r="R239" s="1140"/>
      <c r="S239" s="1140">
        <f t="shared" si="17"/>
        <v>0</v>
      </c>
      <c r="T239" s="269"/>
      <c r="U239" s="269">
        <f t="shared" si="18"/>
        <v>0</v>
      </c>
      <c r="V239" s="269"/>
      <c r="W239" s="269">
        <f t="shared" si="19"/>
        <v>0</v>
      </c>
      <c r="X239" s="1140"/>
    </row>
    <row r="240" spans="1:24" hidden="1">
      <c r="A240" s="25"/>
      <c r="B240" s="1140"/>
      <c r="C240" s="1140">
        <v>15352</v>
      </c>
      <c r="D240" s="23">
        <v>7591112062213</v>
      </c>
      <c r="E240" s="275" t="s">
        <v>4218</v>
      </c>
      <c r="F240" s="1140">
        <v>48</v>
      </c>
      <c r="G240" s="978">
        <v>28.94</v>
      </c>
      <c r="H240" s="978">
        <v>33.570399999999999</v>
      </c>
      <c r="I240" s="1164">
        <v>0.60291666666666666</v>
      </c>
      <c r="J240" s="900">
        <v>0.69938333333333336</v>
      </c>
      <c r="K240" s="978">
        <v>0.86206896551724144</v>
      </c>
      <c r="L240" s="978">
        <v>1</v>
      </c>
      <c r="M240" s="978">
        <v>0.3</v>
      </c>
      <c r="N240" s="1140" t="s">
        <v>2272</v>
      </c>
      <c r="O240" s="978">
        <v>2.9893238434163694E-2</v>
      </c>
      <c r="P240" s="978">
        <f t="shared" si="15"/>
        <v>1.8023131672597861E-2</v>
      </c>
      <c r="Q240" s="1164">
        <f t="shared" si="16"/>
        <v>0.62093979833926449</v>
      </c>
      <c r="R240" s="1140"/>
      <c r="S240" s="1140">
        <f t="shared" si="17"/>
        <v>0</v>
      </c>
      <c r="T240" s="269"/>
      <c r="U240" s="269">
        <f t="shared" si="18"/>
        <v>0</v>
      </c>
      <c r="V240" s="269"/>
      <c r="W240" s="269">
        <f t="shared" si="19"/>
        <v>0</v>
      </c>
      <c r="X240" s="1140"/>
    </row>
    <row r="241" spans="1:24" hidden="1">
      <c r="A241" s="25"/>
      <c r="B241" s="1140"/>
      <c r="C241" s="1140">
        <v>15350</v>
      </c>
      <c r="D241" s="23">
        <v>7591112062206</v>
      </c>
      <c r="E241" s="275" t="s">
        <v>4219</v>
      </c>
      <c r="F241" s="1140">
        <v>48</v>
      </c>
      <c r="G241" s="978">
        <v>28.94</v>
      </c>
      <c r="H241" s="978">
        <v>33.570399999999999</v>
      </c>
      <c r="I241" s="1164">
        <v>0.60291666666666666</v>
      </c>
      <c r="J241" s="900">
        <v>0.69938333333333336</v>
      </c>
      <c r="K241" s="978">
        <v>0.86206896551724144</v>
      </c>
      <c r="L241" s="978">
        <v>1</v>
      </c>
      <c r="M241" s="978">
        <v>0.3</v>
      </c>
      <c r="N241" s="1140" t="s">
        <v>2272</v>
      </c>
      <c r="O241" s="978">
        <v>2.9893238434163694E-2</v>
      </c>
      <c r="P241" s="978">
        <f t="shared" si="15"/>
        <v>1.8023131672597861E-2</v>
      </c>
      <c r="Q241" s="1164">
        <f t="shared" si="16"/>
        <v>0.62093979833926449</v>
      </c>
      <c r="R241" s="1140"/>
      <c r="S241" s="1140">
        <f t="shared" si="17"/>
        <v>0</v>
      </c>
      <c r="T241" s="269"/>
      <c r="U241" s="269">
        <f t="shared" si="18"/>
        <v>0</v>
      </c>
      <c r="V241" s="269"/>
      <c r="W241" s="269">
        <f t="shared" si="19"/>
        <v>0</v>
      </c>
      <c r="X241" s="1140"/>
    </row>
    <row r="242" spans="1:24" hidden="1">
      <c r="A242" s="25"/>
      <c r="B242" s="1140" t="s">
        <v>1843</v>
      </c>
      <c r="C242" s="1140">
        <v>15353</v>
      </c>
      <c r="D242" s="23">
        <v>7591112063081</v>
      </c>
      <c r="E242" s="275" t="s">
        <v>4220</v>
      </c>
      <c r="F242" s="1140">
        <v>48</v>
      </c>
      <c r="G242" s="978">
        <v>33.11</v>
      </c>
      <c r="H242" s="978">
        <v>38.407599999999995</v>
      </c>
      <c r="I242" s="1164">
        <v>0.68979166666666669</v>
      </c>
      <c r="J242" s="900">
        <v>0.80015833333333319</v>
      </c>
      <c r="K242" s="978">
        <v>0.98275862068965514</v>
      </c>
      <c r="L242" s="978">
        <v>1.1399999999999999</v>
      </c>
      <c r="M242" s="978">
        <v>0.3</v>
      </c>
      <c r="N242" s="1140" t="s">
        <v>2272</v>
      </c>
      <c r="O242" s="978">
        <v>2.9860031104198992E-2</v>
      </c>
      <c r="P242" s="978">
        <f t="shared" si="15"/>
        <v>2.0597200622083929E-2</v>
      </c>
      <c r="Q242" s="1164">
        <f t="shared" si="16"/>
        <v>0.71038886728875061</v>
      </c>
      <c r="R242" s="1140"/>
      <c r="S242" s="1140">
        <f t="shared" si="17"/>
        <v>0</v>
      </c>
      <c r="T242" s="269"/>
      <c r="U242" s="269">
        <f t="shared" si="18"/>
        <v>0</v>
      </c>
      <c r="V242" s="269"/>
      <c r="W242" s="269">
        <f t="shared" si="19"/>
        <v>0</v>
      </c>
      <c r="X242" s="1140"/>
    </row>
    <row r="243" spans="1:24" hidden="1">
      <c r="A243" s="25"/>
      <c r="B243" s="1140"/>
      <c r="C243" s="1140">
        <v>15355</v>
      </c>
      <c r="D243" s="23">
        <v>7591112063098</v>
      </c>
      <c r="E243" s="275" t="s">
        <v>4221</v>
      </c>
      <c r="F243" s="1140">
        <v>48</v>
      </c>
      <c r="G243" s="978">
        <v>56.09</v>
      </c>
      <c r="H243" s="978">
        <v>65.064400000000006</v>
      </c>
      <c r="I243" s="1164">
        <v>1.1685416666666668</v>
      </c>
      <c r="J243" s="900">
        <v>1.3555083333333335</v>
      </c>
      <c r="K243" s="978">
        <v>1.6724137931034484</v>
      </c>
      <c r="L243" s="978">
        <v>1.94</v>
      </c>
      <c r="M243" s="978">
        <v>0.3</v>
      </c>
      <c r="N243" s="1140" t="s">
        <v>2272</v>
      </c>
      <c r="O243" s="978">
        <v>2.9930224017627571E-2</v>
      </c>
      <c r="P243" s="978">
        <f t="shared" si="15"/>
        <v>3.4974713857265222E-2</v>
      </c>
      <c r="Q243" s="1164">
        <f t="shared" si="16"/>
        <v>1.203516380523932</v>
      </c>
      <c r="R243" s="1140"/>
      <c r="S243" s="1140">
        <f t="shared" si="17"/>
        <v>0</v>
      </c>
      <c r="T243" s="269"/>
      <c r="U243" s="269">
        <f t="shared" si="18"/>
        <v>0</v>
      </c>
      <c r="V243" s="269"/>
      <c r="W243" s="269">
        <f t="shared" si="19"/>
        <v>0</v>
      </c>
      <c r="X243" s="1140"/>
    </row>
    <row r="244" spans="1:24">
      <c r="A244" s="25"/>
      <c r="B244" s="101" t="s">
        <v>4222</v>
      </c>
      <c r="C244" s="101"/>
      <c r="D244" s="1165"/>
      <c r="E244" s="1160"/>
      <c r="F244" s="101"/>
      <c r="G244" s="979"/>
      <c r="H244" s="979"/>
      <c r="I244" s="979"/>
      <c r="J244" s="1163"/>
      <c r="K244" s="979"/>
      <c r="L244" s="979"/>
      <c r="M244" s="979"/>
      <c r="R244" s="1140" t="s">
        <v>71</v>
      </c>
      <c r="S244" s="1140">
        <f>SUM(S130:S243)</f>
        <v>0</v>
      </c>
    </row>
    <row r="245" spans="1:24">
      <c r="A245" s="25"/>
      <c r="B245" s="101" t="s">
        <v>4223</v>
      </c>
      <c r="C245" s="101"/>
      <c r="D245" s="1165"/>
      <c r="E245" s="1160"/>
      <c r="F245" s="101"/>
      <c r="G245" s="979"/>
      <c r="H245" s="979"/>
      <c r="I245" s="979"/>
      <c r="J245" s="1163"/>
      <c r="K245" s="979"/>
      <c r="L245" s="979"/>
      <c r="M245" s="979"/>
      <c r="R245" s="1140" t="s">
        <v>61</v>
      </c>
      <c r="S245" s="1140">
        <f>+S244*16%</f>
        <v>0</v>
      </c>
    </row>
    <row r="246" spans="1:24">
      <c r="A246" s="25"/>
      <c r="B246" s="101" t="s">
        <v>4224</v>
      </c>
      <c r="C246" s="101"/>
      <c r="D246" s="1165"/>
      <c r="E246" s="1160"/>
      <c r="F246" s="101"/>
      <c r="G246" s="979"/>
      <c r="H246" s="979"/>
      <c r="I246" s="979"/>
      <c r="J246" s="1163"/>
      <c r="K246" s="979"/>
      <c r="L246" s="979"/>
      <c r="M246" s="979"/>
      <c r="R246" s="1140" t="s">
        <v>4231</v>
      </c>
      <c r="S246" s="1140">
        <f>+S244+S245</f>
        <v>0</v>
      </c>
    </row>
    <row r="247" spans="1:24">
      <c r="A247" s="25"/>
      <c r="B247" s="101"/>
      <c r="C247" s="101"/>
      <c r="D247" s="1165"/>
      <c r="E247" s="1160"/>
      <c r="F247" s="101"/>
    </row>
    <row r="248" spans="1:24">
      <c r="A248" s="25"/>
      <c r="B248" s="101" t="s">
        <v>4225</v>
      </c>
      <c r="C248" s="101"/>
      <c r="D248" s="1165"/>
      <c r="E248" s="1160"/>
      <c r="F248" s="101"/>
    </row>
    <row r="249" spans="1:24">
      <c r="A249" s="25"/>
      <c r="B249" s="101" t="s">
        <v>4226</v>
      </c>
      <c r="C249" s="101"/>
      <c r="D249" s="1165"/>
      <c r="E249" s="1160"/>
      <c r="F249" s="101"/>
    </row>
    <row r="250" spans="1:24">
      <c r="A250" s="25"/>
      <c r="B250" s="101" t="s">
        <v>4227</v>
      </c>
      <c r="C250" s="101"/>
      <c r="D250" s="1165"/>
      <c r="E250" s="1160"/>
      <c r="F250" s="101"/>
    </row>
    <row r="251" spans="1:24">
      <c r="A251" s="25"/>
      <c r="B251" s="101" t="s">
        <v>4228</v>
      </c>
      <c r="C251" s="101"/>
      <c r="D251" s="1165"/>
      <c r="E251" s="1160"/>
      <c r="F251" s="101"/>
    </row>
    <row r="252" spans="1:24">
      <c r="A252" s="25"/>
      <c r="B252" s="101" t="s">
        <v>4229</v>
      </c>
      <c r="C252" s="101"/>
      <c r="D252" s="1165"/>
      <c r="E252" s="1160"/>
      <c r="F252" s="101"/>
    </row>
    <row r="253" spans="1:24">
      <c r="A253" s="25"/>
      <c r="B253" s="101" t="s">
        <v>4230</v>
      </c>
      <c r="C253" s="101"/>
      <c r="D253" s="1165"/>
      <c r="E253" s="1160"/>
      <c r="F253" s="101"/>
    </row>
    <row r="254" spans="1:24">
      <c r="A254" s="25"/>
      <c r="B254" s="101"/>
      <c r="C254" s="101"/>
      <c r="D254" s="1165"/>
      <c r="E254" s="1160"/>
      <c r="F254" s="101"/>
    </row>
  </sheetData>
  <mergeCells count="2">
    <mergeCell ref="B7:G7"/>
    <mergeCell ref="H4:N4"/>
  </mergeCells>
  <pageMargins left="0" right="0" top="0" bottom="0" header="0" footer="0"/>
  <pageSetup paperSize="9" orientation="portrait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N34"/>
  <sheetViews>
    <sheetView workbookViewId="0">
      <selection activeCell="B15" sqref="B15"/>
    </sheetView>
  </sheetViews>
  <sheetFormatPr baseColWidth="10" defaultRowHeight="15"/>
  <cols>
    <col min="1" max="1" width="11.42578125" style="64"/>
    <col min="2" max="2" width="39.42578125" customWidth="1"/>
    <col min="3" max="3" width="12.28515625" customWidth="1"/>
    <col min="6" max="6" width="12.42578125" customWidth="1"/>
    <col min="10" max="10" width="17.28515625" bestFit="1" customWidth="1"/>
    <col min="11" max="11" width="11.5703125" bestFit="1" customWidth="1"/>
  </cols>
  <sheetData>
    <row r="2" spans="1:14" ht="57.75" customHeight="1"/>
    <row r="3" spans="1:14" ht="39">
      <c r="A3" s="2" t="s">
        <v>662</v>
      </c>
      <c r="B3" s="66" t="s">
        <v>1371</v>
      </c>
      <c r="C3" s="67" t="s">
        <v>636</v>
      </c>
      <c r="D3" s="67" t="s">
        <v>637</v>
      </c>
      <c r="E3" s="67" t="s">
        <v>638</v>
      </c>
      <c r="F3" s="67" t="s">
        <v>639</v>
      </c>
      <c r="G3" s="67" t="s">
        <v>640</v>
      </c>
      <c r="H3" s="67" t="s">
        <v>641</v>
      </c>
      <c r="I3" s="67" t="s">
        <v>642</v>
      </c>
      <c r="J3" s="67" t="s">
        <v>643</v>
      </c>
    </row>
    <row r="4" spans="1:14">
      <c r="A4" s="64">
        <v>1531</v>
      </c>
      <c r="B4" s="68" t="s">
        <v>644</v>
      </c>
      <c r="C4" s="69">
        <v>31</v>
      </c>
      <c r="D4" s="69">
        <v>9</v>
      </c>
      <c r="E4" s="69">
        <v>65</v>
      </c>
      <c r="F4" s="69">
        <v>32</v>
      </c>
      <c r="G4" s="69">
        <v>8</v>
      </c>
      <c r="H4" s="69">
        <v>6</v>
      </c>
      <c r="I4" s="69">
        <v>13</v>
      </c>
      <c r="J4" s="69">
        <v>19</v>
      </c>
      <c r="K4" s="70"/>
    </row>
    <row r="5" spans="1:14">
      <c r="A5" s="64">
        <v>909</v>
      </c>
      <c r="B5" s="71" t="s">
        <v>645</v>
      </c>
      <c r="C5" s="69">
        <v>3</v>
      </c>
      <c r="D5" s="69">
        <v>7</v>
      </c>
      <c r="E5" s="69">
        <v>26</v>
      </c>
      <c r="F5" s="69">
        <v>27</v>
      </c>
      <c r="G5" s="69">
        <v>1</v>
      </c>
      <c r="H5" s="69">
        <v>3</v>
      </c>
      <c r="I5" s="69">
        <v>5</v>
      </c>
      <c r="J5" s="69">
        <v>14</v>
      </c>
      <c r="K5" s="70"/>
      <c r="N5" s="69"/>
    </row>
    <row r="6" spans="1:14">
      <c r="A6" s="64">
        <v>913</v>
      </c>
      <c r="B6" s="72" t="s">
        <v>646</v>
      </c>
      <c r="C6" s="73">
        <v>237</v>
      </c>
      <c r="D6" s="73">
        <v>47</v>
      </c>
      <c r="E6" s="73">
        <v>139</v>
      </c>
      <c r="F6" s="73">
        <v>83</v>
      </c>
      <c r="G6" s="73">
        <v>34</v>
      </c>
      <c r="H6" s="73">
        <v>25</v>
      </c>
      <c r="I6" s="73">
        <v>59</v>
      </c>
      <c r="J6" s="73">
        <v>42</v>
      </c>
      <c r="K6" s="70"/>
      <c r="N6" s="69"/>
    </row>
    <row r="7" spans="1:14">
      <c r="A7" s="64">
        <v>916</v>
      </c>
      <c r="B7" s="72" t="s">
        <v>647</v>
      </c>
      <c r="C7" s="73">
        <v>2</v>
      </c>
      <c r="D7" s="73">
        <v>0</v>
      </c>
      <c r="E7" s="73">
        <v>5</v>
      </c>
      <c r="F7" s="73">
        <v>4</v>
      </c>
      <c r="G7" s="73">
        <v>0</v>
      </c>
      <c r="H7" s="73">
        <v>0</v>
      </c>
      <c r="I7" s="73">
        <v>1</v>
      </c>
      <c r="J7" s="73">
        <v>0</v>
      </c>
      <c r="K7" s="74" t="s">
        <v>648</v>
      </c>
      <c r="N7" s="73"/>
    </row>
    <row r="8" spans="1:14">
      <c r="B8" s="75"/>
      <c r="C8" s="73">
        <f t="shared" ref="C8:J8" si="0">SUM(C4:C7)</f>
        <v>273</v>
      </c>
      <c r="D8" s="73">
        <f t="shared" si="0"/>
        <v>63</v>
      </c>
      <c r="E8" s="73">
        <f t="shared" si="0"/>
        <v>235</v>
      </c>
      <c r="F8" s="73">
        <f t="shared" si="0"/>
        <v>146</v>
      </c>
      <c r="G8" s="73">
        <f t="shared" si="0"/>
        <v>43</v>
      </c>
      <c r="H8" s="73">
        <f t="shared" si="0"/>
        <v>34</v>
      </c>
      <c r="I8" s="73">
        <f t="shared" si="0"/>
        <v>78</v>
      </c>
      <c r="J8" s="73">
        <f t="shared" si="0"/>
        <v>75</v>
      </c>
      <c r="K8" s="76">
        <f>SUM(C8:J8)</f>
        <v>947</v>
      </c>
      <c r="N8" s="73"/>
    </row>
    <row r="9" spans="1:14" ht="30">
      <c r="C9" s="77"/>
      <c r="D9" s="77"/>
      <c r="E9" s="77"/>
      <c r="F9" s="77"/>
      <c r="G9" s="77"/>
      <c r="H9" s="77"/>
      <c r="I9" s="77"/>
      <c r="J9" s="78"/>
      <c r="K9" s="79" t="s">
        <v>649</v>
      </c>
      <c r="L9" s="80">
        <f>K8/6</f>
        <v>157.83333333333334</v>
      </c>
    </row>
    <row r="10" spans="1:14">
      <c r="C10" s="64"/>
      <c r="D10" s="64"/>
      <c r="E10" s="64"/>
      <c r="F10" s="64"/>
      <c r="G10" s="64"/>
      <c r="H10" s="64"/>
      <c r="I10" s="64"/>
      <c r="J10" s="64"/>
      <c r="K10" s="64"/>
    </row>
    <row r="11" spans="1:14">
      <c r="C11" s="64"/>
      <c r="D11" s="64"/>
      <c r="E11" s="64"/>
      <c r="F11" s="64"/>
      <c r="G11" s="64"/>
      <c r="H11" s="64"/>
      <c r="I11" s="64"/>
      <c r="J11" s="64"/>
      <c r="K11" s="64"/>
    </row>
    <row r="12" spans="1:14">
      <c r="B12" s="70" t="s">
        <v>65</v>
      </c>
      <c r="C12" s="70"/>
      <c r="D12" s="70"/>
      <c r="E12" s="70"/>
      <c r="F12" s="70"/>
      <c r="G12" s="70"/>
      <c r="H12" s="70"/>
      <c r="I12" s="70"/>
    </row>
    <row r="13" spans="1:14">
      <c r="B13" s="81" t="s">
        <v>650</v>
      </c>
      <c r="C13" s="2413" t="s">
        <v>65</v>
      </c>
      <c r="D13" s="2365"/>
      <c r="F13" s="2417" t="s">
        <v>661</v>
      </c>
      <c r="G13" s="2417"/>
      <c r="H13" s="2417"/>
      <c r="I13" s="2417"/>
    </row>
    <row r="14" spans="1:14" ht="15.75" thickBot="1">
      <c r="B14" s="6">
        <v>8.34</v>
      </c>
      <c r="C14" s="2415" t="s">
        <v>559</v>
      </c>
      <c r="D14" s="2415"/>
      <c r="F14" s="2416" t="s">
        <v>1372</v>
      </c>
      <c r="G14" s="2416"/>
      <c r="H14" s="2416"/>
      <c r="I14" s="2416"/>
      <c r="J14" t="s">
        <v>65</v>
      </c>
    </row>
    <row r="15" spans="1:14" ht="15.75" thickBot="1">
      <c r="B15" s="6">
        <f>B14*5%</f>
        <v>0.41700000000000004</v>
      </c>
      <c r="C15" s="2415" t="s">
        <v>651</v>
      </c>
      <c r="D15" s="2415"/>
      <c r="E15" s="70"/>
      <c r="F15" s="2418" t="s">
        <v>653</v>
      </c>
      <c r="G15" s="2419"/>
      <c r="H15" s="2420" t="s">
        <v>654</v>
      </c>
      <c r="I15" s="2421"/>
    </row>
    <row r="16" spans="1:14" ht="15.75" thickBot="1">
      <c r="B16" s="6">
        <f>B14-B15</f>
        <v>7.923</v>
      </c>
      <c r="C16" s="2415" t="s">
        <v>559</v>
      </c>
      <c r="D16" s="2415"/>
      <c r="E16" s="70"/>
      <c r="F16" s="2422">
        <f>B17*5%</f>
        <v>6.6025E-2</v>
      </c>
      <c r="G16" s="2423"/>
      <c r="H16" s="2424">
        <f>K8</f>
        <v>947</v>
      </c>
      <c r="I16" s="2425"/>
    </row>
    <row r="17" spans="2:12" ht="15.75" thickBot="1">
      <c r="B17" s="6">
        <f>B16/6</f>
        <v>1.3205</v>
      </c>
      <c r="C17" s="2427" t="s">
        <v>652</v>
      </c>
      <c r="D17" s="2427"/>
      <c r="E17" s="70"/>
      <c r="F17" s="70"/>
      <c r="G17" s="83"/>
      <c r="H17" s="83"/>
      <c r="I17" s="70"/>
    </row>
    <row r="18" spans="2:12" ht="15.75" thickBot="1">
      <c r="B18" s="6">
        <f>B17*24.4%</f>
        <v>0.32220199999999999</v>
      </c>
      <c r="C18" s="2415" t="s">
        <v>655</v>
      </c>
      <c r="D18" s="2415"/>
      <c r="E18" s="2428" t="s">
        <v>657</v>
      </c>
      <c r="F18" s="2429"/>
      <c r="G18" s="2429"/>
      <c r="H18" s="2429"/>
      <c r="I18" s="2430"/>
    </row>
    <row r="19" spans="2:12" ht="15.75" thickBot="1">
      <c r="B19" s="6">
        <f>B17+B18</f>
        <v>1.6427019999999999</v>
      </c>
      <c r="C19" s="2415" t="s">
        <v>656</v>
      </c>
      <c r="D19" s="2415"/>
      <c r="E19" s="2431">
        <f>F16*H16</f>
        <v>62.525675</v>
      </c>
      <c r="F19" s="2432"/>
      <c r="G19" s="2433"/>
      <c r="H19" s="84" t="s">
        <v>659</v>
      </c>
      <c r="I19" s="70"/>
    </row>
    <row r="20" spans="2:12">
      <c r="B20" s="6">
        <f>B19*16%</f>
        <v>0.26283232000000001</v>
      </c>
      <c r="C20" s="2415" t="s">
        <v>61</v>
      </c>
      <c r="D20" s="2415"/>
      <c r="E20" s="70"/>
      <c r="F20" s="70"/>
      <c r="G20" s="70"/>
      <c r="H20" s="70"/>
      <c r="I20" s="70"/>
    </row>
    <row r="21" spans="2:12">
      <c r="B21" s="6">
        <f>B19+B20</f>
        <v>1.9055343199999999</v>
      </c>
      <c r="C21" s="2415" t="s">
        <v>658</v>
      </c>
      <c r="D21" s="2415"/>
      <c r="I21" s="82"/>
    </row>
    <row r="22" spans="2:12">
      <c r="B22" s="5" t="s">
        <v>65</v>
      </c>
      <c r="C22" s="2415" t="s">
        <v>65</v>
      </c>
      <c r="D22" s="2415"/>
    </row>
    <row r="23" spans="2:12">
      <c r="B23" s="64"/>
    </row>
    <row r="24" spans="2:12">
      <c r="B24" s="64"/>
    </row>
    <row r="25" spans="2:12">
      <c r="B25" s="64"/>
      <c r="E25" s="2426">
        <f>E19*4057528.65</f>
        <v>253699717.67308873</v>
      </c>
      <c r="F25" s="2426"/>
      <c r="G25" s="2426"/>
      <c r="H25" s="85" t="s">
        <v>660</v>
      </c>
      <c r="J25" s="98">
        <v>235860000</v>
      </c>
      <c r="K25" s="448">
        <f>J25/4057528.65</f>
        <v>58.128979569866992</v>
      </c>
    </row>
    <row r="26" spans="2:12">
      <c r="D26" s="88" t="s">
        <v>61</v>
      </c>
      <c r="E26" s="2413">
        <f>E25*16%</f>
        <v>40591954.8276942</v>
      </c>
      <c r="F26" s="2413"/>
      <c r="G26" s="2413"/>
      <c r="J26" s="98"/>
      <c r="K26" s="98"/>
    </row>
    <row r="27" spans="2:12">
      <c r="E27" s="2414">
        <f>E25+E26</f>
        <v>294291672.50078291</v>
      </c>
      <c r="F27" s="2414"/>
      <c r="G27" s="2414"/>
      <c r="J27" s="98"/>
      <c r="K27" s="98">
        <f>K25-E19</f>
        <v>-4.3966954301330077</v>
      </c>
      <c r="L27" t="s">
        <v>245</v>
      </c>
    </row>
    <row r="29" spans="2:12">
      <c r="J29" s="98">
        <v>244580000</v>
      </c>
      <c r="K29" s="450">
        <f>J29/4057528.65</f>
        <v>60.278070987865981</v>
      </c>
      <c r="L29" s="99"/>
    </row>
    <row r="30" spans="2:12">
      <c r="J30" s="98"/>
      <c r="K30" s="98">
        <f>K29-62.97</f>
        <v>-2.6919290121340183</v>
      </c>
      <c r="L30" s="99"/>
    </row>
    <row r="31" spans="2:12">
      <c r="J31" s="98"/>
      <c r="K31" s="99"/>
      <c r="L31" s="99"/>
    </row>
    <row r="32" spans="2:12">
      <c r="J32" s="98"/>
      <c r="K32" s="99"/>
      <c r="L32" s="99"/>
    </row>
    <row r="33" spans="10:12">
      <c r="J33" s="98"/>
      <c r="K33" s="99"/>
      <c r="L33" s="99"/>
    </row>
    <row r="34" spans="10:12">
      <c r="J34" s="98"/>
      <c r="K34" s="98"/>
      <c r="L34" s="98"/>
    </row>
  </sheetData>
  <mergeCells count="21">
    <mergeCell ref="C18:D18"/>
    <mergeCell ref="E18:I18"/>
    <mergeCell ref="C19:D19"/>
    <mergeCell ref="E19:G19"/>
    <mergeCell ref="C20:D20"/>
    <mergeCell ref="E26:G26"/>
    <mergeCell ref="E27:G27"/>
    <mergeCell ref="C14:D14"/>
    <mergeCell ref="F14:I14"/>
    <mergeCell ref="C13:D13"/>
    <mergeCell ref="F13:I13"/>
    <mergeCell ref="C15:D15"/>
    <mergeCell ref="F15:G15"/>
    <mergeCell ref="H15:I15"/>
    <mergeCell ref="C16:D16"/>
    <mergeCell ref="F16:G16"/>
    <mergeCell ref="H16:I16"/>
    <mergeCell ref="C21:D21"/>
    <mergeCell ref="C22:D22"/>
    <mergeCell ref="E25:G25"/>
    <mergeCell ref="C17:D17"/>
  </mergeCells>
  <pageMargins left="0.7" right="0.7" top="0.75" bottom="0.75" header="0.3" footer="0.3"/>
  <pageSetup paperSize="9" orientation="landscape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2:P42"/>
  <sheetViews>
    <sheetView topLeftCell="A19" workbookViewId="0">
      <selection activeCell="F37" sqref="F37:M42"/>
    </sheetView>
  </sheetViews>
  <sheetFormatPr baseColWidth="10" defaultRowHeight="15"/>
  <cols>
    <col min="4" max="5" width="11.42578125" customWidth="1"/>
    <col min="6" max="6" width="38.28515625" customWidth="1"/>
    <col min="7" max="7" width="16" customWidth="1"/>
    <col min="8" max="9" width="6.5703125" hidden="1" customWidth="1"/>
    <col min="10" max="10" width="0" hidden="1" customWidth="1"/>
    <col min="11" max="11" width="7.140625" hidden="1" customWidth="1"/>
    <col min="12" max="12" width="6.7109375" hidden="1" customWidth="1"/>
    <col min="14" max="14" width="6.42578125" customWidth="1"/>
    <col min="15" max="15" width="6" customWidth="1"/>
  </cols>
  <sheetData>
    <row r="2" spans="2:6">
      <c r="D2" t="s">
        <v>1682</v>
      </c>
    </row>
    <row r="5" spans="2:6">
      <c r="B5" s="405" t="s">
        <v>254</v>
      </c>
      <c r="C5" s="405" t="s">
        <v>0</v>
      </c>
      <c r="D5" s="405" t="s">
        <v>122</v>
      </c>
      <c r="E5" s="405" t="s">
        <v>547</v>
      </c>
      <c r="F5" s="405" t="s">
        <v>1</v>
      </c>
    </row>
    <row r="6" spans="2:6">
      <c r="B6" s="405" t="s">
        <v>1683</v>
      </c>
      <c r="C6" s="405">
        <v>10564</v>
      </c>
      <c r="D6" s="405">
        <v>30</v>
      </c>
      <c r="E6" s="405">
        <v>0.75</v>
      </c>
      <c r="F6" s="405" t="s">
        <v>1684</v>
      </c>
    </row>
    <row r="7" spans="2:6">
      <c r="B7" s="405" t="s">
        <v>1683</v>
      </c>
      <c r="C7" s="405">
        <v>10565</v>
      </c>
      <c r="D7" s="405">
        <v>25</v>
      </c>
      <c r="E7" s="405">
        <v>0.72</v>
      </c>
      <c r="F7" s="405" t="s">
        <v>1685</v>
      </c>
    </row>
    <row r="8" spans="2:6">
      <c r="B8" s="405" t="s">
        <v>1683</v>
      </c>
      <c r="C8" s="405">
        <v>10566</v>
      </c>
      <c r="D8" s="405">
        <v>25</v>
      </c>
      <c r="E8" s="405">
        <v>0.6</v>
      </c>
      <c r="F8" s="405" t="s">
        <v>1686</v>
      </c>
    </row>
    <row r="9" spans="2:6">
      <c r="B9" s="405" t="s">
        <v>1683</v>
      </c>
      <c r="C9" s="405">
        <v>10567</v>
      </c>
      <c r="D9" s="405">
        <v>30</v>
      </c>
      <c r="E9" s="405">
        <v>0.65</v>
      </c>
      <c r="F9" s="405" t="s">
        <v>1687</v>
      </c>
    </row>
    <row r="10" spans="2:6">
      <c r="B10" s="405" t="s">
        <v>1683</v>
      </c>
      <c r="C10" s="405">
        <v>10568</v>
      </c>
      <c r="D10" s="405">
        <v>20</v>
      </c>
      <c r="E10" s="405">
        <v>0.82</v>
      </c>
      <c r="F10" s="405" t="s">
        <v>1688</v>
      </c>
    </row>
    <row r="11" spans="2:6" s="404" customFormat="1">
      <c r="B11" s="405"/>
      <c r="C11" s="405"/>
      <c r="D11" s="405"/>
      <c r="E11" s="405"/>
      <c r="F11" s="405"/>
    </row>
    <row r="12" spans="2:6">
      <c r="B12" s="405" t="s">
        <v>1689</v>
      </c>
      <c r="C12" s="405">
        <v>10565</v>
      </c>
      <c r="D12" s="405">
        <v>25</v>
      </c>
      <c r="E12" s="405">
        <v>216000</v>
      </c>
      <c r="F12" s="405" t="s">
        <v>1685</v>
      </c>
    </row>
    <row r="13" spans="2:6">
      <c r="B13" s="405" t="s">
        <v>1689</v>
      </c>
      <c r="C13" s="405">
        <v>10566</v>
      </c>
      <c r="D13" s="405">
        <v>25</v>
      </c>
      <c r="E13" s="405">
        <v>180000</v>
      </c>
      <c r="F13" s="405" t="s">
        <v>1686</v>
      </c>
    </row>
    <row r="14" spans="2:6">
      <c r="B14" s="405" t="s">
        <v>1689</v>
      </c>
      <c r="C14" s="405">
        <v>10568</v>
      </c>
      <c r="D14" s="405">
        <v>20</v>
      </c>
      <c r="E14" s="405">
        <v>247500</v>
      </c>
      <c r="F14" s="405" t="s">
        <v>1688</v>
      </c>
    </row>
    <row r="15" spans="2:6" s="404" customFormat="1">
      <c r="B15" s="405"/>
      <c r="C15" s="405"/>
      <c r="D15" s="405"/>
      <c r="E15" s="405"/>
      <c r="F15" s="405"/>
    </row>
    <row r="16" spans="2:6">
      <c r="B16" s="405" t="s">
        <v>1690</v>
      </c>
      <c r="C16" s="405">
        <v>10567</v>
      </c>
      <c r="D16" s="405">
        <v>60</v>
      </c>
      <c r="E16" s="405">
        <v>227500</v>
      </c>
      <c r="F16" s="405" t="s">
        <v>1687</v>
      </c>
    </row>
    <row r="17" spans="2:6" s="404" customFormat="1">
      <c r="B17" s="405"/>
      <c r="C17" s="405"/>
      <c r="D17" s="405"/>
      <c r="E17" s="405"/>
      <c r="F17" s="405"/>
    </row>
    <row r="18" spans="2:6">
      <c r="B18" s="405" t="s">
        <v>1691</v>
      </c>
      <c r="C18" s="405">
        <v>10565</v>
      </c>
      <c r="D18" s="405">
        <v>25</v>
      </c>
      <c r="E18" s="405">
        <v>0.86</v>
      </c>
      <c r="F18" s="405" t="s">
        <v>1685</v>
      </c>
    </row>
    <row r="19" spans="2:6">
      <c r="B19" s="405" t="s">
        <v>1691</v>
      </c>
      <c r="C19" s="405">
        <v>10566</v>
      </c>
      <c r="D19" s="405">
        <v>25</v>
      </c>
      <c r="E19" s="405">
        <v>0.72</v>
      </c>
      <c r="F19" s="405" t="s">
        <v>1686</v>
      </c>
    </row>
    <row r="20" spans="2:6">
      <c r="B20" s="405" t="s">
        <v>1691</v>
      </c>
      <c r="C20" s="405">
        <v>10567</v>
      </c>
      <c r="D20" s="405">
        <v>30</v>
      </c>
      <c r="E20" s="405">
        <v>0.78</v>
      </c>
      <c r="F20" s="405" t="s">
        <v>1687</v>
      </c>
    </row>
    <row r="21" spans="2:6">
      <c r="B21" s="405" t="s">
        <v>1691</v>
      </c>
      <c r="C21" s="405">
        <v>10568</v>
      </c>
      <c r="D21" s="405">
        <v>20</v>
      </c>
      <c r="E21" s="405">
        <v>0.99</v>
      </c>
      <c r="F21" s="405" t="s">
        <v>1688</v>
      </c>
    </row>
    <row r="22" spans="2:6">
      <c r="B22" s="405" t="s">
        <v>1691</v>
      </c>
      <c r="C22" s="405">
        <v>12902</v>
      </c>
      <c r="D22" s="405">
        <v>30</v>
      </c>
      <c r="E22" s="405">
        <v>0.9</v>
      </c>
      <c r="F22" s="405" t="s">
        <v>1692</v>
      </c>
    </row>
    <row r="23" spans="2:6" s="404" customFormat="1">
      <c r="B23" s="405"/>
      <c r="C23" s="405"/>
      <c r="D23" s="405"/>
      <c r="E23" s="405"/>
      <c r="F23" s="405"/>
    </row>
    <row r="24" spans="2:6">
      <c r="B24" s="405" t="s">
        <v>1693</v>
      </c>
      <c r="C24" s="405">
        <v>10565</v>
      </c>
      <c r="D24" s="405">
        <v>50</v>
      </c>
      <c r="E24" s="405">
        <v>0.78</v>
      </c>
      <c r="F24" s="405" t="s">
        <v>1685</v>
      </c>
    </row>
    <row r="25" spans="2:6">
      <c r="B25" s="405" t="s">
        <v>1693</v>
      </c>
      <c r="C25" s="405">
        <v>10566</v>
      </c>
      <c r="D25" s="405">
        <v>50</v>
      </c>
      <c r="E25" s="405">
        <v>0.64</v>
      </c>
      <c r="F25" s="405" t="s">
        <v>1686</v>
      </c>
    </row>
    <row r="26" spans="2:6">
      <c r="B26" s="405" t="s">
        <v>1693</v>
      </c>
      <c r="C26" s="405">
        <v>10567</v>
      </c>
      <c r="D26" s="405">
        <v>60</v>
      </c>
      <c r="E26" s="405">
        <v>0.7</v>
      </c>
      <c r="F26" s="405" t="s">
        <v>1687</v>
      </c>
    </row>
    <row r="27" spans="2:6">
      <c r="B27" s="405" t="s">
        <v>1693</v>
      </c>
      <c r="C27" s="405">
        <v>10568</v>
      </c>
      <c r="D27" s="405">
        <v>40</v>
      </c>
      <c r="E27" s="405">
        <v>0.9</v>
      </c>
      <c r="F27" s="405" t="s">
        <v>1688</v>
      </c>
    </row>
    <row r="28" spans="2:6">
      <c r="B28" s="405" t="s">
        <v>1693</v>
      </c>
      <c r="C28" s="405">
        <v>12902</v>
      </c>
      <c r="D28" s="405">
        <v>30</v>
      </c>
      <c r="E28" s="405">
        <v>1.5</v>
      </c>
      <c r="F28" s="405" t="s">
        <v>1692</v>
      </c>
    </row>
    <row r="29" spans="2:6" s="404" customFormat="1">
      <c r="B29" s="405"/>
      <c r="C29" s="405"/>
      <c r="D29" s="405"/>
      <c r="E29" s="405"/>
      <c r="F29" s="405"/>
    </row>
    <row r="30" spans="2:6">
      <c r="B30" s="405" t="s">
        <v>1651</v>
      </c>
      <c r="C30" s="405">
        <v>10566</v>
      </c>
      <c r="D30" s="405">
        <v>75</v>
      </c>
      <c r="E30" s="405">
        <v>1.45</v>
      </c>
      <c r="F30" s="405" t="s">
        <v>1686</v>
      </c>
    </row>
    <row r="31" spans="2:6">
      <c r="B31" s="405" t="s">
        <v>1651</v>
      </c>
      <c r="C31" s="405">
        <v>10568</v>
      </c>
      <c r="D31" s="405">
        <v>60</v>
      </c>
      <c r="E31" s="405">
        <v>1.97</v>
      </c>
      <c r="F31" s="405" t="s">
        <v>1688</v>
      </c>
    </row>
    <row r="32" spans="2:6">
      <c r="B32" s="405" t="s">
        <v>1651</v>
      </c>
      <c r="C32" s="405">
        <v>12902</v>
      </c>
      <c r="D32" s="405">
        <v>60</v>
      </c>
      <c r="E32" s="405">
        <v>1.64</v>
      </c>
      <c r="F32" s="405" t="s">
        <v>1692</v>
      </c>
    </row>
    <row r="37" spans="2:16" ht="45">
      <c r="C37" s="405" t="s">
        <v>0</v>
      </c>
      <c r="D37" s="405" t="s">
        <v>122</v>
      </c>
      <c r="E37" s="405" t="s">
        <v>547</v>
      </c>
      <c r="F37" s="989" t="s">
        <v>1</v>
      </c>
      <c r="G37" s="93" t="s">
        <v>19</v>
      </c>
      <c r="H37" s="93" t="s">
        <v>1694</v>
      </c>
      <c r="I37" s="93" t="s">
        <v>111</v>
      </c>
      <c r="J37" s="93" t="s">
        <v>20</v>
      </c>
      <c r="K37" s="93" t="s">
        <v>1694</v>
      </c>
      <c r="L37" s="93" t="s">
        <v>111</v>
      </c>
      <c r="M37" s="93" t="s">
        <v>21</v>
      </c>
      <c r="N37" s="93" t="s">
        <v>1694</v>
      </c>
      <c r="O37" s="93" t="s">
        <v>111</v>
      </c>
      <c r="P37" s="404"/>
    </row>
    <row r="38" spans="2:16">
      <c r="B38" s="405"/>
      <c r="C38" s="405">
        <v>10565</v>
      </c>
      <c r="D38" s="405">
        <v>25</v>
      </c>
      <c r="E38" s="405">
        <v>0.86</v>
      </c>
      <c r="F38" s="21" t="s">
        <v>1685</v>
      </c>
      <c r="G38" s="989">
        <v>2</v>
      </c>
      <c r="H38" s="405"/>
      <c r="I38" s="405"/>
      <c r="J38" s="405"/>
      <c r="K38" s="405"/>
      <c r="L38" s="405"/>
      <c r="M38" s="989">
        <v>1</v>
      </c>
      <c r="N38" s="405"/>
      <c r="O38" s="405"/>
    </row>
    <row r="39" spans="2:16">
      <c r="B39" s="405"/>
      <c r="C39" s="405">
        <v>10566</v>
      </c>
      <c r="D39" s="405">
        <v>25</v>
      </c>
      <c r="E39" s="405">
        <v>0.72</v>
      </c>
      <c r="F39" s="21" t="s">
        <v>1686</v>
      </c>
      <c r="G39" s="989">
        <v>2</v>
      </c>
      <c r="H39" s="405"/>
      <c r="I39" s="405"/>
      <c r="J39" s="405"/>
      <c r="K39" s="405"/>
      <c r="L39" s="405"/>
      <c r="M39" s="989">
        <v>1</v>
      </c>
      <c r="N39" s="405"/>
      <c r="O39" s="405"/>
    </row>
    <row r="40" spans="2:16">
      <c r="B40" s="405"/>
      <c r="C40" s="405">
        <v>10567</v>
      </c>
      <c r="D40" s="405">
        <v>30</v>
      </c>
      <c r="E40" s="405">
        <v>0.78</v>
      </c>
      <c r="F40" s="21" t="s">
        <v>1687</v>
      </c>
      <c r="G40" s="989">
        <v>2</v>
      </c>
      <c r="H40" s="405"/>
      <c r="I40" s="405"/>
      <c r="J40" s="405"/>
      <c r="K40" s="405"/>
      <c r="L40" s="405"/>
      <c r="M40" s="989">
        <v>1</v>
      </c>
      <c r="N40" s="405"/>
      <c r="O40" s="405"/>
    </row>
    <row r="41" spans="2:16">
      <c r="B41" s="405"/>
      <c r="C41" s="405">
        <v>10568</v>
      </c>
      <c r="D41" s="405">
        <v>20</v>
      </c>
      <c r="E41" s="405">
        <v>0.99</v>
      </c>
      <c r="F41" s="21" t="s">
        <v>1688</v>
      </c>
      <c r="G41" s="989">
        <v>2</v>
      </c>
      <c r="H41" s="405"/>
      <c r="I41" s="405"/>
      <c r="J41" s="405"/>
      <c r="K41" s="405"/>
      <c r="L41" s="405"/>
      <c r="M41" s="989">
        <v>1</v>
      </c>
      <c r="N41" s="405"/>
      <c r="O41" s="405"/>
    </row>
    <row r="42" spans="2:16">
      <c r="B42" s="405"/>
      <c r="C42" s="405">
        <v>12902</v>
      </c>
      <c r="D42" s="405">
        <v>30</v>
      </c>
      <c r="E42" s="405">
        <v>0.9</v>
      </c>
      <c r="F42" s="21" t="s">
        <v>1692</v>
      </c>
      <c r="G42" s="989">
        <v>2</v>
      </c>
      <c r="H42" s="405"/>
      <c r="I42" s="405"/>
      <c r="J42" s="405"/>
      <c r="K42" s="405"/>
      <c r="L42" s="405"/>
      <c r="M42" s="989">
        <v>1</v>
      </c>
      <c r="N42" s="405"/>
      <c r="O42" s="405"/>
    </row>
  </sheetData>
  <pageMargins left="0.7" right="0.7" top="0.75" bottom="0.75" header="0.3" footer="0.3"/>
  <pageSetup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K100"/>
  <sheetViews>
    <sheetView topLeftCell="B47" workbookViewId="0">
      <selection activeCell="C49" sqref="C49:G79"/>
    </sheetView>
  </sheetViews>
  <sheetFormatPr baseColWidth="10" defaultRowHeight="15"/>
  <cols>
    <col min="1" max="1" width="0" hidden="1" customWidth="1"/>
    <col min="2" max="2" width="11.42578125" style="346"/>
    <col min="3" max="3" width="51.7109375" customWidth="1"/>
    <col min="4" max="4" width="10.85546875" style="1699" hidden="1" customWidth="1"/>
    <col min="5" max="5" width="8.42578125" style="346" customWidth="1"/>
  </cols>
  <sheetData>
    <row r="1" spans="2:7">
      <c r="C1" t="s">
        <v>3152</v>
      </c>
    </row>
    <row r="2" spans="2:7" s="110" customFormat="1">
      <c r="B2" s="350"/>
      <c r="D2" s="1699"/>
      <c r="E2" s="350"/>
    </row>
    <row r="3" spans="2:7" s="110" customFormat="1">
      <c r="B3" s="350"/>
      <c r="D3" s="1699"/>
      <c r="E3" s="350"/>
    </row>
    <row r="6" spans="2:7" s="110" customFormat="1" ht="51" customHeight="1">
      <c r="B6" s="87"/>
      <c r="C6" s="87"/>
      <c r="D6" s="1701"/>
      <c r="E6" s="87" t="s">
        <v>68</v>
      </c>
      <c r="G6" s="658" t="s">
        <v>3151</v>
      </c>
    </row>
    <row r="7" spans="2:7" s="110" customFormat="1" ht="21" customHeight="1">
      <c r="B7" s="405">
        <v>3228</v>
      </c>
      <c r="C7" s="405" t="s">
        <v>1388</v>
      </c>
      <c r="D7" s="1701"/>
      <c r="E7" s="87">
        <v>100</v>
      </c>
      <c r="F7" s="110" t="s">
        <v>1420</v>
      </c>
    </row>
    <row r="8" spans="2:7" hidden="1">
      <c r="B8" s="405">
        <v>15121</v>
      </c>
      <c r="C8" s="405" t="s">
        <v>1382</v>
      </c>
      <c r="D8" s="1701"/>
      <c r="E8" s="87" t="s">
        <v>65</v>
      </c>
      <c r="F8" s="110" t="s">
        <v>1420</v>
      </c>
    </row>
    <row r="9" spans="2:7">
      <c r="B9" s="405">
        <v>19921</v>
      </c>
      <c r="C9" s="405" t="s">
        <v>2376</v>
      </c>
      <c r="D9" s="1701"/>
      <c r="E9" s="87">
        <v>100</v>
      </c>
      <c r="F9" s="110" t="s">
        <v>1420</v>
      </c>
    </row>
    <row r="10" spans="2:7" s="404" customFormat="1" hidden="1">
      <c r="B10" s="405">
        <v>10172</v>
      </c>
      <c r="C10" s="405" t="s">
        <v>1381</v>
      </c>
      <c r="D10" s="1701"/>
      <c r="E10" s="531" t="s">
        <v>65</v>
      </c>
      <c r="F10" s="404" t="s">
        <v>1420</v>
      </c>
    </row>
    <row r="11" spans="2:7">
      <c r="B11" s="405">
        <v>14490</v>
      </c>
      <c r="C11" s="405" t="s">
        <v>1376</v>
      </c>
      <c r="D11" s="1701"/>
      <c r="E11" s="87">
        <v>100</v>
      </c>
      <c r="F11" s="404" t="s">
        <v>1420</v>
      </c>
    </row>
    <row r="12" spans="2:7" ht="15" hidden="1" customHeight="1">
      <c r="B12" s="405">
        <v>14657</v>
      </c>
      <c r="C12" s="405" t="s">
        <v>1380</v>
      </c>
      <c r="D12" s="1701"/>
      <c r="E12" s="87" t="s">
        <v>65</v>
      </c>
      <c r="F12" s="404" t="s">
        <v>1420</v>
      </c>
    </row>
    <row r="13" spans="2:7" ht="15" hidden="1" customHeight="1">
      <c r="B13" s="405">
        <v>15716</v>
      </c>
      <c r="C13" s="405" t="s">
        <v>1387</v>
      </c>
      <c r="D13" s="1701"/>
      <c r="E13" s="87"/>
      <c r="F13" s="404" t="s">
        <v>1420</v>
      </c>
    </row>
    <row r="14" spans="2:7">
      <c r="B14" s="405">
        <v>14543</v>
      </c>
      <c r="C14" s="405" t="s">
        <v>1378</v>
      </c>
      <c r="D14" s="1701"/>
      <c r="E14" s="87">
        <v>20</v>
      </c>
      <c r="F14" s="404" t="s">
        <v>1420</v>
      </c>
    </row>
    <row r="15" spans="2:7">
      <c r="B15" s="405">
        <v>14548</v>
      </c>
      <c r="C15" s="405" t="s">
        <v>1379</v>
      </c>
      <c r="D15" s="1701"/>
      <c r="E15" s="87">
        <v>20</v>
      </c>
      <c r="F15" s="404" t="s">
        <v>1420</v>
      </c>
    </row>
    <row r="16" spans="2:7" hidden="1">
      <c r="B16" s="405">
        <v>14489</v>
      </c>
      <c r="C16" s="405" t="s">
        <v>1375</v>
      </c>
      <c r="D16" s="1701"/>
      <c r="E16" s="87" t="s">
        <v>65</v>
      </c>
      <c r="F16" s="404" t="s">
        <v>1420</v>
      </c>
    </row>
    <row r="17" spans="2:7">
      <c r="B17" s="405">
        <v>14495</v>
      </c>
      <c r="C17" s="405" t="s">
        <v>1377</v>
      </c>
      <c r="D17" s="1701"/>
      <c r="E17" s="87">
        <v>20</v>
      </c>
      <c r="F17" s="404" t="s">
        <v>1420</v>
      </c>
    </row>
    <row r="18" spans="2:7" s="404" customFormat="1" ht="15.75" thickBot="1">
      <c r="B18" s="405">
        <v>20773</v>
      </c>
      <c r="C18" s="355" t="s">
        <v>2415</v>
      </c>
      <c r="D18" s="1087"/>
      <c r="E18" s="531">
        <v>20</v>
      </c>
      <c r="F18" s="404" t="s">
        <v>1420</v>
      </c>
    </row>
    <row r="19" spans="2:7" s="404" customFormat="1" ht="15.75" thickBot="1">
      <c r="B19" s="405">
        <v>20774</v>
      </c>
      <c r="C19" s="355" t="s">
        <v>2416</v>
      </c>
      <c r="D19" s="1087"/>
      <c r="E19" s="531">
        <v>20</v>
      </c>
      <c r="F19" s="404" t="s">
        <v>1420</v>
      </c>
    </row>
    <row r="20" spans="2:7" s="110" customFormat="1">
      <c r="B20" s="405">
        <v>15221</v>
      </c>
      <c r="C20" s="405" t="s">
        <v>1384</v>
      </c>
      <c r="D20" s="1701"/>
      <c r="E20" s="87">
        <v>0</v>
      </c>
      <c r="F20" s="404" t="s">
        <v>1420</v>
      </c>
    </row>
    <row r="21" spans="2:7">
      <c r="B21" s="405">
        <v>15222</v>
      </c>
      <c r="C21" s="405" t="s">
        <v>1385</v>
      </c>
      <c r="D21" s="1701"/>
      <c r="E21" s="87">
        <v>0</v>
      </c>
      <c r="F21" s="404" t="s">
        <v>1420</v>
      </c>
    </row>
    <row r="22" spans="2:7" hidden="1">
      <c r="B22" s="405">
        <v>7858</v>
      </c>
      <c r="C22" s="405" t="s">
        <v>1386</v>
      </c>
      <c r="D22" s="1701"/>
      <c r="E22" s="87" t="s">
        <v>65</v>
      </c>
    </row>
    <row r="23" spans="2:7" hidden="1">
      <c r="B23" s="405">
        <v>9914</v>
      </c>
      <c r="C23" s="405" t="s">
        <v>1383</v>
      </c>
      <c r="D23" s="1701"/>
      <c r="E23" s="87" t="s">
        <v>65</v>
      </c>
    </row>
    <row r="24" spans="2:7" hidden="1">
      <c r="B24" s="531">
        <v>9914</v>
      </c>
      <c r="C24" s="405" t="s">
        <v>1383</v>
      </c>
      <c r="D24" s="1701"/>
      <c r="E24" s="87" t="s">
        <v>65</v>
      </c>
    </row>
    <row r="25" spans="2:7" hidden="1">
      <c r="B25" s="405"/>
      <c r="C25" s="111"/>
      <c r="D25" s="1701"/>
      <c r="E25" s="87" t="s">
        <v>65</v>
      </c>
    </row>
    <row r="27" spans="2:7" s="110" customFormat="1" ht="15.75">
      <c r="B27" s="351"/>
      <c r="D27" s="1699"/>
    </row>
    <row r="28" spans="2:7" ht="39" thickBot="1">
      <c r="B28" s="352" t="s">
        <v>1395</v>
      </c>
      <c r="C28" s="353" t="s">
        <v>1396</v>
      </c>
      <c r="D28" s="353"/>
      <c r="E28" s="353" t="s">
        <v>2412</v>
      </c>
      <c r="F28" s="353" t="s">
        <v>1397</v>
      </c>
      <c r="G28" s="658" t="s">
        <v>552</v>
      </c>
    </row>
    <row r="29" spans="2:7" ht="15.75" thickBot="1">
      <c r="B29" s="354" t="s">
        <v>1398</v>
      </c>
      <c r="C29" s="355" t="s">
        <v>1399</v>
      </c>
      <c r="D29" s="1088"/>
      <c r="E29" s="534">
        <v>24</v>
      </c>
      <c r="F29" s="659">
        <v>0.55000000000000004</v>
      </c>
      <c r="G29" s="653">
        <f>E29*F29</f>
        <v>13.200000000000001</v>
      </c>
    </row>
    <row r="30" spans="2:7" ht="15.75" thickBot="1">
      <c r="B30" s="354" t="s">
        <v>1400</v>
      </c>
      <c r="C30" s="355" t="s">
        <v>1401</v>
      </c>
      <c r="D30" s="1088"/>
      <c r="E30" s="534">
        <v>24</v>
      </c>
      <c r="F30" s="659">
        <v>0.55000000000000004</v>
      </c>
      <c r="G30" s="653">
        <f t="shared" ref="G30:G45" si="0">E30*F30</f>
        <v>13.200000000000001</v>
      </c>
    </row>
    <row r="31" spans="2:7" ht="15.75" thickBot="1">
      <c r="B31" s="354" t="s">
        <v>1402</v>
      </c>
      <c r="C31" s="355" t="s">
        <v>1403</v>
      </c>
      <c r="D31" s="1088"/>
      <c r="E31" s="534">
        <v>12</v>
      </c>
      <c r="F31" s="659">
        <v>1.3</v>
      </c>
      <c r="G31" s="653">
        <f t="shared" si="0"/>
        <v>15.600000000000001</v>
      </c>
    </row>
    <row r="32" spans="2:7" ht="15.75" thickBot="1">
      <c r="B32" s="354" t="s">
        <v>1404</v>
      </c>
      <c r="C32" s="355" t="s">
        <v>1405</v>
      </c>
      <c r="D32" s="1088"/>
      <c r="E32" s="534">
        <v>10</v>
      </c>
      <c r="F32" s="659">
        <v>1.3</v>
      </c>
      <c r="G32" s="653">
        <f t="shared" si="0"/>
        <v>13</v>
      </c>
    </row>
    <row r="33" spans="1:8" ht="26.25" hidden="1" thickBot="1">
      <c r="B33" s="354" t="s">
        <v>1406</v>
      </c>
      <c r="C33" s="355" t="s">
        <v>1407</v>
      </c>
      <c r="D33" s="1088"/>
      <c r="E33" s="534">
        <v>12</v>
      </c>
      <c r="F33" s="659">
        <v>1.3</v>
      </c>
      <c r="G33" s="653">
        <f t="shared" si="0"/>
        <v>15.600000000000001</v>
      </c>
    </row>
    <row r="34" spans="1:8" ht="15.75" thickBot="1">
      <c r="B34" s="354" t="s">
        <v>1408</v>
      </c>
      <c r="C34" s="355" t="s">
        <v>1409</v>
      </c>
      <c r="D34" s="1088"/>
      <c r="E34" s="534">
        <v>10</v>
      </c>
      <c r="F34" s="659">
        <v>1.3</v>
      </c>
      <c r="G34" s="653">
        <f t="shared" si="0"/>
        <v>13</v>
      </c>
    </row>
    <row r="35" spans="1:8" ht="15.75" thickBot="1">
      <c r="B35" s="354" t="s">
        <v>1410</v>
      </c>
      <c r="C35" s="355" t="s">
        <v>1411</v>
      </c>
      <c r="D35" s="1088"/>
      <c r="E35" s="534">
        <v>10</v>
      </c>
      <c r="F35" s="659">
        <v>1.3</v>
      </c>
      <c r="G35" s="653">
        <f t="shared" si="0"/>
        <v>13</v>
      </c>
    </row>
    <row r="36" spans="1:8" s="404" customFormat="1" ht="15.75" thickBot="1">
      <c r="B36" s="354"/>
      <c r="C36" s="355" t="s">
        <v>2413</v>
      </c>
      <c r="D36" s="1088"/>
      <c r="E36" s="534">
        <v>10</v>
      </c>
      <c r="F36" s="659">
        <v>1</v>
      </c>
      <c r="G36" s="653">
        <f t="shared" si="0"/>
        <v>10</v>
      </c>
    </row>
    <row r="37" spans="1:8" s="404" customFormat="1" ht="15.75" thickBot="1">
      <c r="B37" s="354"/>
      <c r="C37" s="355" t="s">
        <v>2414</v>
      </c>
      <c r="D37" s="1088"/>
      <c r="E37" s="534">
        <v>10</v>
      </c>
      <c r="F37" s="659">
        <v>1</v>
      </c>
      <c r="G37" s="653">
        <f t="shared" si="0"/>
        <v>10</v>
      </c>
    </row>
    <row r="38" spans="1:8" ht="15.75" thickBot="1">
      <c r="B38" s="354" t="s">
        <v>1412</v>
      </c>
      <c r="C38" s="355" t="s">
        <v>1413</v>
      </c>
      <c r="D38" s="1088"/>
      <c r="E38" s="534">
        <v>20</v>
      </c>
      <c r="F38" s="987">
        <v>1</v>
      </c>
      <c r="G38" s="653">
        <f t="shared" si="0"/>
        <v>20</v>
      </c>
    </row>
    <row r="39" spans="1:8" ht="15.75" thickBot="1">
      <c r="B39" s="354" t="s">
        <v>1414</v>
      </c>
      <c r="C39" s="355" t="s">
        <v>1415</v>
      </c>
      <c r="D39" s="1088"/>
      <c r="E39" s="534">
        <v>20</v>
      </c>
      <c r="F39" s="987">
        <v>1.05</v>
      </c>
      <c r="G39" s="653">
        <f t="shared" si="0"/>
        <v>21</v>
      </c>
      <c r="H39">
        <f>+G39*E59</f>
        <v>1470</v>
      </c>
    </row>
    <row r="40" spans="1:8" s="827" customFormat="1" ht="15.75" thickBot="1">
      <c r="B40" s="354"/>
      <c r="C40" s="355" t="s">
        <v>3808</v>
      </c>
      <c r="D40" s="1088"/>
      <c r="E40" s="534">
        <v>20</v>
      </c>
      <c r="F40" s="987">
        <v>1</v>
      </c>
      <c r="G40" s="981">
        <f t="shared" si="0"/>
        <v>20</v>
      </c>
      <c r="H40" s="1594">
        <f>+G40*E61</f>
        <v>1400</v>
      </c>
    </row>
    <row r="41" spans="1:8" s="827" customFormat="1" ht="15.75" thickBot="1">
      <c r="B41" s="354"/>
      <c r="C41" s="355" t="s">
        <v>3809</v>
      </c>
      <c r="D41" s="1088"/>
      <c r="E41" s="534">
        <v>20</v>
      </c>
      <c r="F41" s="987">
        <v>1.05</v>
      </c>
      <c r="G41" s="981">
        <f t="shared" si="0"/>
        <v>21</v>
      </c>
    </row>
    <row r="42" spans="1:8" ht="15.75" thickBot="1">
      <c r="B42" s="21">
        <v>14490</v>
      </c>
      <c r="C42" s="355" t="s">
        <v>1416</v>
      </c>
      <c r="D42" s="1088"/>
      <c r="E42" s="534">
        <v>12</v>
      </c>
      <c r="F42" s="659">
        <v>2.25</v>
      </c>
      <c r="G42" s="653">
        <f t="shared" si="0"/>
        <v>27</v>
      </c>
    </row>
    <row r="43" spans="1:8" ht="15.75" thickBot="1">
      <c r="B43" s="21">
        <v>3228</v>
      </c>
      <c r="C43" s="355" t="s">
        <v>1417</v>
      </c>
      <c r="D43" s="1088"/>
      <c r="E43" s="534">
        <v>12</v>
      </c>
      <c r="F43" s="659">
        <v>2.15</v>
      </c>
      <c r="G43" s="653">
        <f t="shared" si="0"/>
        <v>25.799999999999997</v>
      </c>
    </row>
    <row r="44" spans="1:8" ht="15.75" thickBot="1">
      <c r="B44" s="21">
        <v>10172</v>
      </c>
      <c r="C44" s="355" t="s">
        <v>1418</v>
      </c>
      <c r="D44" s="1088"/>
      <c r="E44" s="534">
        <v>24</v>
      </c>
      <c r="F44" s="659">
        <v>1.2</v>
      </c>
      <c r="G44" s="653">
        <f t="shared" si="0"/>
        <v>28.799999999999997</v>
      </c>
    </row>
    <row r="45" spans="1:8" ht="15.75" thickBot="1">
      <c r="B45" s="21">
        <v>19921</v>
      </c>
      <c r="C45" s="355" t="s">
        <v>1419</v>
      </c>
      <c r="D45" s="1088"/>
      <c r="E45" s="534">
        <v>20</v>
      </c>
      <c r="F45" s="659">
        <v>2.2999999999999998</v>
      </c>
      <c r="G45" s="653">
        <f t="shared" si="0"/>
        <v>46</v>
      </c>
    </row>
    <row r="46" spans="1:8">
      <c r="A46" s="693"/>
      <c r="B46" s="21">
        <v>15121</v>
      </c>
      <c r="C46" s="21" t="s">
        <v>1382</v>
      </c>
      <c r="D46" s="104"/>
      <c r="F46" s="988">
        <v>2.9</v>
      </c>
    </row>
    <row r="49" spans="1:11" ht="76.5" customHeight="1">
      <c r="A49" s="26"/>
      <c r="B49" s="1273" t="s">
        <v>0</v>
      </c>
      <c r="C49" s="1273" t="s">
        <v>5659</v>
      </c>
      <c r="D49" s="1689" t="s">
        <v>3197</v>
      </c>
      <c r="E49" s="2294" t="s">
        <v>68</v>
      </c>
      <c r="F49" s="2294"/>
    </row>
    <row r="50" spans="1:11">
      <c r="A50" s="26"/>
      <c r="B50" s="21">
        <v>3228</v>
      </c>
      <c r="C50" s="589" t="s">
        <v>1388</v>
      </c>
      <c r="D50" s="297">
        <v>2.91</v>
      </c>
      <c r="E50" s="430">
        <v>80</v>
      </c>
      <c r="F50" s="107" t="s">
        <v>3241</v>
      </c>
    </row>
    <row r="51" spans="1:11" s="827" customFormat="1">
      <c r="A51" s="26"/>
      <c r="B51" s="21">
        <v>21206</v>
      </c>
      <c r="C51" s="589" t="s">
        <v>3969</v>
      </c>
      <c r="D51" s="297">
        <v>3.59</v>
      </c>
      <c r="E51" s="430">
        <v>50</v>
      </c>
      <c r="F51" s="107" t="s">
        <v>3241</v>
      </c>
    </row>
    <row r="52" spans="1:11" hidden="1">
      <c r="A52" s="26"/>
      <c r="B52" s="1086">
        <v>15121</v>
      </c>
      <c r="C52" s="1287" t="s">
        <v>1382</v>
      </c>
      <c r="D52" s="1689">
        <v>3.59</v>
      </c>
      <c r="E52" s="430" t="s">
        <v>65</v>
      </c>
      <c r="F52" s="107" t="s">
        <v>3241</v>
      </c>
    </row>
    <row r="53" spans="1:11">
      <c r="A53" s="26"/>
      <c r="B53" s="21">
        <v>19921</v>
      </c>
      <c r="C53" s="589" t="s">
        <v>2376</v>
      </c>
      <c r="D53" s="297">
        <v>3.07</v>
      </c>
      <c r="E53" s="430">
        <v>80</v>
      </c>
      <c r="F53" s="107" t="s">
        <v>3241</v>
      </c>
    </row>
    <row r="54" spans="1:11" s="827" customFormat="1">
      <c r="A54" s="26"/>
      <c r="B54" s="21">
        <v>10172</v>
      </c>
      <c r="C54" s="589" t="s">
        <v>1381</v>
      </c>
      <c r="D54" s="297">
        <v>1.66</v>
      </c>
      <c r="E54" s="430">
        <v>100</v>
      </c>
      <c r="F54" s="107" t="s">
        <v>3241</v>
      </c>
      <c r="H54" s="827">
        <f>+H59/2</f>
        <v>15.1</v>
      </c>
    </row>
    <row r="55" spans="1:11" s="827" customFormat="1">
      <c r="A55" s="26"/>
      <c r="B55" s="21">
        <v>14490</v>
      </c>
      <c r="C55" s="589" t="s">
        <v>1376</v>
      </c>
      <c r="D55" s="297">
        <v>3.07</v>
      </c>
      <c r="E55" s="430">
        <v>80</v>
      </c>
      <c r="F55" s="107" t="s">
        <v>3241</v>
      </c>
    </row>
    <row r="56" spans="1:11" ht="16.5" hidden="1" customHeight="1">
      <c r="A56" s="26"/>
      <c r="B56" s="21">
        <v>14657</v>
      </c>
      <c r="C56" s="1287" t="s">
        <v>1380</v>
      </c>
      <c r="D56" s="1697">
        <v>1.24</v>
      </c>
      <c r="E56" s="430"/>
      <c r="F56" s="107"/>
    </row>
    <row r="57" spans="1:11" hidden="1">
      <c r="A57" s="26"/>
      <c r="B57" s="21">
        <v>15716</v>
      </c>
      <c r="C57" s="1287" t="s">
        <v>1387</v>
      </c>
      <c r="D57" s="1689">
        <v>0</v>
      </c>
      <c r="E57" s="430"/>
      <c r="F57" s="107"/>
    </row>
    <row r="58" spans="1:11">
      <c r="A58" s="26"/>
      <c r="B58" s="21">
        <v>14543</v>
      </c>
      <c r="C58" s="1287" t="s">
        <v>1378</v>
      </c>
      <c r="D58" s="1697">
        <v>1.51</v>
      </c>
      <c r="E58" s="430">
        <v>70</v>
      </c>
      <c r="F58" s="107" t="s">
        <v>1420</v>
      </c>
    </row>
    <row r="59" spans="1:11">
      <c r="A59" s="26"/>
      <c r="B59" s="21">
        <v>21190</v>
      </c>
      <c r="C59" s="1287" t="s">
        <v>3970</v>
      </c>
      <c r="D59" s="1697">
        <v>1.51</v>
      </c>
      <c r="E59" s="430">
        <v>70</v>
      </c>
      <c r="F59" s="107" t="s">
        <v>1420</v>
      </c>
      <c r="H59">
        <f>+D59*20</f>
        <v>30.2</v>
      </c>
      <c r="I59">
        <v>697</v>
      </c>
      <c r="J59" s="448">
        <f>+I59/20</f>
        <v>34.85</v>
      </c>
      <c r="K59">
        <f>+H59/20</f>
        <v>1.51</v>
      </c>
    </row>
    <row r="60" spans="1:11">
      <c r="B60" s="21">
        <v>14548</v>
      </c>
      <c r="C60" s="1287" t="s">
        <v>1379</v>
      </c>
      <c r="D60" s="1689">
        <v>1.37</v>
      </c>
      <c r="E60" s="430">
        <v>70</v>
      </c>
      <c r="F60" s="107" t="s">
        <v>1420</v>
      </c>
      <c r="H60">
        <v>197</v>
      </c>
      <c r="I60">
        <v>682</v>
      </c>
      <c r="J60" s="448">
        <f>+I60/20</f>
        <v>34.1</v>
      </c>
      <c r="K60" s="827">
        <f>+H60/20</f>
        <v>9.85</v>
      </c>
    </row>
    <row r="61" spans="1:11" s="827" customFormat="1">
      <c r="B61" s="21">
        <v>21189</v>
      </c>
      <c r="C61" s="1287" t="s">
        <v>3971</v>
      </c>
      <c r="D61" s="1689">
        <v>1.37</v>
      </c>
      <c r="E61" s="430">
        <v>70</v>
      </c>
      <c r="F61" s="107" t="s">
        <v>1420</v>
      </c>
    </row>
    <row r="62" spans="1:11" s="827" customFormat="1" hidden="1">
      <c r="B62" s="21">
        <v>14489</v>
      </c>
      <c r="C62" s="1287" t="s">
        <v>1375</v>
      </c>
      <c r="D62" s="1689">
        <v>0</v>
      </c>
      <c r="E62" s="430" t="s">
        <v>65</v>
      </c>
      <c r="F62" s="107" t="s">
        <v>1420</v>
      </c>
    </row>
    <row r="63" spans="1:11" hidden="1">
      <c r="B63" s="21">
        <v>20774</v>
      </c>
      <c r="C63" s="1287" t="s">
        <v>3363</v>
      </c>
      <c r="D63" s="1689">
        <v>1.32</v>
      </c>
      <c r="E63" s="430">
        <v>10</v>
      </c>
      <c r="F63" s="107" t="s">
        <v>1420</v>
      </c>
    </row>
    <row r="64" spans="1:11" hidden="1">
      <c r="B64" s="21">
        <v>20773</v>
      </c>
      <c r="C64" s="1287" t="s">
        <v>3362</v>
      </c>
      <c r="D64" s="1689">
        <v>1.32</v>
      </c>
      <c r="E64" s="430">
        <v>10</v>
      </c>
      <c r="F64" s="107" t="s">
        <v>1420</v>
      </c>
    </row>
    <row r="65" spans="2:6" hidden="1">
      <c r="B65" s="21">
        <v>14495</v>
      </c>
      <c r="C65" s="1287" t="s">
        <v>1377</v>
      </c>
      <c r="D65" s="1689">
        <v>1.32</v>
      </c>
      <c r="E65" s="430">
        <v>10</v>
      </c>
      <c r="F65" s="107" t="s">
        <v>1420</v>
      </c>
    </row>
    <row r="66" spans="2:6" hidden="1">
      <c r="B66" s="21">
        <v>20772</v>
      </c>
      <c r="C66" s="1287" t="s">
        <v>3361</v>
      </c>
      <c r="D66" s="1689">
        <v>1.32</v>
      </c>
      <c r="E66" s="430">
        <v>10</v>
      </c>
      <c r="F66" s="107" t="s">
        <v>1420</v>
      </c>
    </row>
    <row r="67" spans="2:6" hidden="1">
      <c r="B67" s="21">
        <v>21174</v>
      </c>
      <c r="C67" s="1287" t="s">
        <v>3972</v>
      </c>
      <c r="D67" s="1880">
        <v>1.6</v>
      </c>
      <c r="E67" s="430">
        <v>10</v>
      </c>
      <c r="F67" s="107" t="s">
        <v>1420</v>
      </c>
    </row>
    <row r="68" spans="2:6" hidden="1">
      <c r="B68" s="21">
        <v>21175</v>
      </c>
      <c r="C68" s="1287" t="s">
        <v>3974</v>
      </c>
      <c r="D68" s="1697">
        <v>1.6</v>
      </c>
      <c r="E68" s="430">
        <v>10</v>
      </c>
      <c r="F68" s="107" t="s">
        <v>1420</v>
      </c>
    </row>
    <row r="69" spans="2:6" s="827" customFormat="1" hidden="1">
      <c r="B69" s="21">
        <v>15221</v>
      </c>
      <c r="C69" s="1287" t="s">
        <v>1384</v>
      </c>
      <c r="D69" s="1697">
        <v>1.6</v>
      </c>
      <c r="E69" s="430">
        <v>10</v>
      </c>
      <c r="F69" s="107" t="s">
        <v>1420</v>
      </c>
    </row>
    <row r="70" spans="2:6" s="827" customFormat="1" hidden="1">
      <c r="B70" s="21">
        <v>15222</v>
      </c>
      <c r="C70" s="1287" t="s">
        <v>1385</v>
      </c>
      <c r="D70" s="1697">
        <v>1.6</v>
      </c>
      <c r="E70" s="430">
        <v>10</v>
      </c>
      <c r="F70" s="107" t="s">
        <v>1420</v>
      </c>
    </row>
    <row r="71" spans="2:6" s="827" customFormat="1" hidden="1">
      <c r="B71" s="1261">
        <v>15554</v>
      </c>
      <c r="C71" s="1288" t="s">
        <v>4570</v>
      </c>
      <c r="D71" s="1697">
        <v>1.6</v>
      </c>
      <c r="E71" s="430">
        <v>10</v>
      </c>
      <c r="F71" s="107" t="s">
        <v>1420</v>
      </c>
    </row>
    <row r="72" spans="2:6" hidden="1">
      <c r="B72" s="1291">
        <v>21826</v>
      </c>
      <c r="C72" s="1288" t="s">
        <v>4571</v>
      </c>
      <c r="D72" s="1689">
        <v>0.6</v>
      </c>
      <c r="E72" s="430" t="s">
        <v>65</v>
      </c>
      <c r="F72" s="107" t="s">
        <v>1420</v>
      </c>
    </row>
    <row r="73" spans="2:6" s="827" customFormat="1" hidden="1">
      <c r="B73" s="21">
        <v>9914</v>
      </c>
      <c r="C73" s="1287" t="s">
        <v>1383</v>
      </c>
      <c r="D73" s="2097">
        <v>0.6</v>
      </c>
      <c r="E73" s="430" t="s">
        <v>65</v>
      </c>
      <c r="F73" s="107" t="s">
        <v>1420</v>
      </c>
    </row>
    <row r="74" spans="2:6" s="827" customFormat="1" hidden="1">
      <c r="B74" s="21">
        <v>7858</v>
      </c>
      <c r="C74" s="1287" t="s">
        <v>1386</v>
      </c>
      <c r="D74" s="2097">
        <v>0.6</v>
      </c>
      <c r="E74" s="430" t="s">
        <v>65</v>
      </c>
      <c r="F74" s="107" t="s">
        <v>1420</v>
      </c>
    </row>
    <row r="75" spans="2:6">
      <c r="B75" s="21">
        <v>21207</v>
      </c>
      <c r="C75" s="1287" t="s">
        <v>3973</v>
      </c>
      <c r="D75" s="375">
        <v>4.28</v>
      </c>
      <c r="E75" s="430" t="s">
        <v>1846</v>
      </c>
      <c r="F75" s="107" t="s">
        <v>3241</v>
      </c>
    </row>
    <row r="76" spans="2:6" s="827" customFormat="1" hidden="1">
      <c r="B76" s="693">
        <v>22606</v>
      </c>
      <c r="C76" s="693" t="s">
        <v>5467</v>
      </c>
      <c r="D76" s="1701">
        <v>1.1100000000000001</v>
      </c>
      <c r="E76" s="1701"/>
      <c r="F76" s="693"/>
    </row>
    <row r="77" spans="2:6" s="827" customFormat="1">
      <c r="B77"/>
      <c r="C77"/>
      <c r="D77" s="1699"/>
      <c r="E77"/>
      <c r="F77"/>
    </row>
    <row r="78" spans="2:6" s="827" customFormat="1">
      <c r="B78"/>
      <c r="C78"/>
      <c r="D78" s="1699"/>
      <c r="E78"/>
      <c r="F78"/>
    </row>
    <row r="79" spans="2:6">
      <c r="B79"/>
      <c r="E79"/>
    </row>
    <row r="80" spans="2:6">
      <c r="B80"/>
      <c r="E80"/>
    </row>
    <row r="81" spans="2:5">
      <c r="B81"/>
      <c r="E81"/>
    </row>
    <row r="82" spans="2:5">
      <c r="B82"/>
      <c r="E82"/>
    </row>
    <row r="83" spans="2:5">
      <c r="B83"/>
      <c r="E83"/>
    </row>
    <row r="84" spans="2:5">
      <c r="B84"/>
      <c r="E84"/>
    </row>
    <row r="85" spans="2:5">
      <c r="B85"/>
      <c r="E85"/>
    </row>
    <row r="86" spans="2:5">
      <c r="B86"/>
      <c r="E86"/>
    </row>
    <row r="87" spans="2:5">
      <c r="B87"/>
      <c r="E87"/>
    </row>
    <row r="88" spans="2:5">
      <c r="B88"/>
      <c r="E88"/>
    </row>
    <row r="89" spans="2:5">
      <c r="B89"/>
      <c r="E89"/>
    </row>
    <row r="90" spans="2:5">
      <c r="B90"/>
      <c r="E90"/>
    </row>
    <row r="91" spans="2:5">
      <c r="B91"/>
      <c r="E91"/>
    </row>
    <row r="92" spans="2:5">
      <c r="B92"/>
      <c r="E92"/>
    </row>
    <row r="93" spans="2:5">
      <c r="B93"/>
      <c r="E93"/>
    </row>
    <row r="94" spans="2:5">
      <c r="B94"/>
      <c r="E94"/>
    </row>
    <row r="95" spans="2:5">
      <c r="B95"/>
      <c r="E95"/>
    </row>
    <row r="96" spans="2:5">
      <c r="B96"/>
      <c r="E96"/>
    </row>
    <row r="97" spans="2:5">
      <c r="B97"/>
      <c r="E97"/>
    </row>
    <row r="98" spans="2:5">
      <c r="B98"/>
      <c r="E98"/>
    </row>
    <row r="99" spans="2:5">
      <c r="B99" s="1594"/>
      <c r="C99" s="1594"/>
    </row>
    <row r="100" spans="2:5">
      <c r="B100" s="1594"/>
      <c r="C100" s="1594"/>
    </row>
  </sheetData>
  <sortState ref="B50:F84">
    <sortCondition ref="C50:C84"/>
  </sortState>
  <mergeCells count="1">
    <mergeCell ref="E49:F49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3:G17"/>
  <sheetViews>
    <sheetView workbookViewId="0">
      <selection activeCell="B21" sqref="B21"/>
    </sheetView>
  </sheetViews>
  <sheetFormatPr baseColWidth="10" defaultRowHeight="15"/>
  <cols>
    <col min="3" max="3" width="46.140625" customWidth="1"/>
    <col min="4" max="4" width="11.42578125" hidden="1" customWidth="1"/>
    <col min="5" max="5" width="13.28515625" hidden="1" customWidth="1"/>
  </cols>
  <sheetData>
    <row r="3" spans="1:7" ht="46.5" customHeight="1">
      <c r="B3" s="1273" t="s">
        <v>116</v>
      </c>
      <c r="C3" s="1150" t="s">
        <v>4098</v>
      </c>
      <c r="D3" s="574" t="s">
        <v>4096</v>
      </c>
      <c r="E3" s="574" t="s">
        <v>4097</v>
      </c>
      <c r="F3" s="101"/>
      <c r="G3" s="101"/>
    </row>
    <row r="4" spans="1:7">
      <c r="B4" s="1273">
        <v>21454</v>
      </c>
      <c r="C4" s="1273" t="s">
        <v>4095</v>
      </c>
      <c r="D4" s="1273">
        <v>25</v>
      </c>
      <c r="E4" s="1273" t="s">
        <v>4558</v>
      </c>
      <c r="F4" s="101"/>
      <c r="G4" s="101"/>
    </row>
    <row r="5" spans="1:7" hidden="1">
      <c r="B5" s="1273">
        <v>21455</v>
      </c>
      <c r="C5" s="1273" t="s">
        <v>4404</v>
      </c>
      <c r="D5" s="1273"/>
      <c r="E5" s="1273" t="s">
        <v>65</v>
      </c>
      <c r="F5" s="101"/>
      <c r="G5" s="101"/>
    </row>
    <row r="6" spans="1:7">
      <c r="B6" s="1273">
        <v>21455</v>
      </c>
      <c r="C6" s="1273" t="s">
        <v>4403</v>
      </c>
      <c r="D6" s="1273"/>
      <c r="E6" s="1273" t="s">
        <v>4559</v>
      </c>
      <c r="F6" s="101"/>
      <c r="G6" s="101"/>
    </row>
    <row r="7" spans="1:7">
      <c r="B7" s="1273">
        <v>21297</v>
      </c>
      <c r="C7" s="1273" t="s">
        <v>4405</v>
      </c>
      <c r="D7" s="1273"/>
      <c r="E7" s="1273" t="s">
        <v>4557</v>
      </c>
      <c r="F7" s="101"/>
      <c r="G7" s="101"/>
    </row>
    <row r="8" spans="1:7">
      <c r="B8" s="101"/>
      <c r="C8" s="101"/>
      <c r="D8" s="101"/>
      <c r="E8" s="101"/>
      <c r="F8" s="101"/>
      <c r="G8" s="101"/>
    </row>
    <row r="9" spans="1:7" ht="62.25" customHeight="1">
      <c r="B9" s="101"/>
      <c r="C9" s="101"/>
      <c r="D9" s="101"/>
      <c r="E9" s="101"/>
      <c r="F9" s="101"/>
      <c r="G9" s="101"/>
    </row>
    <row r="10" spans="1:7" ht="30">
      <c r="A10" s="1458" t="s">
        <v>0</v>
      </c>
      <c r="B10" s="1459" t="s">
        <v>122</v>
      </c>
      <c r="C10" s="1455" t="s">
        <v>5660</v>
      </c>
      <c r="D10" s="1455" t="s">
        <v>4402</v>
      </c>
      <c r="E10" s="1455" t="s">
        <v>111</v>
      </c>
      <c r="F10" s="1456" t="s">
        <v>4097</v>
      </c>
    </row>
    <row r="11" spans="1:7">
      <c r="A11" s="1460">
        <v>21454</v>
      </c>
      <c r="B11" s="21">
        <v>25</v>
      </c>
      <c r="C11" s="642" t="s">
        <v>4095</v>
      </c>
      <c r="D11" s="1434">
        <v>13</v>
      </c>
      <c r="E11" s="1434">
        <v>15</v>
      </c>
      <c r="F11" s="1433" t="s">
        <v>1157</v>
      </c>
    </row>
    <row r="12" spans="1:7">
      <c r="A12" s="1460">
        <v>21297</v>
      </c>
      <c r="B12" s="21">
        <v>15</v>
      </c>
      <c r="C12" s="642" t="s">
        <v>4785</v>
      </c>
      <c r="D12" s="1434">
        <v>8</v>
      </c>
      <c r="E12" s="1434">
        <v>4</v>
      </c>
      <c r="F12" s="1433" t="s">
        <v>4038</v>
      </c>
    </row>
    <row r="13" spans="1:7">
      <c r="A13" s="1461">
        <v>21455</v>
      </c>
      <c r="B13" s="654">
        <v>15</v>
      </c>
      <c r="C13" s="1462" t="s">
        <v>4786</v>
      </c>
      <c r="D13" s="438">
        <v>7</v>
      </c>
      <c r="E13" s="438">
        <v>9</v>
      </c>
      <c r="F13" s="1457" t="s">
        <v>1536</v>
      </c>
    </row>
    <row r="14" spans="1:7">
      <c r="A14" s="827"/>
      <c r="B14" s="827"/>
      <c r="C14" s="827"/>
      <c r="D14" s="827"/>
      <c r="E14" s="101"/>
      <c r="F14" s="101"/>
      <c r="G14" s="101"/>
    </row>
    <row r="15" spans="1:7">
      <c r="B15" s="101"/>
      <c r="C15" s="101"/>
      <c r="D15" s="101"/>
      <c r="E15" s="101"/>
      <c r="F15" s="101"/>
      <c r="G15" s="101"/>
    </row>
    <row r="16" spans="1:7">
      <c r="B16" s="101"/>
      <c r="C16" s="101"/>
      <c r="D16" s="101"/>
      <c r="E16" s="101"/>
      <c r="F16" s="101"/>
      <c r="G16" s="101"/>
    </row>
    <row r="17" spans="2:7">
      <c r="B17" s="101"/>
      <c r="C17" s="101"/>
      <c r="D17" s="101"/>
      <c r="E17" s="101"/>
      <c r="F17" s="101"/>
      <c r="G17" s="101"/>
    </row>
  </sheetData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5:K87"/>
  <sheetViews>
    <sheetView workbookViewId="0">
      <selection activeCell="J99" sqref="J99"/>
    </sheetView>
  </sheetViews>
  <sheetFormatPr baseColWidth="10" defaultRowHeight="15"/>
  <cols>
    <col min="5" max="6" width="11.42578125" style="427"/>
    <col min="7" max="7" width="9.7109375" customWidth="1"/>
  </cols>
  <sheetData>
    <row r="5" spans="2:7">
      <c r="B5" s="429" t="s">
        <v>0</v>
      </c>
      <c r="C5" s="429" t="s">
        <v>547</v>
      </c>
      <c r="D5" s="2434" t="s">
        <v>1</v>
      </c>
      <c r="E5" s="2435"/>
      <c r="F5" s="2435"/>
      <c r="G5" s="2436"/>
    </row>
    <row r="6" spans="2:7" hidden="1">
      <c r="B6" s="22">
        <v>3814</v>
      </c>
      <c r="C6" s="22">
        <v>1.58</v>
      </c>
      <c r="D6" s="21" t="s">
        <v>1958</v>
      </c>
      <c r="E6" s="22"/>
      <c r="F6" s="22"/>
      <c r="G6" s="21"/>
    </row>
    <row r="7" spans="2:7" hidden="1">
      <c r="B7" s="22">
        <v>1590</v>
      </c>
      <c r="C7" s="22">
        <v>4.34</v>
      </c>
      <c r="D7" s="21" t="s">
        <v>1959</v>
      </c>
      <c r="E7" s="22"/>
      <c r="F7" s="22"/>
      <c r="G7" s="21"/>
    </row>
    <row r="8" spans="2:7" hidden="1">
      <c r="B8" s="22">
        <v>9100</v>
      </c>
      <c r="C8" s="22">
        <v>0.54</v>
      </c>
      <c r="D8" s="21" t="s">
        <v>1960</v>
      </c>
      <c r="E8" s="22"/>
      <c r="F8" s="22"/>
      <c r="G8" s="21"/>
    </row>
    <row r="9" spans="2:7" hidden="1">
      <c r="B9" s="22">
        <v>1293</v>
      </c>
      <c r="C9" s="22">
        <v>0.9</v>
      </c>
      <c r="D9" s="21" t="s">
        <v>1961</v>
      </c>
      <c r="E9" s="22"/>
      <c r="F9" s="22"/>
      <c r="G9" s="21"/>
    </row>
    <row r="10" spans="2:7" hidden="1">
      <c r="B10" s="22">
        <v>2024</v>
      </c>
      <c r="C10" s="22">
        <v>1.62</v>
      </c>
      <c r="D10" s="21" t="s">
        <v>1947</v>
      </c>
      <c r="E10" s="22"/>
      <c r="F10" s="22"/>
      <c r="G10" s="21"/>
    </row>
    <row r="11" spans="2:7" hidden="1">
      <c r="B11" s="22">
        <v>13056</v>
      </c>
      <c r="C11" s="22">
        <v>2.15</v>
      </c>
      <c r="D11" s="21" t="s">
        <v>1951</v>
      </c>
      <c r="E11" s="22"/>
      <c r="F11" s="22"/>
      <c r="G11" s="21"/>
    </row>
    <row r="12" spans="2:7" hidden="1">
      <c r="B12" s="22">
        <v>823</v>
      </c>
      <c r="C12" s="22">
        <v>1.56</v>
      </c>
      <c r="D12" s="21" t="s">
        <v>1950</v>
      </c>
      <c r="E12" s="22"/>
      <c r="F12" s="22"/>
      <c r="G12" s="21"/>
    </row>
    <row r="13" spans="2:7" hidden="1">
      <c r="B13" s="22">
        <v>824</v>
      </c>
      <c r="C13" s="22">
        <v>2.15</v>
      </c>
      <c r="D13" s="21" t="s">
        <v>561</v>
      </c>
      <c r="E13" s="22"/>
      <c r="F13" s="22"/>
      <c r="G13" s="21"/>
    </row>
    <row r="14" spans="2:7" hidden="1">
      <c r="B14" s="22">
        <v>784</v>
      </c>
      <c r="C14" s="22">
        <v>2.83</v>
      </c>
      <c r="D14" s="21" t="s">
        <v>1938</v>
      </c>
      <c r="E14" s="22"/>
      <c r="F14" s="22"/>
      <c r="G14" s="21"/>
    </row>
    <row r="15" spans="2:7" hidden="1">
      <c r="B15" s="22">
        <v>2465</v>
      </c>
      <c r="C15" s="22">
        <v>0.63</v>
      </c>
      <c r="D15" s="21" t="s">
        <v>1936</v>
      </c>
      <c r="E15" s="22"/>
      <c r="F15" s="22"/>
      <c r="G15" s="21"/>
    </row>
    <row r="16" spans="2:7" hidden="1">
      <c r="B16" s="22">
        <v>4356</v>
      </c>
      <c r="C16" s="22">
        <v>0.63</v>
      </c>
      <c r="D16" s="21" t="s">
        <v>1935</v>
      </c>
      <c r="E16" s="22"/>
      <c r="F16" s="22"/>
      <c r="G16" s="21"/>
    </row>
    <row r="17" spans="2:7" hidden="1">
      <c r="B17" s="22">
        <v>9704</v>
      </c>
      <c r="C17" s="22">
        <v>0.31</v>
      </c>
      <c r="D17" s="21" t="s">
        <v>1943</v>
      </c>
      <c r="E17" s="22"/>
      <c r="F17" s="22"/>
      <c r="G17" s="21"/>
    </row>
    <row r="18" spans="2:7" hidden="1">
      <c r="B18" s="22">
        <v>9831</v>
      </c>
      <c r="C18" s="22">
        <v>0.31</v>
      </c>
      <c r="D18" s="21" t="s">
        <v>1962</v>
      </c>
      <c r="E18" s="22"/>
      <c r="F18" s="22"/>
      <c r="G18" s="21"/>
    </row>
    <row r="19" spans="2:7" hidden="1">
      <c r="B19" s="22">
        <v>9253</v>
      </c>
      <c r="C19" s="22">
        <v>0.85</v>
      </c>
      <c r="D19" s="21" t="s">
        <v>1952</v>
      </c>
      <c r="E19" s="22"/>
      <c r="F19" s="22"/>
      <c r="G19" s="21"/>
    </row>
    <row r="20" spans="2:7" hidden="1">
      <c r="B20" s="22">
        <v>5855</v>
      </c>
      <c r="C20" s="22">
        <v>2.34</v>
      </c>
      <c r="D20" s="21" t="s">
        <v>1963</v>
      </c>
      <c r="E20" s="22"/>
      <c r="F20" s="22"/>
      <c r="G20" s="21"/>
    </row>
    <row r="21" spans="2:7" hidden="1">
      <c r="B21" s="22">
        <v>1422</v>
      </c>
      <c r="C21" s="22">
        <v>1.53</v>
      </c>
      <c r="D21" s="21" t="s">
        <v>1964</v>
      </c>
      <c r="E21" s="22"/>
      <c r="F21" s="22"/>
      <c r="G21" s="21"/>
    </row>
    <row r="22" spans="2:7" hidden="1">
      <c r="B22" s="22">
        <v>2467</v>
      </c>
      <c r="C22" s="22">
        <v>2.65</v>
      </c>
      <c r="D22" s="21" t="s">
        <v>1965</v>
      </c>
      <c r="E22" s="22"/>
      <c r="F22" s="22"/>
      <c r="G22" s="21"/>
    </row>
    <row r="23" spans="2:7" hidden="1">
      <c r="B23" s="22">
        <v>3056</v>
      </c>
      <c r="C23" s="22">
        <v>0.52</v>
      </c>
      <c r="D23" s="21" t="s">
        <v>1946</v>
      </c>
      <c r="E23" s="22"/>
      <c r="F23" s="22"/>
      <c r="G23" s="21"/>
    </row>
    <row r="24" spans="2:7">
      <c r="B24" s="22">
        <v>2033</v>
      </c>
      <c r="C24" s="22">
        <v>0.96</v>
      </c>
      <c r="D24" s="2437" t="s">
        <v>1966</v>
      </c>
      <c r="E24" s="2438"/>
      <c r="F24" s="2438"/>
      <c r="G24" s="2439"/>
    </row>
    <row r="25" spans="2:7">
      <c r="B25" s="22">
        <v>7465</v>
      </c>
      <c r="C25" s="22">
        <v>0.96</v>
      </c>
      <c r="D25" s="2437" t="s">
        <v>1967</v>
      </c>
      <c r="E25" s="2438"/>
      <c r="F25" s="2438"/>
      <c r="G25" s="2439"/>
    </row>
    <row r="26" spans="2:7">
      <c r="B26" s="22">
        <v>6199</v>
      </c>
      <c r="C26" s="22">
        <v>0.87</v>
      </c>
      <c r="D26" s="2437" t="s">
        <v>1968</v>
      </c>
      <c r="E26" s="2438"/>
      <c r="F26" s="2438"/>
      <c r="G26" s="2439"/>
    </row>
    <row r="27" spans="2:7" hidden="1">
      <c r="E27" s="428">
        <v>12104</v>
      </c>
      <c r="F27" s="428">
        <v>1.32</v>
      </c>
      <c r="G27" s="405" t="s">
        <v>1969</v>
      </c>
    </row>
    <row r="28" spans="2:7" hidden="1">
      <c r="E28" s="428">
        <v>9097</v>
      </c>
      <c r="F28" s="428">
        <v>0.87</v>
      </c>
      <c r="G28" s="405" t="s">
        <v>1970</v>
      </c>
    </row>
    <row r="29" spans="2:7" hidden="1">
      <c r="E29" s="428">
        <v>8656</v>
      </c>
      <c r="F29" s="428">
        <v>1.32</v>
      </c>
      <c r="G29" s="405" t="s">
        <v>1940</v>
      </c>
    </row>
    <row r="30" spans="2:7" hidden="1">
      <c r="E30" s="428">
        <v>3504</v>
      </c>
      <c r="F30" s="428">
        <v>1.32</v>
      </c>
      <c r="G30" s="405" t="s">
        <v>1971</v>
      </c>
    </row>
    <row r="31" spans="2:7" hidden="1">
      <c r="E31" s="428">
        <v>8089</v>
      </c>
      <c r="F31" s="428">
        <v>0.68</v>
      </c>
      <c r="G31" s="405" t="s">
        <v>1972</v>
      </c>
    </row>
    <row r="32" spans="2:7" hidden="1">
      <c r="E32" s="428">
        <v>8090</v>
      </c>
      <c r="F32" s="428">
        <v>0.68</v>
      </c>
      <c r="G32" s="405" t="s">
        <v>1973</v>
      </c>
    </row>
    <row r="33" spans="5:7" hidden="1">
      <c r="E33" s="428">
        <v>2644</v>
      </c>
      <c r="F33" s="428">
        <v>1.32</v>
      </c>
      <c r="G33" s="405" t="s">
        <v>1941</v>
      </c>
    </row>
    <row r="34" spans="5:7" hidden="1">
      <c r="E34" s="428">
        <v>12532</v>
      </c>
      <c r="F34" s="428">
        <v>1.32</v>
      </c>
      <c r="G34" s="405" t="s">
        <v>1942</v>
      </c>
    </row>
    <row r="35" spans="5:7" hidden="1">
      <c r="E35" s="428">
        <v>2470</v>
      </c>
      <c r="F35" s="428">
        <v>4.28</v>
      </c>
      <c r="G35" s="405" t="s">
        <v>1945</v>
      </c>
    </row>
    <row r="36" spans="5:7" hidden="1">
      <c r="E36" s="428">
        <v>2469</v>
      </c>
      <c r="F36" s="428">
        <v>2.2599999999999998</v>
      </c>
      <c r="G36" s="405" t="s">
        <v>1948</v>
      </c>
    </row>
    <row r="37" spans="5:7" hidden="1">
      <c r="E37" s="428">
        <v>9254</v>
      </c>
      <c r="F37" s="428">
        <v>1.08</v>
      </c>
      <c r="G37" s="405" t="s">
        <v>1974</v>
      </c>
    </row>
    <row r="38" spans="5:7" hidden="1">
      <c r="E38" s="428">
        <v>3546</v>
      </c>
      <c r="F38" s="428">
        <v>15.59</v>
      </c>
      <c r="G38" s="405" t="s">
        <v>1949</v>
      </c>
    </row>
    <row r="39" spans="5:7" hidden="1">
      <c r="E39" s="428">
        <v>15364</v>
      </c>
      <c r="F39" s="428">
        <v>0.68</v>
      </c>
      <c r="G39" s="405" t="s">
        <v>1953</v>
      </c>
    </row>
    <row r="40" spans="5:7" hidden="1">
      <c r="E40" s="428">
        <v>15581</v>
      </c>
      <c r="F40" s="428">
        <v>1.37</v>
      </c>
      <c r="G40" s="405" t="s">
        <v>1954</v>
      </c>
    </row>
    <row r="41" spans="5:7" hidden="1">
      <c r="E41" s="428">
        <v>6324</v>
      </c>
      <c r="F41" s="428">
        <v>1.88</v>
      </c>
      <c r="G41" s="405" t="s">
        <v>1975</v>
      </c>
    </row>
    <row r="42" spans="5:7" hidden="1">
      <c r="E42" s="428">
        <v>6373</v>
      </c>
      <c r="F42" s="428">
        <v>1.1200000000000001</v>
      </c>
      <c r="G42" s="405" t="s">
        <v>1955</v>
      </c>
    </row>
    <row r="43" spans="5:7" hidden="1">
      <c r="E43" s="428">
        <v>9253</v>
      </c>
      <c r="F43" s="428">
        <v>0.85</v>
      </c>
      <c r="G43" s="405" t="s">
        <v>1952</v>
      </c>
    </row>
    <row r="44" spans="5:7" hidden="1">
      <c r="E44" s="428">
        <v>15364</v>
      </c>
      <c r="F44" s="428">
        <v>0.68</v>
      </c>
      <c r="G44" s="405" t="s">
        <v>1953</v>
      </c>
    </row>
    <row r="45" spans="5:7" hidden="1">
      <c r="E45" s="428">
        <v>15581</v>
      </c>
      <c r="F45" s="428">
        <v>1.37</v>
      </c>
      <c r="G45" s="405" t="s">
        <v>1954</v>
      </c>
    </row>
    <row r="46" spans="5:7" hidden="1">
      <c r="E46" s="428">
        <v>13382</v>
      </c>
      <c r="F46" s="428">
        <v>2.44</v>
      </c>
      <c r="G46" s="405" t="s">
        <v>1956</v>
      </c>
    </row>
    <row r="47" spans="5:7" hidden="1">
      <c r="E47" s="428">
        <v>14162</v>
      </c>
      <c r="F47" s="428">
        <v>2.44</v>
      </c>
      <c r="G47" s="405" t="s">
        <v>1957</v>
      </c>
    </row>
    <row r="48" spans="5:7" hidden="1">
      <c r="E48" s="428">
        <v>1218</v>
      </c>
      <c r="F48" s="428">
        <v>2.36</v>
      </c>
      <c r="G48" s="405" t="s">
        <v>1976</v>
      </c>
    </row>
    <row r="49" spans="5:7" hidden="1">
      <c r="E49" s="428">
        <v>9100</v>
      </c>
      <c r="F49" s="428">
        <v>0.54</v>
      </c>
      <c r="G49" s="405" t="s">
        <v>1960</v>
      </c>
    </row>
    <row r="50" spans="5:7" hidden="1">
      <c r="E50" s="428">
        <v>1293</v>
      </c>
      <c r="F50" s="428">
        <v>0.9</v>
      </c>
      <c r="G50" s="405" t="s">
        <v>1961</v>
      </c>
    </row>
    <row r="51" spans="5:7" hidden="1">
      <c r="E51" s="428">
        <v>3814</v>
      </c>
      <c r="F51" s="428">
        <v>1.63</v>
      </c>
      <c r="G51" s="405" t="s">
        <v>1958</v>
      </c>
    </row>
    <row r="52" spans="5:7" hidden="1">
      <c r="E52" s="428">
        <v>771</v>
      </c>
      <c r="F52" s="428">
        <v>1.37</v>
      </c>
      <c r="G52" s="405" t="s">
        <v>1977</v>
      </c>
    </row>
    <row r="53" spans="5:7" hidden="1">
      <c r="E53" s="428">
        <v>3213</v>
      </c>
      <c r="F53" s="428">
        <v>1.05</v>
      </c>
      <c r="G53" s="405" t="s">
        <v>1934</v>
      </c>
    </row>
    <row r="54" spans="5:7" hidden="1">
      <c r="E54" s="428">
        <v>2033</v>
      </c>
      <c r="F54" s="428">
        <v>0.96</v>
      </c>
      <c r="G54" s="405" t="s">
        <v>1966</v>
      </c>
    </row>
    <row r="55" spans="5:7" hidden="1">
      <c r="E55" s="428">
        <v>7465</v>
      </c>
      <c r="F55" s="428">
        <v>0.96</v>
      </c>
      <c r="G55" s="405" t="s">
        <v>1967</v>
      </c>
    </row>
    <row r="56" spans="5:7" hidden="1">
      <c r="E56" s="428">
        <v>3214</v>
      </c>
      <c r="F56" s="428">
        <v>1.0900000000000001</v>
      </c>
      <c r="G56" s="405" t="s">
        <v>1937</v>
      </c>
    </row>
    <row r="57" spans="5:7" hidden="1">
      <c r="E57" s="428">
        <v>6199</v>
      </c>
      <c r="F57" s="428">
        <v>0.87</v>
      </c>
      <c r="G57" s="405" t="s">
        <v>1968</v>
      </c>
    </row>
    <row r="58" spans="5:7" hidden="1">
      <c r="E58" s="428">
        <v>784</v>
      </c>
      <c r="F58" s="428">
        <v>2.83</v>
      </c>
      <c r="G58" s="405" t="s">
        <v>1938</v>
      </c>
    </row>
    <row r="59" spans="5:7" hidden="1">
      <c r="E59" s="428">
        <v>6745</v>
      </c>
      <c r="F59" s="428">
        <v>1.41</v>
      </c>
      <c r="G59" s="405" t="s">
        <v>1939</v>
      </c>
    </row>
    <row r="60" spans="5:7" hidden="1">
      <c r="E60" s="428">
        <v>5432</v>
      </c>
      <c r="F60" s="428">
        <v>1.32</v>
      </c>
      <c r="G60" s="405" t="s">
        <v>1978</v>
      </c>
    </row>
    <row r="61" spans="5:7" hidden="1">
      <c r="E61" s="428">
        <v>9704</v>
      </c>
      <c r="F61" s="428">
        <v>0.31</v>
      </c>
      <c r="G61" s="405" t="s">
        <v>1943</v>
      </c>
    </row>
    <row r="62" spans="5:7" hidden="1">
      <c r="E62" s="428">
        <v>9831</v>
      </c>
      <c r="F62" s="428">
        <v>0.31</v>
      </c>
      <c r="G62" s="405" t="s">
        <v>1962</v>
      </c>
    </row>
    <row r="63" spans="5:7" hidden="1">
      <c r="E63" s="428">
        <v>14039</v>
      </c>
      <c r="F63" s="428">
        <v>0.31</v>
      </c>
      <c r="G63" s="405" t="s">
        <v>1944</v>
      </c>
    </row>
    <row r="64" spans="5:7" hidden="1">
      <c r="E64" s="428">
        <v>2024</v>
      </c>
      <c r="F64" s="428">
        <v>1.62</v>
      </c>
      <c r="G64" s="405" t="s">
        <v>1947</v>
      </c>
    </row>
    <row r="65" spans="2:7" hidden="1">
      <c r="E65" s="428">
        <v>8652</v>
      </c>
      <c r="F65" s="428">
        <v>1.48</v>
      </c>
      <c r="G65" s="405" t="s">
        <v>1979</v>
      </c>
    </row>
    <row r="66" spans="2:7" hidden="1">
      <c r="E66" s="428">
        <v>2469</v>
      </c>
      <c r="F66" s="428">
        <v>2.2599999999999998</v>
      </c>
      <c r="G66" s="405" t="s">
        <v>1948</v>
      </c>
    </row>
    <row r="67" spans="2:7" hidden="1">
      <c r="E67" s="428">
        <v>3516</v>
      </c>
      <c r="F67" s="428">
        <v>1.52</v>
      </c>
      <c r="G67" s="405" t="s">
        <v>1980</v>
      </c>
    </row>
    <row r="68" spans="2:7" hidden="1">
      <c r="E68" s="428">
        <v>3546</v>
      </c>
      <c r="F68" s="428">
        <v>15.6</v>
      </c>
      <c r="G68" s="405" t="s">
        <v>1949</v>
      </c>
    </row>
    <row r="69" spans="2:7" hidden="1">
      <c r="E69" s="428">
        <v>824</v>
      </c>
      <c r="F69" s="428">
        <v>2.15</v>
      </c>
      <c r="G69" s="405" t="s">
        <v>561</v>
      </c>
    </row>
    <row r="73" spans="2:7">
      <c r="E73" s="336"/>
    </row>
    <row r="76" spans="2:7" ht="30">
      <c r="B76" s="19" t="s">
        <v>1981</v>
      </c>
      <c r="C76" s="19" t="s">
        <v>1982</v>
      </c>
      <c r="D76" s="429" t="s">
        <v>1389</v>
      </c>
      <c r="E76" s="429" t="s">
        <v>1983</v>
      </c>
    </row>
    <row r="77" spans="2:7">
      <c r="B77" s="22">
        <v>80.599999999999994</v>
      </c>
      <c r="C77" s="22">
        <f>B77/20</f>
        <v>4.0299999999999994</v>
      </c>
      <c r="D77" s="22">
        <v>4.1900000000000004</v>
      </c>
      <c r="E77" s="52">
        <f>C77/D77</f>
        <v>0.9618138424821</v>
      </c>
    </row>
    <row r="78" spans="2:7">
      <c r="B78" s="22">
        <v>73</v>
      </c>
      <c r="C78" s="22">
        <f>B78/20</f>
        <v>3.65</v>
      </c>
      <c r="D78" s="22">
        <v>4.1900000000000004</v>
      </c>
      <c r="E78" s="52">
        <f>C78/D78</f>
        <v>0.87112171837708818</v>
      </c>
    </row>
    <row r="79" spans="2:7">
      <c r="B79" s="22"/>
      <c r="C79" s="22"/>
      <c r="D79" s="22"/>
      <c r="E79" s="22"/>
    </row>
    <row r="80" spans="2:7">
      <c r="B80" s="22"/>
      <c r="C80" s="22"/>
      <c r="D80" s="22"/>
      <c r="E80" s="22"/>
    </row>
    <row r="86" spans="7:11">
      <c r="G86">
        <v>36.229999999999997</v>
      </c>
      <c r="H86">
        <v>4.58</v>
      </c>
      <c r="I86">
        <f>+G86/H86</f>
        <v>7.9104803493449776</v>
      </c>
      <c r="J86">
        <v>0.3</v>
      </c>
      <c r="K86">
        <f>+I86*J86</f>
        <v>2.3731441048034934</v>
      </c>
    </row>
    <row r="87" spans="7:11">
      <c r="G87">
        <v>36.229999999999997</v>
      </c>
      <c r="H87">
        <v>4.58</v>
      </c>
      <c r="I87" s="827">
        <f>+G87/H87</f>
        <v>7.9104803493449776</v>
      </c>
      <c r="J87">
        <v>0.3</v>
      </c>
    </row>
  </sheetData>
  <mergeCells count="4">
    <mergeCell ref="D5:G5"/>
    <mergeCell ref="D24:G24"/>
    <mergeCell ref="D25:G25"/>
    <mergeCell ref="D26:G26"/>
  </mergeCells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K7"/>
  <sheetViews>
    <sheetView workbookViewId="0">
      <selection activeCell="B2" sqref="B2:K7"/>
    </sheetView>
  </sheetViews>
  <sheetFormatPr baseColWidth="10" defaultRowHeight="15"/>
  <cols>
    <col min="2" max="2" width="25" customWidth="1"/>
    <col min="3" max="3" width="8" customWidth="1"/>
    <col min="4" max="4" width="11.5703125" bestFit="1" customWidth="1"/>
    <col min="6" max="6" width="7.85546875" customWidth="1"/>
  </cols>
  <sheetData>
    <row r="2" spans="2:11">
      <c r="C2" t="s">
        <v>2370</v>
      </c>
      <c r="D2" s="388">
        <v>0.15</v>
      </c>
    </row>
    <row r="3" spans="2:11" ht="75">
      <c r="B3" s="532"/>
      <c r="C3" s="533" t="s">
        <v>1922</v>
      </c>
      <c r="D3" s="532" t="s">
        <v>651</v>
      </c>
      <c r="E3" s="533" t="s">
        <v>2374</v>
      </c>
      <c r="F3" s="533" t="s">
        <v>2262</v>
      </c>
      <c r="G3" s="533" t="s">
        <v>2371</v>
      </c>
      <c r="H3" s="533" t="s">
        <v>2372</v>
      </c>
      <c r="I3" s="533" t="s">
        <v>2373</v>
      </c>
      <c r="J3" s="533" t="s">
        <v>68</v>
      </c>
      <c r="K3" s="533" t="s">
        <v>560</v>
      </c>
    </row>
    <row r="4" spans="2:11">
      <c r="B4" s="15" t="s">
        <v>2410</v>
      </c>
      <c r="C4" s="529">
        <v>5.21</v>
      </c>
      <c r="D4" s="6">
        <f>C4*15%</f>
        <v>0.78149999999999997</v>
      </c>
      <c r="E4" s="6">
        <f>C4-D4</f>
        <v>4.4284999999999997</v>
      </c>
      <c r="F4" s="531">
        <v>6</v>
      </c>
      <c r="G4" s="335">
        <f>E4/F4</f>
        <v>0.73808333333333331</v>
      </c>
      <c r="H4" s="6">
        <f>G4*1.16</f>
        <v>0.85617666666666659</v>
      </c>
      <c r="I4" s="6">
        <f>H4*1.3</f>
        <v>1.1130296666666666</v>
      </c>
      <c r="J4" s="531">
        <v>100</v>
      </c>
      <c r="K4" s="6">
        <f>E4*J4</f>
        <v>442.84999999999997</v>
      </c>
    </row>
    <row r="5" spans="2:11">
      <c r="B5" s="15" t="s">
        <v>2409</v>
      </c>
      <c r="C5" s="529">
        <v>8.36</v>
      </c>
      <c r="D5" s="6">
        <f>C5*15%</f>
        <v>1.2539999999999998</v>
      </c>
      <c r="E5" s="6">
        <f>C5-D5</f>
        <v>7.1059999999999999</v>
      </c>
      <c r="F5" s="531">
        <v>12</v>
      </c>
      <c r="G5" s="335">
        <f>E5/F5</f>
        <v>0.59216666666666662</v>
      </c>
      <c r="H5" s="6">
        <f>G5*1.16</f>
        <v>0.68691333333333326</v>
      </c>
      <c r="I5" s="6">
        <f>H5*1.3</f>
        <v>0.89298733333333324</v>
      </c>
      <c r="J5" s="531">
        <v>220</v>
      </c>
      <c r="K5" s="6">
        <f>E5*J5</f>
        <v>1563.32</v>
      </c>
    </row>
    <row r="6" spans="2:11">
      <c r="B6" s="405" t="s">
        <v>2411</v>
      </c>
      <c r="C6" s="531">
        <v>6.1</v>
      </c>
      <c r="D6" s="6">
        <f>C6*15%</f>
        <v>0.91499999999999992</v>
      </c>
      <c r="E6" s="6">
        <f>C6-D6</f>
        <v>5.1849999999999996</v>
      </c>
      <c r="F6" s="531">
        <v>12</v>
      </c>
      <c r="G6" s="335">
        <f>E6/F6</f>
        <v>0.43208333333333332</v>
      </c>
      <c r="H6" s="6">
        <f>G6*1.16</f>
        <v>0.50121666666666664</v>
      </c>
      <c r="I6" s="6">
        <f>H6*1.3</f>
        <v>0.65158166666666661</v>
      </c>
      <c r="J6" s="531">
        <v>50</v>
      </c>
      <c r="K6" s="6">
        <f>E6*J6</f>
        <v>259.25</v>
      </c>
    </row>
    <row r="7" spans="2:11">
      <c r="K7" s="57">
        <f>+K4+K5+K6</f>
        <v>2265.42</v>
      </c>
    </row>
  </sheetData>
  <pageMargins left="0.7" right="0.7" top="0.75" bottom="0.75" header="0.3" footer="0.3"/>
  <pageSetup paperSize="9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24"/>
  <sheetViews>
    <sheetView workbookViewId="0">
      <selection activeCell="M28" sqref="M28"/>
    </sheetView>
  </sheetViews>
  <sheetFormatPr baseColWidth="10" defaultRowHeight="15"/>
  <cols>
    <col min="1" max="1" width="6.5703125" customWidth="1"/>
    <col min="3" max="3" width="50.7109375" style="65" customWidth="1"/>
    <col min="4" max="4" width="10.85546875" style="827" hidden="1" customWidth="1"/>
    <col min="5" max="5" width="11.42578125" hidden="1" customWidth="1"/>
    <col min="6" max="6" width="16.85546875" hidden="1" customWidth="1"/>
    <col min="7" max="7" width="15.5703125" customWidth="1"/>
    <col min="8" max="8" width="15.5703125" style="827" hidden="1" customWidth="1"/>
    <col min="9" max="9" width="11.42578125" customWidth="1"/>
    <col min="10" max="11" width="11.42578125" hidden="1" customWidth="1"/>
  </cols>
  <sheetData>
    <row r="1" spans="2:11" ht="40.5" customHeight="1"/>
    <row r="2" spans="2:11">
      <c r="C2" s="2252" t="s">
        <v>1389</v>
      </c>
      <c r="D2" s="810"/>
      <c r="E2" s="810"/>
    </row>
    <row r="3" spans="2:11" ht="31.5">
      <c r="B3" s="851" t="s">
        <v>0</v>
      </c>
      <c r="C3" s="2253" t="s">
        <v>6038</v>
      </c>
      <c r="D3" s="1292" t="s">
        <v>2647</v>
      </c>
      <c r="E3" s="310" t="s">
        <v>3834</v>
      </c>
      <c r="F3" s="383" t="s">
        <v>1390</v>
      </c>
      <c r="G3" s="574" t="s">
        <v>121</v>
      </c>
      <c r="H3" s="108" t="s">
        <v>2445</v>
      </c>
      <c r="I3" s="1293" t="s">
        <v>21</v>
      </c>
      <c r="J3" s="1275" t="s">
        <v>4402</v>
      </c>
      <c r="K3" s="1275" t="s">
        <v>111</v>
      </c>
    </row>
    <row r="4" spans="2:11" hidden="1">
      <c r="B4" s="851">
        <v>6248</v>
      </c>
      <c r="C4" s="293" t="s">
        <v>1621</v>
      </c>
      <c r="D4" s="1292">
        <v>12</v>
      </c>
      <c r="E4" s="576">
        <f t="shared" ref="E4:E20" si="0">F4/D4</f>
        <v>0.76833333333333342</v>
      </c>
      <c r="F4" s="387">
        <v>9.2200000000000006</v>
      </c>
      <c r="G4" s="1222"/>
      <c r="H4" s="1583"/>
      <c r="I4" s="1527"/>
      <c r="J4" s="1277">
        <v>3</v>
      </c>
      <c r="K4" s="1277">
        <v>48</v>
      </c>
    </row>
    <row r="5" spans="2:11" hidden="1">
      <c r="B5" s="851">
        <v>6246</v>
      </c>
      <c r="C5" s="293" t="s">
        <v>1626</v>
      </c>
      <c r="D5" s="1292">
        <v>12</v>
      </c>
      <c r="E5" s="576">
        <f t="shared" si="0"/>
        <v>0.76833333333333342</v>
      </c>
      <c r="F5" s="387">
        <v>9.2200000000000006</v>
      </c>
      <c r="G5" s="1222"/>
      <c r="H5" s="1583"/>
      <c r="I5" s="1527"/>
      <c r="J5" s="1277"/>
      <c r="K5" s="1277"/>
    </row>
    <row r="6" spans="2:11" hidden="1">
      <c r="B6" s="851">
        <v>13916</v>
      </c>
      <c r="C6" s="293" t="s">
        <v>1625</v>
      </c>
      <c r="D6" s="1292">
        <v>6</v>
      </c>
      <c r="E6" s="576">
        <f t="shared" si="0"/>
        <v>0.9916666666666667</v>
      </c>
      <c r="F6" s="387">
        <v>5.95</v>
      </c>
      <c r="G6" s="1222"/>
      <c r="H6" s="1583"/>
      <c r="I6" s="1527"/>
      <c r="J6" s="1277"/>
      <c r="K6" s="1277"/>
    </row>
    <row r="7" spans="2:11">
      <c r="B7" s="851">
        <v>14046</v>
      </c>
      <c r="C7" s="293" t="s">
        <v>1624</v>
      </c>
      <c r="D7" s="1292">
        <v>6</v>
      </c>
      <c r="E7" s="576">
        <f t="shared" si="0"/>
        <v>0.9916666666666667</v>
      </c>
      <c r="F7" s="387">
        <v>5.95</v>
      </c>
      <c r="G7" s="1222" t="s">
        <v>6040</v>
      </c>
      <c r="H7" s="1583"/>
      <c r="I7" s="1527" t="s">
        <v>6031</v>
      </c>
      <c r="J7" s="1277">
        <v>49</v>
      </c>
      <c r="K7" s="1277">
        <v>61</v>
      </c>
    </row>
    <row r="8" spans="2:11">
      <c r="B8" s="851">
        <v>8540</v>
      </c>
      <c r="C8" s="293" t="s">
        <v>1619</v>
      </c>
      <c r="D8" s="1292">
        <v>6</v>
      </c>
      <c r="E8" s="576">
        <f t="shared" si="0"/>
        <v>0.9916666666666667</v>
      </c>
      <c r="F8" s="387">
        <v>5.95</v>
      </c>
      <c r="G8" s="1222">
        <v>0</v>
      </c>
      <c r="H8" s="1583"/>
      <c r="I8" s="1527" t="s">
        <v>6031</v>
      </c>
      <c r="J8" s="1277">
        <v>83</v>
      </c>
      <c r="K8" s="1277">
        <v>0</v>
      </c>
    </row>
    <row r="9" spans="2:11" s="1594" customFormat="1">
      <c r="B9" s="2250">
        <v>1529</v>
      </c>
      <c r="C9" s="293" t="s">
        <v>6039</v>
      </c>
      <c r="D9" s="2249"/>
      <c r="E9" s="576"/>
      <c r="F9" s="387"/>
      <c r="G9" s="1222">
        <v>0</v>
      </c>
      <c r="H9" s="1583"/>
      <c r="I9" s="1527" t="s">
        <v>5181</v>
      </c>
      <c r="J9" s="2250"/>
      <c r="K9" s="2250"/>
    </row>
    <row r="10" spans="2:11">
      <c r="B10" s="851">
        <v>3865</v>
      </c>
      <c r="C10" s="293" t="s">
        <v>1616</v>
      </c>
      <c r="D10" s="1292">
        <v>6</v>
      </c>
      <c r="E10" s="576">
        <f t="shared" si="0"/>
        <v>1.2783333333333333</v>
      </c>
      <c r="F10" s="387">
        <v>7.67</v>
      </c>
      <c r="G10" s="1222" t="s">
        <v>6044</v>
      </c>
      <c r="H10" s="1583"/>
      <c r="I10" s="1527">
        <v>0</v>
      </c>
      <c r="J10" s="1277"/>
      <c r="K10" s="1277"/>
    </row>
    <row r="11" spans="2:11">
      <c r="B11" s="851">
        <v>1529</v>
      </c>
      <c r="C11" s="293" t="s">
        <v>1620</v>
      </c>
      <c r="D11" s="1292">
        <v>6</v>
      </c>
      <c r="E11" s="576">
        <f t="shared" si="0"/>
        <v>1.2783333333333333</v>
      </c>
      <c r="F11" s="387">
        <v>7.67</v>
      </c>
      <c r="G11" s="1222" t="s">
        <v>6044</v>
      </c>
      <c r="H11" s="1583"/>
      <c r="I11" s="1527" t="s">
        <v>6031</v>
      </c>
      <c r="J11" s="1277"/>
      <c r="K11" s="1277"/>
    </row>
    <row r="12" spans="2:11">
      <c r="B12" s="851">
        <v>990</v>
      </c>
      <c r="C12" s="293" t="s">
        <v>5190</v>
      </c>
      <c r="D12" s="1292">
        <v>6</v>
      </c>
      <c r="E12" s="576">
        <f t="shared" si="0"/>
        <v>1.2783333333333333</v>
      </c>
      <c r="F12" s="387">
        <v>7.67</v>
      </c>
      <c r="G12" s="1222" t="s">
        <v>6041</v>
      </c>
      <c r="H12" s="1583"/>
      <c r="I12" s="1527">
        <v>0</v>
      </c>
      <c r="J12" s="1277"/>
      <c r="K12" s="1277"/>
    </row>
    <row r="13" spans="2:11">
      <c r="B13" s="851">
        <v>7526</v>
      </c>
      <c r="C13" s="293" t="s">
        <v>1618</v>
      </c>
      <c r="D13" s="1292">
        <v>6</v>
      </c>
      <c r="E13" s="576">
        <f t="shared" si="0"/>
        <v>1.2783333333333333</v>
      </c>
      <c r="F13" s="387">
        <v>7.67</v>
      </c>
      <c r="G13" s="1222">
        <v>0</v>
      </c>
      <c r="H13" s="1583"/>
      <c r="I13" s="1527" t="s">
        <v>6031</v>
      </c>
      <c r="J13" s="1277">
        <v>108</v>
      </c>
      <c r="K13" s="1277">
        <v>97</v>
      </c>
    </row>
    <row r="14" spans="2:11" hidden="1">
      <c r="B14" s="851">
        <v>994</v>
      </c>
      <c r="C14" s="347" t="s">
        <v>1612</v>
      </c>
      <c r="D14" s="1294">
        <v>6</v>
      </c>
      <c r="E14" s="576">
        <f t="shared" si="0"/>
        <v>1.2783333333333333</v>
      </c>
      <c r="F14" s="387">
        <v>7.67</v>
      </c>
      <c r="G14" s="1222"/>
      <c r="H14" s="1583"/>
      <c r="I14" s="1527"/>
      <c r="J14" s="1277"/>
      <c r="K14" s="1277"/>
    </row>
    <row r="15" spans="2:11">
      <c r="B15" s="851">
        <v>3301</v>
      </c>
      <c r="C15" s="293" t="s">
        <v>1615</v>
      </c>
      <c r="D15" s="1292">
        <v>6</v>
      </c>
      <c r="E15" s="576">
        <f t="shared" si="0"/>
        <v>1.6516666666666666</v>
      </c>
      <c r="F15" s="387">
        <v>9.91</v>
      </c>
      <c r="G15" s="1222" t="s">
        <v>6042</v>
      </c>
      <c r="H15" s="1583"/>
      <c r="I15" s="1527" t="s">
        <v>6031</v>
      </c>
      <c r="J15" s="1277"/>
      <c r="K15" s="1277"/>
    </row>
    <row r="16" spans="2:11">
      <c r="B16" s="851">
        <v>6244</v>
      </c>
      <c r="C16" s="293" t="s">
        <v>1617</v>
      </c>
      <c r="D16" s="1292">
        <v>6</v>
      </c>
      <c r="E16" s="576">
        <f t="shared" si="0"/>
        <v>1.6516666666666666</v>
      </c>
      <c r="F16" s="387">
        <v>9.91</v>
      </c>
      <c r="G16" s="1222" t="s">
        <v>6043</v>
      </c>
      <c r="H16" s="1583"/>
      <c r="I16" s="1527" t="s">
        <v>6030</v>
      </c>
      <c r="J16" s="1277">
        <v>183</v>
      </c>
      <c r="K16" s="1277">
        <v>112</v>
      </c>
    </row>
    <row r="17" spans="1:11" hidden="1">
      <c r="B17" s="851">
        <v>1528</v>
      </c>
      <c r="C17" s="293" t="s">
        <v>1613</v>
      </c>
      <c r="D17" s="1292">
        <v>6</v>
      </c>
      <c r="E17" s="576">
        <f t="shared" si="0"/>
        <v>1.6516666666666666</v>
      </c>
      <c r="F17" s="387">
        <v>9.91</v>
      </c>
      <c r="G17" s="575"/>
      <c r="H17" s="1583"/>
      <c r="I17" s="1527"/>
      <c r="J17" s="1277"/>
      <c r="K17" s="1277"/>
    </row>
    <row r="18" spans="1:11">
      <c r="B18" s="851">
        <v>1530</v>
      </c>
      <c r="C18" s="293" t="s">
        <v>1614</v>
      </c>
      <c r="D18" s="1292">
        <v>6</v>
      </c>
      <c r="E18" s="576">
        <f t="shared" si="0"/>
        <v>1.6516666666666666</v>
      </c>
      <c r="F18" s="387">
        <v>9.91</v>
      </c>
      <c r="G18" s="1222" t="s">
        <v>6040</v>
      </c>
      <c r="H18" s="1583"/>
      <c r="I18" s="1527">
        <v>0</v>
      </c>
      <c r="J18" s="1277"/>
      <c r="K18" s="1277"/>
    </row>
    <row r="19" spans="1:11" s="1594" customFormat="1" hidden="1">
      <c r="B19" s="2229">
        <v>14757</v>
      </c>
      <c r="C19" s="293" t="s">
        <v>6032</v>
      </c>
      <c r="D19" s="2228"/>
      <c r="E19" s="576"/>
      <c r="F19" s="387"/>
      <c r="G19" s="1222"/>
      <c r="H19" s="1583"/>
      <c r="I19" s="1527"/>
      <c r="J19" s="2230"/>
      <c r="K19" s="2230"/>
    </row>
    <row r="20" spans="1:11" hidden="1">
      <c r="B20" s="851"/>
      <c r="C20" s="293" t="s">
        <v>5187</v>
      </c>
      <c r="D20" s="1292">
        <v>24</v>
      </c>
      <c r="E20" s="576">
        <f t="shared" si="0"/>
        <v>0.41291666666666665</v>
      </c>
      <c r="F20" s="1292">
        <v>9.91</v>
      </c>
      <c r="G20" s="1222"/>
      <c r="H20" s="1583"/>
      <c r="I20" s="1527"/>
    </row>
    <row r="21" spans="1:11">
      <c r="A21" s="693"/>
      <c r="B21" s="1295">
        <v>13299</v>
      </c>
      <c r="C21" s="293" t="s">
        <v>1623</v>
      </c>
      <c r="D21" s="1292">
        <v>6</v>
      </c>
      <c r="E21" s="785">
        <f>+F21/D21</f>
        <v>0.76166666666666671</v>
      </c>
      <c r="F21" s="1292">
        <v>4.57</v>
      </c>
      <c r="G21" s="1222" t="s">
        <v>6041</v>
      </c>
      <c r="H21" s="1583"/>
      <c r="I21" s="1527">
        <v>0</v>
      </c>
    </row>
    <row r="22" spans="1:11" hidden="1">
      <c r="A22" s="693"/>
      <c r="B22" s="1295">
        <v>13120</v>
      </c>
      <c r="C22" s="15" t="s">
        <v>1622</v>
      </c>
      <c r="D22" s="1295">
        <v>6</v>
      </c>
      <c r="E22" s="344">
        <f>0.6+0.76</f>
        <v>1.3599999999999999</v>
      </c>
      <c r="F22" s="1295"/>
      <c r="G22" s="712"/>
      <c r="H22" s="396"/>
      <c r="I22" s="1528"/>
    </row>
    <row r="23" spans="1:11" hidden="1">
      <c r="A23" s="693" t="s">
        <v>4577</v>
      </c>
      <c r="B23" s="693"/>
      <c r="C23" s="293" t="s">
        <v>4575</v>
      </c>
      <c r="D23" s="1295"/>
      <c r="E23" s="1295"/>
      <c r="F23" s="1295"/>
      <c r="G23" s="575"/>
      <c r="H23" s="430"/>
      <c r="I23" s="1449"/>
    </row>
    <row r="24" spans="1:11" hidden="1">
      <c r="A24" s="693">
        <v>16</v>
      </c>
      <c r="B24" s="2225">
        <v>14147</v>
      </c>
      <c r="C24" s="293" t="s">
        <v>4576</v>
      </c>
      <c r="D24" s="1295"/>
      <c r="E24" s="1295"/>
      <c r="F24" s="1295"/>
      <c r="G24" s="575"/>
      <c r="H24" s="1583"/>
      <c r="I24" s="1449" t="s">
        <v>65</v>
      </c>
    </row>
  </sheetData>
  <sortState ref="B4:C24">
    <sortCondition ref="C4:C24"/>
  </sortState>
  <pageMargins left="0.7" right="0.7" top="0.75" bottom="0.75" header="0.3" footer="0.3"/>
  <pageSetup paperSize="9" orientation="landscape" horizontalDpi="360" verticalDpi="360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A105"/>
  <sheetViews>
    <sheetView topLeftCell="A18" workbookViewId="0">
      <selection activeCell="N8" sqref="N8"/>
    </sheetView>
  </sheetViews>
  <sheetFormatPr baseColWidth="10" defaultRowHeight="15"/>
  <cols>
    <col min="1" max="1" width="11.7109375" style="2224" customWidth="1"/>
    <col min="2" max="2" width="4.42578125" hidden="1" customWidth="1"/>
    <col min="3" max="3" width="11.42578125" customWidth="1"/>
    <col min="4" max="4" width="38.140625" customWidth="1"/>
    <col min="5" max="5" width="6" style="586" hidden="1" customWidth="1"/>
    <col min="6" max="6" width="16.7109375" style="586" hidden="1" customWidth="1"/>
    <col min="7" max="7" width="11.42578125" style="1299" hidden="1" customWidth="1"/>
    <col min="8" max="8" width="11.42578125" style="1601" hidden="1" customWidth="1"/>
    <col min="9" max="9" width="8.28515625" style="1299" hidden="1" customWidth="1"/>
    <col min="10" max="10" width="12.85546875" style="742" customWidth="1"/>
    <col min="11" max="11" width="14" style="586" hidden="1" customWidth="1"/>
    <col min="12" max="12" width="10" style="742" customWidth="1"/>
    <col min="13" max="13" width="8.42578125" style="586" hidden="1" customWidth="1"/>
    <col min="14" max="14" width="11.5703125" style="742" customWidth="1"/>
    <col min="15" max="15" width="9" style="586" hidden="1" customWidth="1"/>
    <col min="16" max="16" width="8.140625" hidden="1" customWidth="1"/>
    <col min="17" max="17" width="11.42578125" hidden="1" customWidth="1"/>
    <col min="18" max="18" width="9.42578125" hidden="1" customWidth="1"/>
    <col min="19" max="19" width="11.42578125" hidden="1" customWidth="1"/>
    <col min="20" max="20" width="11.42578125" customWidth="1"/>
    <col min="23" max="23" width="20.28515625" bestFit="1" customWidth="1"/>
  </cols>
  <sheetData>
    <row r="1" spans="1:25" ht="18.75">
      <c r="D1" s="1363" t="s">
        <v>4625</v>
      </c>
      <c r="E1" s="827"/>
      <c r="F1" s="827"/>
      <c r="J1" s="827"/>
      <c r="K1" s="827"/>
    </row>
    <row r="2" spans="1:25" ht="32.25" customHeight="1">
      <c r="C2" s="693"/>
      <c r="D2" s="993" t="s">
        <v>6046</v>
      </c>
      <c r="E2" s="993"/>
      <c r="F2" s="993"/>
      <c r="G2" s="1302" t="s">
        <v>4548</v>
      </c>
      <c r="H2" s="1597"/>
      <c r="I2" s="1303"/>
      <c r="J2" s="2440" t="s">
        <v>3445</v>
      </c>
      <c r="K2" s="2440"/>
      <c r="L2" s="2440" t="s">
        <v>20</v>
      </c>
      <c r="M2" s="2440"/>
      <c r="N2" s="2440" t="s">
        <v>21</v>
      </c>
      <c r="O2" s="2440"/>
      <c r="P2" s="2440" t="s">
        <v>23</v>
      </c>
      <c r="Q2" s="2440"/>
      <c r="R2" s="2383" t="s">
        <v>24</v>
      </c>
      <c r="S2" s="2441"/>
    </row>
    <row r="3" spans="1:25" ht="30" customHeight="1">
      <c r="C3" s="593" t="s">
        <v>2700</v>
      </c>
      <c r="D3" s="593" t="s">
        <v>2701</v>
      </c>
      <c r="E3" s="593" t="s">
        <v>2702</v>
      </c>
      <c r="F3" s="593" t="s">
        <v>2703</v>
      </c>
      <c r="G3" s="593" t="s">
        <v>2704</v>
      </c>
      <c r="H3" s="1630" t="s">
        <v>5249</v>
      </c>
      <c r="I3" s="593" t="s">
        <v>2705</v>
      </c>
      <c r="J3" s="991" t="s">
        <v>2699</v>
      </c>
      <c r="K3" s="991" t="s">
        <v>2698</v>
      </c>
      <c r="L3" s="991" t="s">
        <v>2699</v>
      </c>
      <c r="M3" s="991" t="s">
        <v>2698</v>
      </c>
      <c r="N3" s="991" t="s">
        <v>2699</v>
      </c>
      <c r="O3" s="991" t="s">
        <v>2698</v>
      </c>
      <c r="P3" s="991" t="s">
        <v>2699</v>
      </c>
      <c r="Q3" s="991" t="s">
        <v>2698</v>
      </c>
      <c r="R3" s="561" t="s">
        <v>2699</v>
      </c>
      <c r="S3" s="640" t="s">
        <v>2698</v>
      </c>
      <c r="T3" s="449" t="s">
        <v>3153</v>
      </c>
      <c r="V3" s="559">
        <v>0.05</v>
      </c>
    </row>
    <row r="4" spans="1:25">
      <c r="A4" s="2225">
        <v>913</v>
      </c>
      <c r="B4" s="61"/>
      <c r="C4" s="594">
        <v>80626</v>
      </c>
      <c r="D4" s="595" t="s">
        <v>2706</v>
      </c>
      <c r="E4" s="596">
        <v>6</v>
      </c>
      <c r="F4" s="597">
        <v>7591031003267</v>
      </c>
      <c r="G4" s="459"/>
      <c r="H4" s="459">
        <v>1.52</v>
      </c>
      <c r="I4" s="459">
        <v>1.49</v>
      </c>
      <c r="J4" s="2239">
        <v>2</v>
      </c>
      <c r="K4" s="2240"/>
      <c r="L4" s="2240">
        <v>5</v>
      </c>
      <c r="M4" s="2239"/>
      <c r="N4" s="2239">
        <v>5</v>
      </c>
      <c r="O4" s="989"/>
      <c r="P4" s="989"/>
      <c r="Q4" s="989">
        <f t="shared" ref="Q4:Q41" si="0">P4*E4</f>
        <v>0</v>
      </c>
      <c r="R4" s="563"/>
      <c r="S4" s="638">
        <f t="shared" ref="S4:S41" si="1">R4*E4</f>
        <v>0</v>
      </c>
      <c r="T4" s="573">
        <f>J4+J5+J6+J7+J8+J9+J10+J11+J12+J13+L4+L5+L6+L7+L8+L9+L10+L11+L12+L13+N4+N5+N6+N7+N8+N9+N10+N11+N12+N13+P4+P5+P6+P7+P8+P9+P10+P11+P12+P13+R4+R5+R6+R7+R8+R10+R11+R13</f>
        <v>76</v>
      </c>
      <c r="V4" s="57">
        <f>+I4*5%</f>
        <v>7.4499999999999997E-2</v>
      </c>
      <c r="W4" s="336">
        <f>+I4-V4</f>
        <v>1.4155</v>
      </c>
      <c r="X4">
        <v>1.95</v>
      </c>
      <c r="Y4">
        <f>+X4/W4</f>
        <v>1.3776050865418581</v>
      </c>
    </row>
    <row r="5" spans="1:25">
      <c r="A5" s="2225">
        <v>916</v>
      </c>
      <c r="B5" s="61"/>
      <c r="C5" s="594">
        <v>80628</v>
      </c>
      <c r="D5" s="595" t="s">
        <v>2707</v>
      </c>
      <c r="E5" s="596">
        <v>6</v>
      </c>
      <c r="F5" s="597">
        <v>7591031003328</v>
      </c>
      <c r="G5" s="459"/>
      <c r="H5" s="459">
        <v>1.52</v>
      </c>
      <c r="I5" s="459">
        <f>+I4</f>
        <v>1.49</v>
      </c>
      <c r="J5" s="2239">
        <v>5</v>
      </c>
      <c r="K5" s="2240"/>
      <c r="L5" s="2240"/>
      <c r="M5" s="2239"/>
      <c r="N5" s="2239">
        <v>4</v>
      </c>
      <c r="O5" s="989"/>
      <c r="P5" s="989"/>
      <c r="Q5" s="989">
        <f t="shared" si="0"/>
        <v>0</v>
      </c>
      <c r="R5" s="563"/>
      <c r="S5" s="638">
        <f t="shared" si="1"/>
        <v>0</v>
      </c>
    </row>
    <row r="6" spans="1:25">
      <c r="A6" s="2225">
        <v>13746</v>
      </c>
      <c r="B6" s="1580"/>
      <c r="C6" s="594">
        <v>1017051</v>
      </c>
      <c r="D6" s="595" t="s">
        <v>2708</v>
      </c>
      <c r="E6" s="596">
        <v>6</v>
      </c>
      <c r="F6" s="597">
        <v>7591031000983</v>
      </c>
      <c r="G6" s="459"/>
      <c r="H6" s="459">
        <v>0.84</v>
      </c>
      <c r="I6" s="459">
        <v>0.82</v>
      </c>
      <c r="J6" s="2239">
        <v>1</v>
      </c>
      <c r="K6" s="2240"/>
      <c r="L6" s="2240"/>
      <c r="M6" s="2239"/>
      <c r="N6" s="2239">
        <v>3</v>
      </c>
      <c r="O6" s="989"/>
      <c r="P6" s="989"/>
      <c r="Q6" s="989">
        <f t="shared" si="0"/>
        <v>0</v>
      </c>
      <c r="R6" s="563"/>
      <c r="S6" s="638">
        <f t="shared" si="1"/>
        <v>0</v>
      </c>
    </row>
    <row r="7" spans="1:25">
      <c r="A7" s="2225">
        <v>2863</v>
      </c>
      <c r="B7" s="1104"/>
      <c r="C7" s="594">
        <v>178392</v>
      </c>
      <c r="D7" s="595" t="s">
        <v>2709</v>
      </c>
      <c r="E7" s="596">
        <v>6</v>
      </c>
      <c r="F7" s="597">
        <v>7591031003250</v>
      </c>
      <c r="G7" s="459"/>
      <c r="H7" s="459">
        <v>1.1399999999999999</v>
      </c>
      <c r="I7" s="459">
        <v>1.1200000000000001</v>
      </c>
      <c r="J7" s="2239">
        <v>15</v>
      </c>
      <c r="K7" s="2240"/>
      <c r="L7" s="2240"/>
      <c r="M7" s="2239"/>
      <c r="N7" s="2239">
        <v>20</v>
      </c>
      <c r="O7" s="989"/>
      <c r="P7" s="989"/>
      <c r="Q7" s="989">
        <f t="shared" si="0"/>
        <v>0</v>
      </c>
      <c r="R7" s="563"/>
      <c r="S7" s="638">
        <f t="shared" si="1"/>
        <v>0</v>
      </c>
    </row>
    <row r="8" spans="1:25">
      <c r="A8" s="2225">
        <v>15721</v>
      </c>
      <c r="B8" s="1581"/>
      <c r="C8" s="594">
        <v>1017052</v>
      </c>
      <c r="D8" s="1362" t="s">
        <v>2710</v>
      </c>
      <c r="E8" s="596">
        <v>6</v>
      </c>
      <c r="F8" s="597">
        <v>7591031102052</v>
      </c>
      <c r="G8" s="459"/>
      <c r="H8" s="459">
        <v>0.69</v>
      </c>
      <c r="I8" s="459">
        <v>0.68</v>
      </c>
      <c r="J8" s="2239">
        <v>1</v>
      </c>
      <c r="K8" s="2240"/>
      <c r="L8" s="2240"/>
      <c r="M8" s="2239"/>
      <c r="N8" s="2239">
        <v>15</v>
      </c>
      <c r="O8" s="989"/>
      <c r="P8" s="989"/>
      <c r="Q8" s="989">
        <f t="shared" si="0"/>
        <v>0</v>
      </c>
      <c r="R8" s="563"/>
      <c r="S8" s="638">
        <f t="shared" si="1"/>
        <v>0</v>
      </c>
    </row>
    <row r="9" spans="1:25" hidden="1">
      <c r="A9" s="2225">
        <v>5356</v>
      </c>
      <c r="B9" s="693"/>
      <c r="C9" s="594">
        <v>80142</v>
      </c>
      <c r="D9" s="595" t="s">
        <v>5188</v>
      </c>
      <c r="E9" s="596">
        <v>24</v>
      </c>
      <c r="F9" s="597">
        <v>7591031003946</v>
      </c>
      <c r="G9" s="459"/>
      <c r="H9" s="459">
        <v>0.4</v>
      </c>
      <c r="I9" s="459">
        <f>VLOOKUP(C9,'[1]Retail Plus TF'!$J$7:$S$149,10,0)</f>
        <v>0.37</v>
      </c>
      <c r="J9" s="2239"/>
      <c r="K9" s="2240"/>
      <c r="L9" s="2240"/>
      <c r="M9" s="2239"/>
      <c r="N9" s="2239"/>
      <c r="O9" s="989"/>
      <c r="P9" s="989"/>
      <c r="Q9" s="989">
        <f t="shared" si="0"/>
        <v>0</v>
      </c>
      <c r="R9" s="563"/>
      <c r="S9" s="638">
        <f t="shared" si="1"/>
        <v>0</v>
      </c>
    </row>
    <row r="10" spans="1:25" hidden="1">
      <c r="A10" s="2225">
        <v>3513</v>
      </c>
      <c r="B10" s="1628"/>
      <c r="C10" s="594">
        <v>80624</v>
      </c>
      <c r="D10" s="595" t="s">
        <v>2711</v>
      </c>
      <c r="E10" s="596">
        <v>24</v>
      </c>
      <c r="F10" s="597">
        <v>7591031003229</v>
      </c>
      <c r="G10" s="459"/>
      <c r="H10" s="459">
        <v>0.4</v>
      </c>
      <c r="I10" s="459">
        <v>0.81</v>
      </c>
      <c r="J10" s="2239"/>
      <c r="K10" s="2240"/>
      <c r="L10" s="2240"/>
      <c r="M10" s="2239"/>
      <c r="N10" s="2239"/>
      <c r="O10" s="989"/>
      <c r="P10" s="989"/>
      <c r="Q10" s="989">
        <f t="shared" si="0"/>
        <v>0</v>
      </c>
      <c r="R10" s="563"/>
      <c r="S10" s="638">
        <f t="shared" si="1"/>
        <v>0</v>
      </c>
    </row>
    <row r="11" spans="1:25" ht="13.5" hidden="1" customHeight="1">
      <c r="A11" s="2225">
        <v>903</v>
      </c>
      <c r="B11" s="1628"/>
      <c r="C11" s="594">
        <v>80625</v>
      </c>
      <c r="D11" s="595" t="s">
        <v>2712</v>
      </c>
      <c r="E11" s="596">
        <v>24</v>
      </c>
      <c r="F11" s="597">
        <v>7591031003281</v>
      </c>
      <c r="G11" s="459"/>
      <c r="H11" s="459">
        <v>0.4</v>
      </c>
      <c r="I11" s="459">
        <v>0.81</v>
      </c>
      <c r="J11" s="2239"/>
      <c r="K11" s="2240"/>
      <c r="L11" s="2240"/>
      <c r="M11" s="2239"/>
      <c r="N11" s="2239"/>
      <c r="O11" s="989"/>
      <c r="P11" s="989"/>
      <c r="Q11" s="989">
        <f t="shared" si="0"/>
        <v>0</v>
      </c>
      <c r="R11" s="563"/>
      <c r="S11" s="638">
        <f t="shared" si="1"/>
        <v>0</v>
      </c>
    </row>
    <row r="12" spans="1:25" hidden="1">
      <c r="A12" s="2225">
        <v>13416</v>
      </c>
      <c r="B12" s="1628"/>
      <c r="C12" s="594">
        <v>1016811</v>
      </c>
      <c r="D12" s="595" t="s">
        <v>2713</v>
      </c>
      <c r="E12" s="596">
        <v>24</v>
      </c>
      <c r="F12" s="597">
        <v>7591031102069</v>
      </c>
      <c r="G12" s="459"/>
      <c r="H12" s="459">
        <v>0.4</v>
      </c>
      <c r="I12" s="459">
        <v>0.81</v>
      </c>
      <c r="J12" s="2239"/>
      <c r="K12" s="2240"/>
      <c r="L12" s="2240"/>
      <c r="M12" s="2239"/>
      <c r="N12" s="2239"/>
      <c r="O12" s="989"/>
      <c r="P12" s="989"/>
      <c r="Q12" s="989">
        <f t="shared" si="0"/>
        <v>0</v>
      </c>
      <c r="R12" s="563"/>
      <c r="S12" s="638">
        <f t="shared" si="1"/>
        <v>0</v>
      </c>
    </row>
    <row r="13" spans="1:25" hidden="1">
      <c r="A13" s="2225">
        <v>10411</v>
      </c>
      <c r="B13" s="693"/>
      <c r="C13" s="594">
        <v>1016425</v>
      </c>
      <c r="D13" s="595" t="s">
        <v>2714</v>
      </c>
      <c r="E13" s="596">
        <v>12</v>
      </c>
      <c r="F13" s="597">
        <v>7591031003236</v>
      </c>
      <c r="G13" s="459"/>
      <c r="H13" s="459">
        <v>0.4</v>
      </c>
      <c r="I13" s="459">
        <f>VLOOKUP(C13,'[1]Retail Plus TF'!$J$7:$S$149,10,0)</f>
        <v>0.37</v>
      </c>
      <c r="J13" s="2239"/>
      <c r="K13" s="2240"/>
      <c r="L13" s="2240"/>
      <c r="M13" s="2239"/>
      <c r="N13" s="2239"/>
      <c r="O13" s="989"/>
      <c r="P13" s="989"/>
      <c r="Q13" s="989">
        <f t="shared" si="0"/>
        <v>0</v>
      </c>
      <c r="R13" s="563"/>
      <c r="S13" s="638">
        <f t="shared" si="1"/>
        <v>0</v>
      </c>
    </row>
    <row r="14" spans="1:25">
      <c r="A14" s="2225">
        <v>1531</v>
      </c>
      <c r="B14" s="61"/>
      <c r="C14" s="594">
        <v>80674</v>
      </c>
      <c r="D14" s="595" t="s">
        <v>2715</v>
      </c>
      <c r="E14" s="596">
        <v>6</v>
      </c>
      <c r="F14" s="597">
        <v>7591031003595</v>
      </c>
      <c r="G14" s="459"/>
      <c r="H14" s="459">
        <v>1.52</v>
      </c>
      <c r="I14" s="459">
        <f>+I4</f>
        <v>1.49</v>
      </c>
      <c r="J14" s="2239"/>
      <c r="K14" s="2240"/>
      <c r="L14" s="2240">
        <v>2</v>
      </c>
      <c r="M14" s="2239"/>
      <c r="N14" s="2239">
        <v>10</v>
      </c>
      <c r="O14" s="989"/>
      <c r="P14" s="989"/>
      <c r="Q14" s="989">
        <f t="shared" si="0"/>
        <v>0</v>
      </c>
      <c r="R14" s="563"/>
      <c r="S14" s="638">
        <f t="shared" si="1"/>
        <v>0</v>
      </c>
    </row>
    <row r="15" spans="1:25">
      <c r="A15" s="2225">
        <v>911</v>
      </c>
      <c r="B15" s="1104"/>
      <c r="C15" s="594">
        <v>178395</v>
      </c>
      <c r="D15" s="595" t="s">
        <v>2716</v>
      </c>
      <c r="E15" s="596">
        <v>6</v>
      </c>
      <c r="F15" s="597">
        <v>7591031003588</v>
      </c>
      <c r="G15" s="459"/>
      <c r="H15" s="459">
        <v>1.1399999999999999</v>
      </c>
      <c r="I15" s="459">
        <f>+I7</f>
        <v>1.1200000000000001</v>
      </c>
      <c r="J15" s="2239"/>
      <c r="K15" s="2240"/>
      <c r="L15" s="2240">
        <v>1</v>
      </c>
      <c r="M15" s="2239"/>
      <c r="N15" s="2239">
        <v>10</v>
      </c>
      <c r="O15" s="989"/>
      <c r="P15" s="989"/>
      <c r="Q15" s="989">
        <f t="shared" si="0"/>
        <v>0</v>
      </c>
      <c r="R15" s="563"/>
      <c r="S15" s="638">
        <f t="shared" si="1"/>
        <v>0</v>
      </c>
    </row>
    <row r="16" spans="1:25" hidden="1">
      <c r="A16" s="2225"/>
      <c r="B16" s="1628"/>
      <c r="C16" s="594">
        <v>80676</v>
      </c>
      <c r="D16" s="595" t="s">
        <v>2717</v>
      </c>
      <c r="E16" s="596">
        <v>24</v>
      </c>
      <c r="F16" s="597">
        <v>7591031003526</v>
      </c>
      <c r="G16" s="459"/>
      <c r="H16" s="459">
        <v>0.4</v>
      </c>
      <c r="I16" s="459">
        <f>+I10</f>
        <v>0.81</v>
      </c>
      <c r="J16" s="2239"/>
      <c r="K16" s="2240"/>
      <c r="L16" s="2240"/>
      <c r="M16" s="2239"/>
      <c r="N16" s="2239"/>
      <c r="O16" s="989"/>
      <c r="P16" s="989"/>
      <c r="Q16" s="989">
        <f t="shared" si="0"/>
        <v>0</v>
      </c>
      <c r="R16" s="563"/>
      <c r="S16" s="638">
        <f t="shared" si="1"/>
        <v>0</v>
      </c>
    </row>
    <row r="17" spans="1:27" hidden="1">
      <c r="A17" s="2225"/>
      <c r="B17" s="693"/>
      <c r="C17" s="594">
        <v>80677</v>
      </c>
      <c r="D17" s="595" t="s">
        <v>2718</v>
      </c>
      <c r="E17" s="596">
        <v>24</v>
      </c>
      <c r="F17" s="597">
        <v>7591031012214</v>
      </c>
      <c r="G17" s="459"/>
      <c r="H17" s="459">
        <v>0.4</v>
      </c>
      <c r="I17" s="459">
        <f>VLOOKUP(C17,'[1]Retail Plus TF'!$J$7:$S$149,10,0)</f>
        <v>0.37</v>
      </c>
      <c r="J17" s="2239"/>
      <c r="K17" s="2240"/>
      <c r="L17" s="2240"/>
      <c r="M17" s="2239"/>
      <c r="N17" s="2239"/>
      <c r="O17" s="989"/>
      <c r="P17" s="989"/>
      <c r="Q17" s="989">
        <f t="shared" si="0"/>
        <v>0</v>
      </c>
      <c r="R17" s="563"/>
      <c r="S17" s="638">
        <f t="shared" si="1"/>
        <v>0</v>
      </c>
      <c r="Y17">
        <v>300</v>
      </c>
      <c r="Z17">
        <v>3.3</v>
      </c>
      <c r="AA17">
        <f>+Y17*Z17</f>
        <v>990</v>
      </c>
    </row>
    <row r="18" spans="1:27" s="1594" customFormat="1">
      <c r="A18" s="2233">
        <v>23304</v>
      </c>
      <c r="B18" s="693"/>
      <c r="C18" s="594">
        <v>1001003</v>
      </c>
      <c r="D18" s="595" t="s">
        <v>6034</v>
      </c>
      <c r="E18" s="596"/>
      <c r="F18" s="597"/>
      <c r="G18" s="459"/>
      <c r="H18" s="459"/>
      <c r="I18" s="459"/>
      <c r="J18" s="2239"/>
      <c r="K18" s="2240"/>
      <c r="L18" s="2240"/>
      <c r="M18" s="2239"/>
      <c r="N18" s="2239">
        <v>5</v>
      </c>
      <c r="O18" s="2231"/>
      <c r="P18" s="2231"/>
      <c r="Q18" s="2231"/>
      <c r="R18" s="2232"/>
      <c r="S18" s="2231"/>
    </row>
    <row r="19" spans="1:27" hidden="1">
      <c r="A19" s="2225"/>
      <c r="B19" s="693"/>
      <c r="C19" s="594">
        <v>80147</v>
      </c>
      <c r="D19" s="595" t="s">
        <v>2719</v>
      </c>
      <c r="E19" s="596">
        <v>24</v>
      </c>
      <c r="F19" s="597">
        <v>7591031003861</v>
      </c>
      <c r="G19" s="459"/>
      <c r="H19" s="459">
        <v>0.4</v>
      </c>
      <c r="I19" s="459">
        <f>+I10</f>
        <v>0.81</v>
      </c>
      <c r="J19" s="2239"/>
      <c r="K19" s="2240"/>
      <c r="L19" s="2240"/>
      <c r="M19" s="2239"/>
      <c r="N19" s="2239"/>
      <c r="O19" s="989"/>
      <c r="P19" s="989"/>
      <c r="Q19" s="989">
        <f t="shared" si="0"/>
        <v>0</v>
      </c>
      <c r="R19" s="563"/>
      <c r="S19" s="638">
        <f t="shared" si="1"/>
        <v>0</v>
      </c>
    </row>
    <row r="20" spans="1:27">
      <c r="A20" s="2225">
        <v>909</v>
      </c>
      <c r="B20" s="61"/>
      <c r="C20" s="594">
        <v>80642</v>
      </c>
      <c r="D20" s="595" t="s">
        <v>2720</v>
      </c>
      <c r="E20" s="596">
        <v>6</v>
      </c>
      <c r="F20" s="597">
        <v>7591031003366</v>
      </c>
      <c r="G20" s="459"/>
      <c r="H20" s="459">
        <v>1.52</v>
      </c>
      <c r="I20" s="459">
        <f>+I4</f>
        <v>1.49</v>
      </c>
      <c r="J20" s="2239"/>
      <c r="K20" s="2240"/>
      <c r="L20" s="2240"/>
      <c r="M20" s="2239"/>
      <c r="N20" s="2239">
        <v>7</v>
      </c>
      <c r="O20" s="989"/>
      <c r="P20" s="989"/>
      <c r="Q20" s="989">
        <f t="shared" si="0"/>
        <v>0</v>
      </c>
      <c r="R20" s="563"/>
      <c r="S20" s="638">
        <f t="shared" si="1"/>
        <v>0</v>
      </c>
    </row>
    <row r="21" spans="1:27" s="827" customFormat="1">
      <c r="A21" s="2225">
        <v>910</v>
      </c>
      <c r="B21" s="61"/>
      <c r="C21" s="594">
        <v>80644</v>
      </c>
      <c r="D21" s="595" t="s">
        <v>2721</v>
      </c>
      <c r="E21" s="596">
        <v>6</v>
      </c>
      <c r="F21" s="597">
        <v>7591031000228</v>
      </c>
      <c r="G21" s="459"/>
      <c r="H21" s="459">
        <v>1.52</v>
      </c>
      <c r="I21" s="459">
        <f>+I4</f>
        <v>1.49</v>
      </c>
      <c r="J21" s="2239"/>
      <c r="K21" s="2240"/>
      <c r="L21" s="2240"/>
      <c r="M21" s="2239"/>
      <c r="N21" s="2239">
        <v>5</v>
      </c>
      <c r="O21" s="989"/>
      <c r="P21" s="989"/>
      <c r="Q21" s="989"/>
      <c r="R21" s="563"/>
      <c r="S21" s="862">
        <f t="shared" si="1"/>
        <v>0</v>
      </c>
    </row>
    <row r="22" spans="1:27" s="404" customFormat="1">
      <c r="A22" s="2225">
        <v>2414</v>
      </c>
      <c r="B22" s="1104"/>
      <c r="C22" s="594">
        <v>178393</v>
      </c>
      <c r="D22" s="595" t="s">
        <v>2722</v>
      </c>
      <c r="E22" s="596">
        <v>6</v>
      </c>
      <c r="F22" s="597">
        <v>7591031003359</v>
      </c>
      <c r="G22" s="459"/>
      <c r="H22" s="459">
        <v>1.1399999999999999</v>
      </c>
      <c r="I22" s="459">
        <f>+I7</f>
        <v>1.1200000000000001</v>
      </c>
      <c r="J22" s="2239">
        <v>1</v>
      </c>
      <c r="K22" s="2240"/>
      <c r="L22" s="2240">
        <v>1</v>
      </c>
      <c r="M22" s="2239"/>
      <c r="N22" s="2239">
        <v>7</v>
      </c>
      <c r="O22" s="989"/>
      <c r="P22" s="989"/>
      <c r="Q22" s="989">
        <f t="shared" si="0"/>
        <v>0</v>
      </c>
      <c r="R22" s="563"/>
      <c r="S22" s="638">
        <f t="shared" si="1"/>
        <v>0</v>
      </c>
    </row>
    <row r="23" spans="1:27">
      <c r="A23" s="2225">
        <v>6357</v>
      </c>
      <c r="B23" s="1104"/>
      <c r="C23" s="594">
        <v>178398</v>
      </c>
      <c r="D23" s="595" t="s">
        <v>2723</v>
      </c>
      <c r="E23" s="596">
        <v>6</v>
      </c>
      <c r="F23" s="597">
        <v>7951031000013</v>
      </c>
      <c r="G23" s="459"/>
      <c r="H23" s="459">
        <v>1.1399999999999999</v>
      </c>
      <c r="I23" s="459">
        <f>+I7</f>
        <v>1.1200000000000001</v>
      </c>
      <c r="J23" s="2239">
        <v>1</v>
      </c>
      <c r="K23" s="2240"/>
      <c r="L23" s="2240">
        <v>1</v>
      </c>
      <c r="M23" s="2239"/>
      <c r="N23" s="2239">
        <v>3</v>
      </c>
      <c r="O23" s="989"/>
      <c r="P23" s="989"/>
      <c r="Q23" s="989">
        <f t="shared" si="0"/>
        <v>0</v>
      </c>
      <c r="R23" s="563"/>
      <c r="S23" s="638">
        <f t="shared" si="1"/>
        <v>0</v>
      </c>
    </row>
    <row r="24" spans="1:27" s="827" customFormat="1" hidden="1">
      <c r="A24" s="2225"/>
      <c r="B24" s="1104"/>
      <c r="C24" s="594">
        <v>1016933</v>
      </c>
      <c r="D24" s="595" t="s">
        <v>2724</v>
      </c>
      <c r="E24" s="596">
        <v>6</v>
      </c>
      <c r="F24" s="597">
        <v>7591031001089</v>
      </c>
      <c r="G24" s="459"/>
      <c r="H24" s="459">
        <v>1.1399999999999999</v>
      </c>
      <c r="I24" s="459">
        <f>+I7</f>
        <v>1.1200000000000001</v>
      </c>
      <c r="J24" s="2239"/>
      <c r="K24" s="2240"/>
      <c r="L24" s="2240"/>
      <c r="M24" s="2239"/>
      <c r="N24" s="2239"/>
      <c r="O24" s="1055"/>
      <c r="P24" s="1055"/>
      <c r="Q24" s="1055">
        <f t="shared" si="0"/>
        <v>0</v>
      </c>
      <c r="R24" s="563"/>
      <c r="S24" s="1055">
        <f t="shared" si="1"/>
        <v>0</v>
      </c>
      <c r="U24" s="827">
        <v>1.05</v>
      </c>
      <c r="V24" s="827">
        <v>6</v>
      </c>
      <c r="W24" s="827">
        <f>+U24*V24</f>
        <v>6.3000000000000007</v>
      </c>
    </row>
    <row r="25" spans="1:27">
      <c r="A25" s="2225">
        <v>1526</v>
      </c>
      <c r="B25" s="1104"/>
      <c r="C25" s="594">
        <v>178394</v>
      </c>
      <c r="D25" s="595" t="s">
        <v>2725</v>
      </c>
      <c r="E25" s="596">
        <v>6</v>
      </c>
      <c r="F25" s="597">
        <v>7591031003397</v>
      </c>
      <c r="G25" s="459"/>
      <c r="H25" s="459">
        <v>1.1399999999999999</v>
      </c>
      <c r="I25" s="459">
        <f>+I7</f>
        <v>1.1200000000000001</v>
      </c>
      <c r="J25" s="2239"/>
      <c r="K25" s="2240"/>
      <c r="L25" s="2240"/>
      <c r="M25" s="2239"/>
      <c r="N25" s="2239">
        <v>5</v>
      </c>
      <c r="O25" s="989"/>
      <c r="P25" s="989"/>
      <c r="Q25" s="989">
        <f t="shared" si="0"/>
        <v>0</v>
      </c>
      <c r="R25" s="563"/>
      <c r="S25" s="638">
        <f t="shared" si="1"/>
        <v>0</v>
      </c>
    </row>
    <row r="26" spans="1:27" hidden="1">
      <c r="A26" s="2225"/>
      <c r="B26" s="1580"/>
      <c r="C26" s="594">
        <v>1017122</v>
      </c>
      <c r="D26" s="595" t="s">
        <v>2738</v>
      </c>
      <c r="E26" s="596">
        <v>6</v>
      </c>
      <c r="F26" s="597">
        <v>0</v>
      </c>
      <c r="G26" s="459"/>
      <c r="H26" s="459">
        <v>0.84</v>
      </c>
      <c r="I26" s="459">
        <f>+I6</f>
        <v>0.82</v>
      </c>
      <c r="J26" s="2239"/>
      <c r="K26" s="2240"/>
      <c r="L26" s="2240"/>
      <c r="M26" s="2239"/>
      <c r="N26" s="2239"/>
      <c r="O26" s="989"/>
      <c r="P26" s="989"/>
      <c r="Q26" s="989">
        <f>P26*E26</f>
        <v>0</v>
      </c>
      <c r="R26" s="563"/>
      <c r="S26" s="638">
        <f>R26*E26</f>
        <v>0</v>
      </c>
    </row>
    <row r="27" spans="1:27">
      <c r="A27" s="2225">
        <v>17890</v>
      </c>
      <c r="B27" s="1580"/>
      <c r="C27" s="594">
        <v>1017221</v>
      </c>
      <c r="D27" s="595" t="s">
        <v>4620</v>
      </c>
      <c r="E27" s="596">
        <v>6</v>
      </c>
      <c r="F27" s="597">
        <v>7591031000952</v>
      </c>
      <c r="G27" s="459"/>
      <c r="H27" s="459">
        <v>0.84</v>
      </c>
      <c r="I27" s="459">
        <f>I26</f>
        <v>0.82</v>
      </c>
      <c r="J27" s="2239"/>
      <c r="K27" s="2240"/>
      <c r="L27" s="2240">
        <v>1</v>
      </c>
      <c r="M27" s="2239"/>
      <c r="N27" s="2239">
        <v>3</v>
      </c>
      <c r="O27" s="989"/>
      <c r="P27" s="989"/>
      <c r="Q27" s="989">
        <f>P27*E27</f>
        <v>0</v>
      </c>
      <c r="R27" s="563"/>
      <c r="S27" s="638">
        <f>R27*E27</f>
        <v>0</v>
      </c>
    </row>
    <row r="28" spans="1:27" hidden="1">
      <c r="A28" s="2225">
        <v>21358</v>
      </c>
      <c r="B28" s="1580"/>
      <c r="C28" s="594">
        <v>1017222</v>
      </c>
      <c r="D28" s="595" t="s">
        <v>4621</v>
      </c>
      <c r="E28" s="596">
        <v>6</v>
      </c>
      <c r="F28" s="597"/>
      <c r="G28" s="459"/>
      <c r="H28" s="459">
        <v>0.84</v>
      </c>
      <c r="I28" s="459">
        <f>I27</f>
        <v>0.82</v>
      </c>
      <c r="J28" s="2239"/>
      <c r="K28" s="2240"/>
      <c r="L28" s="2240"/>
      <c r="M28" s="2239"/>
      <c r="N28" s="2239"/>
      <c r="O28" s="989"/>
      <c r="P28" s="989"/>
      <c r="Q28" s="989">
        <f>P28*E28</f>
        <v>0</v>
      </c>
      <c r="R28" s="563"/>
      <c r="S28" s="638">
        <f>R28*E28</f>
        <v>0</v>
      </c>
    </row>
    <row r="29" spans="1:27">
      <c r="A29" s="2225">
        <v>17891</v>
      </c>
      <c r="B29" s="1104"/>
      <c r="C29" s="594">
        <v>178397</v>
      </c>
      <c r="D29" s="595" t="s">
        <v>4619</v>
      </c>
      <c r="E29" s="596">
        <v>6</v>
      </c>
      <c r="F29" s="597">
        <v>7591031000037</v>
      </c>
      <c r="G29" s="459"/>
      <c r="H29" s="459">
        <v>1.1399999999999999</v>
      </c>
      <c r="I29" s="459">
        <f>+I7</f>
        <v>1.1200000000000001</v>
      </c>
      <c r="J29" s="2239">
        <v>4</v>
      </c>
      <c r="K29" s="2240"/>
      <c r="L29" s="2240">
        <v>1</v>
      </c>
      <c r="M29" s="2239"/>
      <c r="N29" s="2239">
        <v>10</v>
      </c>
      <c r="O29" s="989"/>
      <c r="P29" s="989"/>
      <c r="Q29" s="989">
        <f t="shared" si="0"/>
        <v>0</v>
      </c>
      <c r="R29" s="563"/>
      <c r="S29" s="638">
        <f t="shared" si="1"/>
        <v>0</v>
      </c>
    </row>
    <row r="30" spans="1:27">
      <c r="A30" s="2225">
        <v>3427</v>
      </c>
      <c r="B30" s="1104"/>
      <c r="C30" s="594">
        <v>178396</v>
      </c>
      <c r="D30" s="595" t="s">
        <v>2726</v>
      </c>
      <c r="E30" s="596">
        <v>6</v>
      </c>
      <c r="F30" s="597">
        <v>7591031000020</v>
      </c>
      <c r="G30" s="459"/>
      <c r="H30" s="459">
        <v>1.1399999999999999</v>
      </c>
      <c r="I30" s="459">
        <f>+I7</f>
        <v>1.1200000000000001</v>
      </c>
      <c r="J30" s="2239">
        <v>2</v>
      </c>
      <c r="K30" s="2240"/>
      <c r="L30" s="2240">
        <v>1</v>
      </c>
      <c r="M30" s="2239"/>
      <c r="N30" s="2239">
        <v>7</v>
      </c>
      <c r="O30" s="989"/>
      <c r="P30" s="989"/>
      <c r="Q30" s="989">
        <f t="shared" si="0"/>
        <v>0</v>
      </c>
      <c r="R30" s="563"/>
      <c r="S30" s="638">
        <f t="shared" si="1"/>
        <v>0</v>
      </c>
    </row>
    <row r="31" spans="1:27" hidden="1">
      <c r="A31" s="2225"/>
      <c r="B31" s="693"/>
      <c r="C31" s="594">
        <v>80646</v>
      </c>
      <c r="D31" s="595" t="s">
        <v>2727</v>
      </c>
      <c r="E31" s="596">
        <v>24</v>
      </c>
      <c r="F31" s="597">
        <v>7591031001324</v>
      </c>
      <c r="G31" s="459"/>
      <c r="H31" s="459">
        <v>0.4</v>
      </c>
      <c r="I31" s="459">
        <f>VLOOKUP(C31,'[1]Retail Plus TF'!$J$7:$S$149,10,0)</f>
        <v>0.7</v>
      </c>
      <c r="J31" s="2239"/>
      <c r="K31" s="2240"/>
      <c r="L31" s="2240"/>
      <c r="M31" s="2239"/>
      <c r="N31" s="2239"/>
      <c r="O31" s="989"/>
      <c r="P31" s="989"/>
      <c r="Q31" s="989">
        <f t="shared" si="0"/>
        <v>0</v>
      </c>
      <c r="R31" s="563"/>
      <c r="S31" s="638">
        <f t="shared" si="1"/>
        <v>0</v>
      </c>
      <c r="Z31">
        <v>4.3266</v>
      </c>
    </row>
    <row r="32" spans="1:27" hidden="1">
      <c r="A32" s="2225"/>
      <c r="B32" s="1628"/>
      <c r="C32" s="594">
        <v>80647</v>
      </c>
      <c r="D32" s="595" t="s">
        <v>2728</v>
      </c>
      <c r="E32" s="596">
        <v>24</v>
      </c>
      <c r="F32" s="597">
        <v>7591031003373</v>
      </c>
      <c r="G32" s="459"/>
      <c r="H32" s="459">
        <v>0.4</v>
      </c>
      <c r="I32" s="459">
        <f>+I10</f>
        <v>0.81</v>
      </c>
      <c r="J32" s="2239"/>
      <c r="K32" s="2240"/>
      <c r="L32" s="2240"/>
      <c r="M32" s="2239"/>
      <c r="N32" s="2239"/>
      <c r="O32" s="989"/>
      <c r="P32" s="989"/>
      <c r="Q32" s="989">
        <f t="shared" si="0"/>
        <v>0</v>
      </c>
      <c r="R32" s="563"/>
      <c r="S32" s="638">
        <f t="shared" si="1"/>
        <v>0</v>
      </c>
      <c r="Z32">
        <v>935.28</v>
      </c>
    </row>
    <row r="33" spans="1:26" hidden="1">
      <c r="A33" s="2225"/>
      <c r="B33" s="1628"/>
      <c r="C33" s="594">
        <v>80649</v>
      </c>
      <c r="D33" s="595" t="s">
        <v>2729</v>
      </c>
      <c r="E33" s="596">
        <v>24</v>
      </c>
      <c r="F33" s="597">
        <v>7591031003434</v>
      </c>
      <c r="G33" s="459"/>
      <c r="H33" s="459">
        <v>0.4</v>
      </c>
      <c r="I33" s="459">
        <f>+I11</f>
        <v>0.81</v>
      </c>
      <c r="J33" s="2239"/>
      <c r="K33" s="2240"/>
      <c r="L33" s="2240"/>
      <c r="M33" s="2239"/>
      <c r="N33" s="2239"/>
      <c r="O33" s="989"/>
      <c r="P33" s="989"/>
      <c r="Q33" s="989">
        <f t="shared" si="0"/>
        <v>0</v>
      </c>
      <c r="R33" s="563"/>
      <c r="S33" s="638">
        <f t="shared" si="1"/>
        <v>0</v>
      </c>
      <c r="Z33" s="57">
        <f>+Z32/Z31</f>
        <v>216.16974067397032</v>
      </c>
    </row>
    <row r="34" spans="1:26" hidden="1">
      <c r="A34" s="2225"/>
      <c r="B34" s="1628"/>
      <c r="C34" s="594">
        <v>1016932</v>
      </c>
      <c r="D34" s="595" t="s">
        <v>2730</v>
      </c>
      <c r="E34" s="596">
        <v>24</v>
      </c>
      <c r="F34" s="597">
        <v>7591031001218</v>
      </c>
      <c r="G34" s="459"/>
      <c r="H34" s="459">
        <v>0.4</v>
      </c>
      <c r="I34" s="459">
        <f>+I12</f>
        <v>0.81</v>
      </c>
      <c r="J34" s="2239"/>
      <c r="K34" s="2240"/>
      <c r="L34" s="2240"/>
      <c r="M34" s="2239"/>
      <c r="N34" s="2239"/>
      <c r="O34" s="989"/>
      <c r="P34" s="989"/>
      <c r="Q34" s="989">
        <f t="shared" si="0"/>
        <v>0</v>
      </c>
      <c r="R34" s="563"/>
      <c r="S34" s="638">
        <f t="shared" si="1"/>
        <v>0</v>
      </c>
    </row>
    <row r="35" spans="1:26" hidden="1">
      <c r="A35" s="2225"/>
      <c r="B35" s="1628"/>
      <c r="C35" s="594">
        <v>80650</v>
      </c>
      <c r="D35" s="595" t="s">
        <v>2731</v>
      </c>
      <c r="E35" s="596">
        <v>24</v>
      </c>
      <c r="F35" s="597">
        <v>7591031003496</v>
      </c>
      <c r="G35" s="459"/>
      <c r="H35" s="459">
        <v>0.4</v>
      </c>
      <c r="I35" s="459">
        <f>+I13</f>
        <v>0.37</v>
      </c>
      <c r="J35" s="2239"/>
      <c r="K35" s="2240"/>
      <c r="L35" s="2240"/>
      <c r="M35" s="2239"/>
      <c r="N35" s="2239"/>
      <c r="O35" s="989"/>
      <c r="P35" s="989"/>
      <c r="Q35" s="989">
        <f t="shared" si="0"/>
        <v>0</v>
      </c>
      <c r="R35" s="563"/>
      <c r="S35" s="638">
        <f t="shared" si="1"/>
        <v>0</v>
      </c>
    </row>
    <row r="36" spans="1:26" hidden="1">
      <c r="A36" s="2225"/>
      <c r="B36" s="693"/>
      <c r="C36" s="594">
        <v>1013161</v>
      </c>
      <c r="D36" s="595" t="s">
        <v>2732</v>
      </c>
      <c r="E36" s="596">
        <v>24</v>
      </c>
      <c r="F36" s="597">
        <v>7591031100215</v>
      </c>
      <c r="G36" s="459"/>
      <c r="H36" s="459">
        <v>0.4</v>
      </c>
      <c r="I36" s="459">
        <f>VLOOKUP(C36,'[1]Retail Plus TF'!$J$7:$S$149,10,0)</f>
        <v>0.37</v>
      </c>
      <c r="J36" s="2239"/>
      <c r="K36" s="2240"/>
      <c r="L36" s="2240"/>
      <c r="M36" s="2239"/>
      <c r="N36" s="2239"/>
      <c r="O36" s="989"/>
      <c r="P36" s="989"/>
      <c r="Q36" s="989">
        <f t="shared" si="0"/>
        <v>0</v>
      </c>
      <c r="R36" s="563"/>
      <c r="S36" s="638">
        <f t="shared" si="1"/>
        <v>0</v>
      </c>
    </row>
    <row r="37" spans="1:26" hidden="1">
      <c r="A37" s="2225"/>
      <c r="B37" s="693"/>
      <c r="C37" s="594">
        <v>1013162</v>
      </c>
      <c r="D37" s="595" t="s">
        <v>2733</v>
      </c>
      <c r="E37" s="596">
        <v>24</v>
      </c>
      <c r="F37" s="597">
        <v>7591031100208</v>
      </c>
      <c r="G37" s="459"/>
      <c r="H37" s="459">
        <v>0.4</v>
      </c>
      <c r="I37" s="459">
        <f>VLOOKUP(C37,'[1]Retail Plus TF'!$J$7:$S$149,10,0)</f>
        <v>0.37</v>
      </c>
      <c r="J37" s="2239"/>
      <c r="K37" s="2240"/>
      <c r="L37" s="2240"/>
      <c r="M37" s="2239"/>
      <c r="N37" s="2239"/>
      <c r="O37" s="989"/>
      <c r="P37" s="989"/>
      <c r="Q37" s="989">
        <f t="shared" si="0"/>
        <v>0</v>
      </c>
      <c r="R37" s="563"/>
      <c r="S37" s="638">
        <f t="shared" si="1"/>
        <v>0</v>
      </c>
    </row>
    <row r="38" spans="1:26" hidden="1">
      <c r="A38" s="2225"/>
      <c r="B38" s="693"/>
      <c r="C38" s="594">
        <v>1013163</v>
      </c>
      <c r="D38" s="595" t="s">
        <v>2734</v>
      </c>
      <c r="E38" s="596">
        <v>24</v>
      </c>
      <c r="F38" s="597">
        <v>7591031100192</v>
      </c>
      <c r="G38" s="459"/>
      <c r="H38" s="459">
        <v>0.4</v>
      </c>
      <c r="I38" s="459">
        <f>VLOOKUP(C38,'[1]Retail Plus TF'!$J$7:$S$149,10,0)</f>
        <v>0.37</v>
      </c>
      <c r="J38" s="2239"/>
      <c r="K38" s="2240"/>
      <c r="L38" s="2240"/>
      <c r="M38" s="2239"/>
      <c r="N38" s="2239"/>
      <c r="O38" s="989"/>
      <c r="P38" s="989"/>
      <c r="Q38" s="989">
        <f t="shared" si="0"/>
        <v>0</v>
      </c>
      <c r="R38" s="563"/>
      <c r="S38" s="638">
        <f t="shared" si="1"/>
        <v>0</v>
      </c>
    </row>
    <row r="39" spans="1:26" hidden="1">
      <c r="A39" s="2225"/>
      <c r="B39" s="693"/>
      <c r="C39" s="594">
        <v>1013164</v>
      </c>
      <c r="D39" s="595" t="s">
        <v>2735</v>
      </c>
      <c r="E39" s="596">
        <v>24</v>
      </c>
      <c r="F39" s="597">
        <v>7591031100185</v>
      </c>
      <c r="G39" s="459"/>
      <c r="H39" s="459">
        <v>0.4</v>
      </c>
      <c r="I39" s="459">
        <f>VLOOKUP(C39,'[1]Retail Plus TF'!$J$7:$S$149,10,0)</f>
        <v>0.37</v>
      </c>
      <c r="J39" s="2239"/>
      <c r="K39" s="2240"/>
      <c r="L39" s="2240"/>
      <c r="M39" s="2239"/>
      <c r="N39" s="2239"/>
      <c r="O39" s="989"/>
      <c r="P39" s="989"/>
      <c r="Q39" s="989">
        <f t="shared" si="0"/>
        <v>0</v>
      </c>
      <c r="R39" s="563"/>
      <c r="S39" s="638">
        <f t="shared" si="1"/>
        <v>0</v>
      </c>
    </row>
    <row r="40" spans="1:26" hidden="1">
      <c r="A40" s="2225"/>
      <c r="B40" s="693"/>
      <c r="C40" s="594">
        <v>1013165</v>
      </c>
      <c r="D40" s="595" t="s">
        <v>2736</v>
      </c>
      <c r="E40" s="596">
        <v>24</v>
      </c>
      <c r="F40" s="597">
        <v>7591031100178</v>
      </c>
      <c r="G40" s="459"/>
      <c r="H40" s="459">
        <v>0.4</v>
      </c>
      <c r="I40" s="459">
        <f>VLOOKUP(C40,'[1]Retail Plus TF'!$J$7:$S$149,10,0)</f>
        <v>0.37</v>
      </c>
      <c r="J40" s="2239"/>
      <c r="K40" s="2240"/>
      <c r="L40" s="2240"/>
      <c r="M40" s="2239"/>
      <c r="N40" s="2239"/>
      <c r="O40" s="989"/>
      <c r="P40" s="989"/>
      <c r="Q40" s="989">
        <f t="shared" si="0"/>
        <v>0</v>
      </c>
      <c r="R40" s="563"/>
      <c r="S40" s="638">
        <f t="shared" si="1"/>
        <v>0</v>
      </c>
    </row>
    <row r="41" spans="1:26" hidden="1">
      <c r="A41" s="2225"/>
      <c r="B41" s="693"/>
      <c r="C41" s="594">
        <v>1016931</v>
      </c>
      <c r="D41" s="595" t="s">
        <v>2737</v>
      </c>
      <c r="E41" s="596">
        <v>24</v>
      </c>
      <c r="F41" s="597">
        <v>7591031001201</v>
      </c>
      <c r="G41" s="459"/>
      <c r="H41" s="459">
        <v>0.4</v>
      </c>
      <c r="I41" s="459">
        <f>VLOOKUP(C41,'[1]Retail Plus TF'!$J$7:$S$149,10,0)</f>
        <v>0.37</v>
      </c>
      <c r="J41" s="2239"/>
      <c r="K41" s="2240"/>
      <c r="L41" s="2240"/>
      <c r="M41" s="2239"/>
      <c r="N41" s="2239"/>
      <c r="O41" s="989"/>
      <c r="P41" s="989"/>
      <c r="Q41" s="989">
        <f t="shared" si="0"/>
        <v>0</v>
      </c>
      <c r="R41" s="563"/>
      <c r="S41" s="638">
        <f t="shared" si="1"/>
        <v>0</v>
      </c>
    </row>
    <row r="42" spans="1:26" s="692" customFormat="1" hidden="1">
      <c r="A42" s="2225">
        <v>1621</v>
      </c>
      <c r="B42" s="693"/>
      <c r="C42" s="594">
        <v>127115</v>
      </c>
      <c r="D42" s="595" t="s">
        <v>2739</v>
      </c>
      <c r="E42" s="596">
        <v>24</v>
      </c>
      <c r="F42" s="597" t="s">
        <v>2740</v>
      </c>
      <c r="G42" s="459"/>
      <c r="H42" s="459">
        <v>0.65</v>
      </c>
      <c r="I42" s="459">
        <f>VLOOKUP(C42,'[1]Retail Plus TF'!$J$7:$S$149,10,0)</f>
        <v>0.62</v>
      </c>
      <c r="J42" s="2239"/>
      <c r="K42" s="2240"/>
      <c r="L42" s="2240"/>
      <c r="M42" s="2239"/>
      <c r="N42" s="2239"/>
      <c r="O42" s="989"/>
      <c r="P42" s="989"/>
      <c r="Q42" s="989">
        <f t="shared" ref="Q42:Q69" si="2">P42*E42</f>
        <v>0</v>
      </c>
      <c r="R42" s="563"/>
      <c r="S42" s="725">
        <f t="shared" ref="S42:S69" si="3">R42*E42</f>
        <v>0</v>
      </c>
    </row>
    <row r="43" spans="1:26" hidden="1">
      <c r="A43" s="2225"/>
      <c r="B43" s="693"/>
      <c r="C43" s="594">
        <v>1016391</v>
      </c>
      <c r="D43" s="595" t="s">
        <v>2741</v>
      </c>
      <c r="E43" s="596">
        <v>12</v>
      </c>
      <c r="F43" s="597" t="s">
        <v>2742</v>
      </c>
      <c r="G43" s="459"/>
      <c r="H43" s="459">
        <v>0.4</v>
      </c>
      <c r="I43" s="459">
        <f>VLOOKUP(C43,'[1]Retail Plus TF'!$J$7:$S$149,10,0)</f>
        <v>0.37</v>
      </c>
      <c r="J43" s="2239"/>
      <c r="K43" s="2240"/>
      <c r="L43" s="2240"/>
      <c r="M43" s="2239"/>
      <c r="N43" s="2239"/>
      <c r="O43" s="989"/>
      <c r="P43" s="989"/>
      <c r="Q43" s="989">
        <f t="shared" si="2"/>
        <v>0</v>
      </c>
      <c r="R43" s="563"/>
      <c r="S43" s="638">
        <f t="shared" si="3"/>
        <v>0</v>
      </c>
    </row>
    <row r="44" spans="1:26" hidden="1">
      <c r="A44" s="2225">
        <v>850</v>
      </c>
      <c r="B44" s="359"/>
      <c r="C44" s="594">
        <v>1013371</v>
      </c>
      <c r="D44" s="595" t="s">
        <v>2743</v>
      </c>
      <c r="E44" s="596">
        <v>24</v>
      </c>
      <c r="F44" s="597" t="s">
        <v>2744</v>
      </c>
      <c r="G44" s="459"/>
      <c r="H44" s="459">
        <v>0.33</v>
      </c>
      <c r="I44" s="459">
        <v>0.3</v>
      </c>
      <c r="J44" s="2239"/>
      <c r="K44" s="2240"/>
      <c r="L44" s="2240"/>
      <c r="M44" s="2239"/>
      <c r="N44" s="2239"/>
      <c r="O44" s="989"/>
      <c r="P44" s="989"/>
      <c r="Q44" s="989">
        <f t="shared" si="2"/>
        <v>0</v>
      </c>
      <c r="R44" s="563"/>
      <c r="S44" s="638">
        <f t="shared" si="3"/>
        <v>0</v>
      </c>
    </row>
    <row r="45" spans="1:26" hidden="1">
      <c r="A45" s="2225">
        <v>884</v>
      </c>
      <c r="B45" s="693"/>
      <c r="C45" s="594">
        <v>95722</v>
      </c>
      <c r="D45" s="595" t="s">
        <v>2745</v>
      </c>
      <c r="E45" s="596">
        <v>12</v>
      </c>
      <c r="F45" s="597" t="s">
        <v>2746</v>
      </c>
      <c r="G45" s="459"/>
      <c r="H45" s="459">
        <v>0.65</v>
      </c>
      <c r="I45" s="459">
        <f>VLOOKUP(C45,'[1]Retail Plus TF'!$J$7:$S$149,10,0)</f>
        <v>0.62</v>
      </c>
      <c r="J45" s="2239"/>
      <c r="K45" s="2240"/>
      <c r="L45" s="2240"/>
      <c r="M45" s="2239"/>
      <c r="N45" s="2239"/>
      <c r="O45" s="989"/>
      <c r="P45" s="989"/>
      <c r="Q45" s="989">
        <f t="shared" si="2"/>
        <v>0</v>
      </c>
      <c r="R45" s="563"/>
      <c r="S45" s="638">
        <f t="shared" si="3"/>
        <v>0</v>
      </c>
    </row>
    <row r="46" spans="1:26">
      <c r="A46" s="2225">
        <v>891</v>
      </c>
      <c r="B46" s="693"/>
      <c r="C46" s="594">
        <v>95723</v>
      </c>
      <c r="D46" s="595" t="s">
        <v>2747</v>
      </c>
      <c r="E46" s="596">
        <v>2</v>
      </c>
      <c r="F46" s="597" t="s">
        <v>2748</v>
      </c>
      <c r="G46" s="459"/>
      <c r="H46" s="459">
        <v>2.09</v>
      </c>
      <c r="I46" s="459">
        <f>VLOOKUP(C46,'[1]Retail Plus TF'!$J$7:$S$149,10,0)</f>
        <v>1.98</v>
      </c>
      <c r="J46" s="2239">
        <v>10</v>
      </c>
      <c r="K46" s="2240"/>
      <c r="L46" s="2240">
        <v>3</v>
      </c>
      <c r="M46" s="2239"/>
      <c r="N46" s="2239">
        <v>15</v>
      </c>
      <c r="O46" s="989"/>
      <c r="P46" s="989"/>
      <c r="Q46" s="989">
        <f t="shared" si="2"/>
        <v>0</v>
      </c>
      <c r="R46" s="563"/>
      <c r="S46" s="638">
        <f t="shared" si="3"/>
        <v>0</v>
      </c>
    </row>
    <row r="47" spans="1:26" hidden="1">
      <c r="A47" s="2225">
        <v>8794</v>
      </c>
      <c r="B47" s="693"/>
      <c r="C47" s="594">
        <v>1016691</v>
      </c>
      <c r="D47" s="595" t="s">
        <v>2749</v>
      </c>
      <c r="E47" s="596">
        <v>12</v>
      </c>
      <c r="F47" s="597">
        <v>7591031101918</v>
      </c>
      <c r="G47" s="459"/>
      <c r="H47" s="459">
        <v>0.64</v>
      </c>
      <c r="I47" s="459">
        <f>VLOOKUP(C47,'[1]Retail Plus TF'!$J$7:$S$149,10,0)</f>
        <v>0.61</v>
      </c>
      <c r="J47" s="2239"/>
      <c r="K47" s="2240"/>
      <c r="L47" s="2240"/>
      <c r="M47" s="2239"/>
      <c r="N47" s="2239"/>
      <c r="O47" s="989"/>
      <c r="P47" s="989"/>
      <c r="Q47" s="989">
        <f t="shared" si="2"/>
        <v>0</v>
      </c>
      <c r="R47" s="563"/>
      <c r="S47" s="638">
        <f t="shared" si="3"/>
        <v>0</v>
      </c>
    </row>
    <row r="48" spans="1:26" hidden="1">
      <c r="A48" s="2225">
        <v>9757</v>
      </c>
      <c r="B48" s="693"/>
      <c r="C48" s="594">
        <v>1016692</v>
      </c>
      <c r="D48" s="595" t="s">
        <v>2750</v>
      </c>
      <c r="E48" s="596">
        <v>12</v>
      </c>
      <c r="F48" s="597">
        <v>7591031102045</v>
      </c>
      <c r="G48" s="459"/>
      <c r="H48" s="459">
        <v>0.64</v>
      </c>
      <c r="I48" s="459">
        <f>VLOOKUP(C48,'[1]Retail Plus TF'!$J$7:$S$149,10,0)</f>
        <v>0.61</v>
      </c>
      <c r="J48" s="2239"/>
      <c r="K48" s="2240"/>
      <c r="L48" s="2240"/>
      <c r="M48" s="2239"/>
      <c r="N48" s="2239"/>
      <c r="O48" s="989"/>
      <c r="P48" s="989"/>
      <c r="Q48" s="989">
        <f t="shared" si="2"/>
        <v>0</v>
      </c>
      <c r="R48" s="563"/>
      <c r="S48" s="638">
        <f t="shared" si="3"/>
        <v>0</v>
      </c>
    </row>
    <row r="49" spans="1:19">
      <c r="A49" s="2225">
        <v>13415</v>
      </c>
      <c r="B49" s="693"/>
      <c r="C49" s="594">
        <v>1017031</v>
      </c>
      <c r="D49" s="595" t="s">
        <v>2751</v>
      </c>
      <c r="E49" s="596">
        <v>12</v>
      </c>
      <c r="F49" s="597">
        <v>0</v>
      </c>
      <c r="G49" s="459"/>
      <c r="H49" s="459">
        <v>0.64</v>
      </c>
      <c r="I49" s="459">
        <f>VLOOKUP(C49,'[1]Retail Plus TF'!$J$7:$S$149,10,0)</f>
        <v>0.61</v>
      </c>
      <c r="J49" s="2239">
        <v>1</v>
      </c>
      <c r="K49" s="2240"/>
      <c r="L49" s="2240"/>
      <c r="M49" s="2239"/>
      <c r="N49" s="2239">
        <v>1</v>
      </c>
      <c r="O49" s="989"/>
      <c r="P49" s="989"/>
      <c r="Q49" s="989">
        <f t="shared" si="2"/>
        <v>0</v>
      </c>
      <c r="R49" s="563"/>
      <c r="S49" s="638">
        <f t="shared" si="3"/>
        <v>0</v>
      </c>
    </row>
    <row r="50" spans="1:19">
      <c r="A50" s="2225">
        <v>1624</v>
      </c>
      <c r="B50" s="693"/>
      <c r="C50" s="594">
        <v>1012523</v>
      </c>
      <c r="D50" s="595" t="s">
        <v>2752</v>
      </c>
      <c r="E50" s="596">
        <v>12</v>
      </c>
      <c r="F50" s="597">
        <v>75920913</v>
      </c>
      <c r="G50" s="459"/>
      <c r="H50" s="459">
        <v>0.53</v>
      </c>
      <c r="I50" s="459">
        <f>VLOOKUP(C50,'[1]Retail Plus TF'!$J$7:$S$149,10,0)</f>
        <v>0.49</v>
      </c>
      <c r="J50" s="2239"/>
      <c r="K50" s="2240"/>
      <c r="L50" s="2240"/>
      <c r="M50" s="2239"/>
      <c r="N50" s="2239">
        <v>2</v>
      </c>
      <c r="O50" s="989"/>
      <c r="P50" s="989"/>
      <c r="Q50" s="989">
        <f t="shared" si="2"/>
        <v>0</v>
      </c>
      <c r="R50" s="563"/>
      <c r="S50" s="638">
        <f t="shared" si="3"/>
        <v>0</v>
      </c>
    </row>
    <row r="51" spans="1:19">
      <c r="A51" s="2225">
        <v>3746</v>
      </c>
      <c r="B51" s="693"/>
      <c r="C51" s="594">
        <v>1016381</v>
      </c>
      <c r="D51" s="595" t="s">
        <v>2753</v>
      </c>
      <c r="E51" s="596">
        <v>12</v>
      </c>
      <c r="F51" s="597">
        <v>75920920</v>
      </c>
      <c r="G51" s="459"/>
      <c r="H51" s="459">
        <v>0.53</v>
      </c>
      <c r="I51" s="459">
        <f>VLOOKUP(C51,'[1]Retail Plus TF'!$J$7:$S$149,10,0)</f>
        <v>0.49</v>
      </c>
      <c r="J51" s="2239"/>
      <c r="K51" s="2240"/>
      <c r="L51" s="2240"/>
      <c r="M51" s="2239"/>
      <c r="N51" s="2239">
        <v>2</v>
      </c>
      <c r="O51" s="989"/>
      <c r="P51" s="989"/>
      <c r="Q51" s="989">
        <f t="shared" si="2"/>
        <v>0</v>
      </c>
      <c r="R51" s="563"/>
      <c r="S51" s="638">
        <f t="shared" si="3"/>
        <v>0</v>
      </c>
    </row>
    <row r="52" spans="1:19">
      <c r="A52" s="2225">
        <v>3425</v>
      </c>
      <c r="B52" s="693"/>
      <c r="C52" s="594">
        <v>1012522</v>
      </c>
      <c r="D52" s="595" t="s">
        <v>2754</v>
      </c>
      <c r="E52" s="596">
        <v>12</v>
      </c>
      <c r="F52" s="597">
        <v>75920937</v>
      </c>
      <c r="G52" s="459"/>
      <c r="H52" s="459">
        <v>0.53</v>
      </c>
      <c r="I52" s="459">
        <f>VLOOKUP(C52,'[1]Retail Plus TF'!$J$7:$S$149,10,0)</f>
        <v>0.49</v>
      </c>
      <c r="J52" s="2239"/>
      <c r="K52" s="2240"/>
      <c r="L52" s="2240"/>
      <c r="M52" s="2239"/>
      <c r="N52" s="2239">
        <v>2</v>
      </c>
      <c r="O52" s="989"/>
      <c r="P52" s="989"/>
      <c r="Q52" s="989">
        <f t="shared" si="2"/>
        <v>0</v>
      </c>
      <c r="R52" s="563"/>
      <c r="S52" s="638">
        <f t="shared" si="3"/>
        <v>0</v>
      </c>
    </row>
    <row r="53" spans="1:19">
      <c r="A53" s="2225">
        <v>1623</v>
      </c>
      <c r="B53" s="693"/>
      <c r="C53" s="594">
        <v>1012916</v>
      </c>
      <c r="D53" s="595" t="s">
        <v>2755</v>
      </c>
      <c r="E53" s="596">
        <v>12</v>
      </c>
      <c r="F53" s="597">
        <v>75920944</v>
      </c>
      <c r="G53" s="459"/>
      <c r="H53" s="459">
        <v>0.53</v>
      </c>
      <c r="I53" s="459">
        <f>VLOOKUP(C53,'[1]Retail Plus TF'!$J$7:$S$149,10,0)</f>
        <v>0.49</v>
      </c>
      <c r="J53" s="2239"/>
      <c r="K53" s="2240"/>
      <c r="L53" s="2240"/>
      <c r="M53" s="2239"/>
      <c r="N53" s="2239">
        <v>1</v>
      </c>
      <c r="O53" s="989"/>
      <c r="P53" s="989"/>
      <c r="Q53" s="989">
        <f t="shared" si="2"/>
        <v>0</v>
      </c>
      <c r="R53" s="563"/>
      <c r="S53" s="638">
        <f t="shared" si="3"/>
        <v>0</v>
      </c>
    </row>
    <row r="54" spans="1:19">
      <c r="A54" s="2225">
        <v>9228</v>
      </c>
      <c r="B54" s="693"/>
      <c r="C54" s="594">
        <v>1012942</v>
      </c>
      <c r="D54" s="595" t="s">
        <v>2756</v>
      </c>
      <c r="E54" s="596">
        <v>12</v>
      </c>
      <c r="F54" s="597">
        <v>75930578</v>
      </c>
      <c r="G54" s="459"/>
      <c r="H54" s="459">
        <v>0.53</v>
      </c>
      <c r="I54" s="459">
        <f>VLOOKUP(C54,'[1]Retail Plus TF'!$J$7:$S$149,10,0)</f>
        <v>0.49</v>
      </c>
      <c r="J54" s="2239"/>
      <c r="K54" s="2240"/>
      <c r="L54" s="2240"/>
      <c r="M54" s="2239"/>
      <c r="N54" s="2239">
        <v>2</v>
      </c>
      <c r="O54" s="989"/>
      <c r="P54" s="989"/>
      <c r="Q54" s="989">
        <f t="shared" si="2"/>
        <v>0</v>
      </c>
      <c r="R54" s="563"/>
      <c r="S54" s="638">
        <f t="shared" si="3"/>
        <v>0</v>
      </c>
    </row>
    <row r="55" spans="1:19" hidden="1">
      <c r="A55" s="2225"/>
      <c r="B55" s="693"/>
      <c r="C55" s="594">
        <v>133580</v>
      </c>
      <c r="D55" s="595" t="s">
        <v>2757</v>
      </c>
      <c r="E55" s="596">
        <v>24</v>
      </c>
      <c r="F55" s="597">
        <v>7591031002284</v>
      </c>
      <c r="G55" s="459"/>
      <c r="H55" s="459">
        <v>0.56000000000000005</v>
      </c>
      <c r="I55" s="459">
        <f>VLOOKUP(C55,'[1]Retail Plus TF'!$J$7:$S$149,10,0)</f>
        <v>0.53</v>
      </c>
      <c r="J55" s="2239"/>
      <c r="K55" s="2240"/>
      <c r="L55" s="2240"/>
      <c r="M55" s="2239"/>
      <c r="N55" s="2239"/>
      <c r="O55" s="989"/>
      <c r="P55" s="989"/>
      <c r="Q55" s="989">
        <f t="shared" si="2"/>
        <v>0</v>
      </c>
      <c r="R55" s="563"/>
      <c r="S55" s="638">
        <f t="shared" si="3"/>
        <v>0</v>
      </c>
    </row>
    <row r="56" spans="1:19" hidden="1">
      <c r="A56" s="2225"/>
      <c r="B56" s="693"/>
      <c r="C56" s="594">
        <v>135761</v>
      </c>
      <c r="D56" s="595" t="s">
        <v>2758</v>
      </c>
      <c r="E56" s="596">
        <v>24</v>
      </c>
      <c r="F56" s="597">
        <v>7591031000921</v>
      </c>
      <c r="G56" s="459"/>
      <c r="H56" s="459">
        <v>0.56000000000000005</v>
      </c>
      <c r="I56" s="459">
        <f>VLOOKUP(C56,'[1]Retail Plus TF'!$J$7:$S$149,10,0)</f>
        <v>0.53</v>
      </c>
      <c r="J56" s="2239"/>
      <c r="K56" s="2240"/>
      <c r="L56" s="2240"/>
      <c r="M56" s="2239"/>
      <c r="N56" s="2239"/>
      <c r="O56" s="989"/>
      <c r="P56" s="989"/>
      <c r="Q56" s="989">
        <f t="shared" si="2"/>
        <v>0</v>
      </c>
      <c r="R56" s="563"/>
      <c r="S56" s="638">
        <f t="shared" si="3"/>
        <v>0</v>
      </c>
    </row>
    <row r="57" spans="1:19">
      <c r="A57" s="2225">
        <v>3426</v>
      </c>
      <c r="B57" s="693"/>
      <c r="C57" s="594">
        <v>133582</v>
      </c>
      <c r="D57" s="595" t="s">
        <v>2759</v>
      </c>
      <c r="E57" s="596">
        <v>24</v>
      </c>
      <c r="F57" s="597">
        <v>7591031002390</v>
      </c>
      <c r="G57" s="459"/>
      <c r="H57" s="459">
        <v>0.56000000000000005</v>
      </c>
      <c r="I57" s="459">
        <f>VLOOKUP(C57,'[1]Retail Plus TF'!$J$7:$S$149,10,0)</f>
        <v>0.53</v>
      </c>
      <c r="J57" s="2239"/>
      <c r="K57" s="2240"/>
      <c r="L57" s="2240"/>
      <c r="M57" s="2239"/>
      <c r="N57" s="2239">
        <v>2</v>
      </c>
      <c r="O57" s="989"/>
      <c r="P57" s="989"/>
      <c r="Q57" s="989">
        <f t="shared" si="2"/>
        <v>0</v>
      </c>
      <c r="R57" s="563"/>
      <c r="S57" s="638">
        <f t="shared" si="3"/>
        <v>0</v>
      </c>
    </row>
    <row r="58" spans="1:19" hidden="1">
      <c r="A58" s="2225"/>
      <c r="B58" s="693"/>
      <c r="C58" s="594">
        <v>133581</v>
      </c>
      <c r="D58" s="595" t="s">
        <v>2760</v>
      </c>
      <c r="E58" s="596">
        <v>24</v>
      </c>
      <c r="F58" s="597">
        <v>7591031002529</v>
      </c>
      <c r="G58" s="459"/>
      <c r="H58" s="459">
        <v>0.56000000000000005</v>
      </c>
      <c r="I58" s="459">
        <f>VLOOKUP(C58,'[1]Retail Plus TF'!$J$7:$S$149,10,0)</f>
        <v>0.53</v>
      </c>
      <c r="J58" s="2239"/>
      <c r="K58" s="2240"/>
      <c r="L58" s="2240"/>
      <c r="M58" s="2239"/>
      <c r="N58" s="2239"/>
      <c r="O58" s="989"/>
      <c r="P58" s="989"/>
      <c r="Q58" s="989">
        <f t="shared" si="2"/>
        <v>0</v>
      </c>
      <c r="R58" s="563"/>
      <c r="S58" s="638">
        <f t="shared" si="3"/>
        <v>0</v>
      </c>
    </row>
    <row r="59" spans="1:19">
      <c r="A59" s="2225">
        <v>4282</v>
      </c>
      <c r="B59" s="693"/>
      <c r="C59" s="594">
        <v>1015711</v>
      </c>
      <c r="D59" s="595" t="s">
        <v>2761</v>
      </c>
      <c r="E59" s="596">
        <v>12</v>
      </c>
      <c r="F59" s="597">
        <v>7591031101833</v>
      </c>
      <c r="G59" s="459"/>
      <c r="H59" s="459">
        <v>0.89</v>
      </c>
      <c r="I59" s="459">
        <f>VLOOKUP(C59,'[1]Retail Plus TF'!$J$7:$S$149,10,0)</f>
        <v>0.84</v>
      </c>
      <c r="J59" s="2239"/>
      <c r="K59" s="2240"/>
      <c r="L59" s="2240"/>
      <c r="M59" s="2239"/>
      <c r="N59" s="2239">
        <v>1</v>
      </c>
      <c r="O59" s="989"/>
      <c r="P59" s="989"/>
      <c r="Q59" s="989">
        <f t="shared" si="2"/>
        <v>0</v>
      </c>
      <c r="R59" s="563"/>
      <c r="S59" s="638">
        <f t="shared" si="3"/>
        <v>0</v>
      </c>
    </row>
    <row r="60" spans="1:19" hidden="1">
      <c r="A60" s="2225">
        <v>4283</v>
      </c>
      <c r="B60" s="693"/>
      <c r="C60" s="594">
        <v>1015712</v>
      </c>
      <c r="D60" s="595" t="s">
        <v>2762</v>
      </c>
      <c r="E60" s="596">
        <v>12</v>
      </c>
      <c r="F60" s="597">
        <v>7591031101840</v>
      </c>
      <c r="G60" s="459"/>
      <c r="H60" s="459">
        <v>0.89</v>
      </c>
      <c r="I60" s="459">
        <f>VLOOKUP(C60,'[1]Retail Plus TF'!$J$7:$S$149,10,0)</f>
        <v>0.84</v>
      </c>
      <c r="J60" s="2239"/>
      <c r="K60" s="2240"/>
      <c r="L60" s="2240"/>
      <c r="M60" s="2239"/>
      <c r="N60" s="2239"/>
      <c r="O60" s="989"/>
      <c r="P60" s="989"/>
      <c r="Q60" s="989">
        <f t="shared" si="2"/>
        <v>0</v>
      </c>
      <c r="R60" s="563"/>
      <c r="S60" s="638">
        <f t="shared" si="3"/>
        <v>0</v>
      </c>
    </row>
    <row r="61" spans="1:19">
      <c r="A61" s="2225">
        <v>9488</v>
      </c>
      <c r="B61" s="359"/>
      <c r="C61" s="594">
        <v>1016072</v>
      </c>
      <c r="D61" s="595" t="s">
        <v>2763</v>
      </c>
      <c r="E61" s="596">
        <v>6</v>
      </c>
      <c r="F61" s="597">
        <v>7591031100690</v>
      </c>
      <c r="G61" s="459"/>
      <c r="H61" s="459">
        <v>2.23</v>
      </c>
      <c r="I61" s="459">
        <v>2.23</v>
      </c>
      <c r="J61" s="2239">
        <v>4</v>
      </c>
      <c r="K61" s="2240"/>
      <c r="L61" s="2240">
        <v>1</v>
      </c>
      <c r="M61" s="2239"/>
      <c r="N61" s="2239">
        <v>3</v>
      </c>
      <c r="O61" s="989"/>
      <c r="P61" s="989"/>
      <c r="Q61" s="989">
        <f t="shared" si="2"/>
        <v>0</v>
      </c>
      <c r="R61" s="563"/>
      <c r="S61" s="638">
        <f t="shared" si="3"/>
        <v>0</v>
      </c>
    </row>
    <row r="62" spans="1:19">
      <c r="A62" s="2225">
        <v>9443</v>
      </c>
      <c r="B62" s="359"/>
      <c r="C62" s="594">
        <v>1016191</v>
      </c>
      <c r="D62" s="595" t="s">
        <v>2764</v>
      </c>
      <c r="E62" s="596">
        <v>6</v>
      </c>
      <c r="F62" s="597">
        <v>7591031100454</v>
      </c>
      <c r="G62" s="459"/>
      <c r="H62" s="459">
        <v>2.23</v>
      </c>
      <c r="I62" s="459">
        <v>2.23</v>
      </c>
      <c r="J62" s="2239"/>
      <c r="K62" s="2240"/>
      <c r="L62" s="2240"/>
      <c r="M62" s="2239"/>
      <c r="N62" s="2239">
        <v>3</v>
      </c>
      <c r="O62" s="989"/>
      <c r="P62" s="989"/>
      <c r="Q62" s="989">
        <f t="shared" si="2"/>
        <v>0</v>
      </c>
      <c r="R62" s="563"/>
      <c r="S62" s="638">
        <f t="shared" si="3"/>
        <v>0</v>
      </c>
    </row>
    <row r="63" spans="1:19">
      <c r="A63" s="2225">
        <v>1532</v>
      </c>
      <c r="B63" s="359"/>
      <c r="C63" s="594">
        <v>1015931</v>
      </c>
      <c r="D63" s="595" t="s">
        <v>2765</v>
      </c>
      <c r="E63" s="596">
        <v>6</v>
      </c>
      <c r="F63" s="597">
        <v>7591031012290</v>
      </c>
      <c r="G63" s="459"/>
      <c r="H63" s="459">
        <v>2.23</v>
      </c>
      <c r="I63" s="459">
        <v>2.23</v>
      </c>
      <c r="J63" s="2239">
        <v>2</v>
      </c>
      <c r="K63" s="2240"/>
      <c r="L63" s="2240">
        <v>2</v>
      </c>
      <c r="M63" s="2239"/>
      <c r="N63" s="2239">
        <v>4</v>
      </c>
      <c r="O63" s="989"/>
      <c r="P63" s="989"/>
      <c r="Q63" s="989">
        <f t="shared" si="2"/>
        <v>0</v>
      </c>
      <c r="R63" s="563"/>
      <c r="S63" s="638">
        <f t="shared" si="3"/>
        <v>0</v>
      </c>
    </row>
    <row r="64" spans="1:19">
      <c r="A64" s="2225">
        <v>10233</v>
      </c>
      <c r="B64" s="359"/>
      <c r="C64" s="594">
        <v>1016713</v>
      </c>
      <c r="D64" s="595" t="s">
        <v>2766</v>
      </c>
      <c r="E64" s="596">
        <v>6</v>
      </c>
      <c r="F64" s="597">
        <v>7591031101970</v>
      </c>
      <c r="G64" s="459"/>
      <c r="H64" s="459">
        <v>2.23</v>
      </c>
      <c r="I64" s="459">
        <v>2.23</v>
      </c>
      <c r="J64" s="2239">
        <v>6</v>
      </c>
      <c r="K64" s="2240"/>
      <c r="L64" s="2240"/>
      <c r="M64" s="2239"/>
      <c r="N64" s="2239">
        <v>4</v>
      </c>
      <c r="O64" s="989"/>
      <c r="P64" s="989"/>
      <c r="Q64" s="989">
        <f t="shared" si="2"/>
        <v>0</v>
      </c>
      <c r="R64" s="563"/>
      <c r="S64" s="638">
        <f t="shared" si="3"/>
        <v>0</v>
      </c>
    </row>
    <row r="65" spans="1:19">
      <c r="A65" s="2225">
        <v>11400</v>
      </c>
      <c r="B65" s="359"/>
      <c r="C65" s="594">
        <v>1016821</v>
      </c>
      <c r="D65" s="595" t="s">
        <v>2767</v>
      </c>
      <c r="E65" s="596">
        <v>6</v>
      </c>
      <c r="F65" s="597">
        <v>7591031100706</v>
      </c>
      <c r="G65" s="459"/>
      <c r="H65" s="459">
        <v>2.23</v>
      </c>
      <c r="I65" s="459">
        <v>2.23</v>
      </c>
      <c r="J65" s="2239">
        <v>7</v>
      </c>
      <c r="K65" s="2240"/>
      <c r="L65" s="2240">
        <v>1</v>
      </c>
      <c r="M65" s="2239"/>
      <c r="N65" s="2239">
        <v>2</v>
      </c>
      <c r="O65" s="989"/>
      <c r="P65" s="989"/>
      <c r="Q65" s="989">
        <f t="shared" si="2"/>
        <v>0</v>
      </c>
      <c r="R65" s="563"/>
      <c r="S65" s="638">
        <f t="shared" si="3"/>
        <v>0</v>
      </c>
    </row>
    <row r="66" spans="1:19" s="404" customFormat="1" ht="15.75" customHeight="1">
      <c r="A66" s="2225">
        <v>14381</v>
      </c>
      <c r="B66" s="359"/>
      <c r="C66" s="594">
        <v>1017012</v>
      </c>
      <c r="D66" s="595" t="s">
        <v>2782</v>
      </c>
      <c r="E66" s="596">
        <v>6</v>
      </c>
      <c r="F66" s="597">
        <v>7591031000133</v>
      </c>
      <c r="G66" s="459"/>
      <c r="H66" s="459">
        <v>2.23</v>
      </c>
      <c r="I66" s="459">
        <f>VLOOKUP(C66,'[1]Retail Plus TF'!$J$7:$S$149,10,0)</f>
        <v>2.1</v>
      </c>
      <c r="J66" s="2239">
        <v>4</v>
      </c>
      <c r="K66" s="2240"/>
      <c r="L66" s="2240">
        <v>1</v>
      </c>
      <c r="M66" s="2239"/>
      <c r="N66" s="2239">
        <v>3</v>
      </c>
      <c r="O66" s="989"/>
      <c r="P66" s="989"/>
      <c r="Q66" s="989">
        <f>P66*E66</f>
        <v>0</v>
      </c>
      <c r="R66" s="563"/>
      <c r="S66" s="638">
        <f>R66*E66</f>
        <v>0</v>
      </c>
    </row>
    <row r="67" spans="1:19">
      <c r="A67" s="2225">
        <v>3876</v>
      </c>
      <c r="B67" s="693"/>
      <c r="C67" s="594">
        <v>1011284</v>
      </c>
      <c r="D67" s="595" t="s">
        <v>2768</v>
      </c>
      <c r="E67" s="596">
        <v>24</v>
      </c>
      <c r="F67" s="597">
        <v>7591031002642</v>
      </c>
      <c r="G67" s="459"/>
      <c r="H67" s="459">
        <v>0.53</v>
      </c>
      <c r="I67" s="459">
        <f>VLOOKUP(C67,'[1]Retail Plus TF'!$J$7:$S$149,10,0)</f>
        <v>0.49</v>
      </c>
      <c r="J67" s="2239">
        <v>20</v>
      </c>
      <c r="K67" s="2240"/>
      <c r="L67" s="2240"/>
      <c r="M67" s="2239"/>
      <c r="N67" s="2239">
        <v>20</v>
      </c>
      <c r="O67" s="989"/>
      <c r="P67" s="989"/>
      <c r="Q67" s="989">
        <f t="shared" si="2"/>
        <v>0</v>
      </c>
      <c r="R67" s="563"/>
      <c r="S67" s="638">
        <f t="shared" si="3"/>
        <v>0</v>
      </c>
    </row>
    <row r="68" spans="1:19">
      <c r="A68" s="2225">
        <v>4031</v>
      </c>
      <c r="B68" s="693"/>
      <c r="C68" s="594">
        <v>1011283</v>
      </c>
      <c r="D68" s="595" t="s">
        <v>2769</v>
      </c>
      <c r="E68" s="596">
        <v>24</v>
      </c>
      <c r="F68" s="597">
        <v>7591031002673</v>
      </c>
      <c r="G68" s="459"/>
      <c r="H68" s="459">
        <v>0.53</v>
      </c>
      <c r="I68" s="459">
        <f>VLOOKUP(C68,'[1]Retail Plus TF'!$J$7:$S$149,10,0)</f>
        <v>0.49</v>
      </c>
      <c r="J68" s="2239">
        <v>5</v>
      </c>
      <c r="K68" s="2240"/>
      <c r="L68" s="2240">
        <v>1</v>
      </c>
      <c r="M68" s="2239"/>
      <c r="N68" s="2239">
        <v>5</v>
      </c>
      <c r="O68" s="989"/>
      <c r="P68" s="989"/>
      <c r="Q68" s="989">
        <f t="shared" si="2"/>
        <v>0</v>
      </c>
      <c r="R68" s="563"/>
      <c r="S68" s="638">
        <f t="shared" si="3"/>
        <v>0</v>
      </c>
    </row>
    <row r="69" spans="1:19">
      <c r="A69" s="2225">
        <v>3830</v>
      </c>
      <c r="B69" s="693"/>
      <c r="C69" s="594">
        <v>1011282</v>
      </c>
      <c r="D69" s="595" t="s">
        <v>2770</v>
      </c>
      <c r="E69" s="596">
        <v>24</v>
      </c>
      <c r="F69" s="597">
        <v>7591031002697</v>
      </c>
      <c r="G69" s="459"/>
      <c r="H69" s="459">
        <v>0.53</v>
      </c>
      <c r="I69" s="459">
        <f>VLOOKUP(C69,'[1]Retail Plus TF'!$J$7:$S$149,10,0)</f>
        <v>0.49</v>
      </c>
      <c r="J69" s="2239"/>
      <c r="K69" s="2240"/>
      <c r="L69" s="2240">
        <v>1</v>
      </c>
      <c r="M69" s="2239"/>
      <c r="N69" s="2239">
        <v>5</v>
      </c>
      <c r="O69" s="989"/>
      <c r="P69" s="989"/>
      <c r="Q69" s="989">
        <f t="shared" si="2"/>
        <v>0</v>
      </c>
      <c r="R69" s="563"/>
      <c r="S69" s="638">
        <f t="shared" si="3"/>
        <v>0</v>
      </c>
    </row>
    <row r="70" spans="1:19" hidden="1">
      <c r="A70" s="2225"/>
      <c r="B70" s="693"/>
      <c r="C70" s="594">
        <v>1013712</v>
      </c>
      <c r="D70" s="595" t="s">
        <v>2771</v>
      </c>
      <c r="E70" s="596">
        <v>24</v>
      </c>
      <c r="F70" s="597">
        <v>7591031100331</v>
      </c>
      <c r="G70" s="459"/>
      <c r="H70" s="459">
        <v>0.53</v>
      </c>
      <c r="I70" s="459">
        <f>VLOOKUP(C70,'[1]Retail Plus TF'!$J$7:$S$149,10,0)</f>
        <v>0.49</v>
      </c>
      <c r="J70" s="2239"/>
      <c r="K70" s="2240"/>
      <c r="L70" s="2240"/>
      <c r="M70" s="2239"/>
      <c r="N70" s="2239"/>
      <c r="O70" s="989"/>
      <c r="P70" s="989"/>
      <c r="Q70" s="989">
        <f>P70*E70</f>
        <v>0</v>
      </c>
      <c r="R70" s="563"/>
      <c r="S70" s="638">
        <f>R70*E70</f>
        <v>0</v>
      </c>
    </row>
    <row r="71" spans="1:19" hidden="1">
      <c r="A71" s="2225"/>
      <c r="B71" s="693"/>
      <c r="C71" s="594">
        <v>168288</v>
      </c>
      <c r="D71" s="595" t="s">
        <v>2772</v>
      </c>
      <c r="E71" s="596">
        <v>24</v>
      </c>
      <c r="F71" s="597">
        <v>7591031000907</v>
      </c>
      <c r="G71" s="459"/>
      <c r="H71" s="459">
        <v>0.53</v>
      </c>
      <c r="I71" s="459">
        <f>VLOOKUP(C71,'[1]Retail Plus TF'!$J$7:$S$149,10,0)</f>
        <v>0.49</v>
      </c>
      <c r="J71" s="2239"/>
      <c r="K71" s="2240"/>
      <c r="L71" s="2240"/>
      <c r="M71" s="2239"/>
      <c r="N71" s="2239"/>
      <c r="O71" s="989"/>
      <c r="P71" s="989"/>
      <c r="Q71" s="989">
        <f>P71*E71</f>
        <v>0</v>
      </c>
      <c r="R71" s="563"/>
      <c r="S71" s="638">
        <f>R71*E71</f>
        <v>0</v>
      </c>
    </row>
    <row r="72" spans="1:19">
      <c r="A72" s="2225">
        <v>9153</v>
      </c>
      <c r="B72" s="693"/>
      <c r="C72" s="594">
        <v>1011285</v>
      </c>
      <c r="D72" s="595" t="s">
        <v>2773</v>
      </c>
      <c r="E72" s="596">
        <v>24</v>
      </c>
      <c r="F72" s="597">
        <v>7591031002703</v>
      </c>
      <c r="G72" s="459"/>
      <c r="H72" s="459">
        <v>0.53</v>
      </c>
      <c r="I72" s="459">
        <f>VLOOKUP(C72,'[1]Retail Plus TF'!$J$7:$S$149,10,0)</f>
        <v>0.49</v>
      </c>
      <c r="J72" s="2239">
        <v>4</v>
      </c>
      <c r="K72" s="2240"/>
      <c r="L72" s="2240">
        <v>1</v>
      </c>
      <c r="M72" s="2239"/>
      <c r="N72" s="2239">
        <v>5</v>
      </c>
      <c r="O72" s="989"/>
      <c r="P72" s="989"/>
      <c r="Q72" s="989">
        <f>P72*E72</f>
        <v>0</v>
      </c>
      <c r="R72" s="563"/>
      <c r="S72" s="638">
        <f>R72*E72</f>
        <v>0</v>
      </c>
    </row>
    <row r="73" spans="1:19">
      <c r="A73" s="2225">
        <v>3230</v>
      </c>
      <c r="B73" s="359"/>
      <c r="C73" s="594">
        <v>178401</v>
      </c>
      <c r="D73" s="595" t="s">
        <v>2774</v>
      </c>
      <c r="E73" s="596">
        <v>12</v>
      </c>
      <c r="F73" s="597">
        <v>7591031005995</v>
      </c>
      <c r="G73" s="459"/>
      <c r="H73" s="459">
        <v>1.1200000000000001</v>
      </c>
      <c r="I73" s="459">
        <v>1.1200000000000001</v>
      </c>
      <c r="J73" s="2239">
        <v>3</v>
      </c>
      <c r="K73" s="2240"/>
      <c r="L73" s="2240"/>
      <c r="M73" s="2239"/>
      <c r="N73" s="2239">
        <v>2</v>
      </c>
      <c r="O73" s="989"/>
      <c r="P73" s="989"/>
      <c r="Q73" s="989">
        <f>P73*E73</f>
        <v>0</v>
      </c>
      <c r="R73" s="563"/>
      <c r="S73" s="638">
        <f>R73*E73</f>
        <v>0</v>
      </c>
    </row>
    <row r="74" spans="1:19">
      <c r="A74" s="2225">
        <v>3231</v>
      </c>
      <c r="B74" s="359"/>
      <c r="C74" s="594">
        <v>1015384</v>
      </c>
      <c r="D74" s="595" t="s">
        <v>2775</v>
      </c>
      <c r="E74" s="596">
        <v>12</v>
      </c>
      <c r="F74" s="597">
        <v>7591031100720</v>
      </c>
      <c r="G74" s="459"/>
      <c r="H74" s="459">
        <v>1.1200000000000001</v>
      </c>
      <c r="I74" s="459">
        <v>1.1200000000000001</v>
      </c>
      <c r="J74" s="2239">
        <v>3</v>
      </c>
      <c r="K74" s="2240"/>
      <c r="L74" s="2240">
        <v>1</v>
      </c>
      <c r="M74" s="2239"/>
      <c r="N74" s="2239">
        <v>1</v>
      </c>
      <c r="O74" s="989"/>
      <c r="P74" s="989"/>
      <c r="Q74" s="989">
        <f>P74*E74</f>
        <v>0</v>
      </c>
      <c r="R74" s="563"/>
      <c r="S74" s="638">
        <f>R74*E74</f>
        <v>0</v>
      </c>
    </row>
    <row r="75" spans="1:19" hidden="1">
      <c r="A75" s="2225"/>
      <c r="B75" s="359"/>
      <c r="C75" s="594">
        <v>1012281</v>
      </c>
      <c r="D75" s="595" t="s">
        <v>2776</v>
      </c>
      <c r="E75" s="596">
        <v>12</v>
      </c>
      <c r="F75" s="597">
        <v>7591031006152</v>
      </c>
      <c r="G75" s="459"/>
      <c r="H75" s="459">
        <v>1.1200000000000001</v>
      </c>
      <c r="I75" s="459">
        <v>1.1200000000000001</v>
      </c>
      <c r="J75" s="2241"/>
      <c r="K75" s="2241"/>
      <c r="L75" s="2241"/>
      <c r="M75" s="2241"/>
      <c r="N75" s="2241"/>
      <c r="O75" s="993"/>
      <c r="P75" s="693"/>
      <c r="Q75" s="693"/>
    </row>
    <row r="76" spans="1:19">
      <c r="A76" s="2225">
        <v>3745</v>
      </c>
      <c r="B76" s="359"/>
      <c r="C76" s="594">
        <v>178402</v>
      </c>
      <c r="D76" s="595" t="s">
        <v>6033</v>
      </c>
      <c r="E76" s="596">
        <v>12</v>
      </c>
      <c r="F76" s="597">
        <v>7591031006022</v>
      </c>
      <c r="G76" s="459"/>
      <c r="H76" s="459">
        <v>1.1200000000000001</v>
      </c>
      <c r="I76" s="459">
        <v>1.1200000000000001</v>
      </c>
      <c r="J76" s="2239"/>
      <c r="K76" s="2240"/>
      <c r="L76" s="2240">
        <v>1</v>
      </c>
      <c r="M76" s="2239"/>
      <c r="N76" s="2239">
        <v>2</v>
      </c>
      <c r="O76" s="989"/>
      <c r="P76" s="989"/>
      <c r="Q76" s="989">
        <f t="shared" ref="Q76:Q92" si="4">P76*E76</f>
        <v>0</v>
      </c>
      <c r="R76" s="563"/>
      <c r="S76" s="638">
        <f t="shared" ref="S76:S92" si="5">R76*E76</f>
        <v>0</v>
      </c>
    </row>
    <row r="77" spans="1:19" hidden="1">
      <c r="A77" s="2225">
        <v>7845</v>
      </c>
      <c r="B77" s="359"/>
      <c r="C77" s="594">
        <v>185304</v>
      </c>
      <c r="D77" s="595" t="s">
        <v>2777</v>
      </c>
      <c r="E77" s="596">
        <v>12</v>
      </c>
      <c r="F77" s="597">
        <v>7591031011286</v>
      </c>
      <c r="G77" s="459"/>
      <c r="H77" s="459">
        <v>1.1200000000000001</v>
      </c>
      <c r="I77" s="459">
        <v>1.1200000000000001</v>
      </c>
      <c r="J77" s="2239"/>
      <c r="K77" s="2240"/>
      <c r="L77" s="2240"/>
      <c r="M77" s="2239"/>
      <c r="N77" s="2239"/>
      <c r="O77" s="989"/>
      <c r="P77" s="989"/>
      <c r="Q77" s="989">
        <f t="shared" si="4"/>
        <v>0</v>
      </c>
      <c r="R77" s="563"/>
      <c r="S77" s="638">
        <f t="shared" si="5"/>
        <v>0</v>
      </c>
    </row>
    <row r="78" spans="1:19">
      <c r="A78" s="2225">
        <v>1628</v>
      </c>
      <c r="B78" s="359"/>
      <c r="C78" s="594">
        <v>178399</v>
      </c>
      <c r="D78" s="595" t="s">
        <v>2778</v>
      </c>
      <c r="E78" s="596">
        <v>12</v>
      </c>
      <c r="F78" s="597">
        <v>7591031005988</v>
      </c>
      <c r="G78" s="459"/>
      <c r="H78" s="459">
        <v>1.1200000000000001</v>
      </c>
      <c r="I78" s="459">
        <v>1.1200000000000001</v>
      </c>
      <c r="J78" s="2239">
        <v>5</v>
      </c>
      <c r="K78" s="2240"/>
      <c r="L78" s="2240">
        <v>1</v>
      </c>
      <c r="M78" s="2239"/>
      <c r="N78" s="2239">
        <v>1</v>
      </c>
      <c r="O78" s="989"/>
      <c r="P78" s="989"/>
      <c r="Q78" s="989">
        <f t="shared" si="4"/>
        <v>0</v>
      </c>
      <c r="R78" s="563"/>
      <c r="S78" s="638">
        <f t="shared" si="5"/>
        <v>0</v>
      </c>
    </row>
    <row r="79" spans="1:19">
      <c r="A79" s="2225">
        <v>1629</v>
      </c>
      <c r="B79" s="359"/>
      <c r="C79" s="594">
        <v>1012201</v>
      </c>
      <c r="D79" s="595" t="s">
        <v>2779</v>
      </c>
      <c r="E79" s="596">
        <v>12</v>
      </c>
      <c r="F79" s="597">
        <v>7591031011330</v>
      </c>
      <c r="G79" s="459"/>
      <c r="H79" s="459">
        <v>1</v>
      </c>
      <c r="I79" s="459">
        <v>0.89288522012000004</v>
      </c>
      <c r="J79" s="1067"/>
      <c r="K79" s="1068"/>
      <c r="L79" s="1109">
        <v>1</v>
      </c>
      <c r="M79" s="1067"/>
      <c r="N79" s="2239">
        <v>2</v>
      </c>
      <c r="O79" s="989"/>
      <c r="P79" s="989"/>
      <c r="Q79" s="989">
        <f t="shared" si="4"/>
        <v>0</v>
      </c>
      <c r="R79" s="563"/>
      <c r="S79" s="638">
        <f t="shared" si="5"/>
        <v>0</v>
      </c>
    </row>
    <row r="80" spans="1:19">
      <c r="A80" s="2225">
        <v>4410</v>
      </c>
      <c r="B80" s="359"/>
      <c r="C80" s="594">
        <v>1012213</v>
      </c>
      <c r="D80" s="595" t="s">
        <v>2780</v>
      </c>
      <c r="E80" s="596">
        <v>12</v>
      </c>
      <c r="F80" s="597">
        <v>7591031011347</v>
      </c>
      <c r="G80" s="459"/>
      <c r="H80" s="459">
        <v>1</v>
      </c>
      <c r="I80" s="459">
        <v>0.89288522012000004</v>
      </c>
      <c r="J80" s="1110"/>
      <c r="K80" s="1068"/>
      <c r="L80" s="1109"/>
      <c r="M80" s="1067"/>
      <c r="N80" s="2239">
        <v>1</v>
      </c>
      <c r="O80" s="989"/>
      <c r="P80" s="989"/>
      <c r="Q80" s="989">
        <f t="shared" si="4"/>
        <v>0</v>
      </c>
      <c r="R80" s="563"/>
      <c r="S80" s="638">
        <f t="shared" si="5"/>
        <v>0</v>
      </c>
    </row>
    <row r="81" spans="1:19" hidden="1">
      <c r="A81" s="2225">
        <v>1630</v>
      </c>
      <c r="B81" s="359"/>
      <c r="C81" s="594">
        <v>1015024</v>
      </c>
      <c r="D81" s="595" t="s">
        <v>2781</v>
      </c>
      <c r="E81" s="596">
        <v>12</v>
      </c>
      <c r="F81" s="597">
        <v>7591031012511</v>
      </c>
      <c r="G81" s="459"/>
      <c r="H81" s="459">
        <v>1</v>
      </c>
      <c r="I81" s="459">
        <v>0.89288522012000004</v>
      </c>
      <c r="J81" s="1110"/>
      <c r="K81" s="1068"/>
      <c r="L81" s="1109"/>
      <c r="M81" s="1067"/>
      <c r="N81" s="1110"/>
      <c r="O81" s="989"/>
      <c r="P81" s="989"/>
      <c r="Q81" s="989">
        <f t="shared" si="4"/>
        <v>0</v>
      </c>
      <c r="R81" s="563"/>
      <c r="S81" s="638">
        <f t="shared" si="5"/>
        <v>0</v>
      </c>
    </row>
    <row r="82" spans="1:19">
      <c r="A82" s="2225">
        <v>6299</v>
      </c>
      <c r="B82" s="693"/>
      <c r="C82" s="594">
        <v>1016081</v>
      </c>
      <c r="D82" s="595" t="s">
        <v>4622</v>
      </c>
      <c r="E82" s="596">
        <v>6</v>
      </c>
      <c r="F82" s="597">
        <v>7591031006381</v>
      </c>
      <c r="G82" s="459"/>
      <c r="H82" s="459">
        <v>2.0699999999999998</v>
      </c>
      <c r="I82" s="459">
        <f>VLOOKUP(C82,'[1]Retail Plus TF'!$J$7:$S$170,10,0)</f>
        <v>1.96</v>
      </c>
      <c r="J82" s="1110">
        <v>2</v>
      </c>
      <c r="K82" s="1068"/>
      <c r="L82" s="1109"/>
      <c r="M82" s="1067"/>
      <c r="N82" s="1110">
        <v>3</v>
      </c>
      <c r="O82" s="989"/>
      <c r="P82" s="989"/>
      <c r="Q82" s="989">
        <f t="shared" si="4"/>
        <v>0</v>
      </c>
      <c r="R82" s="563"/>
      <c r="S82" s="638">
        <f t="shared" si="5"/>
        <v>0</v>
      </c>
    </row>
    <row r="83" spans="1:19">
      <c r="A83" s="2225">
        <v>6563</v>
      </c>
      <c r="B83" s="693"/>
      <c r="C83" s="594">
        <v>1016083</v>
      </c>
      <c r="D83" s="595" t="s">
        <v>4623</v>
      </c>
      <c r="E83" s="596">
        <v>6</v>
      </c>
      <c r="F83" s="597">
        <v>7591031006398</v>
      </c>
      <c r="G83" s="459"/>
      <c r="H83" s="459">
        <v>2.0699999999999998</v>
      </c>
      <c r="I83" s="459">
        <f>VLOOKUP(C83,'[1]Retail Plus TF'!$J$7:$S$170,10,0)</f>
        <v>1.96</v>
      </c>
      <c r="J83" s="1110">
        <v>1</v>
      </c>
      <c r="K83" s="1068"/>
      <c r="L83" s="1109"/>
      <c r="M83" s="1067"/>
      <c r="N83" s="1110">
        <v>1</v>
      </c>
      <c r="O83" s="989"/>
      <c r="P83" s="989"/>
      <c r="Q83" s="989">
        <f t="shared" si="4"/>
        <v>0</v>
      </c>
      <c r="R83" s="563"/>
      <c r="S83" s="638">
        <f t="shared" si="5"/>
        <v>0</v>
      </c>
    </row>
    <row r="84" spans="1:19" s="404" customFormat="1">
      <c r="A84" s="2225">
        <v>6300</v>
      </c>
      <c r="B84" s="693"/>
      <c r="C84" s="594">
        <v>1016082</v>
      </c>
      <c r="D84" s="595" t="s">
        <v>4624</v>
      </c>
      <c r="E84" s="596">
        <v>6</v>
      </c>
      <c r="F84" s="597">
        <v>7591031100416</v>
      </c>
      <c r="G84" s="459"/>
      <c r="H84" s="459">
        <v>2.0699999999999998</v>
      </c>
      <c r="I84" s="459">
        <f>VLOOKUP(C84,'[1]Retail Plus TF'!$J$7:$S$170,10,0)</f>
        <v>1.96</v>
      </c>
      <c r="J84" s="1110">
        <v>4</v>
      </c>
      <c r="K84" s="1068"/>
      <c r="L84" s="1109"/>
      <c r="M84" s="1067"/>
      <c r="N84" s="1110">
        <v>3</v>
      </c>
      <c r="O84" s="989"/>
      <c r="P84" s="989"/>
      <c r="Q84" s="989">
        <f t="shared" si="4"/>
        <v>0</v>
      </c>
      <c r="R84" s="563"/>
      <c r="S84" s="638">
        <f t="shared" si="5"/>
        <v>0</v>
      </c>
    </row>
    <row r="85" spans="1:19">
      <c r="A85" s="2251"/>
      <c r="B85" s="693"/>
      <c r="C85" s="693"/>
      <c r="D85" s="595" t="s">
        <v>6045</v>
      </c>
      <c r="E85" s="2251"/>
      <c r="F85" s="2251"/>
      <c r="G85" s="2251"/>
      <c r="H85" s="2251"/>
      <c r="I85" s="2251"/>
      <c r="J85" s="69"/>
      <c r="K85" s="2251"/>
      <c r="L85" s="69"/>
      <c r="M85" s="2251"/>
      <c r="N85" s="2239" t="s">
        <v>6030</v>
      </c>
    </row>
    <row r="86" spans="1:19" s="404" customFormat="1" ht="14.25" hidden="1" customHeight="1">
      <c r="A86" s="2225"/>
      <c r="B86" s="693"/>
      <c r="C86" s="594"/>
      <c r="D86" s="595" t="s">
        <v>2783</v>
      </c>
      <c r="E86" s="596"/>
      <c r="F86" s="596"/>
      <c r="G86" s="459">
        <f>'[1]Lista Precios TF'!$E$124</f>
        <v>0</v>
      </c>
      <c r="H86" s="459"/>
      <c r="I86" s="459">
        <v>0</v>
      </c>
      <c r="J86" s="1110"/>
      <c r="K86" s="1068"/>
      <c r="L86" s="1109"/>
      <c r="M86" s="1067"/>
      <c r="N86" s="1110"/>
      <c r="O86" s="989"/>
      <c r="P86" s="989"/>
      <c r="Q86" s="989">
        <f t="shared" si="4"/>
        <v>0</v>
      </c>
      <c r="R86" s="563"/>
      <c r="S86" s="638">
        <f t="shared" si="5"/>
        <v>0</v>
      </c>
    </row>
    <row r="87" spans="1:19" hidden="1">
      <c r="A87" s="2225"/>
      <c r="B87" s="693"/>
      <c r="C87" s="594"/>
      <c r="D87" s="595" t="s">
        <v>2784</v>
      </c>
      <c r="E87" s="596"/>
      <c r="F87" s="596"/>
      <c r="G87" s="459">
        <f>'[1]Lista Precios TF'!$E$123</f>
        <v>0.43032963249849387</v>
      </c>
      <c r="H87" s="459"/>
      <c r="I87" s="459">
        <v>0</v>
      </c>
      <c r="J87" s="989"/>
      <c r="K87" s="23"/>
      <c r="L87" s="1109"/>
      <c r="M87" s="638"/>
      <c r="N87" s="989"/>
      <c r="O87" s="638"/>
      <c r="P87" s="638"/>
      <c r="Q87" s="638">
        <f t="shared" si="4"/>
        <v>0</v>
      </c>
      <c r="R87" s="638"/>
      <c r="S87" s="638">
        <f t="shared" si="5"/>
        <v>0</v>
      </c>
    </row>
    <row r="88" spans="1:19" hidden="1">
      <c r="A88" s="2225"/>
      <c r="B88" s="693"/>
      <c r="C88" s="594"/>
      <c r="D88" s="595" t="s">
        <v>2784</v>
      </c>
      <c r="E88" s="596">
        <v>1</v>
      </c>
      <c r="F88" s="596"/>
      <c r="G88" s="459">
        <v>0.43</v>
      </c>
      <c r="H88" s="459"/>
      <c r="I88" s="459">
        <f>G88/E88</f>
        <v>0.43</v>
      </c>
      <c r="J88" s="989"/>
      <c r="K88" s="23"/>
      <c r="L88" s="1109"/>
      <c r="M88" s="638"/>
      <c r="N88" s="989"/>
      <c r="O88" s="638"/>
      <c r="P88" s="638"/>
      <c r="Q88" s="638">
        <f t="shared" si="4"/>
        <v>0</v>
      </c>
      <c r="R88" s="638"/>
      <c r="S88" s="638">
        <f t="shared" si="5"/>
        <v>0</v>
      </c>
    </row>
    <row r="89" spans="1:19" hidden="1">
      <c r="A89" s="2225"/>
      <c r="B89" s="693"/>
      <c r="C89" s="405"/>
      <c r="D89" s="595" t="s">
        <v>2785</v>
      </c>
      <c r="E89" s="596">
        <v>1</v>
      </c>
      <c r="F89" s="587"/>
      <c r="G89" s="1303">
        <v>12.92</v>
      </c>
      <c r="H89" s="1602"/>
      <c r="I89" s="459">
        <f>G89/E89</f>
        <v>12.92</v>
      </c>
      <c r="J89" s="989"/>
      <c r="K89" s="23"/>
      <c r="L89" s="1109"/>
      <c r="M89" s="638"/>
      <c r="N89" s="989"/>
      <c r="O89" s="638"/>
      <c r="P89" s="638"/>
      <c r="Q89" s="638">
        <f t="shared" si="4"/>
        <v>0</v>
      </c>
      <c r="R89" s="638"/>
      <c r="S89" s="638">
        <f t="shared" si="5"/>
        <v>0</v>
      </c>
    </row>
    <row r="90" spans="1:19" hidden="1">
      <c r="A90" s="2225"/>
      <c r="B90" s="1581"/>
      <c r="C90" s="405"/>
      <c r="D90" s="595" t="s">
        <v>2786</v>
      </c>
      <c r="E90" s="587">
        <v>1</v>
      </c>
      <c r="F90" s="587"/>
      <c r="G90" s="1303">
        <v>34.42</v>
      </c>
      <c r="H90" s="1602"/>
      <c r="I90" s="459">
        <f>G90/E90</f>
        <v>34.42</v>
      </c>
      <c r="J90" s="989"/>
      <c r="K90" s="23"/>
      <c r="L90" s="1109"/>
      <c r="M90" s="638"/>
      <c r="N90" s="989"/>
      <c r="O90" s="638"/>
      <c r="P90" s="638"/>
      <c r="Q90" s="638">
        <f t="shared" si="4"/>
        <v>0</v>
      </c>
      <c r="R90" s="638"/>
      <c r="S90" s="638">
        <f t="shared" si="5"/>
        <v>0</v>
      </c>
    </row>
    <row r="91" spans="1:19" hidden="1">
      <c r="A91" s="2225"/>
      <c r="B91" s="1581"/>
      <c r="C91" s="405"/>
      <c r="D91" s="595" t="s">
        <v>2787</v>
      </c>
      <c r="E91" s="587">
        <v>1</v>
      </c>
      <c r="F91" s="587"/>
      <c r="G91" s="1303">
        <v>34.42</v>
      </c>
      <c r="H91" s="1602"/>
      <c r="I91" s="459">
        <f>G91/E91</f>
        <v>34.42</v>
      </c>
      <c r="J91" s="989"/>
      <c r="K91" s="23"/>
      <c r="L91" s="1109"/>
      <c r="M91" s="638"/>
      <c r="N91" s="989"/>
      <c r="O91" s="638"/>
      <c r="P91" s="638"/>
      <c r="Q91" s="638">
        <f t="shared" si="4"/>
        <v>0</v>
      </c>
      <c r="R91" s="638"/>
      <c r="S91" s="638">
        <f t="shared" si="5"/>
        <v>0</v>
      </c>
    </row>
    <row r="92" spans="1:19" hidden="1">
      <c r="A92" s="2225"/>
      <c r="B92" s="1581"/>
      <c r="C92" s="693"/>
      <c r="D92" s="595" t="s">
        <v>2788</v>
      </c>
      <c r="E92" s="1451">
        <v>1</v>
      </c>
      <c r="F92" s="1451"/>
      <c r="G92" s="1451">
        <v>34.42</v>
      </c>
      <c r="H92" s="1602"/>
      <c r="I92" s="459">
        <f>G92/E92</f>
        <v>34.42</v>
      </c>
      <c r="J92" s="1445"/>
      <c r="K92" s="23"/>
      <c r="L92" s="23"/>
      <c r="M92" s="1445"/>
      <c r="N92" s="1445"/>
      <c r="O92" s="1444"/>
      <c r="P92" s="638"/>
      <c r="Q92" s="638">
        <f t="shared" si="4"/>
        <v>0</v>
      </c>
      <c r="R92" s="638"/>
      <c r="S92" s="638">
        <f t="shared" si="5"/>
        <v>0</v>
      </c>
    </row>
    <row r="93" spans="1:19" hidden="1">
      <c r="A93" s="2225"/>
      <c r="B93" s="693"/>
      <c r="C93" s="693"/>
      <c r="D93" s="595" t="s">
        <v>4797</v>
      </c>
      <c r="E93" s="1451"/>
      <c r="F93" s="1451"/>
      <c r="G93" s="1451"/>
      <c r="H93" s="1602"/>
      <c r="I93" s="1451"/>
      <c r="J93" s="1445"/>
      <c r="K93" s="1445"/>
      <c r="L93" s="1445"/>
      <c r="M93" s="1445"/>
      <c r="N93" s="1445"/>
      <c r="O93" s="101"/>
      <c r="P93" s="25"/>
      <c r="Q93" s="25"/>
      <c r="R93" s="25"/>
      <c r="S93" s="25"/>
    </row>
    <row r="98" spans="5:8" ht="15.75" thickBot="1"/>
    <row r="99" spans="5:8" ht="30.75" thickBot="1">
      <c r="E99" s="1901" t="s">
        <v>3120</v>
      </c>
      <c r="F99" s="1900">
        <v>40.75</v>
      </c>
    </row>
    <row r="100" spans="5:8" ht="45.75" thickBot="1">
      <c r="E100" s="1901" t="s">
        <v>5179</v>
      </c>
      <c r="F100" s="1902">
        <f>+F99/6</f>
        <v>6.791666666666667</v>
      </c>
    </row>
    <row r="101" spans="5:8" ht="15.75" thickBot="1">
      <c r="E101" s="1901" t="s">
        <v>1389</v>
      </c>
      <c r="F101" s="1902">
        <v>4.37</v>
      </c>
      <c r="H101" s="336"/>
    </row>
    <row r="102" spans="5:8" ht="60.75" thickBot="1">
      <c r="E102" s="1901" t="s">
        <v>1390</v>
      </c>
      <c r="F102" s="1902">
        <f>+F100/F101</f>
        <v>1.5541571319603356</v>
      </c>
    </row>
    <row r="103" spans="5:8" ht="45.75" thickBot="1">
      <c r="E103" s="1901" t="s">
        <v>5178</v>
      </c>
      <c r="F103" s="1902">
        <f>+F102*5%</f>
        <v>7.7707856598016781E-2</v>
      </c>
    </row>
    <row r="104" spans="5:8" ht="15.75" thickBot="1">
      <c r="E104" s="1900" t="s">
        <v>5497</v>
      </c>
      <c r="F104" s="1899">
        <f>+F102-F103</f>
        <v>1.4764492753623188</v>
      </c>
    </row>
    <row r="105" spans="5:8">
      <c r="F105" s="336" t="s">
        <v>65</v>
      </c>
    </row>
  </sheetData>
  <mergeCells count="5">
    <mergeCell ref="P2:Q2"/>
    <mergeCell ref="R2:S2"/>
    <mergeCell ref="J2:K2"/>
    <mergeCell ref="L2:M2"/>
    <mergeCell ref="N2:O2"/>
  </mergeCells>
  <pageMargins left="0.25" right="0.25" top="0.75" bottom="0.75" header="0.3" footer="0.3"/>
  <pageSetup orientation="portrait" horizontalDpi="360" verticalDpi="360" r:id="rId1"/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B1:S14"/>
  <sheetViews>
    <sheetView workbookViewId="0">
      <selection activeCell="E13" sqref="E13"/>
    </sheetView>
  </sheetViews>
  <sheetFormatPr baseColWidth="10" defaultRowHeight="15"/>
  <cols>
    <col min="3" max="3" width="55.85546875" customWidth="1"/>
    <col min="4" max="4" width="19.42578125" style="336" customWidth="1"/>
    <col min="5" max="6" width="11.42578125" style="98" customWidth="1"/>
    <col min="7" max="7" width="15" style="98" customWidth="1"/>
    <col min="8" max="8" width="13.28515625" style="98" customWidth="1"/>
    <col min="9" max="9" width="11.42578125" customWidth="1"/>
    <col min="10" max="10" width="16.140625" customWidth="1"/>
    <col min="11" max="15" width="11.42578125" customWidth="1"/>
    <col min="16" max="19" width="11.42578125" style="404"/>
  </cols>
  <sheetData>
    <row r="1" spans="2:19" s="110" customFormat="1" ht="15.75" thickBot="1">
      <c r="D1" s="336"/>
      <c r="E1" s="539"/>
      <c r="F1" s="539"/>
      <c r="G1" s="540"/>
      <c r="H1" s="98"/>
      <c r="P1" s="404"/>
      <c r="Q1" s="404"/>
      <c r="R1" s="404"/>
      <c r="S1" s="404"/>
    </row>
    <row r="2" spans="2:19" ht="102" customHeight="1">
      <c r="B2" s="382"/>
      <c r="C2" s="382"/>
      <c r="D2" s="383" t="s">
        <v>2421</v>
      </c>
      <c r="E2" s="541" t="s">
        <v>3415</v>
      </c>
      <c r="F2" s="1578" t="s">
        <v>5180</v>
      </c>
      <c r="G2" s="542" t="s">
        <v>61</v>
      </c>
      <c r="H2" s="384" t="s">
        <v>2422</v>
      </c>
      <c r="I2" s="405" t="s">
        <v>4626</v>
      </c>
      <c r="M2" s="405"/>
      <c r="N2" s="405"/>
      <c r="O2" s="405"/>
      <c r="P2" s="405"/>
      <c r="Q2" s="405"/>
      <c r="R2" s="405"/>
      <c r="S2"/>
    </row>
    <row r="3" spans="2:19">
      <c r="B3" s="385">
        <v>15721</v>
      </c>
      <c r="C3" s="348" t="s">
        <v>2441</v>
      </c>
      <c r="D3" s="6">
        <v>0.63</v>
      </c>
      <c r="E3" s="6"/>
      <c r="F3" s="6"/>
      <c r="G3" s="6"/>
      <c r="H3" s="6"/>
      <c r="I3" s="6"/>
      <c r="J3" s="388">
        <v>0.16</v>
      </c>
      <c r="M3" s="405"/>
      <c r="N3" s="405"/>
      <c r="O3" s="405"/>
      <c r="P3" s="405"/>
      <c r="Q3" s="405"/>
      <c r="R3" s="405"/>
      <c r="S3"/>
    </row>
    <row r="4" spans="2:19" s="110" customFormat="1">
      <c r="B4" s="385">
        <v>15722</v>
      </c>
      <c r="C4" s="348" t="s">
        <v>2442</v>
      </c>
      <c r="D4" s="6">
        <f>0.66+0.46</f>
        <v>1.1200000000000001</v>
      </c>
      <c r="E4" s="6"/>
      <c r="F4" s="6"/>
      <c r="G4" s="6"/>
      <c r="H4" s="6"/>
      <c r="I4" s="6"/>
      <c r="J4" s="388">
        <v>0.25</v>
      </c>
      <c r="M4" s="405"/>
      <c r="N4" s="405"/>
      <c r="O4" s="405"/>
      <c r="P4" s="405"/>
      <c r="Q4" s="405"/>
      <c r="R4" s="405"/>
    </row>
    <row r="5" spans="2:19" s="404" customFormat="1">
      <c r="B5" s="451"/>
      <c r="C5" s="452" t="s">
        <v>2440</v>
      </c>
      <c r="D5" s="6">
        <v>0.4</v>
      </c>
      <c r="E5" s="6"/>
      <c r="F5" s="6"/>
      <c r="G5" s="335"/>
      <c r="H5" s="6"/>
      <c r="I5" s="405"/>
      <c r="M5" s="405"/>
      <c r="N5" s="405"/>
      <c r="O5" s="405"/>
      <c r="P5" s="405"/>
      <c r="Q5" s="405"/>
      <c r="R5" s="405"/>
    </row>
    <row r="6" spans="2:19" s="827" customFormat="1">
      <c r="B6" s="1056">
        <v>13299</v>
      </c>
      <c r="C6" s="1055" t="s">
        <v>1623</v>
      </c>
      <c r="D6" s="6">
        <v>0.76</v>
      </c>
      <c r="E6" s="6"/>
      <c r="F6" s="6"/>
      <c r="G6" s="335"/>
      <c r="H6" s="6"/>
      <c r="I6" s="693"/>
      <c r="M6" s="693"/>
      <c r="N6" s="693"/>
      <c r="O6" s="693"/>
      <c r="P6" s="693"/>
      <c r="Q6" s="693"/>
      <c r="R6" s="693"/>
    </row>
    <row r="7" spans="2:19" s="827" customFormat="1">
      <c r="B7" s="1056">
        <v>13120</v>
      </c>
      <c r="C7" s="1056" t="s">
        <v>1622</v>
      </c>
      <c r="D7" s="6">
        <v>1.36</v>
      </c>
      <c r="E7" s="6"/>
      <c r="F7" s="6"/>
      <c r="G7" s="335"/>
      <c r="H7" s="6"/>
      <c r="I7" s="693"/>
      <c r="M7" s="693"/>
      <c r="N7" s="693"/>
      <c r="O7" s="693"/>
      <c r="P7" s="693"/>
      <c r="Q7" s="693"/>
      <c r="R7" s="693"/>
    </row>
    <row r="8" spans="2:19" s="827" customFormat="1">
      <c r="B8" s="1073"/>
      <c r="C8" s="452"/>
      <c r="D8" s="6"/>
      <c r="E8" s="6"/>
      <c r="F8" s="6"/>
      <c r="G8" s="335"/>
      <c r="H8" s="6"/>
      <c r="I8" s="693"/>
      <c r="M8" s="693"/>
      <c r="N8" s="693"/>
      <c r="O8" s="693"/>
      <c r="P8" s="693"/>
      <c r="Q8" s="693"/>
      <c r="R8" s="693"/>
    </row>
    <row r="9" spans="2:19" s="827" customFormat="1">
      <c r="B9" s="1073"/>
      <c r="C9" s="452"/>
      <c r="D9" s="6"/>
      <c r="E9" s="6"/>
      <c r="F9" s="6"/>
      <c r="G9" s="335"/>
      <c r="H9" s="6"/>
      <c r="I9" s="693"/>
      <c r="M9" s="693"/>
      <c r="N9" s="693"/>
      <c r="O9" s="693"/>
      <c r="P9" s="693"/>
      <c r="Q9" s="693"/>
      <c r="R9" s="693"/>
    </row>
    <row r="10" spans="2:19" s="827" customFormat="1">
      <c r="B10" s="1073"/>
      <c r="C10" s="452"/>
      <c r="D10" s="6"/>
      <c r="E10" s="6"/>
      <c r="F10" s="6"/>
      <c r="G10" s="335"/>
      <c r="H10" s="6"/>
      <c r="I10" s="693"/>
      <c r="M10" s="693"/>
      <c r="N10" s="693"/>
      <c r="O10" s="693"/>
      <c r="P10" s="693"/>
      <c r="Q10" s="693"/>
      <c r="R10" s="693"/>
    </row>
    <row r="11" spans="2:19" s="404" customFormat="1">
      <c r="B11" s="111">
        <v>2863</v>
      </c>
      <c r="C11" s="111" t="s">
        <v>2423</v>
      </c>
      <c r="D11" s="6">
        <v>0.94</v>
      </c>
      <c r="E11" s="6"/>
      <c r="F11" s="6"/>
      <c r="G11" s="6"/>
      <c r="H11" s="6"/>
      <c r="I11" s="405"/>
      <c r="M11" s="405"/>
      <c r="N11" s="405"/>
      <c r="O11" s="405"/>
      <c r="P11" s="405"/>
      <c r="Q11" s="405"/>
      <c r="R11" s="405"/>
    </row>
    <row r="12" spans="2:19" s="404" customFormat="1">
      <c r="B12" s="111">
        <v>913</v>
      </c>
      <c r="C12" s="111" t="s">
        <v>1373</v>
      </c>
      <c r="D12" s="6">
        <v>1.49</v>
      </c>
      <c r="E12" s="6">
        <f>D12*15%</f>
        <v>0.2235</v>
      </c>
      <c r="F12" s="6">
        <f>+D12+E12</f>
        <v>1.7135</v>
      </c>
      <c r="G12" s="6">
        <f>+F12*16%</f>
        <v>0.27416000000000001</v>
      </c>
      <c r="H12" s="1364">
        <f>+D12+E12+G12</f>
        <v>1.98766</v>
      </c>
      <c r="I12" s="405"/>
      <c r="M12" s="405"/>
      <c r="N12" s="405"/>
      <c r="O12" s="405"/>
      <c r="P12" s="405"/>
      <c r="Q12" s="405"/>
      <c r="R12" s="405"/>
    </row>
    <row r="13" spans="2:19" s="404" customFormat="1">
      <c r="B13" s="451"/>
      <c r="C13" s="452"/>
      <c r="D13" s="6"/>
      <c r="E13" s="543"/>
      <c r="F13" s="1579"/>
      <c r="G13" s="341"/>
      <c r="H13" s="1365" t="s">
        <v>65</v>
      </c>
      <c r="I13" s="405"/>
      <c r="M13" s="405"/>
      <c r="N13" s="405"/>
      <c r="O13" s="405"/>
      <c r="P13" s="405"/>
      <c r="Q13" s="405"/>
      <c r="R13" s="405"/>
    </row>
    <row r="14" spans="2:19" s="404" customFormat="1">
      <c r="B14" s="451"/>
      <c r="C14" s="452"/>
      <c r="D14" s="6"/>
      <c r="E14" s="381"/>
      <c r="F14" s="1579"/>
      <c r="G14" s="341"/>
      <c r="H14" s="1366"/>
      <c r="I14" s="405"/>
      <c r="M14" s="405"/>
      <c r="N14" s="405"/>
      <c r="O14" s="405"/>
      <c r="P14" s="405"/>
      <c r="Q14" s="405"/>
      <c r="R14" s="405"/>
    </row>
  </sheetData>
  <pageMargins left="0.7" right="0.7" top="0.75" bottom="0.75" header="0.3" footer="0.3"/>
  <pageSetup paperSize="9" orientation="portrait" r:id="rId1"/>
  <legacy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3:P59"/>
  <sheetViews>
    <sheetView workbookViewId="0">
      <selection activeCell="G32" sqref="G32"/>
    </sheetView>
  </sheetViews>
  <sheetFormatPr baseColWidth="10" defaultRowHeight="15"/>
  <cols>
    <col min="1" max="1" width="5.140625" style="123" customWidth="1"/>
    <col min="2" max="2" width="11.42578125" style="123"/>
    <col min="3" max="3" width="48.85546875" style="123" customWidth="1"/>
    <col min="4" max="4" width="11.42578125" style="123" customWidth="1"/>
    <col min="5" max="5" width="20.42578125" style="123" customWidth="1"/>
    <col min="6" max="6" width="11.42578125" style="123" customWidth="1"/>
    <col min="7" max="7" width="13.140625" style="123" customWidth="1"/>
    <col min="8" max="8" width="11.42578125" style="123" customWidth="1"/>
    <col min="9" max="12" width="11.42578125" style="123"/>
  </cols>
  <sheetData>
    <row r="3" spans="1:12" ht="27.75" customHeight="1">
      <c r="B3" s="326" t="s">
        <v>116</v>
      </c>
      <c r="C3" s="326" t="s">
        <v>2557</v>
      </c>
      <c r="D3" s="528" t="s">
        <v>559</v>
      </c>
      <c r="E3" s="310" t="s">
        <v>2558</v>
      </c>
      <c r="F3" s="310" t="s">
        <v>2547</v>
      </c>
      <c r="G3" s="528" t="s">
        <v>1662</v>
      </c>
      <c r="H3" s="310" t="s">
        <v>2556</v>
      </c>
    </row>
    <row r="4" spans="1:12">
      <c r="B4" s="528">
        <v>1873</v>
      </c>
      <c r="C4" s="528" t="s">
        <v>2546</v>
      </c>
      <c r="D4" s="528">
        <v>3.86</v>
      </c>
      <c r="E4" s="666">
        <f>F4/D4</f>
        <v>1.2823834196891193</v>
      </c>
      <c r="F4" s="528">
        <v>4.95</v>
      </c>
      <c r="G4" s="528">
        <v>1.5</v>
      </c>
      <c r="H4" s="669">
        <f>F4*G4</f>
        <v>7.4250000000000007</v>
      </c>
      <c r="J4" s="123">
        <f>D4*G4</f>
        <v>5.79</v>
      </c>
    </row>
    <row r="5" spans="1:12">
      <c r="B5" s="528">
        <v>1969</v>
      </c>
      <c r="C5" s="528" t="s">
        <v>2548</v>
      </c>
      <c r="D5" s="528">
        <v>2.5</v>
      </c>
      <c r="E5" s="666">
        <f t="shared" ref="E5:E14" si="0">F5/D5</f>
        <v>1.54</v>
      </c>
      <c r="F5" s="528">
        <v>3.85</v>
      </c>
      <c r="G5" s="528">
        <v>0.5</v>
      </c>
      <c r="H5" s="669">
        <f t="shared" ref="H5:H14" si="1">F5*G5</f>
        <v>1.925</v>
      </c>
      <c r="J5" s="123">
        <f t="shared" ref="J5:J14" si="2">D5*G5</f>
        <v>1.25</v>
      </c>
    </row>
    <row r="6" spans="1:12">
      <c r="B6" s="528">
        <v>1975</v>
      </c>
      <c r="C6" s="528" t="s">
        <v>2549</v>
      </c>
      <c r="D6" s="528">
        <v>5.5</v>
      </c>
      <c r="E6" s="666">
        <f t="shared" si="0"/>
        <v>1.2909090909090908</v>
      </c>
      <c r="F6" s="528">
        <v>7.1</v>
      </c>
      <c r="G6" s="528">
        <v>1.5</v>
      </c>
      <c r="H6" s="669">
        <f t="shared" si="1"/>
        <v>10.649999999999999</v>
      </c>
      <c r="J6" s="123">
        <f t="shared" si="2"/>
        <v>8.25</v>
      </c>
    </row>
    <row r="7" spans="1:12">
      <c r="B7" s="528">
        <v>326</v>
      </c>
      <c r="C7" s="528" t="s">
        <v>2550</v>
      </c>
      <c r="D7" s="528">
        <v>2.35</v>
      </c>
      <c r="E7" s="666">
        <f t="shared" si="0"/>
        <v>1.2</v>
      </c>
      <c r="F7" s="528">
        <v>2.82</v>
      </c>
      <c r="G7" s="528">
        <v>2.8</v>
      </c>
      <c r="H7" s="669">
        <f t="shared" si="1"/>
        <v>7.895999999999999</v>
      </c>
      <c r="J7" s="123">
        <f t="shared" si="2"/>
        <v>6.58</v>
      </c>
    </row>
    <row r="8" spans="1:12">
      <c r="B8" s="528">
        <v>836</v>
      </c>
      <c r="C8" s="528" t="s">
        <v>2551</v>
      </c>
      <c r="D8" s="528">
        <v>4.4400000000000004</v>
      </c>
      <c r="E8" s="666">
        <f t="shared" si="0"/>
        <v>1.3806306306306304</v>
      </c>
      <c r="F8" s="528">
        <v>6.13</v>
      </c>
      <c r="G8" s="528">
        <v>0.5</v>
      </c>
      <c r="H8" s="669">
        <f t="shared" si="1"/>
        <v>3.0649999999999999</v>
      </c>
      <c r="J8" s="123">
        <f t="shared" si="2"/>
        <v>2.2200000000000002</v>
      </c>
    </row>
    <row r="9" spans="1:12">
      <c r="B9" s="528">
        <v>630</v>
      </c>
      <c r="C9" s="528" t="s">
        <v>2552</v>
      </c>
      <c r="D9" s="528">
        <v>3.18</v>
      </c>
      <c r="E9" s="666">
        <f t="shared" si="0"/>
        <v>1.39937106918239</v>
      </c>
      <c r="F9" s="528">
        <v>4.45</v>
      </c>
      <c r="G9" s="528">
        <v>0.5</v>
      </c>
      <c r="H9" s="669">
        <f t="shared" si="1"/>
        <v>2.2250000000000001</v>
      </c>
      <c r="J9" s="123">
        <f t="shared" si="2"/>
        <v>1.59</v>
      </c>
    </row>
    <row r="10" spans="1:12">
      <c r="B10" s="528">
        <v>840</v>
      </c>
      <c r="C10" s="528" t="s">
        <v>2553</v>
      </c>
      <c r="D10" s="528">
        <v>2.04</v>
      </c>
      <c r="E10" s="666">
        <f t="shared" si="0"/>
        <v>1.3970588235294117</v>
      </c>
      <c r="F10" s="528">
        <v>2.85</v>
      </c>
      <c r="G10" s="528">
        <v>0.5</v>
      </c>
      <c r="H10" s="669">
        <f t="shared" si="1"/>
        <v>1.425</v>
      </c>
      <c r="J10" s="123">
        <f t="shared" si="2"/>
        <v>1.02</v>
      </c>
    </row>
    <row r="11" spans="1:12">
      <c r="B11" s="528">
        <v>479</v>
      </c>
      <c r="C11" s="528" t="s">
        <v>1353</v>
      </c>
      <c r="D11" s="528">
        <v>0.21</v>
      </c>
      <c r="E11" s="666">
        <f t="shared" si="0"/>
        <v>1.6666666666666665</v>
      </c>
      <c r="F11" s="528">
        <v>0.35</v>
      </c>
      <c r="G11" s="528">
        <v>2</v>
      </c>
      <c r="H11" s="669">
        <f t="shared" si="1"/>
        <v>0.7</v>
      </c>
      <c r="J11" s="123">
        <f t="shared" si="2"/>
        <v>0.42</v>
      </c>
    </row>
    <row r="12" spans="1:12">
      <c r="B12" s="528">
        <v>2033</v>
      </c>
      <c r="C12" s="528" t="s">
        <v>2554</v>
      </c>
      <c r="D12" s="528">
        <v>0.97</v>
      </c>
      <c r="E12" s="666">
        <f t="shared" si="0"/>
        <v>1.0824742268041239</v>
      </c>
      <c r="F12" s="528">
        <v>1.05</v>
      </c>
      <c r="G12" s="528">
        <v>4</v>
      </c>
      <c r="H12" s="669">
        <f t="shared" si="1"/>
        <v>4.2</v>
      </c>
      <c r="J12" s="123">
        <f t="shared" si="2"/>
        <v>3.88</v>
      </c>
    </row>
    <row r="13" spans="1:12">
      <c r="B13" s="528">
        <v>20749</v>
      </c>
      <c r="C13" s="528" t="s">
        <v>2555</v>
      </c>
      <c r="D13" s="528">
        <v>2</v>
      </c>
      <c r="E13" s="666">
        <f t="shared" si="0"/>
        <v>1.55</v>
      </c>
      <c r="F13" s="528">
        <v>3.1</v>
      </c>
      <c r="G13" s="528">
        <v>1</v>
      </c>
      <c r="H13" s="669">
        <f t="shared" si="1"/>
        <v>3.1</v>
      </c>
      <c r="J13" s="123">
        <f t="shared" si="2"/>
        <v>2</v>
      </c>
    </row>
    <row r="14" spans="1:12" ht="30">
      <c r="B14" s="528">
        <v>454</v>
      </c>
      <c r="C14" s="310" t="s">
        <v>2817</v>
      </c>
      <c r="D14" s="528">
        <v>3</v>
      </c>
      <c r="E14" s="666">
        <f t="shared" si="0"/>
        <v>1.3333333333333333</v>
      </c>
      <c r="F14" s="528">
        <v>4</v>
      </c>
      <c r="G14" s="528">
        <v>1</v>
      </c>
      <c r="H14" s="669">
        <f t="shared" si="1"/>
        <v>4</v>
      </c>
      <c r="J14" s="123">
        <f t="shared" si="2"/>
        <v>3</v>
      </c>
    </row>
    <row r="15" spans="1:12" ht="15.75" thickBot="1">
      <c r="B15" s="528"/>
      <c r="C15" s="528"/>
      <c r="D15" s="528">
        <f>SUM(D4:D14)</f>
        <v>30.049999999999997</v>
      </c>
      <c r="E15" s="528"/>
      <c r="F15" s="528"/>
      <c r="G15" s="667"/>
      <c r="H15" s="670">
        <f>SUM(H4:H14)</f>
        <v>46.611000000000004</v>
      </c>
      <c r="J15" s="123">
        <f>SUM(J4:J14)</f>
        <v>36</v>
      </c>
      <c r="K15" s="649">
        <f>H15/J15</f>
        <v>1.2947500000000001</v>
      </c>
    </row>
    <row r="16" spans="1:12" s="404" customFormat="1" ht="30.75" thickBot="1">
      <c r="A16" s="123"/>
      <c r="B16" s="668"/>
      <c r="C16" s="668"/>
      <c r="D16" s="668"/>
      <c r="E16" s="668"/>
      <c r="F16" s="668"/>
      <c r="G16" s="671" t="s">
        <v>2563</v>
      </c>
      <c r="H16" s="672">
        <f>H15*8%</f>
        <v>3.7288800000000002</v>
      </c>
      <c r="I16" s="123"/>
      <c r="J16" s="123"/>
      <c r="K16" s="123"/>
      <c r="L16" s="123"/>
    </row>
    <row r="17" spans="1:13" s="404" customFormat="1">
      <c r="A17" s="123"/>
      <c r="B17" s="668"/>
      <c r="C17" s="668" t="s">
        <v>65</v>
      </c>
      <c r="D17" s="668"/>
      <c r="E17" s="668"/>
      <c r="F17" s="668"/>
      <c r="G17" s="668"/>
      <c r="H17" s="673">
        <f>+H15-H16</f>
        <v>42.88212</v>
      </c>
      <c r="I17" s="123">
        <v>44</v>
      </c>
      <c r="J17" s="649">
        <f>H15/I17</f>
        <v>1.0593409090909092</v>
      </c>
      <c r="K17" s="123"/>
      <c r="L17" s="123"/>
    </row>
    <row r="18" spans="1:13" ht="30">
      <c r="B18" s="578"/>
      <c r="C18" s="578"/>
      <c r="D18" s="303"/>
      <c r="E18" s="303"/>
      <c r="F18" s="303"/>
      <c r="G18" s="310" t="s">
        <v>2793</v>
      </c>
      <c r="H18" s="528">
        <v>44</v>
      </c>
    </row>
    <row r="19" spans="1:13">
      <c r="B19" s="578"/>
      <c r="C19" s="578"/>
      <c r="D19" s="578"/>
      <c r="E19" s="578"/>
      <c r="F19" s="578"/>
      <c r="G19" s="578"/>
      <c r="H19" s="578"/>
    </row>
    <row r="20" spans="1:13" ht="31.5" customHeight="1">
      <c r="B20" s="326" t="s">
        <v>116</v>
      </c>
      <c r="C20" s="326" t="s">
        <v>2562</v>
      </c>
      <c r="D20" s="528" t="s">
        <v>559</v>
      </c>
      <c r="E20" s="310" t="s">
        <v>2558</v>
      </c>
      <c r="F20" s="310" t="s">
        <v>2547</v>
      </c>
      <c r="G20" s="528" t="s">
        <v>1662</v>
      </c>
      <c r="H20" s="310" t="s">
        <v>2556</v>
      </c>
    </row>
    <row r="21" spans="1:13">
      <c r="B21" s="528">
        <v>326</v>
      </c>
      <c r="C21" s="347" t="s">
        <v>2550</v>
      </c>
      <c r="D21" s="528">
        <f>D7</f>
        <v>2.35</v>
      </c>
      <c r="E21" s="666">
        <f>F21/D21</f>
        <v>1.2</v>
      </c>
      <c r="F21" s="528">
        <f>F7</f>
        <v>2.82</v>
      </c>
      <c r="G21" s="528">
        <v>2.8</v>
      </c>
      <c r="H21" s="576">
        <f t="shared" ref="H21:H34" si="3">F21*G21</f>
        <v>7.895999999999999</v>
      </c>
      <c r="J21" s="123">
        <f>D21*G21</f>
        <v>6.58</v>
      </c>
    </row>
    <row r="22" spans="1:13">
      <c r="B22" s="528">
        <v>1873</v>
      </c>
      <c r="C22" s="347" t="s">
        <v>2546</v>
      </c>
      <c r="D22" s="528">
        <f>D4</f>
        <v>3.86</v>
      </c>
      <c r="E22" s="666">
        <f>F22/D22</f>
        <v>1.2823834196891193</v>
      </c>
      <c r="F22" s="528">
        <f>F4</f>
        <v>4.95</v>
      </c>
      <c r="G22" s="528">
        <v>1</v>
      </c>
      <c r="H22" s="576">
        <f t="shared" si="3"/>
        <v>4.95</v>
      </c>
      <c r="J22" s="123">
        <f t="shared" ref="J22:J34" si="4">D22*G22</f>
        <v>3.86</v>
      </c>
      <c r="M22" s="692"/>
    </row>
    <row r="23" spans="1:13">
      <c r="B23" s="528">
        <v>1975</v>
      </c>
      <c r="C23" s="347" t="s">
        <v>2549</v>
      </c>
      <c r="D23" s="528">
        <f>D6</f>
        <v>5.5</v>
      </c>
      <c r="E23" s="666">
        <f t="shared" ref="E23:E34" si="5">F23/D23</f>
        <v>1.2909090909090908</v>
      </c>
      <c r="F23" s="528">
        <f>F6</f>
        <v>7.1</v>
      </c>
      <c r="G23" s="528">
        <v>1</v>
      </c>
      <c r="H23" s="576">
        <f t="shared" si="3"/>
        <v>7.1</v>
      </c>
      <c r="J23" s="123">
        <f t="shared" si="4"/>
        <v>5.5</v>
      </c>
      <c r="M23" s="692"/>
    </row>
    <row r="24" spans="1:13">
      <c r="B24" s="528">
        <v>2033</v>
      </c>
      <c r="C24" s="347" t="s">
        <v>2554</v>
      </c>
      <c r="D24" s="528">
        <f>D12</f>
        <v>0.97</v>
      </c>
      <c r="E24" s="666">
        <f t="shared" si="5"/>
        <v>1.0824742268041239</v>
      </c>
      <c r="F24" s="528">
        <f>F12</f>
        <v>1.05</v>
      </c>
      <c r="G24" s="528">
        <v>2</v>
      </c>
      <c r="H24" s="576">
        <f t="shared" si="3"/>
        <v>2.1</v>
      </c>
      <c r="J24" s="123">
        <f t="shared" si="4"/>
        <v>1.94</v>
      </c>
      <c r="M24" s="692"/>
    </row>
    <row r="25" spans="1:13">
      <c r="B25" s="528">
        <v>19921</v>
      </c>
      <c r="C25" s="347" t="s">
        <v>3147</v>
      </c>
      <c r="D25" s="528">
        <v>2.1</v>
      </c>
      <c r="E25" s="666">
        <f t="shared" si="5"/>
        <v>1.3</v>
      </c>
      <c r="F25" s="528">
        <v>2.73</v>
      </c>
      <c r="G25" s="528">
        <v>1</v>
      </c>
      <c r="H25" s="576">
        <f t="shared" si="3"/>
        <v>2.73</v>
      </c>
      <c r="J25" s="123">
        <f t="shared" si="4"/>
        <v>2.1</v>
      </c>
      <c r="M25" s="692"/>
    </row>
    <row r="26" spans="1:13">
      <c r="B26" s="528">
        <v>836</v>
      </c>
      <c r="C26" s="347" t="s">
        <v>2551</v>
      </c>
      <c r="D26" s="528">
        <f>D8</f>
        <v>4.4400000000000004</v>
      </c>
      <c r="E26" s="666">
        <f t="shared" si="5"/>
        <v>1.3806306306306304</v>
      </c>
      <c r="F26" s="528">
        <f>F8</f>
        <v>6.13</v>
      </c>
      <c r="G26" s="528">
        <v>0.35</v>
      </c>
      <c r="H26" s="576">
        <f t="shared" si="3"/>
        <v>2.1454999999999997</v>
      </c>
      <c r="J26" s="123">
        <f t="shared" si="4"/>
        <v>1.554</v>
      </c>
      <c r="M26" s="692"/>
    </row>
    <row r="27" spans="1:13">
      <c r="B27" s="528">
        <v>840</v>
      </c>
      <c r="C27" s="347" t="s">
        <v>2553</v>
      </c>
      <c r="D27" s="528">
        <f>D10</f>
        <v>2.04</v>
      </c>
      <c r="E27" s="666">
        <f t="shared" si="5"/>
        <v>1.3970588235294117</v>
      </c>
      <c r="F27" s="528">
        <f>F10</f>
        <v>2.85</v>
      </c>
      <c r="G27" s="528">
        <v>0.15</v>
      </c>
      <c r="H27" s="576">
        <f t="shared" si="3"/>
        <v>0.42749999999999999</v>
      </c>
      <c r="J27" s="123">
        <f t="shared" si="4"/>
        <v>0.30599999999999999</v>
      </c>
      <c r="M27" s="692"/>
    </row>
    <row r="28" spans="1:13">
      <c r="B28" s="528">
        <v>630</v>
      </c>
      <c r="C28" s="347" t="s">
        <v>2552</v>
      </c>
      <c r="D28" s="528">
        <f>D9</f>
        <v>3.18</v>
      </c>
      <c r="E28" s="666">
        <f t="shared" si="5"/>
        <v>1.39937106918239</v>
      </c>
      <c r="F28" s="528">
        <f>F9</f>
        <v>4.45</v>
      </c>
      <c r="G28" s="528">
        <v>0.15</v>
      </c>
      <c r="H28" s="576">
        <f t="shared" si="3"/>
        <v>0.66749999999999998</v>
      </c>
      <c r="J28" s="123">
        <f t="shared" si="4"/>
        <v>0.47699999999999998</v>
      </c>
      <c r="M28" s="692"/>
    </row>
    <row r="29" spans="1:13">
      <c r="B29" s="528">
        <v>67</v>
      </c>
      <c r="C29" s="347" t="s">
        <v>2559</v>
      </c>
      <c r="D29" s="528">
        <v>1.55</v>
      </c>
      <c r="E29" s="666">
        <f t="shared" si="5"/>
        <v>1.6645161290322581</v>
      </c>
      <c r="F29" s="528">
        <v>2.58</v>
      </c>
      <c r="G29" s="528">
        <v>0.5</v>
      </c>
      <c r="H29" s="576">
        <f t="shared" si="3"/>
        <v>1.29</v>
      </c>
      <c r="J29" s="123">
        <f t="shared" si="4"/>
        <v>0.77500000000000002</v>
      </c>
      <c r="M29" s="692"/>
    </row>
    <row r="30" spans="1:13">
      <c r="B30" s="528">
        <v>9</v>
      </c>
      <c r="C30" s="347" t="s">
        <v>1600</v>
      </c>
      <c r="D30" s="528">
        <v>0.62</v>
      </c>
      <c r="E30" s="666">
        <f t="shared" si="5"/>
        <v>1.8225806451612903</v>
      </c>
      <c r="F30" s="528">
        <v>1.1299999999999999</v>
      </c>
      <c r="G30" s="528">
        <v>0.5</v>
      </c>
      <c r="H30" s="576">
        <f t="shared" si="3"/>
        <v>0.56499999999999995</v>
      </c>
      <c r="J30" s="123">
        <f t="shared" si="4"/>
        <v>0.31</v>
      </c>
      <c r="M30" s="692"/>
    </row>
    <row r="31" spans="1:13">
      <c r="B31" s="528">
        <v>4</v>
      </c>
      <c r="C31" s="347" t="s">
        <v>2560</v>
      </c>
      <c r="D31" s="528">
        <v>1.55</v>
      </c>
      <c r="E31" s="666">
        <f t="shared" si="5"/>
        <v>1.6645161290322581</v>
      </c>
      <c r="F31" s="528">
        <v>2.58</v>
      </c>
      <c r="G31" s="528">
        <v>0.3</v>
      </c>
      <c r="H31" s="576">
        <f t="shared" si="3"/>
        <v>0.77400000000000002</v>
      </c>
      <c r="J31" s="123">
        <f t="shared" si="4"/>
        <v>0.46499999999999997</v>
      </c>
      <c r="M31" s="692"/>
    </row>
    <row r="32" spans="1:13" s="404" customFormat="1">
      <c r="A32" s="123"/>
      <c r="B32" s="528">
        <v>20749</v>
      </c>
      <c r="C32" s="347" t="s">
        <v>2555</v>
      </c>
      <c r="D32" s="528">
        <f>D13</f>
        <v>2</v>
      </c>
      <c r="E32" s="666">
        <f t="shared" si="5"/>
        <v>1.55</v>
      </c>
      <c r="F32" s="528">
        <f>F13</f>
        <v>3.1</v>
      </c>
      <c r="G32" s="528">
        <v>1</v>
      </c>
      <c r="H32" s="669">
        <f t="shared" si="3"/>
        <v>3.1</v>
      </c>
      <c r="I32" s="123"/>
      <c r="J32" s="123">
        <f t="shared" si="4"/>
        <v>2</v>
      </c>
      <c r="K32" s="123"/>
      <c r="L32" s="123"/>
      <c r="M32" s="692"/>
    </row>
    <row r="33" spans="2:16">
      <c r="B33" s="528">
        <v>7</v>
      </c>
      <c r="C33" s="347" t="s">
        <v>2561</v>
      </c>
      <c r="D33" s="528">
        <v>1.31</v>
      </c>
      <c r="E33" s="666">
        <f t="shared" si="5"/>
        <v>1.8167938931297709</v>
      </c>
      <c r="F33" s="528">
        <v>2.38</v>
      </c>
      <c r="G33" s="528">
        <v>0.2</v>
      </c>
      <c r="H33" s="576">
        <f t="shared" si="3"/>
        <v>0.47599999999999998</v>
      </c>
      <c r="J33" s="123">
        <f t="shared" si="4"/>
        <v>0.26200000000000001</v>
      </c>
      <c r="M33" s="692"/>
    </row>
    <row r="34" spans="2:16">
      <c r="B34" s="528">
        <v>479</v>
      </c>
      <c r="C34" s="347" t="s">
        <v>1353</v>
      </c>
      <c r="D34" s="528">
        <f>D11</f>
        <v>0.21</v>
      </c>
      <c r="E34" s="666">
        <f t="shared" si="5"/>
        <v>1.6666666666666665</v>
      </c>
      <c r="F34" s="528">
        <f>F11</f>
        <v>0.35</v>
      </c>
      <c r="G34" s="528">
        <v>1</v>
      </c>
      <c r="H34" s="576">
        <f t="shared" si="3"/>
        <v>0.35</v>
      </c>
      <c r="J34" s="123">
        <f t="shared" si="4"/>
        <v>0.21</v>
      </c>
      <c r="M34" s="692"/>
    </row>
    <row r="35" spans="2:16" ht="15.75" thickBot="1">
      <c r="B35" s="578"/>
      <c r="C35" s="578"/>
      <c r="D35" s="578" t="s">
        <v>65</v>
      </c>
      <c r="E35" s="578"/>
      <c r="F35" s="578"/>
      <c r="G35" s="578"/>
      <c r="H35" s="674">
        <f>H21+H22+H23+H24+H25+H26+H27+H28+H29+H30+H31+H32+H33+H34</f>
        <v>34.5715</v>
      </c>
      <c r="J35" s="123">
        <f>SUM(J21:J34)</f>
        <v>26.338999999999999</v>
      </c>
      <c r="K35" s="649">
        <f>H35/J35</f>
        <v>1.3125593226773986</v>
      </c>
    </row>
    <row r="36" spans="2:16" ht="30.75" thickBot="1">
      <c r="B36" s="578"/>
      <c r="C36" s="578"/>
      <c r="D36" s="578"/>
      <c r="E36" s="578"/>
      <c r="F36" s="578"/>
      <c r="G36" s="675" t="s">
        <v>2563</v>
      </c>
      <c r="H36" s="672">
        <f>H35*8%</f>
        <v>2.76572</v>
      </c>
    </row>
    <row r="37" spans="2:16">
      <c r="B37" s="578"/>
      <c r="C37" s="578"/>
      <c r="D37" s="578"/>
      <c r="E37" s="578"/>
      <c r="F37" s="578"/>
      <c r="G37" s="578"/>
      <c r="H37" s="676">
        <f>H35-H36</f>
        <v>31.805779999999999</v>
      </c>
      <c r="I37" s="123">
        <v>33</v>
      </c>
      <c r="J37" s="649">
        <f>H35/I37</f>
        <v>1.0476212121212121</v>
      </c>
    </row>
    <row r="38" spans="2:16" ht="30">
      <c r="B38" s="578"/>
      <c r="C38" s="578"/>
      <c r="D38" s="578"/>
      <c r="E38" s="578"/>
      <c r="F38" s="578"/>
      <c r="G38" s="310" t="s">
        <v>2793</v>
      </c>
      <c r="H38" s="528">
        <v>33</v>
      </c>
    </row>
    <row r="39" spans="2:16">
      <c r="B39" s="578"/>
      <c r="C39" s="578"/>
      <c r="D39" s="578"/>
      <c r="E39" s="578"/>
      <c r="F39" s="578"/>
      <c r="G39" s="578"/>
      <c r="H39" s="578"/>
    </row>
    <row r="40" spans="2:16">
      <c r="I40" s="650" t="s">
        <v>65</v>
      </c>
    </row>
    <row r="41" spans="2:16">
      <c r="D41" s="123" t="s">
        <v>65</v>
      </c>
    </row>
    <row r="42" spans="2:16" ht="30">
      <c r="B42" s="578"/>
      <c r="C42" s="578" t="s">
        <v>3413</v>
      </c>
      <c r="D42" s="811" t="s">
        <v>2547</v>
      </c>
      <c r="E42" s="303" t="s">
        <v>3414</v>
      </c>
      <c r="F42" s="303" t="s">
        <v>1882</v>
      </c>
      <c r="G42" s="578"/>
      <c r="K42"/>
      <c r="L42"/>
    </row>
    <row r="43" spans="2:16">
      <c r="B43" s="528">
        <v>1873</v>
      </c>
      <c r="C43" s="528" t="s">
        <v>2546</v>
      </c>
      <c r="D43" s="528">
        <v>4.95</v>
      </c>
      <c r="E43" s="564">
        <v>2</v>
      </c>
      <c r="F43" s="528">
        <f>+D43*E43</f>
        <v>9.9</v>
      </c>
      <c r="G43" s="578"/>
      <c r="K43"/>
      <c r="L43"/>
      <c r="P43" s="693">
        <v>3080.91</v>
      </c>
    </row>
    <row r="44" spans="2:16">
      <c r="B44" s="528">
        <v>1975</v>
      </c>
      <c r="C44" s="528" t="s">
        <v>2549</v>
      </c>
      <c r="D44" s="528">
        <v>7.1</v>
      </c>
      <c r="E44" s="564">
        <v>1</v>
      </c>
      <c r="F44" s="528">
        <f>+D44*E44</f>
        <v>7.1</v>
      </c>
      <c r="G44" s="578"/>
      <c r="K44"/>
      <c r="L44"/>
      <c r="P44" s="693">
        <v>263.8</v>
      </c>
    </row>
    <row r="45" spans="2:16">
      <c r="B45" s="528">
        <v>1937</v>
      </c>
      <c r="C45" s="528" t="s">
        <v>3411</v>
      </c>
      <c r="D45" s="528">
        <v>7.18</v>
      </c>
      <c r="E45" s="564">
        <v>2</v>
      </c>
      <c r="F45" s="528">
        <f>+D45*E45</f>
        <v>14.36</v>
      </c>
      <c r="G45" s="578"/>
      <c r="K45"/>
      <c r="L45"/>
      <c r="P45" s="693">
        <v>3393.84</v>
      </c>
    </row>
    <row r="46" spans="2:16">
      <c r="B46" s="528">
        <v>1969</v>
      </c>
      <c r="C46" s="528" t="s">
        <v>3412</v>
      </c>
      <c r="D46" s="528">
        <v>3.3</v>
      </c>
      <c r="E46" s="812">
        <v>0.15</v>
      </c>
      <c r="F46" s="528">
        <f>+D46*E46</f>
        <v>0.49499999999999994</v>
      </c>
      <c r="G46" s="578"/>
      <c r="K46"/>
      <c r="L46"/>
      <c r="P46" s="693">
        <v>404.75</v>
      </c>
    </row>
    <row r="47" spans="2:16">
      <c r="B47" s="578"/>
      <c r="C47" s="578"/>
      <c r="D47" s="578"/>
      <c r="E47" s="813"/>
      <c r="F47" s="303">
        <f>SUM(F43:F46)</f>
        <v>31.855</v>
      </c>
      <c r="G47" s="578"/>
      <c r="K47"/>
      <c r="L47"/>
      <c r="P47" s="693">
        <v>1319.03</v>
      </c>
    </row>
    <row r="48" spans="2:16">
      <c r="B48" s="578"/>
      <c r="C48" s="578"/>
      <c r="D48" s="578"/>
      <c r="E48" s="813"/>
      <c r="F48" s="578"/>
      <c r="G48" s="578"/>
      <c r="K48"/>
      <c r="L48"/>
      <c r="P48" s="693"/>
    </row>
    <row r="49" spans="2:16" ht="30">
      <c r="B49" s="578"/>
      <c r="C49" s="578" t="s">
        <v>3416</v>
      </c>
      <c r="D49" s="811" t="s">
        <v>2547</v>
      </c>
      <c r="E49" s="579" t="s">
        <v>3414</v>
      </c>
      <c r="F49" s="303" t="s">
        <v>1882</v>
      </c>
      <c r="G49" s="578" t="s">
        <v>3415</v>
      </c>
      <c r="K49"/>
      <c r="L49"/>
      <c r="P49" s="693">
        <v>0</v>
      </c>
    </row>
    <row r="50" spans="2:16">
      <c r="B50" s="528">
        <v>836</v>
      </c>
      <c r="C50" s="347" t="s">
        <v>2551</v>
      </c>
      <c r="D50" s="528">
        <v>6.13</v>
      </c>
      <c r="E50" s="812">
        <v>1</v>
      </c>
      <c r="F50" s="528">
        <f>+D50*E50</f>
        <v>6.13</v>
      </c>
      <c r="G50" s="578">
        <v>38</v>
      </c>
      <c r="K50"/>
      <c r="L50"/>
      <c r="P50" s="693">
        <v>0</v>
      </c>
    </row>
    <row r="51" spans="2:16">
      <c r="B51" s="528">
        <v>840</v>
      </c>
      <c r="C51" s="347" t="s">
        <v>2553</v>
      </c>
      <c r="D51" s="528">
        <v>2.85</v>
      </c>
      <c r="E51" s="812">
        <v>0.5</v>
      </c>
      <c r="F51" s="528">
        <f>+D51*E51</f>
        <v>1.425</v>
      </c>
      <c r="G51" s="578">
        <v>39</v>
      </c>
      <c r="K51"/>
      <c r="L51"/>
      <c r="P51" s="693">
        <v>0</v>
      </c>
    </row>
    <row r="52" spans="2:16">
      <c r="B52" s="528">
        <v>630</v>
      </c>
      <c r="C52" s="347" t="s">
        <v>2552</v>
      </c>
      <c r="D52" s="528">
        <v>4.45</v>
      </c>
      <c r="E52" s="812">
        <v>0.5</v>
      </c>
      <c r="F52" s="528">
        <f>+D52*E52</f>
        <v>2.2250000000000001</v>
      </c>
      <c r="G52" s="578">
        <v>39</v>
      </c>
      <c r="K52"/>
      <c r="L52"/>
      <c r="P52" s="693">
        <v>0</v>
      </c>
    </row>
    <row r="53" spans="2:16">
      <c r="B53" s="578"/>
      <c r="C53" s="578"/>
      <c r="D53" s="578"/>
      <c r="E53" s="813"/>
      <c r="F53" s="303">
        <f>SUM(F50:F52)</f>
        <v>9.7799999999999994</v>
      </c>
      <c r="G53" s="578"/>
      <c r="K53"/>
      <c r="L53"/>
      <c r="P53" s="693">
        <v>0</v>
      </c>
    </row>
    <row r="54" spans="2:16">
      <c r="B54" s="578"/>
      <c r="C54" s="578"/>
      <c r="D54" s="578"/>
      <c r="E54" s="578"/>
      <c r="F54" s="578"/>
      <c r="G54" s="578"/>
      <c r="P54">
        <f>SUM(P43:P53)</f>
        <v>8462.33</v>
      </c>
    </row>
    <row r="55" spans="2:16">
      <c r="P55">
        <v>1060.75</v>
      </c>
    </row>
    <row r="56" spans="2:16">
      <c r="P56">
        <v>1100</v>
      </c>
    </row>
    <row r="57" spans="2:16">
      <c r="P57">
        <v>4802</v>
      </c>
    </row>
    <row r="58" spans="2:16">
      <c r="P58">
        <f>P54-P55-P56-P57</f>
        <v>1499.58</v>
      </c>
    </row>
    <row r="59" spans="2:16">
      <c r="P59" t="s">
        <v>65</v>
      </c>
    </row>
  </sheetData>
  <pageMargins left="0.23622047244094491" right="0.23622047244094491" top="0" bottom="0" header="0.31496062992125984" footer="0.31496062992125984"/>
  <pageSetup paperSize="9" orientation="landscape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8:X75"/>
  <sheetViews>
    <sheetView topLeftCell="F55" workbookViewId="0">
      <selection activeCell="F61" sqref="F61:O69"/>
    </sheetView>
  </sheetViews>
  <sheetFormatPr baseColWidth="10" defaultRowHeight="15"/>
  <cols>
    <col min="1" max="1" width="44.7109375" hidden="1" customWidth="1"/>
    <col min="2" max="2" width="13.5703125" hidden="1" customWidth="1"/>
    <col min="3" max="5" width="0" hidden="1" customWidth="1"/>
    <col min="7" max="7" width="40.28515625" style="65" customWidth="1"/>
    <col min="8" max="8" width="11" style="65" hidden="1" customWidth="1"/>
    <col min="9" max="9" width="14.140625" customWidth="1"/>
    <col min="10" max="10" width="16.28515625" customWidth="1"/>
    <col min="11" max="11" width="9.7109375" customWidth="1"/>
    <col min="12" max="14" width="0" hidden="1" customWidth="1"/>
    <col min="16" max="16" width="8.7109375" customWidth="1"/>
    <col min="17" max="17" width="9" customWidth="1"/>
    <col min="18" max="18" width="8.140625" customWidth="1"/>
    <col min="19" max="19" width="7.85546875" customWidth="1"/>
  </cols>
  <sheetData>
    <row r="8" spans="1:24">
      <c r="B8" t="s">
        <v>247</v>
      </c>
      <c r="F8" s="693" t="s">
        <v>635</v>
      </c>
      <c r="G8" s="706" t="s">
        <v>3291</v>
      </c>
      <c r="H8" s="15" t="s">
        <v>1307</v>
      </c>
      <c r="I8" s="693"/>
      <c r="J8" s="693"/>
      <c r="K8" s="693"/>
      <c r="L8" s="693"/>
      <c r="M8" s="693"/>
      <c r="N8" s="693"/>
      <c r="O8" s="693"/>
      <c r="P8" s="693"/>
      <c r="Q8" s="2390" t="s">
        <v>3292</v>
      </c>
      <c r="R8" s="2390"/>
      <c r="S8" s="2390"/>
    </row>
    <row r="9" spans="1:24">
      <c r="F9" s="703" t="s">
        <v>116</v>
      </c>
      <c r="G9" s="329" t="s">
        <v>107</v>
      </c>
      <c r="H9" s="329"/>
      <c r="I9" s="706" t="s">
        <v>630</v>
      </c>
      <c r="J9" s="706" t="s">
        <v>631</v>
      </c>
      <c r="K9" s="706" t="s">
        <v>632</v>
      </c>
      <c r="L9" s="706" t="s">
        <v>633</v>
      </c>
      <c r="M9" s="706" t="s">
        <v>624</v>
      </c>
      <c r="N9" s="706" t="s">
        <v>634</v>
      </c>
      <c r="O9" s="704" t="s">
        <v>3288</v>
      </c>
      <c r="P9" s="693"/>
      <c r="Q9" s="305" t="s">
        <v>630</v>
      </c>
      <c r="R9" s="305" t="s">
        <v>631</v>
      </c>
      <c r="S9" s="305" t="s">
        <v>3289</v>
      </c>
    </row>
    <row r="10" spans="1:24">
      <c r="A10" s="43" t="s">
        <v>261</v>
      </c>
      <c r="B10" s="43" t="s">
        <v>254</v>
      </c>
      <c r="C10" s="43" t="s">
        <v>0</v>
      </c>
      <c r="D10" s="43" t="s">
        <v>122</v>
      </c>
      <c r="F10" s="703">
        <v>3019</v>
      </c>
      <c r="G10" s="330" t="s">
        <v>258</v>
      </c>
      <c r="H10" s="330"/>
      <c r="I10" s="706">
        <v>69.75</v>
      </c>
      <c r="J10" s="706">
        <v>10.59</v>
      </c>
      <c r="K10" s="706">
        <v>121</v>
      </c>
      <c r="L10" s="706"/>
      <c r="M10" s="706"/>
      <c r="N10" s="706"/>
      <c r="O10" s="706">
        <f t="shared" ref="O10:O15" si="0">SUM(I10:N10)</f>
        <v>201.34</v>
      </c>
      <c r="P10" s="693"/>
      <c r="Q10" s="706">
        <v>75</v>
      </c>
      <c r="R10" s="706">
        <v>5.98</v>
      </c>
      <c r="S10" s="706">
        <v>10</v>
      </c>
    </row>
    <row r="11" spans="1:24">
      <c r="A11" s="5" t="s">
        <v>249</v>
      </c>
      <c r="B11" s="5" t="s">
        <v>248</v>
      </c>
      <c r="C11" s="5">
        <v>2338</v>
      </c>
      <c r="D11" s="5">
        <v>4050</v>
      </c>
      <c r="F11" s="703">
        <v>630</v>
      </c>
      <c r="G11" s="329" t="s">
        <v>1306</v>
      </c>
      <c r="H11" s="329"/>
      <c r="I11" s="706">
        <v>564</v>
      </c>
      <c r="J11" s="706">
        <v>167.42</v>
      </c>
      <c r="K11" s="706">
        <v>294</v>
      </c>
      <c r="L11" s="706"/>
      <c r="M11" s="706"/>
      <c r="N11" s="706"/>
      <c r="O11" s="706">
        <f t="shared" si="0"/>
        <v>1025.42</v>
      </c>
      <c r="P11" s="693"/>
      <c r="Q11" s="706">
        <v>956</v>
      </c>
      <c r="R11" s="706">
        <v>12.13</v>
      </c>
      <c r="S11" s="706">
        <v>42</v>
      </c>
      <c r="V11" s="2442" t="s">
        <v>3303</v>
      </c>
      <c r="W11" s="2443"/>
      <c r="X11" s="2443"/>
    </row>
    <row r="12" spans="1:24">
      <c r="A12" s="5" t="s">
        <v>251</v>
      </c>
      <c r="B12" s="5" t="s">
        <v>250</v>
      </c>
      <c r="C12" s="5">
        <v>11888</v>
      </c>
      <c r="D12" s="5">
        <v>130</v>
      </c>
      <c r="F12" s="703">
        <v>840</v>
      </c>
      <c r="G12" s="329" t="s">
        <v>625</v>
      </c>
      <c r="H12" s="329"/>
      <c r="I12" s="706">
        <v>381</v>
      </c>
      <c r="J12" s="706">
        <v>59.84</v>
      </c>
      <c r="K12" s="706">
        <v>174.57</v>
      </c>
      <c r="L12" s="706"/>
      <c r="M12" s="706"/>
      <c r="N12" s="706"/>
      <c r="O12" s="706">
        <f t="shared" si="0"/>
        <v>615.41000000000008</v>
      </c>
      <c r="P12" s="693"/>
      <c r="Q12" s="706">
        <v>200</v>
      </c>
      <c r="R12" s="706">
        <v>34.85</v>
      </c>
      <c r="S12" s="706">
        <v>30</v>
      </c>
      <c r="V12" s="702">
        <v>705</v>
      </c>
      <c r="W12" s="711"/>
      <c r="X12" s="693"/>
    </row>
    <row r="13" spans="1:24" ht="45">
      <c r="A13" s="5" t="s">
        <v>253</v>
      </c>
      <c r="B13" s="5" t="s">
        <v>252</v>
      </c>
      <c r="C13" s="5">
        <v>2341</v>
      </c>
      <c r="D13" s="5">
        <v>700</v>
      </c>
      <c r="F13" s="703">
        <v>836</v>
      </c>
      <c r="G13" s="329" t="s">
        <v>626</v>
      </c>
      <c r="H13" s="329"/>
      <c r="I13" s="706">
        <v>753</v>
      </c>
      <c r="J13" s="706">
        <v>156.74</v>
      </c>
      <c r="K13" s="706">
        <v>298</v>
      </c>
      <c r="L13" s="706"/>
      <c r="M13" s="706"/>
      <c r="N13" s="706"/>
      <c r="O13" s="706">
        <f t="shared" si="0"/>
        <v>1207.74</v>
      </c>
      <c r="P13" s="704" t="s">
        <v>3290</v>
      </c>
      <c r="Q13" s="706">
        <v>680</v>
      </c>
      <c r="R13" s="706">
        <v>18.024999999999999</v>
      </c>
      <c r="S13" s="706">
        <v>0.44500000000000001</v>
      </c>
      <c r="V13" s="702">
        <v>680</v>
      </c>
      <c r="W13" s="712" t="s">
        <v>65</v>
      </c>
      <c r="X13" s="714"/>
    </row>
    <row r="14" spans="1:24">
      <c r="F14" s="703">
        <v>845</v>
      </c>
      <c r="G14" s="329" t="s">
        <v>628</v>
      </c>
      <c r="H14" s="329"/>
      <c r="I14" s="706">
        <v>7.2450000000000001</v>
      </c>
      <c r="J14" s="706">
        <v>0</v>
      </c>
      <c r="K14" s="706">
        <v>33</v>
      </c>
      <c r="L14" s="706"/>
      <c r="M14" s="706"/>
      <c r="N14" s="706"/>
      <c r="O14" s="706">
        <f t="shared" si="0"/>
        <v>40.244999999999997</v>
      </c>
      <c r="P14" s="693"/>
      <c r="Q14" s="706">
        <v>170</v>
      </c>
      <c r="R14" s="706">
        <v>9.14</v>
      </c>
      <c r="S14" s="706">
        <v>30</v>
      </c>
      <c r="V14" s="382">
        <f>SUM(V12:V13)</f>
        <v>1385</v>
      </c>
      <c r="W14" s="711">
        <v>600</v>
      </c>
      <c r="X14" s="714">
        <f>SUM(V14:W14)</f>
        <v>1985</v>
      </c>
    </row>
    <row r="15" spans="1:24">
      <c r="A15" s="43" t="s">
        <v>260</v>
      </c>
      <c r="B15" s="43" t="s">
        <v>254</v>
      </c>
      <c r="C15" s="43" t="s">
        <v>0</v>
      </c>
      <c r="D15" s="43" t="s">
        <v>122</v>
      </c>
      <c r="F15" s="706">
        <v>842</v>
      </c>
      <c r="G15" s="15" t="s">
        <v>629</v>
      </c>
      <c r="H15" s="15"/>
      <c r="I15" s="706">
        <v>0</v>
      </c>
      <c r="J15" s="706">
        <v>0</v>
      </c>
      <c r="K15" s="706">
        <v>0</v>
      </c>
      <c r="L15" s="706"/>
      <c r="M15" s="706"/>
      <c r="N15" s="706"/>
      <c r="O15" s="706">
        <f t="shared" si="0"/>
        <v>0</v>
      </c>
      <c r="P15" s="693"/>
      <c r="Q15" s="706"/>
      <c r="R15" s="706"/>
      <c r="S15" s="706"/>
      <c r="U15" s="692" t="s">
        <v>245</v>
      </c>
      <c r="V15" s="702">
        <v>3.66</v>
      </c>
      <c r="W15" s="712">
        <v>4.66</v>
      </c>
      <c r="X15" s="714"/>
    </row>
    <row r="16" spans="1:24">
      <c r="A16" s="47" t="s">
        <v>256</v>
      </c>
      <c r="B16" s="45" t="s">
        <v>255</v>
      </c>
      <c r="C16" s="46">
        <v>4488</v>
      </c>
      <c r="D16" s="46">
        <v>5</v>
      </c>
      <c r="F16" s="703">
        <v>9584</v>
      </c>
      <c r="G16" s="15" t="s">
        <v>920</v>
      </c>
      <c r="H16" s="15">
        <v>2300</v>
      </c>
      <c r="I16" s="693"/>
      <c r="J16" s="693"/>
      <c r="K16" s="693"/>
      <c r="L16" s="693"/>
      <c r="M16" s="693"/>
      <c r="N16" s="693"/>
      <c r="O16" s="693"/>
      <c r="P16" s="693"/>
      <c r="Q16" s="706"/>
      <c r="R16" s="706"/>
      <c r="S16" s="706"/>
      <c r="V16" s="382">
        <f>V14*V15</f>
        <v>5069.1000000000004</v>
      </c>
      <c r="W16" s="711">
        <f>W14*W15</f>
        <v>2796</v>
      </c>
      <c r="X16" s="714">
        <f>SUM(V16:W16)</f>
        <v>7865.1</v>
      </c>
    </row>
    <row r="17" spans="1:24">
      <c r="A17" s="47" t="s">
        <v>258</v>
      </c>
      <c r="B17" s="45" t="s">
        <v>257</v>
      </c>
      <c r="C17" s="46">
        <v>7777</v>
      </c>
      <c r="D17" s="46">
        <v>100</v>
      </c>
      <c r="F17" s="706">
        <v>397</v>
      </c>
      <c r="G17" s="15" t="s">
        <v>627</v>
      </c>
      <c r="H17" s="15"/>
      <c r="I17" s="706">
        <v>44.79</v>
      </c>
      <c r="J17" s="706">
        <v>2</v>
      </c>
      <c r="K17" s="706">
        <v>44.79</v>
      </c>
      <c r="L17" s="706">
        <v>44.79</v>
      </c>
      <c r="M17" s="706">
        <v>44.79</v>
      </c>
      <c r="N17" s="706">
        <v>44.79</v>
      </c>
      <c r="O17" s="706">
        <v>44.79</v>
      </c>
      <c r="P17" s="693"/>
      <c r="Q17" s="706">
        <v>27</v>
      </c>
      <c r="R17" s="706">
        <v>0</v>
      </c>
      <c r="S17" s="305">
        <v>13</v>
      </c>
      <c r="V17" s="693"/>
      <c r="W17" s="693"/>
      <c r="X17" s="716">
        <f>X16/X14</f>
        <v>3.962267002518892</v>
      </c>
    </row>
    <row r="18" spans="1:24">
      <c r="A18" s="47" t="s">
        <v>256</v>
      </c>
      <c r="B18" s="45" t="s">
        <v>259</v>
      </c>
      <c r="C18" s="46">
        <v>4488</v>
      </c>
      <c r="D18" s="46">
        <v>6</v>
      </c>
      <c r="F18" s="703">
        <v>479</v>
      </c>
      <c r="G18" s="15" t="s">
        <v>1353</v>
      </c>
      <c r="H18" s="15"/>
      <c r="I18" s="305">
        <v>1191</v>
      </c>
      <c r="J18" s="305">
        <v>181</v>
      </c>
      <c r="K18" s="693"/>
      <c r="L18" s="693"/>
      <c r="M18" s="693"/>
      <c r="N18" s="693"/>
      <c r="O18" s="693"/>
      <c r="P18" s="693"/>
      <c r="Q18" s="305">
        <v>97</v>
      </c>
      <c r="R18" s="706">
        <v>59</v>
      </c>
      <c r="S18" s="305">
        <v>31</v>
      </c>
    </row>
    <row r="19" spans="1:24">
      <c r="G19" s="65" t="s">
        <v>65</v>
      </c>
    </row>
    <row r="20" spans="1:24" hidden="1"/>
    <row r="21" spans="1:24" hidden="1">
      <c r="A21" s="50" t="s">
        <v>266</v>
      </c>
      <c r="B21" s="48" t="s">
        <v>262</v>
      </c>
      <c r="C21" s="49" t="s">
        <v>0</v>
      </c>
      <c r="D21" s="48" t="s">
        <v>122</v>
      </c>
    </row>
    <row r="22" spans="1:24" hidden="1">
      <c r="A22" s="45" t="s">
        <v>258</v>
      </c>
      <c r="B22" s="45" t="s">
        <v>263</v>
      </c>
      <c r="C22" s="44">
        <v>7777</v>
      </c>
      <c r="D22" s="46">
        <v>50</v>
      </c>
      <c r="E22" t="s">
        <v>243</v>
      </c>
      <c r="F22" s="405" t="s">
        <v>254</v>
      </c>
      <c r="G22" s="503" t="s">
        <v>1627</v>
      </c>
      <c r="H22" s="502" t="s">
        <v>2314</v>
      </c>
      <c r="I22" s="495" t="s">
        <v>0</v>
      </c>
      <c r="J22" s="495" t="s">
        <v>122</v>
      </c>
      <c r="K22" s="495" t="s">
        <v>547</v>
      </c>
      <c r="L22" s="2389" t="s">
        <v>1</v>
      </c>
      <c r="M22" s="2395"/>
    </row>
    <row r="23" spans="1:24" hidden="1">
      <c r="A23" s="45" t="s">
        <v>264</v>
      </c>
      <c r="B23" s="45" t="s">
        <v>263</v>
      </c>
      <c r="C23" s="44">
        <v>8048</v>
      </c>
      <c r="D23" s="46">
        <v>5</v>
      </c>
      <c r="E23" t="s">
        <v>267</v>
      </c>
      <c r="F23" s="405" t="s">
        <v>2315</v>
      </c>
      <c r="G23" s="495">
        <v>118042950</v>
      </c>
      <c r="H23" s="15" t="s">
        <v>2316</v>
      </c>
      <c r="I23" s="495">
        <v>5903</v>
      </c>
      <c r="J23" s="495">
        <v>309.27800000000002</v>
      </c>
      <c r="K23" s="495">
        <v>4.24</v>
      </c>
      <c r="L23" s="405" t="s">
        <v>2317</v>
      </c>
      <c r="M23" s="362"/>
    </row>
    <row r="24" spans="1:24" hidden="1">
      <c r="A24" s="45" t="s">
        <v>256</v>
      </c>
      <c r="B24" s="45" t="s">
        <v>265</v>
      </c>
      <c r="C24" s="44">
        <v>4488</v>
      </c>
      <c r="D24" s="46">
        <v>15</v>
      </c>
      <c r="E24" t="s">
        <v>268</v>
      </c>
      <c r="F24" s="405" t="s">
        <v>2318</v>
      </c>
      <c r="G24" s="495">
        <v>118043542</v>
      </c>
      <c r="H24" s="15" t="s">
        <v>2316</v>
      </c>
      <c r="I24" s="495">
        <v>5903</v>
      </c>
      <c r="J24" s="495">
        <v>16.86</v>
      </c>
      <c r="K24" s="495">
        <v>4.24</v>
      </c>
      <c r="L24" s="405" t="s">
        <v>2317</v>
      </c>
    </row>
    <row r="25" spans="1:24" hidden="1">
      <c r="B25" s="45"/>
      <c r="F25" s="405" t="s">
        <v>2319</v>
      </c>
      <c r="G25" s="495">
        <v>118057486</v>
      </c>
      <c r="H25" s="15" t="s">
        <v>2316</v>
      </c>
      <c r="I25" s="495">
        <v>5903</v>
      </c>
      <c r="J25" s="495">
        <v>32.198</v>
      </c>
      <c r="K25" s="495">
        <v>3.85</v>
      </c>
      <c r="L25" s="405" t="s">
        <v>2317</v>
      </c>
    </row>
    <row r="26" spans="1:24" hidden="1">
      <c r="F26" s="405" t="s">
        <v>2320</v>
      </c>
      <c r="G26" s="495">
        <v>1108059512</v>
      </c>
      <c r="H26" s="15" t="s">
        <v>2316</v>
      </c>
      <c r="I26" s="495">
        <v>5903</v>
      </c>
      <c r="J26" s="495">
        <v>79.634</v>
      </c>
      <c r="K26" s="495">
        <v>4.99</v>
      </c>
      <c r="L26" s="405" t="s">
        <v>2317</v>
      </c>
    </row>
    <row r="27" spans="1:24" hidden="1">
      <c r="F27" s="405" t="s">
        <v>2321</v>
      </c>
      <c r="G27" s="495">
        <v>118061398</v>
      </c>
      <c r="H27" s="15" t="s">
        <v>2316</v>
      </c>
      <c r="I27" s="495">
        <v>5903</v>
      </c>
      <c r="J27" s="495">
        <v>77.122</v>
      </c>
      <c r="K27" s="495">
        <v>4.72</v>
      </c>
      <c r="L27" s="405" t="s">
        <v>2317</v>
      </c>
    </row>
    <row r="28" spans="1:24" hidden="1">
      <c r="F28" s="405" t="s">
        <v>2322</v>
      </c>
      <c r="G28" s="495">
        <v>7518</v>
      </c>
      <c r="H28" s="15" t="s">
        <v>2323</v>
      </c>
      <c r="I28" s="495">
        <v>5903</v>
      </c>
      <c r="J28" s="495">
        <v>299.8</v>
      </c>
      <c r="K28" s="495">
        <v>1574700</v>
      </c>
      <c r="L28" s="405" t="s">
        <v>2317</v>
      </c>
    </row>
    <row r="29" spans="1:24" hidden="1">
      <c r="F29" s="405" t="s">
        <v>2322</v>
      </c>
      <c r="G29" s="495">
        <v>1784</v>
      </c>
      <c r="H29" s="15" t="s">
        <v>2324</v>
      </c>
      <c r="I29" s="495">
        <v>5903</v>
      </c>
      <c r="J29" s="495">
        <v>305.75</v>
      </c>
      <c r="K29" s="495">
        <v>1574700</v>
      </c>
      <c r="L29" s="405" t="s">
        <v>2317</v>
      </c>
    </row>
    <row r="30" spans="1:24" hidden="1">
      <c r="F30" s="405"/>
      <c r="G30" s="495"/>
      <c r="H30" s="405"/>
      <c r="I30" s="495"/>
      <c r="J30" s="495">
        <f>SUM(J23:J29)</f>
        <v>1120.6420000000001</v>
      </c>
      <c r="K30" s="495"/>
      <c r="L30" s="405"/>
    </row>
    <row r="31" spans="1:24" ht="30" hidden="1">
      <c r="A31" s="61" t="s">
        <v>563</v>
      </c>
      <c r="B31" s="61" t="s">
        <v>562</v>
      </c>
      <c r="C31" s="61" t="s">
        <v>566</v>
      </c>
      <c r="D31" s="62" t="s">
        <v>565</v>
      </c>
      <c r="F31" s="405"/>
      <c r="G31" s="495"/>
      <c r="H31" s="405"/>
      <c r="I31" s="495"/>
      <c r="J31" s="495"/>
      <c r="K31" s="495"/>
      <c r="L31" s="405"/>
    </row>
    <row r="32" spans="1:24" hidden="1">
      <c r="A32" s="59" t="s">
        <v>258</v>
      </c>
      <c r="B32" s="51" t="s">
        <v>243</v>
      </c>
      <c r="C32" s="60">
        <v>44442</v>
      </c>
      <c r="D32" s="5">
        <v>3019</v>
      </c>
      <c r="F32" s="405"/>
      <c r="G32" s="495"/>
      <c r="H32" s="405"/>
      <c r="I32" s="495"/>
      <c r="J32" s="495"/>
      <c r="K32" s="495"/>
      <c r="L32" s="405"/>
    </row>
    <row r="33" spans="1:24" hidden="1">
      <c r="A33" s="51" t="s">
        <v>564</v>
      </c>
      <c r="B33" s="51" t="s">
        <v>243</v>
      </c>
      <c r="C33" s="60">
        <v>44442</v>
      </c>
      <c r="D33" s="5">
        <v>630</v>
      </c>
      <c r="F33" s="405"/>
      <c r="G33" s="495"/>
      <c r="H33" s="405"/>
      <c r="I33" s="495"/>
      <c r="J33" s="495"/>
      <c r="K33" s="495"/>
      <c r="L33" s="405"/>
    </row>
    <row r="34" spans="1:24" hidden="1">
      <c r="A34" s="15" t="s">
        <v>625</v>
      </c>
      <c r="B34" s="96" t="s">
        <v>679</v>
      </c>
      <c r="C34" s="97">
        <v>44446</v>
      </c>
      <c r="D34">
        <v>840</v>
      </c>
      <c r="F34" s="405"/>
      <c r="G34" s="495"/>
      <c r="H34" s="405"/>
      <c r="I34" s="495"/>
      <c r="J34" s="495"/>
      <c r="K34" s="495"/>
      <c r="L34" s="405"/>
    </row>
    <row r="35" spans="1:24" hidden="1">
      <c r="F35" s="405"/>
      <c r="G35" s="495"/>
      <c r="H35" s="405"/>
      <c r="I35" s="495"/>
      <c r="J35" s="495"/>
      <c r="K35" s="495"/>
      <c r="L35" s="405"/>
    </row>
    <row r="36" spans="1:24" hidden="1">
      <c r="F36" s="405"/>
      <c r="G36" s="495"/>
      <c r="H36" s="405"/>
      <c r="I36" s="495"/>
      <c r="J36" s="495"/>
      <c r="K36" s="495"/>
      <c r="L36" s="405"/>
    </row>
    <row r="37" spans="1:24" s="692" customFormat="1">
      <c r="F37" s="693"/>
      <c r="G37" s="706" t="s">
        <v>3301</v>
      </c>
      <c r="H37" s="693"/>
      <c r="I37" s="706" t="s">
        <v>630</v>
      </c>
      <c r="J37" s="706" t="s">
        <v>631</v>
      </c>
      <c r="K37" s="706" t="s">
        <v>632</v>
      </c>
      <c r="L37" s="105"/>
      <c r="V37" s="2444" t="s">
        <v>3304</v>
      </c>
      <c r="W37" s="2445"/>
      <c r="X37" s="2445"/>
    </row>
    <row r="38" spans="1:24" ht="30">
      <c r="F38" s="693">
        <v>1123</v>
      </c>
      <c r="G38" s="713" t="s">
        <v>3293</v>
      </c>
      <c r="H38" s="15"/>
      <c r="I38" s="706"/>
      <c r="J38" s="706"/>
      <c r="K38" s="706">
        <v>4</v>
      </c>
      <c r="V38" s="382">
        <v>956</v>
      </c>
      <c r="W38" s="651">
        <v>1500</v>
      </c>
      <c r="X38" s="717">
        <f>SUM(V38:W38)</f>
        <v>2456</v>
      </c>
    </row>
    <row r="39" spans="1:24">
      <c r="F39" s="693">
        <v>2315</v>
      </c>
      <c r="G39" s="713" t="s">
        <v>3294</v>
      </c>
      <c r="H39" s="15"/>
      <c r="I39" s="706"/>
      <c r="J39" s="706"/>
      <c r="K39" s="706">
        <v>0</v>
      </c>
      <c r="V39" s="382">
        <v>2.1850000000000001</v>
      </c>
      <c r="W39" s="651">
        <v>3.19</v>
      </c>
      <c r="X39" s="717"/>
    </row>
    <row r="40" spans="1:24">
      <c r="F40" s="693">
        <v>2318</v>
      </c>
      <c r="G40" s="713" t="s">
        <v>3295</v>
      </c>
      <c r="H40" s="15"/>
      <c r="I40" s="706">
        <v>26</v>
      </c>
      <c r="J40" s="706"/>
      <c r="K40" s="706">
        <v>983</v>
      </c>
      <c r="V40" s="382">
        <f>V38*V39</f>
        <v>2088.86</v>
      </c>
      <c r="W40" s="651">
        <f>W38*W39</f>
        <v>4785</v>
      </c>
      <c r="X40" s="717">
        <f>SUM(V40:W40)</f>
        <v>6873.8600000000006</v>
      </c>
    </row>
    <row r="41" spans="1:24">
      <c r="F41" s="693">
        <v>2317</v>
      </c>
      <c r="G41" s="713" t="s">
        <v>3296</v>
      </c>
      <c r="H41" s="15"/>
      <c r="I41" s="706"/>
      <c r="J41" s="706"/>
      <c r="K41" s="706">
        <v>6</v>
      </c>
      <c r="X41" s="715">
        <f>X40/X38</f>
        <v>2.7988029315960916</v>
      </c>
    </row>
    <row r="42" spans="1:24">
      <c r="F42" s="693">
        <v>12293</v>
      </c>
      <c r="G42" s="713" t="s">
        <v>3297</v>
      </c>
      <c r="H42" s="15"/>
      <c r="I42" s="706"/>
      <c r="J42" s="706"/>
      <c r="K42" s="706">
        <v>0</v>
      </c>
    </row>
    <row r="43" spans="1:24">
      <c r="F43" s="693">
        <v>2316</v>
      </c>
      <c r="G43" s="713" t="s">
        <v>3298</v>
      </c>
      <c r="H43" s="15"/>
      <c r="I43" s="706"/>
      <c r="J43" s="706"/>
      <c r="K43" s="706">
        <v>23</v>
      </c>
    </row>
    <row r="44" spans="1:24">
      <c r="F44" s="693">
        <v>6311</v>
      </c>
      <c r="G44" s="713" t="s">
        <v>3299</v>
      </c>
      <c r="H44" s="15"/>
      <c r="I44" s="706"/>
      <c r="J44" s="706">
        <v>20</v>
      </c>
      <c r="K44" s="706">
        <v>327</v>
      </c>
    </row>
    <row r="45" spans="1:24" ht="30">
      <c r="F45" s="693">
        <v>1125</v>
      </c>
      <c r="G45" s="713" t="s">
        <v>3300</v>
      </c>
      <c r="H45" s="15"/>
      <c r="I45" s="706"/>
      <c r="J45" s="706"/>
      <c r="K45" s="706">
        <v>3</v>
      </c>
    </row>
    <row r="47" spans="1:24">
      <c r="G47" s="65" t="s">
        <v>3302</v>
      </c>
    </row>
    <row r="48" spans="1:24">
      <c r="F48" s="790" t="s">
        <v>116</v>
      </c>
      <c r="G48" s="329" t="s">
        <v>107</v>
      </c>
      <c r="I48" s="791" t="s">
        <v>630</v>
      </c>
      <c r="J48" s="791" t="s">
        <v>631</v>
      </c>
      <c r="K48" s="791" t="s">
        <v>632</v>
      </c>
    </row>
    <row r="49" spans="6:15">
      <c r="F49" s="790">
        <v>3019</v>
      </c>
      <c r="G49" s="330" t="s">
        <v>258</v>
      </c>
      <c r="I49" s="693"/>
      <c r="J49" s="693"/>
      <c r="K49" s="693"/>
    </row>
    <row r="50" spans="6:15">
      <c r="F50" s="790">
        <v>630</v>
      </c>
      <c r="G50" s="329" t="s">
        <v>1306</v>
      </c>
      <c r="I50" s="693"/>
      <c r="J50" s="693"/>
      <c r="K50" s="693"/>
    </row>
    <row r="51" spans="6:15">
      <c r="F51" s="790">
        <v>840</v>
      </c>
      <c r="G51" s="329" t="s">
        <v>625</v>
      </c>
      <c r="I51" s="693"/>
      <c r="J51" s="693"/>
      <c r="K51" s="693"/>
    </row>
    <row r="52" spans="6:15">
      <c r="F52" s="790">
        <v>836</v>
      </c>
      <c r="G52" s="329" t="s">
        <v>626</v>
      </c>
      <c r="I52" s="693"/>
      <c r="J52" s="693"/>
      <c r="K52" s="693"/>
    </row>
    <row r="53" spans="6:15">
      <c r="F53" s="790">
        <v>845</v>
      </c>
      <c r="G53" s="329" t="s">
        <v>628</v>
      </c>
      <c r="I53" s="693"/>
      <c r="J53" s="693"/>
      <c r="K53" s="693"/>
    </row>
    <row r="54" spans="6:15">
      <c r="F54" s="791">
        <v>842</v>
      </c>
      <c r="G54" s="15" t="s">
        <v>629</v>
      </c>
      <c r="I54" s="693"/>
      <c r="J54" s="693"/>
      <c r="K54" s="693"/>
    </row>
    <row r="55" spans="6:15">
      <c r="F55" s="790">
        <v>9584</v>
      </c>
      <c r="G55" s="15" t="s">
        <v>920</v>
      </c>
      <c r="I55" s="693"/>
      <c r="J55" s="693"/>
      <c r="K55" s="693"/>
    </row>
    <row r="56" spans="6:15">
      <c r="F56" s="791">
        <v>397</v>
      </c>
      <c r="G56" s="15" t="s">
        <v>627</v>
      </c>
      <c r="I56" s="693" t="s">
        <v>3401</v>
      </c>
      <c r="K56" s="693" t="s">
        <v>3399</v>
      </c>
    </row>
    <row r="57" spans="6:15">
      <c r="F57" s="790">
        <v>479</v>
      </c>
      <c r="G57" s="15" t="s">
        <v>1353</v>
      </c>
      <c r="I57" s="693" t="s">
        <v>3400</v>
      </c>
      <c r="J57" s="693"/>
      <c r="K57" s="693" t="s">
        <v>3398</v>
      </c>
    </row>
    <row r="60" spans="6:15" ht="15.75" thickBot="1"/>
    <row r="61" spans="6:15">
      <c r="F61" s="839"/>
      <c r="G61" s="613" t="s">
        <v>3488</v>
      </c>
      <c r="H61" s="614"/>
      <c r="I61" s="613" t="s">
        <v>630</v>
      </c>
      <c r="J61" s="613" t="s">
        <v>631</v>
      </c>
      <c r="K61" s="613" t="s">
        <v>632</v>
      </c>
      <c r="L61" s="614"/>
      <c r="M61" s="614"/>
      <c r="N61" s="614"/>
      <c r="O61" s="840" t="s">
        <v>634</v>
      </c>
    </row>
    <row r="62" spans="6:15" ht="30">
      <c r="F62" s="841">
        <v>1123</v>
      </c>
      <c r="G62" s="838" t="s">
        <v>3293</v>
      </c>
      <c r="H62" s="293"/>
      <c r="I62" s="837">
        <v>0</v>
      </c>
      <c r="J62" s="837">
        <v>0</v>
      </c>
      <c r="K62" s="837">
        <v>0</v>
      </c>
      <c r="L62" s="21"/>
      <c r="M62" s="21"/>
      <c r="N62" s="21"/>
      <c r="O62" s="618"/>
    </row>
    <row r="63" spans="6:15" ht="30">
      <c r="F63" s="841">
        <v>2315</v>
      </c>
      <c r="G63" s="838" t="s">
        <v>3294</v>
      </c>
      <c r="H63" s="293"/>
      <c r="I63" s="837">
        <v>0</v>
      </c>
      <c r="J63" s="837">
        <v>0</v>
      </c>
      <c r="K63" s="837">
        <v>0</v>
      </c>
      <c r="L63" s="21"/>
      <c r="M63" s="21"/>
      <c r="N63" s="21"/>
      <c r="O63" s="618"/>
    </row>
    <row r="64" spans="6:15">
      <c r="F64" s="841">
        <v>2318</v>
      </c>
      <c r="G64" s="838" t="s">
        <v>3295</v>
      </c>
      <c r="H64" s="293"/>
      <c r="I64" s="837">
        <v>0</v>
      </c>
      <c r="J64" s="837">
        <v>0</v>
      </c>
      <c r="K64" s="837">
        <v>286</v>
      </c>
      <c r="L64" s="21"/>
      <c r="M64" s="21"/>
      <c r="N64" s="21"/>
      <c r="O64" s="618"/>
    </row>
    <row r="65" spans="6:20">
      <c r="F65" s="841">
        <v>2317</v>
      </c>
      <c r="G65" s="838" t="s">
        <v>3296</v>
      </c>
      <c r="H65" s="293"/>
      <c r="I65" s="837">
        <v>0</v>
      </c>
      <c r="J65" s="837">
        <v>0</v>
      </c>
      <c r="K65" s="837">
        <v>5</v>
      </c>
      <c r="L65" s="21"/>
      <c r="M65" s="21"/>
      <c r="N65" s="21"/>
      <c r="O65" s="618"/>
      <c r="T65">
        <v>150</v>
      </c>
    </row>
    <row r="66" spans="6:20">
      <c r="F66" s="841">
        <v>12293</v>
      </c>
      <c r="G66" s="838" t="s">
        <v>3297</v>
      </c>
      <c r="H66" s="293"/>
      <c r="I66" s="837">
        <v>0</v>
      </c>
      <c r="J66" s="837">
        <v>0</v>
      </c>
      <c r="K66" s="837">
        <v>0</v>
      </c>
      <c r="L66" s="21"/>
      <c r="M66" s="21"/>
      <c r="N66" s="21"/>
      <c r="O66" s="618"/>
    </row>
    <row r="67" spans="6:20">
      <c r="F67" s="841">
        <v>2316</v>
      </c>
      <c r="G67" s="838" t="s">
        <v>3298</v>
      </c>
      <c r="H67" s="293"/>
      <c r="I67" s="837">
        <v>0</v>
      </c>
      <c r="J67" s="837">
        <v>0</v>
      </c>
      <c r="K67" s="837">
        <v>5</v>
      </c>
      <c r="L67" s="21"/>
      <c r="M67" s="21"/>
      <c r="N67" s="21"/>
      <c r="O67" s="618"/>
    </row>
    <row r="68" spans="6:20">
      <c r="F68" s="841">
        <v>6311</v>
      </c>
      <c r="G68" s="838" t="s">
        <v>3299</v>
      </c>
      <c r="H68" s="293"/>
      <c r="I68" s="837">
        <v>0</v>
      </c>
      <c r="J68" s="837">
        <v>0</v>
      </c>
      <c r="K68" s="837">
        <v>2</v>
      </c>
      <c r="L68" s="21"/>
      <c r="M68" s="21"/>
      <c r="N68" s="21"/>
      <c r="O68" s="618" t="s">
        <v>3490</v>
      </c>
    </row>
    <row r="69" spans="6:20" ht="30.75" thickBot="1">
      <c r="F69" s="842">
        <v>1125</v>
      </c>
      <c r="G69" s="843" t="s">
        <v>3300</v>
      </c>
      <c r="H69" s="844"/>
      <c r="I69" s="620">
        <v>0</v>
      </c>
      <c r="J69" s="620"/>
      <c r="K69" s="620">
        <v>0</v>
      </c>
      <c r="L69" s="621"/>
      <c r="M69" s="621"/>
      <c r="N69" s="621"/>
      <c r="O69" s="622"/>
    </row>
    <row r="70" spans="6:20">
      <c r="F70" s="361" t="s">
        <v>65</v>
      </c>
    </row>
    <row r="75" spans="6:20">
      <c r="F75">
        <v>1435</v>
      </c>
      <c r="G75" s="65" t="s">
        <v>3489</v>
      </c>
    </row>
  </sheetData>
  <mergeCells count="4">
    <mergeCell ref="L22:M22"/>
    <mergeCell ref="Q8:S8"/>
    <mergeCell ref="V11:X11"/>
    <mergeCell ref="V37:X37"/>
  </mergeCells>
  <pageMargins left="0.7" right="0.7" top="0.75" bottom="0.75" header="0.3" footer="0.3"/>
  <pageSetup paperSize="9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"/>
  <sheetViews>
    <sheetView workbookViewId="0">
      <selection activeCell="C20" sqref="C20"/>
    </sheetView>
  </sheetViews>
  <sheetFormatPr baseColWidth="10" defaultRowHeight="15"/>
  <cols>
    <col min="4" max="4" width="39.85546875" customWidth="1"/>
  </cols>
  <sheetData/>
  <pageMargins left="0.7" right="0.7" top="0.75" bottom="0.75" header="0.3" footer="0.3"/>
  <pageSetup paperSize="119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C2:J13"/>
  <sheetViews>
    <sheetView workbookViewId="0">
      <selection activeCell="F4" sqref="F4:J4"/>
    </sheetView>
  </sheetViews>
  <sheetFormatPr baseColWidth="10" defaultRowHeight="15"/>
  <cols>
    <col min="5" max="5" width="50.28515625" customWidth="1"/>
    <col min="7" max="7" width="14.28515625" customWidth="1"/>
  </cols>
  <sheetData>
    <row r="2" spans="3:10">
      <c r="E2" t="s">
        <v>1320</v>
      </c>
    </row>
    <row r="4" spans="3:10" ht="75">
      <c r="C4" s="111" t="s">
        <v>0</v>
      </c>
      <c r="D4" s="3" t="s">
        <v>1317</v>
      </c>
      <c r="E4" s="111" t="s">
        <v>1</v>
      </c>
      <c r="F4" s="93" t="s">
        <v>19</v>
      </c>
      <c r="G4" s="93" t="s">
        <v>20</v>
      </c>
      <c r="H4" s="93" t="s">
        <v>21</v>
      </c>
      <c r="I4" s="93" t="s">
        <v>22</v>
      </c>
      <c r="J4" s="93" t="s">
        <v>23</v>
      </c>
    </row>
    <row r="5" spans="3:10">
      <c r="C5" s="87">
        <v>1141</v>
      </c>
      <c r="D5" s="87">
        <v>20</v>
      </c>
      <c r="E5" s="87" t="s">
        <v>1316</v>
      </c>
      <c r="F5" s="332" t="s">
        <v>244</v>
      </c>
      <c r="G5" s="332"/>
      <c r="H5" s="332"/>
      <c r="I5" s="332"/>
      <c r="J5" s="332"/>
    </row>
    <row r="6" spans="3:10">
      <c r="C6" s="87">
        <v>1140</v>
      </c>
      <c r="D6" s="87">
        <v>20</v>
      </c>
      <c r="E6" s="87" t="s">
        <v>1308</v>
      </c>
      <c r="F6" s="332" t="s">
        <v>244</v>
      </c>
      <c r="G6" s="332"/>
      <c r="H6" s="332"/>
      <c r="I6" s="332"/>
      <c r="J6" s="332"/>
    </row>
    <row r="7" spans="3:10">
      <c r="C7" s="87">
        <v>1144</v>
      </c>
      <c r="D7" s="87">
        <v>20</v>
      </c>
      <c r="E7" s="87" t="s">
        <v>1309</v>
      </c>
      <c r="F7" s="332" t="s">
        <v>244</v>
      </c>
      <c r="G7" s="332"/>
      <c r="H7" s="332"/>
      <c r="I7" s="332"/>
      <c r="J7" s="332"/>
    </row>
    <row r="8" spans="3:10">
      <c r="C8" s="87">
        <v>1136</v>
      </c>
      <c r="D8" s="87">
        <v>50</v>
      </c>
      <c r="E8" s="87" t="s">
        <v>1310</v>
      </c>
      <c r="F8" s="332" t="s">
        <v>557</v>
      </c>
      <c r="G8" s="332"/>
      <c r="H8" s="332"/>
      <c r="I8" s="332"/>
      <c r="J8" s="332"/>
    </row>
    <row r="9" spans="3:10">
      <c r="C9" s="87">
        <v>1114</v>
      </c>
      <c r="D9" s="87" t="s">
        <v>65</v>
      </c>
      <c r="E9" s="87" t="s">
        <v>1311</v>
      </c>
      <c r="F9" s="332" t="s">
        <v>268</v>
      </c>
      <c r="G9" s="332"/>
      <c r="H9" s="332"/>
      <c r="I9" s="332"/>
      <c r="J9" s="332"/>
    </row>
    <row r="10" spans="3:10">
      <c r="C10" s="87">
        <v>1133</v>
      </c>
      <c r="D10" s="87" t="s">
        <v>65</v>
      </c>
      <c r="E10" s="87" t="s">
        <v>1312</v>
      </c>
      <c r="F10" s="332" t="s">
        <v>244</v>
      </c>
      <c r="G10" s="332"/>
      <c r="H10" s="332"/>
      <c r="I10" s="332"/>
      <c r="J10" s="332"/>
    </row>
    <row r="11" spans="3:10">
      <c r="C11" s="87">
        <v>2664</v>
      </c>
      <c r="D11" s="87" t="s">
        <v>65</v>
      </c>
      <c r="E11" s="87" t="s">
        <v>1313</v>
      </c>
      <c r="F11" s="332" t="s">
        <v>1318</v>
      </c>
      <c r="G11" s="332"/>
      <c r="H11" s="332"/>
      <c r="I11" s="332"/>
      <c r="J11" s="332"/>
    </row>
    <row r="12" spans="3:10">
      <c r="C12" s="87">
        <v>9910</v>
      </c>
      <c r="D12" s="87">
        <v>25</v>
      </c>
      <c r="E12" s="87" t="s">
        <v>1314</v>
      </c>
      <c r="F12" s="332" t="s">
        <v>1319</v>
      </c>
      <c r="G12" s="332"/>
      <c r="H12" s="332"/>
      <c r="I12" s="332"/>
      <c r="J12" s="332"/>
    </row>
    <row r="13" spans="3:10">
      <c r="C13" s="111"/>
      <c r="D13" s="305">
        <v>25</v>
      </c>
      <c r="E13" s="305" t="s">
        <v>1315</v>
      </c>
      <c r="F13" s="332" t="s">
        <v>1318</v>
      </c>
      <c r="G13" s="332"/>
      <c r="H13" s="332"/>
      <c r="I13" s="332"/>
      <c r="J13" s="33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124</vt:i4>
      </vt:variant>
    </vt:vector>
  </HeadingPairs>
  <TitlesOfParts>
    <vt:vector size="124" baseType="lpstr">
      <vt:lpstr>PRECIOS BSD $</vt:lpstr>
      <vt:lpstr>LIMITES</vt:lpstr>
      <vt:lpstr>Hoja1</vt:lpstr>
      <vt:lpstr>IBERIA</vt:lpstr>
      <vt:lpstr>GIRALDA IMPORTADO</vt:lpstr>
      <vt:lpstr> LA GIRALDA NACIONAL</vt:lpstr>
      <vt:lpstr>DIFRESCA ALIMENTO</vt:lpstr>
      <vt:lpstr>ALIMENTOS POLAR HACER PEDIDO</vt:lpstr>
      <vt:lpstr>CAUJARAL</vt:lpstr>
      <vt:lpstr>CACHILANDIA</vt:lpstr>
      <vt:lpstr>CONTROL DE COMBO DE PAN MESUAL </vt:lpstr>
      <vt:lpstr>CASABE INVERSIONES BENAR</vt:lpstr>
      <vt:lpstr>HELADOS EFE</vt:lpstr>
      <vt:lpstr>VERDUGO</vt:lpstr>
      <vt:lpstr>QUESO VICTORIA CHARCUTERIA</vt:lpstr>
      <vt:lpstr>QUESOLANDIA charcuteria</vt:lpstr>
      <vt:lpstr>CALICANTO CHACUTERIA</vt:lpstr>
      <vt:lpstr>DON RAMON</vt:lpstr>
      <vt:lpstr>RADISA CHARTUTERIA</vt:lpstr>
      <vt:lpstr>HERMO CHARCUTERIA</vt:lpstr>
      <vt:lpstr>TUNAL CHARCUTERIA LECHE</vt:lpstr>
      <vt:lpstr>DIVINA PASTORA CHARCUTERIA</vt:lpstr>
      <vt:lpstr>LACTIOS R.D.C.A charcuteria</vt:lpstr>
      <vt:lpstr>CERVEZA POLAR</vt:lpstr>
      <vt:lpstr>REGIONAL</vt:lpstr>
      <vt:lpstr>INPRODELCA</vt:lpstr>
      <vt:lpstr>AVION</vt:lpstr>
      <vt:lpstr>AGUA LOS ALPES</vt:lpstr>
      <vt:lpstr>LA LUCHA</vt:lpstr>
      <vt:lpstr>ARROZ SANTONI</vt:lpstr>
      <vt:lpstr>MONDELEZ</vt:lpstr>
      <vt:lpstr>REGAL</vt:lpstr>
      <vt:lpstr>HELADOS TIO RICO</vt:lpstr>
      <vt:lpstr>PANADERIA LA TEQUENSE</vt:lpstr>
      <vt:lpstr>MI PAN FAVORITO &amp; BERMUPAN</vt:lpstr>
      <vt:lpstr>FRUTAS IMPORTADAS</vt:lpstr>
      <vt:lpstr>CAPRI Y SINDONI</vt:lpstr>
      <vt:lpstr>ALLEEGRI</vt:lpstr>
      <vt:lpstr>ARROZ DON FINA</vt:lpstr>
      <vt:lpstr>ARROZ DOÑA ALISA</vt:lpstr>
      <vt:lpstr>MARY</vt:lpstr>
      <vt:lpstr> RICHAR PEREIRA</vt:lpstr>
      <vt:lpstr>SALINERA</vt:lpstr>
      <vt:lpstr>VELANDIA</vt:lpstr>
      <vt:lpstr>PUIG</vt:lpstr>
      <vt:lpstr>CARBON LA ISLEÑA</vt:lpstr>
      <vt:lpstr>DAVIMAR</vt:lpstr>
      <vt:lpstr>COMERCIALIZADO GLOBAL ALIMENTOS</vt:lpstr>
      <vt:lpstr>VENTA CERVEZA MES DICIEMBRE2021</vt:lpstr>
      <vt:lpstr>VENA CERVEZA  MES DE NOVIEMBRE</vt:lpstr>
      <vt:lpstr>VENTA DE CERVEZA DE MES OCTUBRE</vt:lpstr>
      <vt:lpstr>VENTA DE CERVEZA DEL SEPTIEMBRE</vt:lpstr>
      <vt:lpstr>VENTA DE CERVEZA DEL MES AGOSTO</vt:lpstr>
      <vt:lpstr>VENTA DE CERVEZA DEL MES JULIO</vt:lpstr>
      <vt:lpstr>VENTA DE CERVEZA DEL JUNIO</vt:lpstr>
      <vt:lpstr>EUREKA DIRECTO</vt:lpstr>
      <vt:lpstr>DISMARKET EXPRESS.C.A</vt:lpstr>
      <vt:lpstr>COPOSA</vt:lpstr>
      <vt:lpstr>TAPA AMARILLA</vt:lpstr>
      <vt:lpstr>AMANECER  KALDY  VERO CAFE</vt:lpstr>
      <vt:lpstr>MASAS FACILES TEQUEÑO</vt:lpstr>
      <vt:lpstr>ALFONZO RIVAS</vt:lpstr>
      <vt:lpstr>PAPELERIA MARACAY</vt:lpstr>
      <vt:lpstr>TORONDOY CHARCUTERIA</vt:lpstr>
      <vt:lpstr>PACOMELA CHARCUTERIA</vt:lpstr>
      <vt:lpstr>LANZA CHARCUTERIA</vt:lpstr>
      <vt:lpstr>MOVILLA CHARCUTERIA</vt:lpstr>
      <vt:lpstr>MEISTER</vt:lpstr>
      <vt:lpstr>CHARCUTERIA TOVAR</vt:lpstr>
      <vt:lpstr>NUEVO QUESO CREMA</vt:lpstr>
      <vt:lpstr>CAHUVENCA </vt:lpstr>
      <vt:lpstr>CHARVENCA CHARCUTERIA</vt:lpstr>
      <vt:lpstr>FIAMFOR CHARCUTERIA</vt:lpstr>
      <vt:lpstr>CASTELO BRANCO CHARCUTERIA</vt:lpstr>
      <vt:lpstr>RICCI CHARCUTERIA</vt:lpstr>
      <vt:lpstr>PLUMROSE CHARCUTERIA</vt:lpstr>
      <vt:lpstr>DOÑAFLORA  SERVIPOR CHARCUTERI</vt:lpstr>
      <vt:lpstr>LA GRANJA CHARCUTERIA</vt:lpstr>
      <vt:lpstr>MONTSERARINA CHARCUTERIA</vt:lpstr>
      <vt:lpstr>FLOR DE ARAGUA CHARCUTERIA</vt:lpstr>
      <vt:lpstr>MONTALBAN Y ROMAC.A</vt:lpstr>
      <vt:lpstr>DAMASCU</vt:lpstr>
      <vt:lpstr>PRESUPUESTO </vt:lpstr>
      <vt:lpstr>CASA AZUL </vt:lpstr>
      <vt:lpstr>PROTINAL</vt:lpstr>
      <vt:lpstr>HEINZ VENEZUELA</vt:lpstr>
      <vt:lpstr>CORTE PROM PEPSI FIN SEMANA </vt:lpstr>
      <vt:lpstr>BOLSAS ECO  DEMPRESA</vt:lpstr>
      <vt:lpstr>CARGIL</vt:lpstr>
      <vt:lpstr>ALIMENTOS POLAR ESTUDIO PRECIO </vt:lpstr>
      <vt:lpstr>GLUP</vt:lpstr>
      <vt:lpstr>COCA COLA</vt:lpstr>
      <vt:lpstr>ESTUDIO</vt:lpstr>
      <vt:lpstr>PEPSI PARA PEDIDO</vt:lpstr>
      <vt:lpstr>PEPSI ESTUDIO</vt:lpstr>
      <vt:lpstr>COMBOS NAVIDEÑOS</vt:lpstr>
      <vt:lpstr>HISTORIA PROCT NAVIDAD 2020</vt:lpstr>
      <vt:lpstr>ROMA C.A</vt:lpstr>
      <vt:lpstr>DISBECA</vt:lpstr>
      <vt:lpstr>FACIMEN DE QUESO </vt:lpstr>
      <vt:lpstr>FACILICITADOR DE CIGARRILLO</vt:lpstr>
      <vt:lpstr>GIACOMELO CHARCUTERIA</vt:lpstr>
      <vt:lpstr>ALPINO CHARCUTERIA</vt:lpstr>
      <vt:lpstr>CHARCUTERIA FRANCIS</vt:lpstr>
      <vt:lpstr>FACIMEN POLLO </vt:lpstr>
      <vt:lpstr>GRUPO CAPITAL</vt:lpstr>
      <vt:lpstr>ROMHER CENTRAL</vt:lpstr>
      <vt:lpstr>SURTIMAG</vt:lpstr>
      <vt:lpstr>D'TODITO</vt:lpstr>
      <vt:lpstr>CORPORACION D-S.M PERFUMERIA</vt:lpstr>
      <vt:lpstr>PRODUCTOS MAS AMERIACA PRODUCTO</vt:lpstr>
      <vt:lpstr>UNO PUREZA PERFUMERIA</vt:lpstr>
      <vt:lpstr>DIMASSI PERFUMERIA</vt:lpstr>
      <vt:lpstr>DIPROCHER PERFUMERIAA</vt:lpstr>
      <vt:lpstr> DURACENTRO PREFUMERIA</vt:lpstr>
      <vt:lpstr>TUTTO IMPOT PERFUMERIA</vt:lpstr>
      <vt:lpstr> ROLDAL PERFUMERIA</vt:lpstr>
      <vt:lpstr>CAMACHO PERFUMERIA</vt:lpstr>
      <vt:lpstr>LA MARCONA</vt:lpstr>
      <vt:lpstr>NATULAC</vt:lpstr>
      <vt:lpstr>GENICA</vt:lpstr>
      <vt:lpstr>MONACA</vt:lpstr>
      <vt:lpstr>CARNICO</vt:lpstr>
      <vt:lpstr>COMARCA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TESORERIA-15</dc:creator>
  <cp:lastModifiedBy>ThecnoMacVZLA</cp:lastModifiedBy>
  <cp:lastPrinted>2022-08-10T12:51:28Z</cp:lastPrinted>
  <dcterms:created xsi:type="dcterms:W3CDTF">2021-08-31T17:43:05Z</dcterms:created>
  <dcterms:modified xsi:type="dcterms:W3CDTF">2022-08-10T12:53:59Z</dcterms:modified>
</cp:coreProperties>
</file>