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ACSIMILS VARIOS\"/>
    </mc:Choice>
  </mc:AlternateContent>
  <bookViews>
    <workbookView xWindow="0" yWindow="0" windowWidth="15360" windowHeight="7650" firstSheet="38" activeTab="38"/>
  </bookViews>
  <sheets>
    <sheet name="CASABE INVERSIONES BENAR" sheetId="42" r:id="rId1"/>
    <sheet name="EFE" sheetId="54" r:id="rId2"/>
    <sheet name="VERDUGO" sheetId="1" r:id="rId3"/>
    <sheet name="QUESOLANDIA charcuteria" sheetId="2" r:id="rId4"/>
    <sheet name="CALICANTO CHACUTERIA" sheetId="71" r:id="rId5"/>
    <sheet name="HERMO CHARCUTERIA" sheetId="66" r:id="rId6"/>
    <sheet name="TUNAL CHARCUTERIA LECHE" sheetId="65" r:id="rId7"/>
    <sheet name="LACTIOS R.D.C.A charcuteria" sheetId="3" r:id="rId8"/>
    <sheet name="CERVEZA POLAR" sheetId="4" r:id="rId9"/>
    <sheet name="REGIONAL" sheetId="5" r:id="rId10"/>
    <sheet name="INV VICTORIA" sheetId="87" r:id="rId11"/>
    <sheet name="INPRODELCA" sheetId="79" r:id="rId12"/>
    <sheet name="AVION" sheetId="35" r:id="rId13"/>
    <sheet name="AGUA LOS ALPES" sheetId="83" r:id="rId14"/>
    <sheet name="LA LUCHA" sheetId="52" r:id="rId15"/>
    <sheet name="ARROZ SANTONI" sheetId="50" r:id="rId16"/>
    <sheet name="MONDELEZ" sheetId="80" r:id="rId17"/>
    <sheet name="FRUTAS IMPORTADAS" sheetId="82" r:id="rId18"/>
    <sheet name="PULPA FRUTAS" sheetId="60" r:id="rId19"/>
    <sheet name="CAPRI" sheetId="81" r:id="rId20"/>
    <sheet name="DOÑA ALISA" sheetId="49" r:id="rId21"/>
    <sheet name="ARROZ MARY" sheetId="48" r:id="rId22"/>
    <sheet name="RICHAR PEREIRA" sheetId="51" r:id="rId23"/>
    <sheet name="SALINERA" sheetId="47" r:id="rId24"/>
    <sheet name="VELANDIA" sheetId="53" r:id="rId25"/>
    <sheet name="CARBON LA ISLEÑA" sheetId="61" r:id="rId26"/>
    <sheet name="DAVIMAR" sheetId="6" r:id="rId27"/>
    <sheet name="COMERCIALIZADO GLOBAL ALIMENTOS" sheetId="7" r:id="rId28"/>
    <sheet name="VENTA DE CERVEZA DE MES OCTUBRE" sheetId="88" r:id="rId29"/>
    <sheet name="VENTA DE CERVEZA DEL SEPTIEMBRE" sheetId="36" r:id="rId30"/>
    <sheet name="VENTA DE CERVEZA DEL MES AGOSTO" sheetId="8" r:id="rId31"/>
    <sheet name="VENTA DE CERVEZA DEL MES JULIO" sheetId="69" r:id="rId32"/>
    <sheet name="VENTA DE CERVEZA DEL JUNIO" sheetId="70" r:id="rId33"/>
    <sheet name="ANALISIS VENT CAMBUR  PLATANO" sheetId="9" r:id="rId34"/>
    <sheet name="EUREKA DIRECTO" sheetId="33" r:id="rId35"/>
    <sheet name="DISMARKET EXPRESS.C.A" sheetId="10" r:id="rId36"/>
    <sheet name="COPOSA" sheetId="32" r:id="rId37"/>
    <sheet name="TAPA AMARILLA" sheetId="11" r:id="rId38"/>
    <sheet name="AMANECER  KALDY  VERO CAFE" sheetId="16" r:id="rId39"/>
    <sheet name="CAFÉ" sheetId="92" r:id="rId40"/>
    <sheet name="MASAS FACILES TEQUEÑO" sheetId="12" r:id="rId41"/>
    <sheet name="ALFONZO RIVAS" sheetId="13" r:id="rId42"/>
    <sheet name="PAPELERIA MARACAY" sheetId="14" r:id="rId43"/>
    <sheet name="TORONDOY CHARCUTERIA" sheetId="39" r:id="rId44"/>
    <sheet name="CHARCUTERIA TOVAR" sheetId="38" r:id="rId45"/>
    <sheet name="PLUMROSE" sheetId="90" r:id="rId46"/>
    <sheet name="DOÑAFLORA  SERVIPOR CHARCUTERI" sheetId="31" r:id="rId47"/>
    <sheet name="LA GRANJA CHARCUTERIA" sheetId="30" r:id="rId48"/>
    <sheet name="LAMARSELLINA CHARCUTERIA " sheetId="64" r:id="rId49"/>
    <sheet name="FLOR DE ARAGUA CHARCUTERIA" sheetId="29" r:id="rId50"/>
    <sheet name="MONTALBAN Y ROMAC.A" sheetId="62" r:id="rId51"/>
    <sheet name="DAMASCU" sheetId="15" r:id="rId52"/>
    <sheet name="PRESUPUESTO 2 DE SEPT" sheetId="17" r:id="rId53"/>
    <sheet name="CASA AZUL " sheetId="74" r:id="rId54"/>
    <sheet name="PROTINAL" sheetId="77" r:id="rId55"/>
    <sheet name="PROMEDIADO HEINZFRANCIS" sheetId="89" r:id="rId56"/>
    <sheet name="HEINZ VENEZUELA" sheetId="73" r:id="rId57"/>
    <sheet name="CORTE PROM PEPSI FIN SEMANA " sheetId="28" r:id="rId58"/>
    <sheet name="BOLSAS ECO  DEMPRESA" sheetId="72" r:id="rId59"/>
    <sheet name="CARGIL" sheetId="56" r:id="rId60"/>
    <sheet name="ALIMENTOS POLAR " sheetId="78" r:id="rId61"/>
    <sheet name="GLUP" sheetId="86" r:id="rId62"/>
    <sheet name="COCA COLA" sheetId="67" r:id="rId63"/>
    <sheet name="ESTUDIO DE COMPRA DE PEPSI 1.25" sheetId="85" r:id="rId64"/>
    <sheet name="PEPSI" sheetId="55" r:id="rId65"/>
    <sheet name="COMBOS NAVIDEÑOS" sheetId="91" r:id="rId66"/>
    <sheet name="HISTORIA PROCT NAVIDAD 2020" sheetId="18" r:id="rId67"/>
    <sheet name="ROMA C.A" sheetId="46" r:id="rId68"/>
    <sheet name="DISBECA" sheetId="45" r:id="rId69"/>
    <sheet name="FACIMEN DE QUESO " sheetId="27" r:id="rId70"/>
    <sheet name="FACILICITADOR DE CIGARRILLO" sheetId="40" r:id="rId71"/>
    <sheet name="CHARCUTERIA FRANCIS" sheetId="58" r:id="rId72"/>
    <sheet name="FACIMEN POLLO " sheetId="25" r:id="rId73"/>
    <sheet name="GRUPO CAPITAL" sheetId="26" r:id="rId74"/>
    <sheet name="ROMHER CENTRAL" sheetId="84" r:id="rId75"/>
    <sheet name="CORPORACION D-S.M PERFUMERIA" sheetId="19" r:id="rId76"/>
    <sheet name="PRODUCTOS MAS AMERIACA PRODUCTO" sheetId="63" r:id="rId77"/>
    <sheet name="UNO PUREZA PERFUMERIA" sheetId="59" r:id="rId78"/>
    <sheet name="DIMASSI PERFUMERIA" sheetId="41" r:id="rId79"/>
    <sheet name="DIPROCHER PERFUMERIAA" sheetId="76" r:id="rId80"/>
    <sheet name=" DURACENTRO PREFUMERIA" sheetId="57" r:id="rId81"/>
    <sheet name="TUTTO IMPOT PERFUMERIA" sheetId="44" r:id="rId82"/>
    <sheet name=" ROLDAL PERFUMERIA" sheetId="43" r:id="rId83"/>
    <sheet name="CAMACHO PERFUMERIA" sheetId="21" r:id="rId84"/>
    <sheet name="LA MARCONA" sheetId="23" r:id="rId85"/>
    <sheet name="NATULAC" sheetId="34" r:id="rId86"/>
    <sheet name="GENICA" sheetId="37" r:id="rId87"/>
    <sheet name="MONACA" sheetId="22" r:id="rId88"/>
  </sheets>
  <definedNames>
    <definedName name="REFRESCO_PEPSI_2_LTS_PEPSI_COLA.">PEPSI!$C$82</definedName>
  </definedNames>
  <calcPr calcId="162913"/>
</workbook>
</file>

<file path=xl/calcChain.xml><?xml version="1.0" encoding="utf-8"?>
<calcChain xmlns="http://schemas.openxmlformats.org/spreadsheetml/2006/main">
  <c r="H124" i="79" l="1"/>
  <c r="H123" i="79"/>
  <c r="H122" i="79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7" i="11"/>
  <c r="M10" i="11"/>
  <c r="M18" i="11"/>
  <c r="M19" i="11"/>
  <c r="L8" i="11"/>
  <c r="M8" i="11" s="1"/>
  <c r="L9" i="11"/>
  <c r="M9" i="11" s="1"/>
  <c r="L10" i="11"/>
  <c r="L11" i="11"/>
  <c r="M11" i="11" s="1"/>
  <c r="L12" i="11"/>
  <c r="M12" i="11" s="1"/>
  <c r="L13" i="11"/>
  <c r="M13" i="11" s="1"/>
  <c r="L14" i="11"/>
  <c r="M14" i="11" s="1"/>
  <c r="L15" i="11"/>
  <c r="M15" i="11" s="1"/>
  <c r="L16" i="11"/>
  <c r="M16" i="11" s="1"/>
  <c r="L17" i="11"/>
  <c r="M17" i="11" s="1"/>
  <c r="L18" i="11"/>
  <c r="L19" i="11"/>
  <c r="L20" i="11"/>
  <c r="M20" i="11" s="1"/>
  <c r="L21" i="11"/>
  <c r="M21" i="11" s="1"/>
  <c r="L7" i="11"/>
  <c r="M7" i="11" s="1"/>
  <c r="G16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7" i="11"/>
  <c r="G8" i="11"/>
  <c r="G9" i="11"/>
  <c r="G10" i="11"/>
  <c r="G11" i="11"/>
  <c r="G12" i="11"/>
  <c r="G13" i="11"/>
  <c r="G14" i="11"/>
  <c r="G15" i="11"/>
  <c r="G17" i="11"/>
  <c r="G18" i="11"/>
  <c r="G19" i="11"/>
  <c r="G20" i="11"/>
  <c r="G21" i="11"/>
  <c r="G7" i="11"/>
  <c r="J5" i="91"/>
  <c r="J6" i="91"/>
  <c r="J7" i="91"/>
  <c r="J8" i="91"/>
  <c r="J9" i="91"/>
  <c r="J10" i="91"/>
  <c r="J11" i="91"/>
  <c r="J12" i="91"/>
  <c r="J15" i="91" s="1"/>
  <c r="J13" i="91"/>
  <c r="J14" i="91"/>
  <c r="J4" i="91"/>
  <c r="J22" i="91"/>
  <c r="J23" i="91"/>
  <c r="J24" i="91"/>
  <c r="J25" i="91"/>
  <c r="J35" i="91" s="1"/>
  <c r="J26" i="91"/>
  <c r="J27" i="91"/>
  <c r="J28" i="91"/>
  <c r="J29" i="91"/>
  <c r="J30" i="91"/>
  <c r="J31" i="91"/>
  <c r="J32" i="91"/>
  <c r="J33" i="91"/>
  <c r="J34" i="91"/>
  <c r="J21" i="91"/>
  <c r="D35" i="91"/>
  <c r="D15" i="91"/>
  <c r="H32" i="91"/>
  <c r="E32" i="91"/>
  <c r="M22" i="11" l="1"/>
  <c r="P22" i="11" s="1"/>
  <c r="F114" i="85"/>
  <c r="F126" i="85"/>
  <c r="F120" i="85"/>
  <c r="E21" i="91" l="1"/>
  <c r="H22" i="91"/>
  <c r="H23" i="91"/>
  <c r="H24" i="91"/>
  <c r="H25" i="91"/>
  <c r="H26" i="91"/>
  <c r="H27" i="91"/>
  <c r="H28" i="91"/>
  <c r="H29" i="91"/>
  <c r="H30" i="91"/>
  <c r="H31" i="91"/>
  <c r="H33" i="91"/>
  <c r="H34" i="91"/>
  <c r="E34" i="91"/>
  <c r="E33" i="91"/>
  <c r="E31" i="91"/>
  <c r="E30" i="91"/>
  <c r="E29" i="91"/>
  <c r="E28" i="91"/>
  <c r="E27" i="91"/>
  <c r="E26" i="91"/>
  <c r="E25" i="91"/>
  <c r="E24" i="91"/>
  <c r="E23" i="91"/>
  <c r="E22" i="91"/>
  <c r="H21" i="91"/>
  <c r="E5" i="91"/>
  <c r="E6" i="91"/>
  <c r="E7" i="91"/>
  <c r="E8" i="91"/>
  <c r="E9" i="91"/>
  <c r="E10" i="91"/>
  <c r="E11" i="91"/>
  <c r="E12" i="91"/>
  <c r="E13" i="91"/>
  <c r="E14" i="91"/>
  <c r="E4" i="91"/>
  <c r="H5" i="91"/>
  <c r="H6" i="91"/>
  <c r="H7" i="91"/>
  <c r="H8" i="91"/>
  <c r="H9" i="91"/>
  <c r="H10" i="91"/>
  <c r="H11" i="91"/>
  <c r="H12" i="91"/>
  <c r="H13" i="91"/>
  <c r="H14" i="91"/>
  <c r="H4" i="91"/>
  <c r="H35" i="91" l="1"/>
  <c r="H15" i="91"/>
  <c r="O8" i="1"/>
  <c r="I34" i="17"/>
  <c r="L34" i="17"/>
  <c r="J28" i="1"/>
  <c r="H37" i="91" l="1"/>
  <c r="H36" i="91"/>
  <c r="H16" i="91"/>
  <c r="H17" i="91" s="1"/>
  <c r="H357" i="35"/>
  <c r="I311" i="35"/>
  <c r="I312" i="35"/>
  <c r="I313" i="35"/>
  <c r="I314" i="35"/>
  <c r="I315" i="35"/>
  <c r="I316" i="35"/>
  <c r="I317" i="35"/>
  <c r="I318" i="35"/>
  <c r="I319" i="35"/>
  <c r="I320" i="35"/>
  <c r="I321" i="35"/>
  <c r="I322" i="35"/>
  <c r="I323" i="35"/>
  <c r="I324" i="35"/>
  <c r="I325" i="35"/>
  <c r="I326" i="35"/>
  <c r="I327" i="35"/>
  <c r="I328" i="35"/>
  <c r="I329" i="35"/>
  <c r="I330" i="35"/>
  <c r="I331" i="35"/>
  <c r="I332" i="35"/>
  <c r="I333" i="35"/>
  <c r="I334" i="35"/>
  <c r="I335" i="35"/>
  <c r="I336" i="35"/>
  <c r="I337" i="35"/>
  <c r="I338" i="35"/>
  <c r="I339" i="35"/>
  <c r="I340" i="35"/>
  <c r="I341" i="35"/>
  <c r="I342" i="35"/>
  <c r="I343" i="35"/>
  <c r="I344" i="35"/>
  <c r="I345" i="35"/>
  <c r="I346" i="35"/>
  <c r="I347" i="35"/>
  <c r="I348" i="35"/>
  <c r="I349" i="35"/>
  <c r="I350" i="35"/>
  <c r="I351" i="35"/>
  <c r="I352" i="35"/>
  <c r="I353" i="35"/>
  <c r="I354" i="35"/>
  <c r="I355" i="35"/>
  <c r="I356" i="35"/>
  <c r="I357" i="35"/>
  <c r="I358" i="35"/>
  <c r="I359" i="35"/>
  <c r="I360" i="35"/>
  <c r="I361" i="35"/>
  <c r="I362" i="35"/>
  <c r="I363" i="35"/>
  <c r="I364" i="35"/>
  <c r="I365" i="35"/>
  <c r="I366" i="35"/>
  <c r="I367" i="35"/>
  <c r="I368" i="35"/>
  <c r="I369" i="35"/>
  <c r="I370" i="35"/>
  <c r="I371" i="35"/>
  <c r="I372" i="35"/>
  <c r="I373" i="35"/>
  <c r="I374" i="35"/>
  <c r="I375" i="35"/>
  <c r="I376" i="35"/>
  <c r="I377" i="35"/>
  <c r="I378" i="35"/>
  <c r="I379" i="35"/>
  <c r="I380" i="35"/>
  <c r="I381" i="35"/>
  <c r="I382" i="35"/>
  <c r="I383" i="35"/>
  <c r="I384" i="35"/>
  <c r="I385" i="35"/>
  <c r="I386" i="35"/>
  <c r="I387" i="35"/>
  <c r="I388" i="35"/>
  <c r="I389" i="35"/>
  <c r="I390" i="35"/>
  <c r="I391" i="35"/>
  <c r="I392" i="35"/>
  <c r="I393" i="35"/>
  <c r="I394" i="35"/>
  <c r="I395" i="35"/>
  <c r="I396" i="35"/>
  <c r="I397" i="35"/>
  <c r="I398" i="35"/>
  <c r="I399" i="35"/>
  <c r="I400" i="35"/>
  <c r="I401" i="35"/>
  <c r="I402" i="35"/>
  <c r="I403" i="35"/>
  <c r="I404" i="35"/>
  <c r="I405" i="35"/>
  <c r="I406" i="35"/>
  <c r="I407" i="35"/>
  <c r="I408" i="35"/>
  <c r="I409" i="35"/>
  <c r="I410" i="35"/>
  <c r="I411" i="35"/>
  <c r="I412" i="35"/>
  <c r="I413" i="35"/>
  <c r="I414" i="35"/>
  <c r="I415" i="35"/>
  <c r="I416" i="35"/>
  <c r="I417" i="35"/>
  <c r="I418" i="35"/>
  <c r="I419" i="35"/>
  <c r="I420" i="35"/>
  <c r="I310" i="35"/>
  <c r="H311" i="35"/>
  <c r="H310" i="35"/>
  <c r="H320" i="35"/>
  <c r="H321" i="35"/>
  <c r="H322" i="35"/>
  <c r="H387" i="35"/>
  <c r="H388" i="35"/>
  <c r="H389" i="35"/>
  <c r="H390" i="35"/>
  <c r="H391" i="35"/>
  <c r="H392" i="35"/>
  <c r="H418" i="35"/>
  <c r="H419" i="35"/>
  <c r="H420" i="35"/>
  <c r="H396" i="35"/>
  <c r="H397" i="35"/>
  <c r="H373" i="35"/>
  <c r="H411" i="35"/>
  <c r="H412" i="35"/>
  <c r="H413" i="35"/>
  <c r="H414" i="35"/>
  <c r="H415" i="35"/>
  <c r="H416" i="35"/>
  <c r="H417" i="35"/>
  <c r="H323" i="35"/>
  <c r="H324" i="35"/>
  <c r="H325" i="35"/>
  <c r="H326" i="35"/>
  <c r="H327" i="35"/>
  <c r="H328" i="35"/>
  <c r="H329" i="35"/>
  <c r="H330" i="35"/>
  <c r="H331" i="35"/>
  <c r="H332" i="35"/>
  <c r="H333" i="35"/>
  <c r="H334" i="35"/>
  <c r="H335" i="35"/>
  <c r="H336" i="35"/>
  <c r="H337" i="35"/>
  <c r="H338" i="35"/>
  <c r="H339" i="35"/>
  <c r="H340" i="35"/>
  <c r="H341" i="35"/>
  <c r="H312" i="35"/>
  <c r="H342" i="35"/>
  <c r="H313" i="35"/>
  <c r="H343" i="35"/>
  <c r="H344" i="35"/>
  <c r="H345" i="35"/>
  <c r="H346" i="35"/>
  <c r="H347" i="35"/>
  <c r="H348" i="35"/>
  <c r="H349" i="35"/>
  <c r="H350" i="35"/>
  <c r="H351" i="35"/>
  <c r="H352" i="35"/>
  <c r="H353" i="35"/>
  <c r="H354" i="35"/>
  <c r="H355" i="35"/>
  <c r="H356" i="35"/>
  <c r="H358" i="35"/>
  <c r="H359" i="35"/>
  <c r="H360" i="35"/>
  <c r="H361" i="35"/>
  <c r="H362" i="35"/>
  <c r="H363" i="35"/>
  <c r="H364" i="35"/>
  <c r="H365" i="35"/>
  <c r="H366" i="35"/>
  <c r="H367" i="35"/>
  <c r="H368" i="35"/>
  <c r="H369" i="35"/>
  <c r="H370" i="35"/>
  <c r="H371" i="35"/>
  <c r="H372" i="35"/>
  <c r="H374" i="35"/>
  <c r="H375" i="35"/>
  <c r="H376" i="35"/>
  <c r="H377" i="35"/>
  <c r="H378" i="35"/>
  <c r="H379" i="35"/>
  <c r="H380" i="35"/>
  <c r="H381" i="35"/>
  <c r="H382" i="35"/>
  <c r="H383" i="35"/>
  <c r="H384" i="35"/>
  <c r="H385" i="35"/>
  <c r="H386" i="35"/>
  <c r="H393" i="35"/>
  <c r="H394" i="35"/>
  <c r="H395" i="35"/>
  <c r="H398" i="35"/>
  <c r="H314" i="35"/>
  <c r="H399" i="35"/>
  <c r="H315" i="35"/>
  <c r="H400" i="35"/>
  <c r="H401" i="35"/>
  <c r="H316" i="35"/>
  <c r="H317" i="35"/>
  <c r="H318" i="35"/>
  <c r="H319" i="35"/>
  <c r="H402" i="35"/>
  <c r="H403" i="35"/>
  <c r="H404" i="35"/>
  <c r="H405" i="35"/>
  <c r="H406" i="35"/>
  <c r="H407" i="35"/>
  <c r="H408" i="35"/>
  <c r="H409" i="35"/>
  <c r="H410" i="35"/>
  <c r="I421" i="35" l="1"/>
  <c r="G12" i="89"/>
  <c r="G11" i="89"/>
  <c r="G7" i="89"/>
  <c r="G6" i="89"/>
  <c r="X11" i="73" l="1"/>
  <c r="Y11" i="73" s="1"/>
  <c r="X12" i="73"/>
  <c r="Y12" i="73" s="1"/>
  <c r="X13" i="73"/>
  <c r="Y13" i="73" s="1"/>
  <c r="X14" i="73"/>
  <c r="Y14" i="73" s="1"/>
  <c r="X15" i="73"/>
  <c r="Y15" i="73" s="1"/>
  <c r="X16" i="73"/>
  <c r="Y16" i="73" s="1"/>
  <c r="X17" i="73"/>
  <c r="Y17" i="73" s="1"/>
  <c r="X18" i="73"/>
  <c r="Y18" i="73" s="1"/>
  <c r="X19" i="73"/>
  <c r="Y19" i="73" s="1"/>
  <c r="X20" i="73"/>
  <c r="Y20" i="73" s="1"/>
  <c r="X21" i="73"/>
  <c r="Y21" i="73" s="1"/>
  <c r="X22" i="73"/>
  <c r="Y22" i="73" s="1"/>
  <c r="X23" i="73"/>
  <c r="Y23" i="73" s="1"/>
  <c r="X24" i="73"/>
  <c r="Y24" i="73" s="1"/>
  <c r="X25" i="73"/>
  <c r="Y25" i="73" s="1"/>
  <c r="X26" i="73"/>
  <c r="Y26" i="73" s="1"/>
  <c r="X27" i="73"/>
  <c r="Y27" i="73" s="1"/>
  <c r="X28" i="73"/>
  <c r="Y28" i="73" s="1"/>
  <c r="X29" i="73"/>
  <c r="Y29" i="73" s="1"/>
  <c r="X30" i="73"/>
  <c r="Y30" i="73" s="1"/>
  <c r="X31" i="73"/>
  <c r="Y31" i="73" s="1"/>
  <c r="X32" i="73"/>
  <c r="Y32" i="73" s="1"/>
  <c r="X33" i="73"/>
  <c r="Y33" i="73" s="1"/>
  <c r="X34" i="73"/>
  <c r="Y34" i="73" s="1"/>
  <c r="X35" i="73"/>
  <c r="Y35" i="73" s="1"/>
  <c r="X36" i="73"/>
  <c r="Y36" i="73" s="1"/>
  <c r="X37" i="73"/>
  <c r="Y37" i="73" s="1"/>
  <c r="X38" i="73"/>
  <c r="Y38" i="73" s="1"/>
  <c r="X39" i="73"/>
  <c r="Y39" i="73" s="1"/>
  <c r="X40" i="73"/>
  <c r="Y40" i="73" s="1"/>
  <c r="X41" i="73"/>
  <c r="Y41" i="73" s="1"/>
  <c r="X10" i="73"/>
  <c r="Y10" i="73" s="1"/>
  <c r="I33" i="17" l="1"/>
  <c r="I35" i="17"/>
  <c r="I36" i="17"/>
  <c r="I37" i="17"/>
  <c r="I12" i="15" l="1"/>
  <c r="K12" i="15" s="1"/>
  <c r="D32" i="55"/>
  <c r="E32" i="55"/>
  <c r="E31" i="55"/>
  <c r="F31" i="55" s="1"/>
  <c r="G31" i="55" s="1"/>
  <c r="H11" i="88"/>
  <c r="M10" i="36"/>
  <c r="H5" i="36"/>
  <c r="G5" i="36"/>
  <c r="F32" i="55" l="1"/>
  <c r="E28" i="88"/>
  <c r="D7" i="88" s="1"/>
  <c r="E24" i="88"/>
  <c r="E19" i="88"/>
  <c r="J10" i="8"/>
  <c r="L35" i="69"/>
  <c r="B7" i="88" l="1"/>
  <c r="C7" i="88"/>
  <c r="E35" i="55"/>
  <c r="F35" i="55" s="1"/>
  <c r="E34" i="55"/>
  <c r="F34" i="55" s="1"/>
  <c r="G34" i="55" s="1"/>
  <c r="L6" i="47"/>
  <c r="L7" i="47"/>
  <c r="J6" i="47"/>
  <c r="J7" i="47"/>
  <c r="J9" i="47"/>
  <c r="J8" i="47"/>
  <c r="I9" i="47"/>
  <c r="E7" i="88" l="1"/>
  <c r="F7" i="88" s="1"/>
  <c r="G7" i="88" s="1"/>
  <c r="E6" i="86"/>
  <c r="G6" i="86" s="1"/>
  <c r="H6" i="86" s="1"/>
  <c r="I6" i="86" s="1"/>
  <c r="D6" i="86"/>
  <c r="H302" i="35"/>
  <c r="I244" i="35"/>
  <c r="I245" i="35"/>
  <c r="I246" i="35"/>
  <c r="I247" i="35"/>
  <c r="I248" i="35"/>
  <c r="I249" i="35"/>
  <c r="I250" i="35"/>
  <c r="I251" i="35"/>
  <c r="I252" i="35"/>
  <c r="I253" i="35"/>
  <c r="I254" i="35"/>
  <c r="I255" i="35"/>
  <c r="I256" i="35"/>
  <c r="I257" i="35"/>
  <c r="I258" i="35"/>
  <c r="I259" i="35"/>
  <c r="I260" i="35"/>
  <c r="I261" i="35"/>
  <c r="I262" i="35"/>
  <c r="I263" i="35"/>
  <c r="I264" i="35"/>
  <c r="I265" i="35"/>
  <c r="I266" i="35"/>
  <c r="I267" i="35"/>
  <c r="I268" i="35"/>
  <c r="I269" i="35"/>
  <c r="I270" i="35"/>
  <c r="I271" i="35"/>
  <c r="I272" i="35"/>
  <c r="I273" i="35"/>
  <c r="I274" i="35"/>
  <c r="I275" i="35"/>
  <c r="I276" i="35"/>
  <c r="I277" i="35"/>
  <c r="I278" i="35"/>
  <c r="I279" i="35"/>
  <c r="I280" i="35"/>
  <c r="I281" i="35"/>
  <c r="I282" i="35"/>
  <c r="I283" i="35"/>
  <c r="I284" i="35"/>
  <c r="I285" i="35"/>
  <c r="I286" i="35"/>
  <c r="I287" i="35"/>
  <c r="I288" i="35"/>
  <c r="I289" i="35"/>
  <c r="I290" i="35"/>
  <c r="I291" i="35"/>
  <c r="I292" i="35"/>
  <c r="I293" i="35"/>
  <c r="I294" i="35"/>
  <c r="I295" i="35"/>
  <c r="I296" i="35"/>
  <c r="I297" i="35"/>
  <c r="I298" i="35"/>
  <c r="I299" i="35"/>
  <c r="I300" i="35"/>
  <c r="I301" i="35"/>
  <c r="I302" i="35"/>
  <c r="I243" i="35"/>
  <c r="H244" i="35"/>
  <c r="H245" i="35"/>
  <c r="H246" i="35"/>
  <c r="H247" i="35"/>
  <c r="H248" i="35"/>
  <c r="H249" i="35"/>
  <c r="H250" i="35"/>
  <c r="H251" i="35"/>
  <c r="H252" i="35"/>
  <c r="H253" i="35"/>
  <c r="H254" i="35"/>
  <c r="H255" i="35"/>
  <c r="H256" i="35"/>
  <c r="H257" i="35"/>
  <c r="H258" i="35"/>
  <c r="H259" i="35"/>
  <c r="H260" i="35"/>
  <c r="H261" i="35"/>
  <c r="H262" i="35"/>
  <c r="H263" i="35"/>
  <c r="H264" i="35"/>
  <c r="H265" i="35"/>
  <c r="H266" i="35"/>
  <c r="H267" i="35"/>
  <c r="H268" i="35"/>
  <c r="H269" i="35"/>
  <c r="H270" i="35"/>
  <c r="H271" i="35"/>
  <c r="H272" i="35"/>
  <c r="H273" i="35"/>
  <c r="H274" i="35"/>
  <c r="H275" i="35"/>
  <c r="H276" i="35"/>
  <c r="H277" i="35"/>
  <c r="H278" i="35"/>
  <c r="H279" i="35"/>
  <c r="H280" i="35"/>
  <c r="H281" i="35"/>
  <c r="H282" i="35"/>
  <c r="H283" i="35"/>
  <c r="H284" i="35"/>
  <c r="H285" i="35"/>
  <c r="H286" i="35"/>
  <c r="H287" i="35"/>
  <c r="H288" i="35"/>
  <c r="H289" i="35"/>
  <c r="H290" i="35"/>
  <c r="H291" i="35"/>
  <c r="H292" i="35"/>
  <c r="H293" i="35"/>
  <c r="H294" i="35"/>
  <c r="H295" i="35"/>
  <c r="H296" i="35"/>
  <c r="H297" i="35"/>
  <c r="H298" i="35"/>
  <c r="H299" i="35"/>
  <c r="H300" i="35"/>
  <c r="H301" i="35"/>
  <c r="H243" i="35"/>
  <c r="D65" i="55"/>
  <c r="D66" i="55"/>
  <c r="D67" i="55"/>
  <c r="D68" i="55"/>
  <c r="D69" i="55"/>
  <c r="K6" i="86" l="1"/>
  <c r="I304" i="35"/>
  <c r="D5" i="86"/>
  <c r="E5" i="86" s="1"/>
  <c r="D4" i="86"/>
  <c r="E4" i="86" s="1"/>
  <c r="K4" i="86" l="1"/>
  <c r="G4" i="86"/>
  <c r="H4" i="86" s="1"/>
  <c r="I4" i="86" s="1"/>
  <c r="K5" i="86"/>
  <c r="G5" i="86"/>
  <c r="H5" i="86" s="1"/>
  <c r="I5" i="86" s="1"/>
  <c r="D104" i="85"/>
  <c r="D105" i="85" s="1"/>
  <c r="D89" i="85"/>
  <c r="D88" i="85"/>
  <c r="D68" i="85"/>
  <c r="D69" i="85" s="1"/>
  <c r="K7" i="86" l="1"/>
  <c r="D53" i="85"/>
  <c r="D54" i="85" s="1"/>
  <c r="D34" i="85"/>
  <c r="D35" i="85" s="1"/>
  <c r="D18" i="85"/>
  <c r="D19" i="85" s="1"/>
  <c r="H3" i="85" l="1"/>
  <c r="J39" i="17"/>
  <c r="M37" i="17"/>
  <c r="J37" i="17" s="1"/>
  <c r="T16" i="65" l="1"/>
  <c r="T17" i="65"/>
  <c r="T15" i="65"/>
  <c r="S16" i="65"/>
  <c r="S17" i="65"/>
  <c r="S15" i="65"/>
  <c r="O16" i="65"/>
  <c r="O17" i="65"/>
  <c r="O15" i="65"/>
  <c r="N16" i="65"/>
  <c r="N17" i="65"/>
  <c r="N18" i="65"/>
  <c r="N19" i="65"/>
  <c r="N20" i="65"/>
  <c r="N21" i="65"/>
  <c r="N22" i="65"/>
  <c r="N23" i="65"/>
  <c r="N24" i="65"/>
  <c r="N25" i="65"/>
  <c r="N15" i="65"/>
  <c r="J16" i="65"/>
  <c r="J17" i="65"/>
  <c r="J18" i="65"/>
  <c r="J19" i="65"/>
  <c r="J20" i="65"/>
  <c r="J21" i="65"/>
  <c r="J22" i="65"/>
  <c r="J23" i="65"/>
  <c r="J24" i="65"/>
  <c r="J25" i="65"/>
  <c r="J15" i="65"/>
  <c r="I16" i="65"/>
  <c r="I17" i="65"/>
  <c r="I15" i="65"/>
  <c r="J30" i="18" l="1"/>
  <c r="I179" i="35"/>
  <c r="I180" i="35"/>
  <c r="I181" i="35"/>
  <c r="I182" i="35"/>
  <c r="I183" i="35"/>
  <c r="I184" i="35"/>
  <c r="I185" i="35"/>
  <c r="I186" i="35"/>
  <c r="I187" i="35"/>
  <c r="I188" i="35"/>
  <c r="I189" i="35"/>
  <c r="I190" i="35"/>
  <c r="I191" i="35"/>
  <c r="I192" i="35"/>
  <c r="I193" i="35"/>
  <c r="I194" i="35"/>
  <c r="I195" i="35"/>
  <c r="I196" i="35"/>
  <c r="I197" i="35"/>
  <c r="I198" i="35"/>
  <c r="I199" i="35"/>
  <c r="I200" i="35"/>
  <c r="I201" i="35"/>
  <c r="I202" i="35"/>
  <c r="I203" i="35"/>
  <c r="I204" i="35"/>
  <c r="I205" i="35"/>
  <c r="I206" i="35"/>
  <c r="I207" i="35"/>
  <c r="I208" i="35"/>
  <c r="I209" i="35"/>
  <c r="I210" i="35"/>
  <c r="I211" i="35"/>
  <c r="I212" i="35"/>
  <c r="I213" i="35"/>
  <c r="I214" i="35"/>
  <c r="I215" i="35"/>
  <c r="I216" i="35"/>
  <c r="I217" i="35"/>
  <c r="I218" i="35"/>
  <c r="I219" i="35"/>
  <c r="I220" i="35"/>
  <c r="I221" i="35"/>
  <c r="I222" i="35"/>
  <c r="I223" i="35"/>
  <c r="I224" i="35"/>
  <c r="I225" i="35"/>
  <c r="I226" i="35"/>
  <c r="I227" i="35"/>
  <c r="I228" i="35"/>
  <c r="I229" i="35"/>
  <c r="I230" i="35"/>
  <c r="I231" i="35"/>
  <c r="I232" i="35"/>
  <c r="I233" i="35"/>
  <c r="I234" i="35"/>
  <c r="I235" i="35"/>
  <c r="I236" i="35"/>
  <c r="I237" i="35"/>
  <c r="I238" i="35"/>
  <c r="I178" i="35"/>
  <c r="I239" i="35" l="1"/>
  <c r="H234" i="35"/>
  <c r="H233" i="35"/>
  <c r="H179" i="35"/>
  <c r="H180" i="35"/>
  <c r="H181" i="35"/>
  <c r="H182" i="35"/>
  <c r="H183" i="35"/>
  <c r="H184" i="35"/>
  <c r="H185" i="35"/>
  <c r="H186" i="35"/>
  <c r="H187" i="35"/>
  <c r="H188" i="35"/>
  <c r="H189" i="35"/>
  <c r="H190" i="35"/>
  <c r="H191" i="35"/>
  <c r="H192" i="35"/>
  <c r="H193" i="35"/>
  <c r="H194" i="35"/>
  <c r="H195" i="35"/>
  <c r="H196" i="35"/>
  <c r="H197" i="35"/>
  <c r="H198" i="35"/>
  <c r="H199" i="35"/>
  <c r="H200" i="35"/>
  <c r="H201" i="35"/>
  <c r="H202" i="35"/>
  <c r="H203" i="35"/>
  <c r="H204" i="35"/>
  <c r="H205" i="35"/>
  <c r="H206" i="35"/>
  <c r="H207" i="35"/>
  <c r="H208" i="35"/>
  <c r="H209" i="35"/>
  <c r="H210" i="35"/>
  <c r="H211" i="35"/>
  <c r="H212" i="35"/>
  <c r="H213" i="35"/>
  <c r="H214" i="35"/>
  <c r="H215" i="35"/>
  <c r="H216" i="35"/>
  <c r="H217" i="35"/>
  <c r="H218" i="35"/>
  <c r="H219" i="35"/>
  <c r="H220" i="35"/>
  <c r="H221" i="35"/>
  <c r="H222" i="35"/>
  <c r="H223" i="35"/>
  <c r="H224" i="35"/>
  <c r="H225" i="35"/>
  <c r="H226" i="35"/>
  <c r="H227" i="35"/>
  <c r="H228" i="35"/>
  <c r="H229" i="35"/>
  <c r="H230" i="35"/>
  <c r="H231" i="35"/>
  <c r="H232" i="35"/>
  <c r="H235" i="35"/>
  <c r="H178" i="35"/>
  <c r="H27" i="5" l="1"/>
  <c r="F15" i="5"/>
  <c r="F16" i="5"/>
  <c r="F17" i="5"/>
  <c r="F18" i="5"/>
  <c r="F14" i="5"/>
  <c r="G77" i="4"/>
  <c r="E77" i="4"/>
  <c r="G76" i="4"/>
  <c r="E76" i="4"/>
  <c r="G75" i="4"/>
  <c r="E75" i="4"/>
  <c r="G74" i="4"/>
  <c r="E74" i="4"/>
  <c r="G73" i="4"/>
  <c r="E73" i="4"/>
  <c r="G72" i="4"/>
  <c r="E72" i="4"/>
  <c r="G71" i="4"/>
  <c r="E71" i="4"/>
  <c r="G70" i="4"/>
  <c r="E70" i="4"/>
  <c r="G69" i="4"/>
  <c r="E69" i="4"/>
  <c r="G68" i="4"/>
  <c r="E68" i="4"/>
  <c r="G67" i="4"/>
  <c r="E67" i="4"/>
  <c r="G66" i="4"/>
  <c r="E66" i="4"/>
  <c r="G65" i="4"/>
  <c r="E65" i="4"/>
  <c r="G64" i="4"/>
  <c r="E64" i="4"/>
  <c r="G63" i="4"/>
  <c r="E63" i="4"/>
  <c r="G62" i="4"/>
  <c r="E62" i="4"/>
  <c r="G61" i="4"/>
  <c r="E61" i="4"/>
  <c r="G60" i="4"/>
  <c r="E60" i="4"/>
  <c r="G59" i="4"/>
  <c r="E59" i="4"/>
  <c r="G58" i="4"/>
  <c r="H29" i="4"/>
  <c r="G78" i="4" l="1"/>
  <c r="U5" i="82"/>
  <c r="U6" i="82"/>
  <c r="U7" i="82"/>
  <c r="U4" i="82"/>
  <c r="J5" i="82"/>
  <c r="J6" i="82"/>
  <c r="J7" i="82"/>
  <c r="J4" i="82"/>
  <c r="P5" i="82"/>
  <c r="P6" i="82"/>
  <c r="P7" i="82"/>
  <c r="P4" i="82"/>
  <c r="M5" i="82"/>
  <c r="M6" i="82"/>
  <c r="M7" i="82"/>
  <c r="M4" i="82"/>
  <c r="S5" i="82"/>
  <c r="S6" i="82"/>
  <c r="S7" i="82"/>
  <c r="S4" i="82"/>
  <c r="M8" i="82" l="1"/>
  <c r="P8" i="82"/>
  <c r="U8" i="82"/>
  <c r="S8" i="82"/>
  <c r="V8" i="82" s="1"/>
  <c r="J8" i="82"/>
  <c r="J24" i="81"/>
  <c r="J25" i="81"/>
  <c r="J30" i="81"/>
  <c r="J31" i="81"/>
  <c r="J32" i="81"/>
  <c r="J33" i="81"/>
  <c r="J34" i="81"/>
  <c r="G28" i="81"/>
  <c r="J28" i="81" s="1"/>
  <c r="G29" i="81"/>
  <c r="J29" i="81" s="1"/>
  <c r="G35" i="81"/>
  <c r="J35" i="81" s="1"/>
  <c r="G22" i="81"/>
  <c r="J22" i="81" s="1"/>
  <c r="G23" i="81"/>
  <c r="J23" i="81" s="1"/>
  <c r="G26" i="81"/>
  <c r="J26" i="81" s="1"/>
  <c r="G27" i="81"/>
  <c r="J27" i="81" s="1"/>
  <c r="G21" i="81"/>
  <c r="J21" i="81" s="1"/>
  <c r="I48" i="60"/>
  <c r="I15" i="49"/>
  <c r="I48" i="80"/>
  <c r="J48" i="60"/>
  <c r="J15" i="49"/>
  <c r="J48" i="80"/>
  <c r="I47" i="60"/>
  <c r="I14" i="49"/>
  <c r="I47" i="80"/>
  <c r="J47" i="60"/>
  <c r="J14" i="49"/>
  <c r="J47" i="80"/>
  <c r="J8" i="60"/>
  <c r="J9" i="60"/>
  <c r="J10" i="60"/>
  <c r="J11" i="60"/>
  <c r="J12" i="60"/>
  <c r="J13" i="60"/>
  <c r="J14" i="60"/>
  <c r="J15" i="60"/>
  <c r="J16" i="60"/>
  <c r="J17" i="60"/>
  <c r="J19" i="60"/>
  <c r="J21" i="60"/>
  <c r="J22" i="60"/>
  <c r="J23" i="60"/>
  <c r="J24" i="60"/>
  <c r="J25" i="60"/>
  <c r="J26" i="60"/>
  <c r="J27" i="60"/>
  <c r="J28" i="60"/>
  <c r="J29" i="60"/>
  <c r="J30" i="60"/>
  <c r="J32" i="60"/>
  <c r="J34" i="60"/>
  <c r="J36" i="60"/>
  <c r="J37" i="60"/>
  <c r="J38" i="60"/>
  <c r="J8" i="49"/>
  <c r="J9" i="49"/>
  <c r="J10" i="49"/>
  <c r="J8" i="80"/>
  <c r="J9" i="80"/>
  <c r="J10" i="80"/>
  <c r="J11" i="80"/>
  <c r="J12" i="80"/>
  <c r="J13" i="80"/>
  <c r="J14" i="80"/>
  <c r="J15" i="80"/>
  <c r="J16" i="80"/>
  <c r="J17" i="80"/>
  <c r="J19" i="80"/>
  <c r="J21" i="80"/>
  <c r="J22" i="80"/>
  <c r="J23" i="80"/>
  <c r="J24" i="80"/>
  <c r="J25" i="80"/>
  <c r="J26" i="80"/>
  <c r="J27" i="80"/>
  <c r="J28" i="80"/>
  <c r="J29" i="80"/>
  <c r="J30" i="80"/>
  <c r="J32" i="80"/>
  <c r="J34" i="80"/>
  <c r="J36" i="80"/>
  <c r="J37" i="80"/>
  <c r="J38" i="80"/>
  <c r="J7" i="60"/>
  <c r="J7" i="49"/>
  <c r="J7" i="80"/>
  <c r="I8" i="60"/>
  <c r="I9" i="60"/>
  <c r="I10" i="60"/>
  <c r="I11" i="60"/>
  <c r="I12" i="60"/>
  <c r="I13" i="60"/>
  <c r="I14" i="60"/>
  <c r="I15" i="60"/>
  <c r="I16" i="60"/>
  <c r="I17" i="60"/>
  <c r="I19" i="60"/>
  <c r="I21" i="60"/>
  <c r="I22" i="60"/>
  <c r="I23" i="60"/>
  <c r="I24" i="60"/>
  <c r="I25" i="60"/>
  <c r="I26" i="60"/>
  <c r="I27" i="60"/>
  <c r="I28" i="60"/>
  <c r="I29" i="60"/>
  <c r="I30" i="60"/>
  <c r="I32" i="60"/>
  <c r="I34" i="60"/>
  <c r="I35" i="60"/>
  <c r="I36" i="60"/>
  <c r="I37" i="60"/>
  <c r="I38" i="60"/>
  <c r="I8" i="49"/>
  <c r="I9" i="49"/>
  <c r="I10" i="49"/>
  <c r="I8" i="80"/>
  <c r="I9" i="80"/>
  <c r="I10" i="80"/>
  <c r="I11" i="80"/>
  <c r="I12" i="80"/>
  <c r="I13" i="80"/>
  <c r="I14" i="80"/>
  <c r="I15" i="80"/>
  <c r="I16" i="80"/>
  <c r="I17" i="80"/>
  <c r="I19" i="80"/>
  <c r="I21" i="80"/>
  <c r="I22" i="80"/>
  <c r="I23" i="80"/>
  <c r="I24" i="80"/>
  <c r="I25" i="80"/>
  <c r="I26" i="80"/>
  <c r="I27" i="80"/>
  <c r="I28" i="80"/>
  <c r="I29" i="80"/>
  <c r="I30" i="80"/>
  <c r="I32" i="80"/>
  <c r="I34" i="80"/>
  <c r="I35" i="80"/>
  <c r="I36" i="80"/>
  <c r="I37" i="80"/>
  <c r="I38" i="80"/>
  <c r="I7" i="60"/>
  <c r="I7" i="49"/>
  <c r="I7" i="80"/>
  <c r="J36" i="81" l="1"/>
  <c r="R11" i="79"/>
  <c r="R17" i="79"/>
  <c r="R19" i="79"/>
  <c r="R21" i="79"/>
  <c r="R25" i="79"/>
  <c r="R29" i="79"/>
  <c r="R33" i="79"/>
  <c r="R36" i="79"/>
  <c r="R39" i="79"/>
  <c r="R61" i="79"/>
  <c r="R67" i="79"/>
  <c r="R73" i="79"/>
  <c r="R75" i="79"/>
  <c r="R80" i="79"/>
  <c r="R82" i="79"/>
  <c r="R87" i="79"/>
  <c r="R91" i="79"/>
  <c r="P11" i="79"/>
  <c r="P17" i="79"/>
  <c r="P19" i="79"/>
  <c r="P21" i="79"/>
  <c r="P25" i="79"/>
  <c r="P29" i="79"/>
  <c r="P33" i="79"/>
  <c r="P36" i="79"/>
  <c r="P39" i="79"/>
  <c r="P61" i="79"/>
  <c r="P67" i="79"/>
  <c r="P73" i="79"/>
  <c r="P75" i="79"/>
  <c r="P80" i="79"/>
  <c r="P82" i="79"/>
  <c r="P87" i="79"/>
  <c r="P91" i="79"/>
  <c r="N11" i="79"/>
  <c r="N17" i="79"/>
  <c r="N19" i="79"/>
  <c r="N21" i="79"/>
  <c r="N25" i="79"/>
  <c r="N29" i="79"/>
  <c r="N33" i="79"/>
  <c r="N36" i="79"/>
  <c r="N39" i="79"/>
  <c r="N61" i="79"/>
  <c r="N67" i="79"/>
  <c r="N73" i="79"/>
  <c r="N75" i="79"/>
  <c r="N80" i="79"/>
  <c r="N82" i="79"/>
  <c r="N87" i="79"/>
  <c r="N91" i="79"/>
  <c r="L11" i="79"/>
  <c r="L17" i="79"/>
  <c r="L19" i="79"/>
  <c r="L21" i="79"/>
  <c r="L25" i="79"/>
  <c r="L29" i="79"/>
  <c r="L33" i="79"/>
  <c r="L36" i="79"/>
  <c r="L39" i="79"/>
  <c r="L61" i="79"/>
  <c r="L67" i="79"/>
  <c r="L73" i="79"/>
  <c r="L75" i="79"/>
  <c r="L80" i="79"/>
  <c r="L82" i="79"/>
  <c r="L87" i="79"/>
  <c r="L91" i="79"/>
  <c r="I92" i="79" l="1"/>
  <c r="H92" i="79"/>
  <c r="I90" i="79"/>
  <c r="H90" i="79"/>
  <c r="I89" i="79"/>
  <c r="H89" i="79"/>
  <c r="I88" i="79"/>
  <c r="H88" i="79"/>
  <c r="I86" i="79"/>
  <c r="H86" i="79"/>
  <c r="I85" i="79"/>
  <c r="H85" i="79"/>
  <c r="I84" i="79"/>
  <c r="H84" i="79"/>
  <c r="I83" i="79"/>
  <c r="H83" i="79"/>
  <c r="I81" i="79"/>
  <c r="H81" i="79"/>
  <c r="I79" i="79"/>
  <c r="H79" i="79"/>
  <c r="I78" i="79"/>
  <c r="H78" i="79"/>
  <c r="I77" i="79"/>
  <c r="H77" i="79"/>
  <c r="I76" i="79"/>
  <c r="H76" i="79"/>
  <c r="I74" i="79"/>
  <c r="H74" i="79"/>
  <c r="I72" i="79"/>
  <c r="H72" i="79"/>
  <c r="I71" i="79"/>
  <c r="H71" i="79"/>
  <c r="I70" i="79"/>
  <c r="H70" i="79"/>
  <c r="I69" i="79"/>
  <c r="H69" i="79"/>
  <c r="I68" i="79"/>
  <c r="H68" i="79"/>
  <c r="I66" i="79"/>
  <c r="H66" i="79"/>
  <c r="I65" i="79"/>
  <c r="H65" i="79"/>
  <c r="I64" i="79"/>
  <c r="H64" i="79"/>
  <c r="I63" i="79"/>
  <c r="H63" i="79"/>
  <c r="I62" i="79"/>
  <c r="H62" i="79"/>
  <c r="I60" i="79"/>
  <c r="H60" i="79"/>
  <c r="I59" i="79"/>
  <c r="H59" i="79"/>
  <c r="I58" i="79"/>
  <c r="H58" i="79"/>
  <c r="I57" i="79"/>
  <c r="H57" i="79"/>
  <c r="I56" i="79"/>
  <c r="H56" i="79"/>
  <c r="I55" i="79"/>
  <c r="H55" i="79"/>
  <c r="I54" i="79"/>
  <c r="H54" i="79"/>
  <c r="I53" i="79"/>
  <c r="H53" i="79"/>
  <c r="I52" i="79"/>
  <c r="H52" i="79"/>
  <c r="I51" i="79"/>
  <c r="H51" i="79"/>
  <c r="I50" i="79"/>
  <c r="H50" i="79"/>
  <c r="I49" i="79"/>
  <c r="H49" i="79"/>
  <c r="I48" i="79"/>
  <c r="H48" i="79"/>
  <c r="I47" i="79"/>
  <c r="H47" i="79"/>
  <c r="I46" i="79"/>
  <c r="J46" i="79" s="1"/>
  <c r="H46" i="79"/>
  <c r="I45" i="79"/>
  <c r="H45" i="79"/>
  <c r="I44" i="79"/>
  <c r="H44" i="79"/>
  <c r="I43" i="79"/>
  <c r="H43" i="79"/>
  <c r="I42" i="79"/>
  <c r="H42" i="79"/>
  <c r="I41" i="79"/>
  <c r="H41" i="79"/>
  <c r="I40" i="79"/>
  <c r="H40" i="79"/>
  <c r="I38" i="79"/>
  <c r="H38" i="79"/>
  <c r="I37" i="79"/>
  <c r="H37" i="79"/>
  <c r="I35" i="79"/>
  <c r="H35" i="79"/>
  <c r="I34" i="79"/>
  <c r="H34" i="79"/>
  <c r="I32" i="79"/>
  <c r="H32" i="79"/>
  <c r="I31" i="79"/>
  <c r="H31" i="79"/>
  <c r="I30" i="79"/>
  <c r="H30" i="79"/>
  <c r="I28" i="79"/>
  <c r="H28" i="79"/>
  <c r="I27" i="79"/>
  <c r="H27" i="79"/>
  <c r="I26" i="79"/>
  <c r="J26" i="79" s="1"/>
  <c r="H26" i="79"/>
  <c r="I24" i="79"/>
  <c r="H24" i="79"/>
  <c r="I23" i="79"/>
  <c r="H23" i="79"/>
  <c r="I22" i="79"/>
  <c r="H22" i="79"/>
  <c r="I20" i="79"/>
  <c r="H20" i="79"/>
  <c r="I18" i="79"/>
  <c r="H18" i="79"/>
  <c r="I16" i="79"/>
  <c r="H16" i="79"/>
  <c r="I15" i="79"/>
  <c r="H15" i="79"/>
  <c r="I14" i="79"/>
  <c r="H14" i="79"/>
  <c r="I13" i="79"/>
  <c r="H13" i="79"/>
  <c r="I12" i="79"/>
  <c r="H12" i="79"/>
  <c r="I10" i="79"/>
  <c r="H10" i="79"/>
  <c r="I9" i="79"/>
  <c r="H9" i="79"/>
  <c r="I8" i="79"/>
  <c r="H8" i="79"/>
  <c r="I7" i="79"/>
  <c r="H7" i="79"/>
  <c r="R63" i="79" l="1"/>
  <c r="P63" i="79"/>
  <c r="R69" i="79"/>
  <c r="P69" i="79"/>
  <c r="P70" i="79"/>
  <c r="R70" i="79"/>
  <c r="R77" i="79"/>
  <c r="P77" i="79"/>
  <c r="P78" i="79"/>
  <c r="R78" i="79"/>
  <c r="P88" i="79"/>
  <c r="R88" i="79"/>
  <c r="J89" i="79"/>
  <c r="R89" i="79"/>
  <c r="P89" i="79"/>
  <c r="P90" i="79"/>
  <c r="R90" i="79"/>
  <c r="R79" i="79"/>
  <c r="P79" i="79"/>
  <c r="R71" i="79"/>
  <c r="P71" i="79"/>
  <c r="R65" i="79"/>
  <c r="P65" i="79"/>
  <c r="J65" i="79"/>
  <c r="P64" i="79"/>
  <c r="R64" i="79"/>
  <c r="R81" i="79"/>
  <c r="P81" i="79"/>
  <c r="J81" i="79"/>
  <c r="R83" i="79"/>
  <c r="P83" i="79"/>
  <c r="R84" i="79"/>
  <c r="P84" i="79"/>
  <c r="R85" i="79"/>
  <c r="P85" i="79"/>
  <c r="J86" i="79"/>
  <c r="R86" i="79"/>
  <c r="P86" i="79"/>
  <c r="J72" i="79"/>
  <c r="R72" i="79"/>
  <c r="P72" i="79"/>
  <c r="R74" i="79"/>
  <c r="P74" i="79"/>
  <c r="R76" i="79"/>
  <c r="P76" i="79"/>
  <c r="P66" i="79"/>
  <c r="R66" i="79"/>
  <c r="J68" i="79"/>
  <c r="P68" i="79"/>
  <c r="R68" i="79"/>
  <c r="R62" i="79"/>
  <c r="P62" i="79"/>
  <c r="J92" i="79"/>
  <c r="P92" i="79"/>
  <c r="R92" i="79"/>
  <c r="P51" i="79"/>
  <c r="R51" i="79"/>
  <c r="J52" i="79"/>
  <c r="R52" i="79"/>
  <c r="P52" i="79"/>
  <c r="P53" i="79"/>
  <c r="R53" i="79"/>
  <c r="J54" i="79"/>
  <c r="R54" i="79"/>
  <c r="P54" i="79"/>
  <c r="P55" i="79"/>
  <c r="R55" i="79"/>
  <c r="J56" i="79"/>
  <c r="R56" i="79"/>
  <c r="P56" i="79"/>
  <c r="P57" i="79"/>
  <c r="R57" i="79"/>
  <c r="R58" i="79"/>
  <c r="P58" i="79"/>
  <c r="P59" i="79"/>
  <c r="R59" i="79"/>
  <c r="J60" i="79"/>
  <c r="R60" i="79"/>
  <c r="P60" i="79"/>
  <c r="J28" i="79"/>
  <c r="R28" i="79"/>
  <c r="P28" i="79"/>
  <c r="R30" i="79"/>
  <c r="P30" i="79"/>
  <c r="J31" i="79"/>
  <c r="R31" i="79"/>
  <c r="P31" i="79"/>
  <c r="R32" i="79"/>
  <c r="P32" i="79"/>
  <c r="J34" i="79"/>
  <c r="R34" i="79"/>
  <c r="P34" i="79"/>
  <c r="R35" i="79"/>
  <c r="P35" i="79"/>
  <c r="J37" i="79"/>
  <c r="R37" i="79"/>
  <c r="P37" i="79"/>
  <c r="R38" i="79"/>
  <c r="P38" i="79"/>
  <c r="J40" i="79"/>
  <c r="R40" i="79"/>
  <c r="P40" i="79"/>
  <c r="R41" i="79"/>
  <c r="P41" i="79"/>
  <c r="J42" i="79"/>
  <c r="R42" i="79"/>
  <c r="P42" i="79"/>
  <c r="R43" i="79"/>
  <c r="P43" i="79"/>
  <c r="J44" i="79"/>
  <c r="R44" i="79"/>
  <c r="P44" i="79"/>
  <c r="R45" i="79"/>
  <c r="P45" i="79"/>
  <c r="R46" i="79"/>
  <c r="P46" i="79"/>
  <c r="R47" i="79"/>
  <c r="P47" i="79"/>
  <c r="J48" i="79"/>
  <c r="R48" i="79"/>
  <c r="P48" i="79"/>
  <c r="R49" i="79"/>
  <c r="P49" i="79"/>
  <c r="J50" i="79"/>
  <c r="R50" i="79"/>
  <c r="P50" i="79"/>
  <c r="R27" i="79"/>
  <c r="P27" i="79"/>
  <c r="J7" i="79"/>
  <c r="R7" i="79"/>
  <c r="P7" i="79"/>
  <c r="R8" i="79"/>
  <c r="P8" i="79"/>
  <c r="J9" i="79"/>
  <c r="R9" i="79"/>
  <c r="P9" i="79"/>
  <c r="R10" i="79"/>
  <c r="P10" i="79"/>
  <c r="J12" i="79"/>
  <c r="R12" i="79"/>
  <c r="P12" i="79"/>
  <c r="R13" i="79"/>
  <c r="P13" i="79"/>
  <c r="J14" i="79"/>
  <c r="R14" i="79"/>
  <c r="P14" i="79"/>
  <c r="R15" i="79"/>
  <c r="P15" i="79"/>
  <c r="J16" i="79"/>
  <c r="R16" i="79"/>
  <c r="P16" i="79"/>
  <c r="R18" i="79"/>
  <c r="P18" i="79"/>
  <c r="J20" i="79"/>
  <c r="R20" i="79"/>
  <c r="P20" i="79"/>
  <c r="R22" i="79"/>
  <c r="P22" i="79"/>
  <c r="J23" i="79"/>
  <c r="R23" i="79"/>
  <c r="P23" i="79"/>
  <c r="R24" i="79"/>
  <c r="P24" i="79"/>
  <c r="R26" i="79"/>
  <c r="P26" i="79"/>
  <c r="N63" i="79"/>
  <c r="L63" i="79"/>
  <c r="J66" i="79"/>
  <c r="N66" i="79"/>
  <c r="L66" i="79"/>
  <c r="J77" i="79"/>
  <c r="N77" i="79"/>
  <c r="L77" i="79"/>
  <c r="N78" i="79"/>
  <c r="L78" i="79"/>
  <c r="J90" i="79"/>
  <c r="N90" i="79"/>
  <c r="L90" i="79"/>
  <c r="J63" i="79"/>
  <c r="J64" i="79"/>
  <c r="N64" i="79"/>
  <c r="L64" i="79"/>
  <c r="N65" i="79"/>
  <c r="L65" i="79"/>
  <c r="J78" i="79"/>
  <c r="J79" i="79"/>
  <c r="N79" i="79"/>
  <c r="L79" i="79"/>
  <c r="N81" i="79"/>
  <c r="L81" i="79"/>
  <c r="J88" i="79"/>
  <c r="N88" i="79"/>
  <c r="L88" i="79"/>
  <c r="N89" i="79"/>
  <c r="L89" i="79"/>
  <c r="L92" i="79"/>
  <c r="N92" i="79"/>
  <c r="J83" i="79"/>
  <c r="L83" i="79"/>
  <c r="N83" i="79"/>
  <c r="N84" i="79"/>
  <c r="L84" i="79"/>
  <c r="J84" i="79"/>
  <c r="J85" i="79"/>
  <c r="L85" i="79"/>
  <c r="N85" i="79"/>
  <c r="N86" i="79"/>
  <c r="L86" i="79"/>
  <c r="J69" i="79"/>
  <c r="N69" i="79"/>
  <c r="L69" i="79"/>
  <c r="N70" i="79"/>
  <c r="L70" i="79"/>
  <c r="J74" i="79"/>
  <c r="N74" i="79"/>
  <c r="L74" i="79"/>
  <c r="N76" i="79"/>
  <c r="L76" i="79"/>
  <c r="N68" i="79"/>
  <c r="L68" i="79"/>
  <c r="J70" i="79"/>
  <c r="J71" i="79"/>
  <c r="N71" i="79"/>
  <c r="L71" i="79"/>
  <c r="N72" i="79"/>
  <c r="L72" i="79"/>
  <c r="J76" i="79"/>
  <c r="J8" i="79"/>
  <c r="N8" i="79"/>
  <c r="L8" i="79"/>
  <c r="N9" i="79"/>
  <c r="L9" i="79"/>
  <c r="J13" i="79"/>
  <c r="N13" i="79"/>
  <c r="L13" i="79"/>
  <c r="N14" i="79"/>
  <c r="L14" i="79"/>
  <c r="J18" i="79"/>
  <c r="N18" i="79"/>
  <c r="L18" i="79"/>
  <c r="N20" i="79"/>
  <c r="L20" i="79"/>
  <c r="J24" i="79"/>
  <c r="N24" i="79"/>
  <c r="L24" i="79"/>
  <c r="N26" i="79"/>
  <c r="L26" i="79"/>
  <c r="J30" i="79"/>
  <c r="N30" i="79"/>
  <c r="L30" i="79"/>
  <c r="N31" i="79"/>
  <c r="L31" i="79"/>
  <c r="J35" i="79"/>
  <c r="N35" i="79"/>
  <c r="L35" i="79"/>
  <c r="N37" i="79"/>
  <c r="L37" i="79"/>
  <c r="J41" i="79"/>
  <c r="N41" i="79"/>
  <c r="L41" i="79"/>
  <c r="N42" i="79"/>
  <c r="L42" i="79"/>
  <c r="J45" i="79"/>
  <c r="N45" i="79"/>
  <c r="L45" i="79"/>
  <c r="N46" i="79"/>
  <c r="L46" i="79"/>
  <c r="J49" i="79"/>
  <c r="N49" i="79"/>
  <c r="L49" i="79"/>
  <c r="N50" i="79"/>
  <c r="L50" i="79"/>
  <c r="J53" i="79"/>
  <c r="N53" i="79"/>
  <c r="L53" i="79"/>
  <c r="N54" i="79"/>
  <c r="L54" i="79"/>
  <c r="J57" i="79"/>
  <c r="N57" i="79"/>
  <c r="L57" i="79"/>
  <c r="N58" i="79"/>
  <c r="L58" i="79"/>
  <c r="J62" i="79"/>
  <c r="N62" i="79"/>
  <c r="L62" i="79"/>
  <c r="N7" i="79"/>
  <c r="L7" i="79"/>
  <c r="J10" i="79"/>
  <c r="N10" i="79"/>
  <c r="L10" i="79"/>
  <c r="N12" i="79"/>
  <c r="L12" i="79"/>
  <c r="J15" i="79"/>
  <c r="N15" i="79"/>
  <c r="L15" i="79"/>
  <c r="N16" i="79"/>
  <c r="L16" i="79"/>
  <c r="J22" i="79"/>
  <c r="N22" i="79"/>
  <c r="L22" i="79"/>
  <c r="N23" i="79"/>
  <c r="L23" i="79"/>
  <c r="J27" i="79"/>
  <c r="N27" i="79"/>
  <c r="L27" i="79"/>
  <c r="N28" i="79"/>
  <c r="L28" i="79"/>
  <c r="J32" i="79"/>
  <c r="N32" i="79"/>
  <c r="L32" i="79"/>
  <c r="N34" i="79"/>
  <c r="L34" i="79"/>
  <c r="J38" i="79"/>
  <c r="N38" i="79"/>
  <c r="L38" i="79"/>
  <c r="N40" i="79"/>
  <c r="L40" i="79"/>
  <c r="J43" i="79"/>
  <c r="N43" i="79"/>
  <c r="L43" i="79"/>
  <c r="N44" i="79"/>
  <c r="L44" i="79"/>
  <c r="J47" i="79"/>
  <c r="N47" i="79"/>
  <c r="L47" i="79"/>
  <c r="N48" i="79"/>
  <c r="L48" i="79"/>
  <c r="J51" i="79"/>
  <c r="N51" i="79"/>
  <c r="L51" i="79"/>
  <c r="N52" i="79"/>
  <c r="L52" i="79"/>
  <c r="J55" i="79"/>
  <c r="N55" i="79"/>
  <c r="L55" i="79"/>
  <c r="N56" i="79"/>
  <c r="L56" i="79"/>
  <c r="J58" i="79"/>
  <c r="J59" i="79"/>
  <c r="N59" i="79"/>
  <c r="L59" i="79"/>
  <c r="N60" i="79"/>
  <c r="L60" i="79"/>
  <c r="H139" i="35"/>
  <c r="I139" i="35"/>
  <c r="H141" i="35"/>
  <c r="I141" i="35"/>
  <c r="I145" i="35"/>
  <c r="I146" i="35"/>
  <c r="I147" i="35"/>
  <c r="I148" i="35"/>
  <c r="I149" i="35"/>
  <c r="I151" i="35"/>
  <c r="I152" i="35"/>
  <c r="I154" i="35"/>
  <c r="H157" i="35"/>
  <c r="I157" i="35"/>
  <c r="H167" i="35"/>
  <c r="I167" i="35"/>
  <c r="I171" i="35"/>
  <c r="I170" i="35"/>
  <c r="H171" i="35"/>
  <c r="H170" i="35"/>
  <c r="U16" i="22"/>
  <c r="S16" i="22"/>
  <c r="U15" i="22"/>
  <c r="S15" i="22"/>
  <c r="U14" i="22"/>
  <c r="S14" i="22"/>
  <c r="U13" i="22"/>
  <c r="S13" i="22"/>
  <c r="U12" i="22"/>
  <c r="S12" i="22"/>
  <c r="U11" i="22"/>
  <c r="S11" i="22"/>
  <c r="U10" i="22"/>
  <c r="S10" i="22"/>
  <c r="U9" i="22"/>
  <c r="S9" i="22"/>
  <c r="U8" i="22"/>
  <c r="S8" i="22"/>
  <c r="U7" i="22"/>
  <c r="S7" i="22"/>
  <c r="U6" i="22"/>
  <c r="S6" i="22"/>
  <c r="P16" i="22"/>
  <c r="N16" i="22"/>
  <c r="P15" i="22"/>
  <c r="N15" i="22"/>
  <c r="P14" i="22"/>
  <c r="N14" i="22"/>
  <c r="P13" i="22"/>
  <c r="N13" i="22"/>
  <c r="P12" i="22"/>
  <c r="N12" i="22"/>
  <c r="P11" i="22"/>
  <c r="N11" i="22"/>
  <c r="P10" i="22"/>
  <c r="N10" i="22"/>
  <c r="P9" i="22"/>
  <c r="N9" i="22"/>
  <c r="P8" i="22"/>
  <c r="N8" i="22"/>
  <c r="P7" i="22"/>
  <c r="N7" i="22"/>
  <c r="P6" i="22"/>
  <c r="N6" i="22"/>
  <c r="K15" i="22"/>
  <c r="K16" i="22"/>
  <c r="K14" i="22"/>
  <c r="K10" i="22"/>
  <c r="K11" i="22"/>
  <c r="K12" i="22"/>
  <c r="K13" i="22"/>
  <c r="K9" i="22"/>
  <c r="K8" i="22"/>
  <c r="K7" i="22"/>
  <c r="K6" i="22"/>
  <c r="I15" i="22"/>
  <c r="I16" i="22"/>
  <c r="I14" i="22"/>
  <c r="I10" i="22"/>
  <c r="I11" i="22"/>
  <c r="I12" i="22"/>
  <c r="I13" i="22"/>
  <c r="I9" i="22"/>
  <c r="I8" i="22"/>
  <c r="I7" i="22"/>
  <c r="I6" i="22"/>
  <c r="L93" i="79" l="1"/>
  <c r="R93" i="79"/>
  <c r="P93" i="79"/>
  <c r="N93" i="79"/>
  <c r="I172" i="35"/>
  <c r="C78" i="78"/>
  <c r="E78" i="78" s="1"/>
  <c r="E77" i="78"/>
  <c r="C77" i="78"/>
  <c r="K29" i="28"/>
  <c r="K30" i="28" s="1"/>
  <c r="K25" i="28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G8" i="1"/>
  <c r="E8" i="1"/>
  <c r="F8" i="77"/>
  <c r="F7" i="77"/>
  <c r="F9" i="77" s="1"/>
  <c r="I129" i="35" l="1"/>
  <c r="I130" i="35"/>
  <c r="I131" i="35"/>
  <c r="I132" i="35"/>
  <c r="I133" i="35"/>
  <c r="I134" i="35"/>
  <c r="I135" i="35"/>
  <c r="I136" i="35"/>
  <c r="I137" i="35"/>
  <c r="I138" i="35"/>
  <c r="I140" i="35"/>
  <c r="I142" i="35"/>
  <c r="I143" i="35"/>
  <c r="I144" i="35"/>
  <c r="I150" i="35"/>
  <c r="I153" i="35"/>
  <c r="I155" i="35"/>
  <c r="I156" i="35"/>
  <c r="I158" i="35"/>
  <c r="I159" i="35"/>
  <c r="I160" i="35"/>
  <c r="I161" i="35"/>
  <c r="I162" i="35"/>
  <c r="I163" i="35"/>
  <c r="I164" i="35"/>
  <c r="I165" i="35"/>
  <c r="I166" i="35"/>
  <c r="I128" i="35"/>
  <c r="H166" i="35"/>
  <c r="H129" i="35"/>
  <c r="H130" i="35"/>
  <c r="H131" i="35"/>
  <c r="H132" i="35"/>
  <c r="H133" i="35"/>
  <c r="H134" i="35"/>
  <c r="H135" i="35"/>
  <c r="H136" i="35"/>
  <c r="H137" i="35"/>
  <c r="H138" i="35"/>
  <c r="H140" i="35"/>
  <c r="H142" i="35"/>
  <c r="H143" i="35"/>
  <c r="H144" i="35"/>
  <c r="H150" i="35"/>
  <c r="H153" i="35"/>
  <c r="H155" i="35"/>
  <c r="H156" i="35"/>
  <c r="H158" i="35"/>
  <c r="H159" i="35"/>
  <c r="H160" i="35"/>
  <c r="H161" i="35"/>
  <c r="H162" i="35"/>
  <c r="H163" i="35"/>
  <c r="H164" i="35"/>
  <c r="H165" i="35"/>
  <c r="H128" i="35"/>
  <c r="I168" i="35" l="1"/>
  <c r="I173" i="35" l="1"/>
  <c r="T10" i="73" l="1"/>
  <c r="T11" i="73"/>
  <c r="T12" i="73"/>
  <c r="T13" i="73"/>
  <c r="T14" i="73"/>
  <c r="T15" i="73"/>
  <c r="T16" i="73"/>
  <c r="T17" i="73"/>
  <c r="T18" i="73"/>
  <c r="T19" i="73"/>
  <c r="T20" i="73"/>
  <c r="T21" i="73"/>
  <c r="T22" i="73"/>
  <c r="T23" i="73"/>
  <c r="T24" i="73"/>
  <c r="T25" i="73"/>
  <c r="T26" i="73"/>
  <c r="T27" i="73"/>
  <c r="T28" i="73"/>
  <c r="T29" i="73"/>
  <c r="T30" i="73"/>
  <c r="T31" i="73"/>
  <c r="T32" i="73"/>
  <c r="T33" i="73"/>
  <c r="T34" i="73"/>
  <c r="T35" i="73"/>
  <c r="T36" i="73"/>
  <c r="T37" i="73"/>
  <c r="T38" i="73"/>
  <c r="T39" i="73"/>
  <c r="T40" i="73"/>
  <c r="T41" i="73"/>
  <c r="T42" i="73"/>
  <c r="T43" i="73"/>
  <c r="T44" i="73"/>
  <c r="T45" i="73"/>
  <c r="T46" i="73"/>
  <c r="T47" i="73"/>
  <c r="T48" i="73"/>
  <c r="T49" i="73"/>
  <c r="T50" i="73"/>
  <c r="T51" i="73"/>
  <c r="T52" i="73"/>
  <c r="T53" i="73"/>
  <c r="T54" i="73"/>
  <c r="T55" i="73"/>
  <c r="T56" i="73"/>
  <c r="T57" i="73"/>
  <c r="T58" i="73"/>
  <c r="T59" i="73"/>
  <c r="T60" i="73"/>
  <c r="T61" i="73"/>
  <c r="T62" i="73"/>
  <c r="T63" i="73"/>
  <c r="T64" i="73"/>
  <c r="T65" i="73"/>
  <c r="T66" i="73"/>
  <c r="T67" i="73"/>
  <c r="T68" i="73"/>
  <c r="T69" i="73"/>
  <c r="T70" i="73"/>
  <c r="T71" i="73"/>
  <c r="T72" i="73"/>
  <c r="T73" i="73"/>
  <c r="T74" i="73"/>
  <c r="T75" i="73"/>
  <c r="T76" i="73"/>
  <c r="T77" i="73"/>
  <c r="T78" i="73"/>
  <c r="T79" i="73"/>
  <c r="T80" i="73"/>
  <c r="T81" i="73"/>
  <c r="T82" i="73"/>
  <c r="T83" i="73"/>
  <c r="T84" i="73"/>
  <c r="T85" i="73"/>
  <c r="T86" i="73"/>
  <c r="T87" i="73"/>
  <c r="T88" i="73"/>
  <c r="T89" i="73"/>
  <c r="T90" i="73"/>
  <c r="T91" i="73"/>
  <c r="T92" i="73"/>
  <c r="T93" i="73"/>
  <c r="T94" i="73"/>
  <c r="T95" i="73"/>
  <c r="T96" i="73"/>
  <c r="T97" i="73"/>
  <c r="T98" i="73"/>
  <c r="T99" i="73"/>
  <c r="T100" i="73"/>
  <c r="T101" i="73"/>
  <c r="T102" i="73"/>
  <c r="T103" i="73"/>
  <c r="T104" i="73"/>
  <c r="T105" i="73"/>
  <c r="T106" i="73"/>
  <c r="T107" i="73"/>
  <c r="T108" i="73"/>
  <c r="T109" i="73"/>
  <c r="T110" i="73"/>
  <c r="T111" i="73"/>
  <c r="T112" i="73"/>
  <c r="T113" i="73"/>
  <c r="T114" i="73"/>
  <c r="T115" i="73"/>
  <c r="T9" i="73"/>
  <c r="R17" i="73"/>
  <c r="R18" i="73"/>
  <c r="R19" i="73"/>
  <c r="R20" i="73"/>
  <c r="R21" i="73"/>
  <c r="R22" i="73"/>
  <c r="R23" i="73"/>
  <c r="R24" i="73"/>
  <c r="R25" i="73"/>
  <c r="R26" i="73"/>
  <c r="R27" i="73"/>
  <c r="R28" i="73"/>
  <c r="R29" i="73"/>
  <c r="R30" i="73"/>
  <c r="R31" i="73"/>
  <c r="R32" i="73"/>
  <c r="R33" i="73"/>
  <c r="R34" i="73"/>
  <c r="R35" i="73"/>
  <c r="R36" i="73"/>
  <c r="R37" i="73"/>
  <c r="R38" i="73"/>
  <c r="R39" i="73"/>
  <c r="R40" i="73"/>
  <c r="R41" i="73"/>
  <c r="R42" i="73"/>
  <c r="R43" i="73"/>
  <c r="R44" i="73"/>
  <c r="R45" i="73"/>
  <c r="R46" i="73"/>
  <c r="R47" i="73"/>
  <c r="R48" i="73"/>
  <c r="R49" i="73"/>
  <c r="R50" i="73"/>
  <c r="R51" i="73"/>
  <c r="R52" i="73"/>
  <c r="R53" i="73"/>
  <c r="R54" i="73"/>
  <c r="R55" i="73"/>
  <c r="R56" i="73"/>
  <c r="R57" i="73"/>
  <c r="R58" i="73"/>
  <c r="R59" i="73"/>
  <c r="R60" i="73"/>
  <c r="R61" i="73"/>
  <c r="R62" i="73"/>
  <c r="R63" i="73"/>
  <c r="R64" i="73"/>
  <c r="R65" i="73"/>
  <c r="R66" i="73"/>
  <c r="R67" i="73"/>
  <c r="R68" i="73"/>
  <c r="R69" i="73"/>
  <c r="R70" i="73"/>
  <c r="R71" i="73"/>
  <c r="R72" i="73"/>
  <c r="R73" i="73"/>
  <c r="R74" i="73"/>
  <c r="R75" i="73"/>
  <c r="R76" i="73"/>
  <c r="R77" i="73"/>
  <c r="R78" i="73"/>
  <c r="R79" i="73"/>
  <c r="R80" i="73"/>
  <c r="R81" i="73"/>
  <c r="R82" i="73"/>
  <c r="R83" i="73"/>
  <c r="R84" i="73"/>
  <c r="R85" i="73"/>
  <c r="R86" i="73"/>
  <c r="R87" i="73"/>
  <c r="R88" i="73"/>
  <c r="R89" i="73"/>
  <c r="R90" i="73"/>
  <c r="R91" i="73"/>
  <c r="R92" i="73"/>
  <c r="R93" i="73"/>
  <c r="R94" i="73"/>
  <c r="R95" i="73"/>
  <c r="R96" i="73"/>
  <c r="R97" i="73"/>
  <c r="R98" i="73"/>
  <c r="R99" i="73"/>
  <c r="R100" i="73"/>
  <c r="R101" i="73"/>
  <c r="R102" i="73"/>
  <c r="R103" i="73"/>
  <c r="R104" i="73"/>
  <c r="R105" i="73"/>
  <c r="R106" i="73"/>
  <c r="R107" i="73"/>
  <c r="R108" i="73"/>
  <c r="R109" i="73"/>
  <c r="R110" i="73"/>
  <c r="R111" i="73"/>
  <c r="R112" i="73"/>
  <c r="R113" i="73"/>
  <c r="R114" i="73"/>
  <c r="R115" i="73"/>
  <c r="R10" i="73"/>
  <c r="R11" i="73"/>
  <c r="R12" i="73"/>
  <c r="R13" i="73"/>
  <c r="R14" i="73"/>
  <c r="R15" i="73"/>
  <c r="R16" i="73"/>
  <c r="R9" i="73"/>
  <c r="T117" i="73" l="1"/>
  <c r="T116" i="73"/>
  <c r="H11" i="74"/>
  <c r="H12" i="74"/>
  <c r="H13" i="74"/>
  <c r="H14" i="74"/>
  <c r="H15" i="74"/>
  <c r="H16" i="74"/>
  <c r="H10" i="74"/>
  <c r="H17" i="74" s="1"/>
  <c r="H19" i="74" s="1"/>
  <c r="F16" i="74"/>
  <c r="F15" i="74"/>
  <c r="F14" i="74"/>
  <c r="F13" i="74"/>
  <c r="F12" i="74"/>
  <c r="F11" i="74"/>
  <c r="F10" i="74"/>
  <c r="T119" i="73" l="1"/>
  <c r="T121" i="73"/>
  <c r="H18" i="74"/>
  <c r="I109" i="35"/>
  <c r="E31" i="36"/>
  <c r="I5" i="36" s="1"/>
  <c r="F18" i="36" l="1"/>
  <c r="E26" i="36"/>
  <c r="I8" i="47"/>
  <c r="I7" i="47"/>
  <c r="I6" i="47"/>
  <c r="G13" i="71"/>
  <c r="J5" i="36" l="1"/>
  <c r="K5" i="36" s="1"/>
  <c r="E34" i="70"/>
  <c r="E15" i="70"/>
  <c r="E25" i="70"/>
  <c r="I6" i="70"/>
  <c r="J6" i="70" s="1"/>
  <c r="K6" i="70" s="1"/>
  <c r="E46" i="69"/>
  <c r="I30" i="69"/>
  <c r="J30" i="69" s="1"/>
  <c r="K30" i="69" s="1"/>
  <c r="E37" i="69"/>
  <c r="E53" i="69"/>
  <c r="E31" i="8"/>
  <c r="E26" i="8"/>
  <c r="E18" i="8"/>
  <c r="I5" i="67"/>
  <c r="I6" i="67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4" i="67"/>
  <c r="H25" i="67" l="1"/>
  <c r="F5" i="67"/>
  <c r="G5" i="67" s="1"/>
  <c r="F6" i="67"/>
  <c r="G6" i="67" s="1"/>
  <c r="F7" i="67"/>
  <c r="G7" i="67" s="1"/>
  <c r="F8" i="67"/>
  <c r="G8" i="67" s="1"/>
  <c r="F9" i="67"/>
  <c r="G9" i="67" s="1"/>
  <c r="F10" i="67"/>
  <c r="G10" i="67" s="1"/>
  <c r="F11" i="67"/>
  <c r="G11" i="67" s="1"/>
  <c r="F12" i="67"/>
  <c r="G12" i="67" s="1"/>
  <c r="F13" i="67"/>
  <c r="G13" i="67" s="1"/>
  <c r="F14" i="67"/>
  <c r="G14" i="67" s="1"/>
  <c r="F15" i="67"/>
  <c r="G15" i="67" s="1"/>
  <c r="F16" i="67"/>
  <c r="G16" i="67" s="1"/>
  <c r="F17" i="67"/>
  <c r="G17" i="67" s="1"/>
  <c r="F18" i="67"/>
  <c r="G18" i="67" s="1"/>
  <c r="F19" i="67"/>
  <c r="G19" i="67" s="1"/>
  <c r="F20" i="67"/>
  <c r="G20" i="67" s="1"/>
  <c r="F21" i="67"/>
  <c r="G21" i="67" s="1"/>
  <c r="F22" i="67"/>
  <c r="G22" i="67" s="1"/>
  <c r="D5" i="67"/>
  <c r="D6" i="67"/>
  <c r="D7" i="67"/>
  <c r="D8" i="67"/>
  <c r="D9" i="67"/>
  <c r="D10" i="67"/>
  <c r="D11" i="67"/>
  <c r="D12" i="67"/>
  <c r="D13" i="67"/>
  <c r="D14" i="67"/>
  <c r="D15" i="67"/>
  <c r="D16" i="67"/>
  <c r="D17" i="67"/>
  <c r="D18" i="67"/>
  <c r="D19" i="67"/>
  <c r="D20" i="67"/>
  <c r="D21" i="67"/>
  <c r="D22" i="67"/>
  <c r="F4" i="67"/>
  <c r="G4" i="67" s="1"/>
  <c r="D4" i="67"/>
  <c r="F26" i="67"/>
  <c r="F25" i="67"/>
  <c r="G25" i="67" s="1"/>
  <c r="I25" i="67" s="1"/>
  <c r="D25" i="67"/>
  <c r="J25" i="67" l="1"/>
  <c r="H26" i="67"/>
  <c r="D26" i="67"/>
  <c r="G26" i="67"/>
  <c r="I26" i="67" s="1"/>
  <c r="J26" i="67" s="1"/>
  <c r="G9" i="64"/>
  <c r="G10" i="64"/>
  <c r="F6" i="64"/>
  <c r="G6" i="64" s="1"/>
  <c r="F7" i="64"/>
  <c r="G7" i="64" s="1"/>
  <c r="F8" i="64"/>
  <c r="G8" i="64" s="1"/>
  <c r="F9" i="64"/>
  <c r="F10" i="64"/>
  <c r="F11" i="64"/>
  <c r="G11" i="64" s="1"/>
  <c r="F12" i="64"/>
  <c r="G12" i="64" s="1"/>
  <c r="F5" i="64"/>
  <c r="G5" i="64" s="1"/>
  <c r="C12" i="15" l="1"/>
  <c r="E17" i="32"/>
  <c r="F33" i="32"/>
  <c r="C31" i="32"/>
  <c r="C13" i="15" l="1"/>
  <c r="C14" i="15" s="1"/>
  <c r="M33" i="17"/>
  <c r="J33" i="17" s="1"/>
  <c r="L32" i="17"/>
  <c r="M32" i="17" s="1"/>
  <c r="D32" i="17" s="1"/>
  <c r="I32" i="17" s="1"/>
  <c r="M34" i="17"/>
  <c r="L29" i="17"/>
  <c r="M29" i="17" s="1"/>
  <c r="M30" i="17"/>
  <c r="M31" i="17"/>
  <c r="J31" i="17" s="1"/>
  <c r="L35" i="17"/>
  <c r="M35" i="17" s="1"/>
  <c r="L36" i="17"/>
  <c r="L38" i="17"/>
  <c r="M38" i="17" s="1"/>
  <c r="D38" i="17" s="1"/>
  <c r="L39" i="17"/>
  <c r="M39" i="17" s="1"/>
  <c r="L28" i="17"/>
  <c r="M28" i="17" s="1"/>
  <c r="P19" i="62"/>
  <c r="P20" i="62"/>
  <c r="P21" i="62"/>
  <c r="P22" i="62"/>
  <c r="P23" i="62"/>
  <c r="P24" i="62"/>
  <c r="P25" i="62"/>
  <c r="P26" i="62"/>
  <c r="P27" i="62"/>
  <c r="P18" i="62"/>
  <c r="I122" i="35"/>
  <c r="H122" i="35"/>
  <c r="J34" i="17" l="1"/>
  <c r="D34" i="17"/>
  <c r="J40" i="17"/>
  <c r="I38" i="17"/>
  <c r="M36" i="17"/>
  <c r="J36" i="17" s="1"/>
  <c r="O32" i="17"/>
  <c r="D115" i="17"/>
  <c r="C115" i="17"/>
  <c r="D114" i="17"/>
  <c r="C114" i="17"/>
  <c r="D113" i="17"/>
  <c r="C113" i="17"/>
  <c r="D112" i="17"/>
  <c r="C112" i="17"/>
  <c r="D111" i="17"/>
  <c r="C111" i="17"/>
  <c r="I106" i="35"/>
  <c r="I107" i="35"/>
  <c r="I105" i="35"/>
  <c r="H107" i="35"/>
  <c r="H106" i="35"/>
  <c r="I99" i="35"/>
  <c r="E11" i="50"/>
  <c r="E10" i="50"/>
  <c r="E9" i="50"/>
  <c r="E8" i="50"/>
  <c r="E7" i="50"/>
  <c r="E6" i="50"/>
  <c r="E5" i="50"/>
  <c r="E7" i="32"/>
  <c r="E8" i="32"/>
  <c r="E9" i="32"/>
  <c r="E10" i="32"/>
  <c r="E11" i="32"/>
  <c r="E12" i="32"/>
  <c r="E13" i="32"/>
  <c r="E14" i="32"/>
  <c r="E15" i="32"/>
  <c r="E16" i="32"/>
  <c r="E18" i="32"/>
  <c r="E19" i="32"/>
  <c r="E20" i="32"/>
  <c r="E21" i="32"/>
  <c r="E22" i="32"/>
  <c r="E6" i="32"/>
  <c r="G20" i="32"/>
  <c r="G12" i="32"/>
  <c r="I39" i="17" l="1"/>
  <c r="I108" i="35"/>
  <c r="I110" i="35" s="1"/>
  <c r="F35" i="17"/>
  <c r="E24" i="32"/>
  <c r="J5" i="14"/>
  <c r="I5" i="14"/>
  <c r="I6" i="14"/>
  <c r="F7" i="22" l="1"/>
  <c r="F8" i="22"/>
  <c r="F9" i="22"/>
  <c r="F10" i="22"/>
  <c r="F11" i="22"/>
  <c r="F12" i="22"/>
  <c r="F13" i="22"/>
  <c r="F14" i="22"/>
  <c r="F15" i="22"/>
  <c r="F16" i="22"/>
  <c r="F6" i="22"/>
  <c r="I74" i="35"/>
  <c r="H74" i="35"/>
  <c r="I96" i="35"/>
  <c r="H96" i="35"/>
  <c r="I95" i="35"/>
  <c r="H95" i="35"/>
  <c r="I94" i="35"/>
  <c r="H94" i="35"/>
  <c r="I93" i="35"/>
  <c r="H93" i="35"/>
  <c r="I92" i="35"/>
  <c r="H92" i="35"/>
  <c r="I91" i="35"/>
  <c r="H91" i="35"/>
  <c r="I90" i="35"/>
  <c r="H90" i="35"/>
  <c r="I89" i="35"/>
  <c r="H89" i="35"/>
  <c r="I88" i="35"/>
  <c r="H88" i="35"/>
  <c r="I87" i="35"/>
  <c r="H87" i="35"/>
  <c r="I86" i="35"/>
  <c r="H86" i="35"/>
  <c r="I80" i="35"/>
  <c r="H80" i="35"/>
  <c r="I79" i="35"/>
  <c r="H79" i="35"/>
  <c r="I78" i="35"/>
  <c r="H78" i="35"/>
  <c r="I77" i="35"/>
  <c r="H77" i="35"/>
  <c r="I76" i="35"/>
  <c r="H76" i="35"/>
  <c r="I75" i="35"/>
  <c r="H75" i="35"/>
  <c r="I73" i="35"/>
  <c r="H73" i="35"/>
  <c r="I72" i="35"/>
  <c r="H72" i="35"/>
  <c r="I71" i="35"/>
  <c r="H71" i="35"/>
  <c r="I70" i="35"/>
  <c r="H70" i="35"/>
  <c r="I69" i="35"/>
  <c r="H69" i="35"/>
  <c r="I68" i="35"/>
  <c r="H68" i="35"/>
  <c r="I67" i="35"/>
  <c r="H67" i="35"/>
  <c r="F17" i="22" l="1"/>
  <c r="F19" i="22" s="1"/>
  <c r="I98" i="35"/>
  <c r="I100" i="35" s="1"/>
  <c r="J10" i="14" l="1"/>
  <c r="J7" i="14"/>
  <c r="J8" i="14"/>
  <c r="J9" i="14"/>
  <c r="J11" i="14"/>
  <c r="J6" i="14"/>
  <c r="I10" i="14"/>
  <c r="I7" i="14"/>
  <c r="I8" i="14"/>
  <c r="I9" i="14"/>
  <c r="I11" i="14"/>
  <c r="H30" i="35" l="1"/>
  <c r="H31" i="35"/>
  <c r="H32" i="35"/>
  <c r="H33" i="35"/>
  <c r="H34" i="35"/>
  <c r="H35" i="35"/>
  <c r="H36" i="35"/>
  <c r="H37" i="35"/>
  <c r="H59" i="35" s="1"/>
  <c r="I59" i="35" s="1"/>
  <c r="H38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51" i="35"/>
  <c r="H52" i="35"/>
  <c r="H53" i="35"/>
  <c r="H54" i="35"/>
  <c r="H55" i="35"/>
  <c r="H56" i="35"/>
  <c r="H29" i="35"/>
  <c r="C10" i="49"/>
  <c r="C9" i="49"/>
  <c r="C8" i="49"/>
  <c r="C7" i="49"/>
  <c r="C6" i="49"/>
  <c r="C5" i="49"/>
  <c r="I38" i="35" l="1"/>
  <c r="I39" i="35"/>
  <c r="I37" i="35"/>
  <c r="I36" i="35"/>
  <c r="I35" i="35"/>
  <c r="S19" i="35"/>
  <c r="S18" i="35"/>
  <c r="S20" i="35" l="1"/>
  <c r="G87" i="17"/>
  <c r="N87" i="17" s="1"/>
  <c r="E89" i="17"/>
  <c r="F89" i="17" s="1"/>
  <c r="G89" i="17" s="1"/>
  <c r="N89" i="17" s="1"/>
  <c r="E90" i="17"/>
  <c r="F90" i="17" s="1"/>
  <c r="G90" i="17" s="1"/>
  <c r="N90" i="17" s="1"/>
  <c r="E91" i="17"/>
  <c r="F91" i="17" s="1"/>
  <c r="G91" i="17" s="1"/>
  <c r="N91" i="17" s="1"/>
  <c r="E92" i="17"/>
  <c r="F92" i="17" s="1"/>
  <c r="G92" i="17" s="1"/>
  <c r="N92" i="17" s="1"/>
  <c r="E93" i="17"/>
  <c r="F93" i="17" s="1"/>
  <c r="G93" i="17" s="1"/>
  <c r="N93" i="17" s="1"/>
  <c r="E94" i="17"/>
  <c r="F94" i="17" s="1"/>
  <c r="G94" i="17" s="1"/>
  <c r="N94" i="17" s="1"/>
  <c r="C5" i="17"/>
  <c r="C6" i="17"/>
  <c r="C7" i="17"/>
  <c r="C8" i="17"/>
  <c r="C9" i="17"/>
  <c r="C10" i="17"/>
  <c r="C11" i="17"/>
  <c r="C12" i="17"/>
  <c r="C13" i="17"/>
  <c r="C14" i="17"/>
  <c r="C15" i="17"/>
  <c r="C16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E88" i="17"/>
  <c r="F88" i="17" s="1"/>
  <c r="G88" i="17" s="1"/>
  <c r="N88" i="17" s="1"/>
  <c r="E86" i="17"/>
  <c r="F86" i="17" s="1"/>
  <c r="G86" i="17" s="1"/>
  <c r="N86" i="17" s="1"/>
  <c r="T87" i="17" l="1"/>
  <c r="S85" i="17"/>
  <c r="S86" i="17" s="1"/>
  <c r="Q86" i="17" l="1"/>
  <c r="N127" i="17"/>
  <c r="O127" i="17" s="1"/>
  <c r="E75" i="40"/>
  <c r="E71" i="40"/>
  <c r="E72" i="40"/>
  <c r="E77" i="40"/>
  <c r="E76" i="40"/>
  <c r="I25" i="35" l="1"/>
  <c r="K25" i="35" s="1"/>
  <c r="F74" i="40" l="1"/>
  <c r="G74" i="40" s="1"/>
  <c r="D74" i="40"/>
  <c r="C77" i="40"/>
  <c r="C76" i="40"/>
  <c r="P17" i="18" l="1"/>
  <c r="O15" i="18"/>
  <c r="O14" i="18"/>
  <c r="P14" i="18" s="1"/>
  <c r="O13" i="18"/>
  <c r="P13" i="18" s="1"/>
  <c r="O12" i="18"/>
  <c r="P12" i="18" s="1"/>
  <c r="O11" i="18"/>
  <c r="P11" i="18" s="1"/>
  <c r="O10" i="18"/>
  <c r="P10" i="18" s="1"/>
  <c r="F79" i="40"/>
  <c r="G79" i="40" s="1"/>
  <c r="D79" i="40"/>
  <c r="F78" i="40"/>
  <c r="G78" i="40" s="1"/>
  <c r="D78" i="40"/>
  <c r="F77" i="40"/>
  <c r="G77" i="40" s="1"/>
  <c r="D77" i="40"/>
  <c r="F76" i="40"/>
  <c r="G76" i="40" s="1"/>
  <c r="D76" i="40"/>
  <c r="D75" i="40"/>
  <c r="F75" i="40" s="1"/>
  <c r="G75" i="40" s="1"/>
  <c r="F73" i="40"/>
  <c r="G73" i="40" s="1"/>
  <c r="D73" i="40"/>
  <c r="F72" i="40"/>
  <c r="G72" i="40" s="1"/>
  <c r="D72" i="40"/>
  <c r="F71" i="40"/>
  <c r="G71" i="40" s="1"/>
  <c r="D71" i="40"/>
  <c r="F70" i="40"/>
  <c r="G70" i="40" s="1"/>
  <c r="D70" i="40"/>
  <c r="F69" i="40"/>
  <c r="G69" i="40" s="1"/>
  <c r="D69" i="40"/>
  <c r="B45" i="40"/>
  <c r="D45" i="40" s="1"/>
  <c r="B44" i="40"/>
  <c r="D44" i="40" s="1"/>
  <c r="B43" i="40"/>
  <c r="D43" i="40" s="1"/>
  <c r="D42" i="40"/>
  <c r="B41" i="40"/>
  <c r="D41" i="40" s="1"/>
  <c r="D40" i="40"/>
  <c r="D39" i="40"/>
  <c r="D38" i="40"/>
  <c r="D37" i="40"/>
  <c r="D36" i="40"/>
  <c r="D35" i="40"/>
  <c r="D34" i="40"/>
  <c r="D33" i="40"/>
  <c r="D32" i="40"/>
  <c r="D31" i="40"/>
  <c r="D30" i="40"/>
  <c r="D29" i="40"/>
  <c r="H21" i="40"/>
  <c r="E21" i="40"/>
  <c r="F21" i="40" s="1"/>
  <c r="G21" i="40" s="1"/>
  <c r="H20" i="40"/>
  <c r="E20" i="40"/>
  <c r="F20" i="40" s="1"/>
  <c r="G20" i="40" s="1"/>
  <c r="H19" i="40"/>
  <c r="E19" i="40"/>
  <c r="F19" i="40" s="1"/>
  <c r="G19" i="40" s="1"/>
  <c r="H18" i="40"/>
  <c r="E18" i="40"/>
  <c r="F18" i="40" s="1"/>
  <c r="G18" i="40" s="1"/>
  <c r="H17" i="40"/>
  <c r="E17" i="40"/>
  <c r="F17" i="40" s="1"/>
  <c r="G17" i="40" s="1"/>
  <c r="H16" i="40"/>
  <c r="E16" i="40"/>
  <c r="F16" i="40" s="1"/>
  <c r="G16" i="40" s="1"/>
  <c r="H15" i="40"/>
  <c r="E15" i="40"/>
  <c r="F15" i="40" s="1"/>
  <c r="G15" i="40" s="1"/>
  <c r="H14" i="40"/>
  <c r="E14" i="40"/>
  <c r="F14" i="40" s="1"/>
  <c r="G14" i="40" s="1"/>
  <c r="H13" i="40"/>
  <c r="E13" i="40"/>
  <c r="F13" i="40" s="1"/>
  <c r="G13" i="40" s="1"/>
  <c r="H12" i="40"/>
  <c r="E12" i="40"/>
  <c r="F12" i="40" s="1"/>
  <c r="G12" i="40" s="1"/>
  <c r="H11" i="40"/>
  <c r="E11" i="40"/>
  <c r="F11" i="40" s="1"/>
  <c r="G11" i="40" s="1"/>
  <c r="H10" i="40"/>
  <c r="E10" i="40"/>
  <c r="F10" i="40" s="1"/>
  <c r="G10" i="40" s="1"/>
  <c r="H9" i="40"/>
  <c r="E9" i="40"/>
  <c r="F9" i="40" s="1"/>
  <c r="G9" i="40" s="1"/>
  <c r="H8" i="40"/>
  <c r="E8" i="40"/>
  <c r="F8" i="40" s="1"/>
  <c r="G8" i="40" s="1"/>
  <c r="H7" i="40"/>
  <c r="E7" i="40"/>
  <c r="F7" i="40" s="1"/>
  <c r="G7" i="40" s="1"/>
  <c r="H6" i="40"/>
  <c r="E6" i="40"/>
  <c r="F6" i="40" s="1"/>
  <c r="G6" i="40" s="1"/>
  <c r="H5" i="40"/>
  <c r="E5" i="40"/>
  <c r="F5" i="40" s="1"/>
  <c r="G5" i="40" s="1"/>
  <c r="L5" i="36" l="1"/>
  <c r="I30" i="35"/>
  <c r="I31" i="35"/>
  <c r="I32" i="35"/>
  <c r="I33" i="35"/>
  <c r="I34" i="35"/>
  <c r="I40" i="35"/>
  <c r="I41" i="35"/>
  <c r="I42" i="35"/>
  <c r="I43" i="35"/>
  <c r="I44" i="35"/>
  <c r="I45" i="35"/>
  <c r="I46" i="35"/>
  <c r="I47" i="35"/>
  <c r="I48" i="35"/>
  <c r="I49" i="35"/>
  <c r="I50" i="35"/>
  <c r="I51" i="35"/>
  <c r="I52" i="35"/>
  <c r="I53" i="35"/>
  <c r="I54" i="35"/>
  <c r="I55" i="35"/>
  <c r="I56" i="35"/>
  <c r="I29" i="35"/>
  <c r="U55" i="17"/>
  <c r="V55" i="17" s="1"/>
  <c r="G17" i="35"/>
  <c r="K17" i="35" s="1"/>
  <c r="G18" i="35"/>
  <c r="K18" i="35" s="1"/>
  <c r="G19" i="35"/>
  <c r="K19" i="35" s="1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8" i="35"/>
  <c r="G23" i="35"/>
  <c r="K23" i="35" s="1"/>
  <c r="G22" i="35"/>
  <c r="K22" i="35" s="1"/>
  <c r="G21" i="35"/>
  <c r="K21" i="35" s="1"/>
  <c r="G20" i="35"/>
  <c r="K20" i="35" s="1"/>
  <c r="G16" i="35"/>
  <c r="K16" i="35" s="1"/>
  <c r="G15" i="35"/>
  <c r="K15" i="35" s="1"/>
  <c r="G14" i="35"/>
  <c r="K14" i="35" s="1"/>
  <c r="G13" i="35"/>
  <c r="K13" i="35" s="1"/>
  <c r="G12" i="35"/>
  <c r="K12" i="35" s="1"/>
  <c r="G11" i="35"/>
  <c r="K11" i="35" s="1"/>
  <c r="G10" i="35"/>
  <c r="K10" i="35" s="1"/>
  <c r="G9" i="35"/>
  <c r="K9" i="35" s="1"/>
  <c r="G8" i="35"/>
  <c r="K8" i="35" s="1"/>
  <c r="I57" i="35" l="1"/>
  <c r="I60" i="35" s="1"/>
  <c r="K24" i="35"/>
  <c r="K26" i="35" s="1"/>
  <c r="J64" i="34"/>
  <c r="I64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7" i="34"/>
  <c r="I37" i="34"/>
  <c r="J36" i="34"/>
  <c r="I36" i="34"/>
  <c r="J35" i="34"/>
  <c r="I35" i="34"/>
  <c r="J34" i="34"/>
  <c r="I34" i="34"/>
  <c r="J33" i="34"/>
  <c r="I33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J12" i="34"/>
  <c r="I12" i="34"/>
  <c r="J11" i="34"/>
  <c r="I11" i="34"/>
  <c r="J10" i="34"/>
  <c r="I10" i="34"/>
  <c r="J9" i="34"/>
  <c r="I9" i="34"/>
  <c r="R18" i="33"/>
  <c r="R19" i="33"/>
  <c r="R20" i="33"/>
  <c r="Q21" i="33"/>
  <c r="R21" i="33" s="1"/>
  <c r="Q22" i="33"/>
  <c r="R22" i="33" s="1"/>
  <c r="R23" i="33"/>
  <c r="R24" i="33"/>
  <c r="Q25" i="33"/>
  <c r="R25" i="33" s="1"/>
  <c r="Q26" i="33"/>
  <c r="R26" i="33" s="1"/>
  <c r="Q27" i="33"/>
  <c r="R27" i="33" s="1"/>
  <c r="Q28" i="33"/>
  <c r="R28" i="33" s="1"/>
  <c r="R29" i="33"/>
  <c r="Q30" i="33"/>
  <c r="R30" i="33" s="1"/>
  <c r="Q31" i="33"/>
  <c r="R31" i="33" s="1"/>
  <c r="Q32" i="33"/>
  <c r="R32" i="33" s="1"/>
  <c r="Q33" i="33"/>
  <c r="R33" i="33" s="1"/>
  <c r="Q34" i="33"/>
  <c r="R34" i="33" s="1"/>
  <c r="Q35" i="33"/>
  <c r="R35" i="33" s="1"/>
  <c r="R17" i="33"/>
  <c r="B22" i="31"/>
  <c r="B23" i="31" s="1"/>
  <c r="B25" i="31" s="1"/>
  <c r="B27" i="31" s="1"/>
  <c r="R36" i="33" l="1"/>
  <c r="R37" i="33" s="1"/>
  <c r="R38" i="33" s="1"/>
  <c r="B15" i="28"/>
  <c r="B16" i="28" s="1"/>
  <c r="B17" i="28" s="1"/>
  <c r="J8" i="28"/>
  <c r="I8" i="28"/>
  <c r="H8" i="28"/>
  <c r="G8" i="28"/>
  <c r="F8" i="28"/>
  <c r="E8" i="28"/>
  <c r="D8" i="28"/>
  <c r="C8" i="28"/>
  <c r="K8" i="28" l="1"/>
  <c r="B18" i="28"/>
  <c r="B19" i="28" s="1"/>
  <c r="F16" i="28"/>
  <c r="H16" i="28" l="1"/>
  <c r="E19" i="28" s="1"/>
  <c r="L9" i="28"/>
  <c r="B20" i="28"/>
  <c r="B21" i="28" s="1"/>
  <c r="E25" i="28" l="1"/>
  <c r="K27" i="28"/>
  <c r="E26" i="28"/>
  <c r="E27" i="28" s="1"/>
  <c r="D26" i="25"/>
  <c r="D28" i="25"/>
  <c r="D19" i="25"/>
  <c r="D22" i="25"/>
  <c r="D18" i="25"/>
  <c r="D21" i="25"/>
  <c r="D24" i="25"/>
  <c r="D20" i="25"/>
  <c r="D76" i="17" l="1"/>
  <c r="T77" i="17"/>
  <c r="T78" i="17" s="1"/>
  <c r="T79" i="17" s="1"/>
  <c r="R77" i="17"/>
  <c r="R78" i="17" s="1"/>
  <c r="R79" i="17" s="1"/>
  <c r="D75" i="17"/>
  <c r="E7" i="23" l="1"/>
  <c r="E8" i="23"/>
  <c r="E9" i="23"/>
  <c r="E6" i="23"/>
  <c r="D4" i="17" l="1"/>
  <c r="C4" i="17" s="1"/>
  <c r="D52" i="17" l="1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51" i="17"/>
  <c r="D68" i="17" l="1"/>
  <c r="D5" i="17"/>
  <c r="D6" i="17"/>
  <c r="D12" i="17"/>
  <c r="D13" i="17"/>
  <c r="D14" i="17"/>
  <c r="D15" i="17"/>
  <c r="D16" i="17"/>
  <c r="D9" i="17"/>
  <c r="D10" i="17"/>
  <c r="D11" i="17"/>
  <c r="D8" i="17"/>
  <c r="D7" i="17"/>
  <c r="D17" i="17" l="1"/>
  <c r="G6" i="8"/>
  <c r="H6" i="8" s="1"/>
  <c r="I6" i="8" s="1"/>
  <c r="H15" i="5" l="1"/>
  <c r="H16" i="5"/>
  <c r="H17" i="5"/>
  <c r="H18" i="5"/>
  <c r="H19" i="5"/>
  <c r="H14" i="5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30" i="4"/>
  <c r="H20" i="5" l="1"/>
  <c r="H50" i="4"/>
  <c r="H51" i="4"/>
  <c r="H52" i="4" s="1"/>
  <c r="H49" i="4"/>
  <c r="H53" i="4" l="1"/>
  <c r="K53" i="4" l="1"/>
  <c r="K52" i="4"/>
</calcChain>
</file>

<file path=xl/comments1.xml><?xml version="1.0" encoding="utf-8"?>
<comments xmlns="http://schemas.openxmlformats.org/spreadsheetml/2006/main">
  <authors>
    <author>LIGIA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LIGIA:</t>
        </r>
        <r>
          <rPr>
            <sz val="9"/>
            <color indexed="81"/>
            <rFont val="Tahoma"/>
            <family val="2"/>
          </rPr>
          <t xml:space="preserve">
182 caja de pilse q corresponde an mes de agosto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LIGIA:</t>
        </r>
        <r>
          <rPr>
            <sz val="9"/>
            <color indexed="81"/>
            <rFont val="Tahoma"/>
            <family val="2"/>
          </rPr>
          <t xml:space="preserve">
85 caja que ya corresponde al mes de septiembre
y sigue sumando
</t>
        </r>
      </text>
    </comment>
  </commentList>
</comments>
</file>

<file path=xl/comments2.xml><?xml version="1.0" encoding="utf-8"?>
<comments xmlns="http://schemas.openxmlformats.org/spreadsheetml/2006/main">
  <authors>
    <author>Samuel Carballo</author>
  </authors>
  <commentList>
    <comment ref="I17" authorId="0" shapeId="0">
      <text>
        <r>
          <rPr>
            <b/>
            <sz val="9"/>
            <color indexed="81"/>
            <rFont val="Tahoma"/>
            <family val="2"/>
          </rPr>
          <t>Samuel Carballo: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LIGIA</author>
  </authors>
  <commentList>
    <comment ref="D34" authorId="0" shapeId="0">
      <text>
        <r>
          <rPr>
            <b/>
            <sz val="9"/>
            <color indexed="81"/>
            <rFont val="Tahoma"/>
            <charset val="1"/>
          </rPr>
          <t>LIGIA:</t>
        </r>
        <r>
          <rPr>
            <sz val="9"/>
            <color indexed="81"/>
            <rFont val="Tahoma"/>
            <charset val="1"/>
          </rPr>
          <t xml:space="preserve">
PRECIO COSTO APLICANDOLE EL DESCUENTO DEL 5% SU COSTO REAL ES 0.99
</t>
        </r>
      </text>
    </comment>
    <comment ref="G34" authorId="0" shapeId="0">
      <text>
        <r>
          <rPr>
            <b/>
            <sz val="9"/>
            <color indexed="81"/>
            <rFont val="Tahoma"/>
            <charset val="1"/>
          </rPr>
          <t>LIGIA:</t>
        </r>
        <r>
          <rPr>
            <sz val="9"/>
            <color indexed="81"/>
            <rFont val="Tahoma"/>
            <charset val="1"/>
          </rPr>
          <t xml:space="preserve">
MARGEN 24%
</t>
        </r>
      </text>
    </comment>
    <comment ref="K34" authorId="0" shapeId="0">
      <text>
        <r>
          <rPr>
            <b/>
            <sz val="9"/>
            <color indexed="81"/>
            <rFont val="Tahoma"/>
            <charset val="1"/>
          </rPr>
          <t>LIGIA:</t>
        </r>
        <r>
          <rPr>
            <sz val="9"/>
            <color indexed="81"/>
            <rFont val="Tahoma"/>
            <charset val="1"/>
          </rPr>
          <t xml:space="preserve">
RECUERDA QUE EL 5 % QUE VIENE EN FACTURA NO ESTA APLICADO EN ESTE CALCULO
</t>
        </r>
      </text>
    </comment>
    <comment ref="D35" authorId="0" shapeId="0">
      <text>
        <r>
          <rPr>
            <b/>
            <sz val="9"/>
            <color indexed="81"/>
            <rFont val="Tahoma"/>
            <charset val="1"/>
          </rPr>
          <t>LIGIA:</t>
        </r>
        <r>
          <rPr>
            <sz val="9"/>
            <color indexed="81"/>
            <rFont val="Tahoma"/>
            <charset val="1"/>
          </rPr>
          <t xml:space="preserve">
PRECIO COSTO APLICANDOLE EL DESCUENTO DEL 5% SU COSTO REAL ES DE 1.39 $
</t>
        </r>
      </text>
    </comment>
    <comment ref="G35" authorId="0" shapeId="0">
      <text>
        <r>
          <rPr>
            <b/>
            <sz val="9"/>
            <color indexed="81"/>
            <rFont val="Tahoma"/>
            <charset val="1"/>
          </rPr>
          <t>LIGIA:</t>
        </r>
        <r>
          <rPr>
            <sz val="9"/>
            <color indexed="81"/>
            <rFont val="Tahoma"/>
            <charset val="1"/>
          </rPr>
          <t xml:space="preserve">
magen de ganacia 17 %
</t>
        </r>
      </text>
    </comment>
  </commentList>
</comments>
</file>

<file path=xl/comments4.xml><?xml version="1.0" encoding="utf-8"?>
<comments xmlns="http://schemas.openxmlformats.org/spreadsheetml/2006/main">
  <authors>
    <author>SISTEMA-5</author>
  </authors>
  <commentList>
    <comment ref="E83" authorId="0" shapeId="0">
      <text>
        <r>
          <rPr>
            <b/>
            <sz val="9"/>
            <color indexed="81"/>
            <rFont val="Tahoma"/>
            <family val="2"/>
          </rPr>
          <t>SISTEMA-5:</t>
        </r>
        <r>
          <rPr>
            <sz val="9"/>
            <color indexed="81"/>
            <rFont val="Tahoma"/>
            <family val="2"/>
          </rPr>
          <t xml:space="preserve">
Esto sale de dividir,el p recio sugerido entre el monto real de la factura, si no lo tengo porque cambia de precio uso el anterior y cuando rellegue la factura lo recalculo
</t>
        </r>
      </text>
    </comment>
  </commentList>
</comments>
</file>

<file path=xl/connections.xml><?xml version="1.0" encoding="utf-8"?>
<connections xmlns="http://schemas.openxmlformats.org/spreadsheetml/2006/main">
  <connection id="1" name="2" type="4" refreshedVersion="0" background="1">
    <webPr xml="1" sourceData="1" url="C:\Users\TESORERIA-15\Documents\2.xml" htmlTables="1" htmlFormat="all"/>
  </connection>
</connections>
</file>

<file path=xl/sharedStrings.xml><?xml version="1.0" encoding="utf-8"?>
<sst xmlns="http://schemas.openxmlformats.org/spreadsheetml/2006/main" count="6486" uniqueCount="3236">
  <si>
    <t>Articulo</t>
  </si>
  <si>
    <t>Descripcion</t>
  </si>
  <si>
    <t>GRANOS FRIJOL BLANCO 500 GR PANTERA</t>
  </si>
  <si>
    <t>CARAOTAS NEGRAS 500 GR PANTERA</t>
  </si>
  <si>
    <t>AVENA EN HOJUELAS 400GR PANTERA</t>
  </si>
  <si>
    <t>CARAOTA NEGRA 900GR PANTERA</t>
  </si>
  <si>
    <t>ARVEJA 500 GR AMARILLAS PARTIDAS PANTERA</t>
  </si>
  <si>
    <t>ARVEJA 500 GR VERDE PARTIDA PANTERA</t>
  </si>
  <si>
    <t>GRANOS FRIJOL BAYO 500 GR PANTERA</t>
  </si>
  <si>
    <t>GRANOS QUINCHONCHO 500 GR PANTERA</t>
  </si>
  <si>
    <t>LENTEJAS 500 GR PANTERA</t>
  </si>
  <si>
    <t>GARBANZO 500GR PANTERA</t>
  </si>
  <si>
    <t>FRIJOL VERDE  500GR   PANTERA</t>
  </si>
  <si>
    <t>CARAOTAS BLANCAS 500 GR PANTERA</t>
  </si>
  <si>
    <t>MAIZ PARA COTUFA 500 GR AMARILLO PANTERA</t>
  </si>
  <si>
    <t>ARVEJA VERDE ENTERA 500GR PANTERA</t>
  </si>
  <si>
    <t>ARVEJA VERDE PARTIDA PANTERA 900 GR</t>
  </si>
  <si>
    <t>CARAOTAS ROJA 500 GR PANTERA</t>
  </si>
  <si>
    <t>ARVEJA AMARILLA 500 GR  PANTERA</t>
  </si>
  <si>
    <t>LENTEJA BEBE 500 GR PANTERA</t>
  </si>
  <si>
    <t>LENTEJAS PANTERA 900GR</t>
  </si>
  <si>
    <t>AVENA EN HOJUELAS 800GR PANTERA</t>
  </si>
  <si>
    <t>AZUCAR MONTALBAN PLASTICO 1 KG</t>
  </si>
  <si>
    <t>GRANOS FRIJOL PICO NEGRO  500GR   PANTERA</t>
  </si>
  <si>
    <t>AUTOMERCADO EXPRESS TIENDA PRINCIPAL</t>
  </si>
  <si>
    <t>EXQUISITECES MODELO</t>
  </si>
  <si>
    <t>HIPER MODELO</t>
  </si>
  <si>
    <t>CARRIZAL</t>
  </si>
  <si>
    <t>SAN ANTONIO</t>
  </si>
  <si>
    <t>PANADERIA ROMA</t>
  </si>
  <si>
    <t>QUESO MUNSTER PAISA KG.</t>
  </si>
  <si>
    <t>QUESO MOZZARELA PAISA KG</t>
  </si>
  <si>
    <t>QUESO GOUDA PAISA KG</t>
  </si>
  <si>
    <t>QUESO CREMA PASTEURIZADO 200GR PAISA</t>
  </si>
  <si>
    <t>QUESO CREMA KG</t>
  </si>
  <si>
    <t>QUESO CHEDDAR PARAMO</t>
  </si>
  <si>
    <t>QUESO BLANCO ESPECIAL PAISA KG</t>
  </si>
  <si>
    <t>QUESO AMARILLO MARIBO PAISA KG.</t>
  </si>
  <si>
    <t>NATA DE AQUI 250GR</t>
  </si>
  <si>
    <t>DULCE DE LECHE AREQUIPE 250GR PAISA</t>
  </si>
  <si>
    <t>CREMA DE LECHE TACHIRA 500 GR PAISA</t>
  </si>
  <si>
    <t>CREMA DE LECHE TACHIRA 250GR PAISA</t>
  </si>
  <si>
    <t>AREQUIPE 500 GR PAISA</t>
  </si>
  <si>
    <t>QUESO PECORINO LUCERO KG</t>
  </si>
  <si>
    <t>QUESO PASTEURIZADO LUCERO KG</t>
  </si>
  <si>
    <t>QUESO AMARILLO LUCERO KG</t>
  </si>
  <si>
    <t>QUESO MOZZARELLA LUCERO KG</t>
  </si>
  <si>
    <t>BOTELLA (VACIO) POLAR</t>
  </si>
  <si>
    <t>SOLERA 0.222 LTS IPA POLAR</t>
  </si>
  <si>
    <t>SOLERA 222 ML KRIEK POLAR</t>
  </si>
  <si>
    <t>VACIO DE CERVEZA CON BOTELLA (POLAR)</t>
  </si>
  <si>
    <t>CERVEZA LIGHT 250 ML POLAR (LATA)</t>
  </si>
  <si>
    <t>CERVEZA PILSEN DE LATA 250ML POLAR</t>
  </si>
  <si>
    <t>MALTA LIGERA MALTIN LIGHT 250ML POLAR</t>
  </si>
  <si>
    <t>CERVEZA 222 ML RET SOLERA VERDE POLAR</t>
  </si>
  <si>
    <t>CERVEZA 222 ML RET LIGHT POLAR</t>
  </si>
  <si>
    <t>CERVEZA POLAR TIPO PILSEN 355ML</t>
  </si>
  <si>
    <t>CERVEZA LIGHT DESECHABLE 0.355 L POLAR</t>
  </si>
  <si>
    <t>MALTA POLAR (VIDRIO) RETORNABLE 222ML</t>
  </si>
  <si>
    <t>MALTA DESECHABLE SIN ALCOHOL MALTIN 250ML  POLAR</t>
  </si>
  <si>
    <t>SANGRIA ROSADA 1.75ML CAROREÑA</t>
  </si>
  <si>
    <t>SANGRIA BLANCO 1.75LT CAROREÑA</t>
  </si>
  <si>
    <t>CERVEZA 222 ML POLAR ICE RET</t>
  </si>
  <si>
    <t>SANGRIA VINO TINTO 1.75 LT CAROREÑA</t>
  </si>
  <si>
    <t>MALTIN LIGHT 1.5 LT POLAR</t>
  </si>
  <si>
    <t>MALTA 1.5 LT MALTIN POLAR</t>
  </si>
  <si>
    <t>CERVEZA 222 ML RET PILSEN POLAR</t>
  </si>
  <si>
    <t>COSTO SIN IVA</t>
  </si>
  <si>
    <t>IVA</t>
  </si>
  <si>
    <t>CALCULO DE FACTURA</t>
  </si>
  <si>
    <t>IVA/EX</t>
  </si>
  <si>
    <t>EX</t>
  </si>
  <si>
    <t xml:space="preserve"> </t>
  </si>
  <si>
    <t>UNIDADES X CAJA</t>
  </si>
  <si>
    <t>PRECIO UND</t>
  </si>
  <si>
    <t>PEDIDO</t>
  </si>
  <si>
    <t xml:space="preserve">TOTAL </t>
  </si>
  <si>
    <t>CERVEZA SOLERA AZUL 222 ML RETORNABLE POLAR</t>
  </si>
  <si>
    <t>SUB TOTAL</t>
  </si>
  <si>
    <t>EXENTO</t>
  </si>
  <si>
    <t>BASE IMPONIBLE PARA CALCULAR  IVA</t>
  </si>
  <si>
    <t>TOTAL A PAGAR</t>
  </si>
  <si>
    <t>CERVEZA DESECHABLE 250ML ZULIA</t>
  </si>
  <si>
    <t>REGIONAL LIGHT 222 ML RETORNABLE</t>
  </si>
  <si>
    <t>CERVEZA 300 ML ZULIA</t>
  </si>
  <si>
    <t>CERVEZA LATA 295 ML ZULIA</t>
  </si>
  <si>
    <t>CERVEZA 222 ML RET ZULIA</t>
  </si>
  <si>
    <t>CERVEZA 355 ML REGIONAL LIGHT</t>
  </si>
  <si>
    <t>CHICHA CON LECHE INSTANTANEA 500GR SAN SIMON</t>
  </si>
  <si>
    <t>CHOCO RICO 400 GR SAN SIMON</t>
  </si>
  <si>
    <t>CREMA DE LECHE 1LT LA PARISIENNE CARABOBO</t>
  </si>
  <si>
    <t>LACTOVIGOR 900 GR SAN SIMON</t>
  </si>
  <si>
    <t>LECHE COMPLETA UHT 1 LT PURISIMA</t>
  </si>
  <si>
    <t>LECHE COMPLETA UHT 1 LTR SAN SIMON</t>
  </si>
  <si>
    <t>LECHE DESCREMADA 1 LT UHT PURISIMA</t>
  </si>
  <si>
    <t>LECHE DESCREMADA LIGHT 1 LT SAN SIMON</t>
  </si>
  <si>
    <t>LECHE DESLACTOSADA UHT 1 LT PURISIMA</t>
  </si>
  <si>
    <t>LECHE EN POLVO 900 GR SAN SIMON</t>
  </si>
  <si>
    <t>LECHE EN POLVO COMPLETA 400GR SAN SIMON</t>
  </si>
  <si>
    <t>LECHE SEMIDESCREMADA DESLACTOSADA SAN SIMON 1LT</t>
  </si>
  <si>
    <t>MOZZARELLA BUFALINDA KG</t>
  </si>
  <si>
    <t>QUESO CHEDDAR SONIA KG</t>
  </si>
  <si>
    <t>QUESO PAST.DOÑA SONIA KG</t>
  </si>
  <si>
    <t>ACEITE VEGETAL 828 ML LA MISERICORDIA</t>
  </si>
  <si>
    <t>MANTECA VEGETAL DE PALMA 500GR LA COJEDEÑA</t>
  </si>
  <si>
    <t>MARGARINA 250 GR LA MISERICORDIA</t>
  </si>
  <si>
    <t>MARGARINA 454 GR LA MISERICORDIA</t>
  </si>
  <si>
    <t>PASTA 500 GR VERMICELLI LA VENENCIANA</t>
  </si>
  <si>
    <t>PASTA PREMIUM 1 KG VERMICELLI VENECIANA.</t>
  </si>
  <si>
    <t>PASTA PREMIUM DEDAL Y PLUMITA 500 GR VENECIANA</t>
  </si>
  <si>
    <t>PASTA PREMIUM VERMICELLI LA SIRENA 1 KG</t>
  </si>
  <si>
    <t>VELON BLANCO 110 GR VASO CORTO STAR CANDLE</t>
  </si>
  <si>
    <t>VELONES VARIADOS 460GR LA MISERICORDIA</t>
  </si>
  <si>
    <t>DESCRIPCION</t>
  </si>
  <si>
    <t>CANTIDAD PEDIDA</t>
  </si>
  <si>
    <t>ARTICULOS</t>
  </si>
  <si>
    <t>VENTA</t>
  </si>
  <si>
    <t>INV</t>
  </si>
  <si>
    <t>NO HACE FALT</t>
  </si>
  <si>
    <t>NO HAY</t>
  </si>
  <si>
    <t>CERVEZASOLERA AZUL 222 ML RETORNABLE POLAR</t>
  </si>
  <si>
    <t>CERVEZA SOLERA 222 ML KRIEK POLAR</t>
  </si>
  <si>
    <t xml:space="preserve">CERVEZA SOLERA 0.222 LTS IPA POLAR </t>
  </si>
  <si>
    <t>CODIGO</t>
  </si>
  <si>
    <t>TOTAL UNIDADES</t>
  </si>
  <si>
    <t>TRANFORMADO EN CAJAS</t>
  </si>
  <si>
    <t>CAMBUR GUINEO KG</t>
  </si>
  <si>
    <t>CODIGO INT</t>
  </si>
  <si>
    <t>RECEPCION</t>
  </si>
  <si>
    <t>3165 KG</t>
  </si>
  <si>
    <t>DEV</t>
  </si>
  <si>
    <t>DESCARGO</t>
  </si>
  <si>
    <t>AJUSTE 26/08</t>
  </si>
  <si>
    <t>AUTOMERCADO EXPRESS</t>
  </si>
  <si>
    <t>VENTA DEL MES</t>
  </si>
  <si>
    <t>3092 KG</t>
  </si>
  <si>
    <t>PLATANO KG</t>
  </si>
  <si>
    <t>6322.60 KG</t>
  </si>
  <si>
    <t>3867.80 KG</t>
  </si>
  <si>
    <t xml:space="preserve"> PLATANO DESCARGO PARA MAYA</t>
  </si>
  <si>
    <t>2927.17 KG</t>
  </si>
  <si>
    <t>MAYAS CARGADAS</t>
  </si>
  <si>
    <t>1134 UND</t>
  </si>
  <si>
    <t>298.20 KG</t>
  </si>
  <si>
    <t>80.83 KG</t>
  </si>
  <si>
    <t>589 KG</t>
  </si>
  <si>
    <t>1.38 KG</t>
  </si>
  <si>
    <t>3.63 KG</t>
  </si>
  <si>
    <t>539.08 KG</t>
  </si>
  <si>
    <t>239.63 KG</t>
  </si>
  <si>
    <t xml:space="preserve">DEVOLUCION </t>
  </si>
  <si>
    <t>ESTA AJUSTE  SE PASA A AUTOMERCADO</t>
  </si>
  <si>
    <t>ESTA AJUSTE SE PASA A AUTOMERCADO</t>
  </si>
  <si>
    <t>1318.6 KG</t>
  </si>
  <si>
    <t>1175.46 KG</t>
  </si>
  <si>
    <t>NO HAY NI AJUSTE  NI DEV</t>
  </si>
  <si>
    <t>1082.85 KG</t>
  </si>
  <si>
    <t>975.65 KG</t>
  </si>
  <si>
    <t xml:space="preserve">MES DE AGOSTO </t>
  </si>
  <si>
    <t>Cantidad</t>
  </si>
  <si>
    <t>ACEITE DE SOYA 500 ML KRAYS</t>
  </si>
  <si>
    <t>ACEITE DE SOYA 900 ML KRAYS</t>
  </si>
  <si>
    <t>GALLETA MARIA TRADICIONAL 200 GR KRAYS</t>
  </si>
  <si>
    <t>MAYONESA 445 GR KRAYS</t>
  </si>
  <si>
    <t>MOSTAZA 250 GR KRAYS</t>
  </si>
  <si>
    <t>PASTA PARA PASTICHO 250 GR KRAYS</t>
  </si>
  <si>
    <t>SALSA DE AJO 150 ML KRAYS</t>
  </si>
  <si>
    <t>SALSA DE SOYA 150 ML KRAYS</t>
  </si>
  <si>
    <t>SALSA INGLESA 150 ML KRAYS</t>
  </si>
  <si>
    <t>SALSA P/PASTA NAPOLITANA 490 GR KRAYS</t>
  </si>
  <si>
    <t>SALSA P/PASTA TRADICIONAL 490 GR KRAYS</t>
  </si>
  <si>
    <t>SALSA PARA PASTA 490 GR BOLOGNESA CON CARNE KRAYS</t>
  </si>
  <si>
    <t>SALSA PARA PIZZA 490 GR KRAYS</t>
  </si>
  <si>
    <t>UVAS PASAS 200 GR KRAYS</t>
  </si>
  <si>
    <t>VINAGRE 1 LT KRAYS</t>
  </si>
  <si>
    <t>VINAGRE 3.785 LT KRAYS</t>
  </si>
  <si>
    <t>VINAGRE 500 ML KRAYS</t>
  </si>
  <si>
    <t>DESGRASADOR 1 LT TAPA AMARILLA</t>
  </si>
  <si>
    <t>DETERGENTE JABON LIQUIDO 1 LT TAPA AMARILLA</t>
  </si>
  <si>
    <t>MULTIUSO AZUL 1 LT TAPA AMARILLA</t>
  </si>
  <si>
    <t>MULTIUSO ROSADO 1 LT TAPA AMARILLA</t>
  </si>
  <si>
    <t>DESMANCHADOR TODO COLOR 1LT TAPA AMARILLA</t>
  </si>
  <si>
    <t>CERA NEUTRA 1LT TAPA AMARILLA</t>
  </si>
  <si>
    <t>CLORO NATURAL 1LT TAPA AMARILLA</t>
  </si>
  <si>
    <t>DESENGRASANTE 1LT TAPA AMARILLA</t>
  </si>
  <si>
    <t>CLORO NATURAL 500ML TAPA AMARILLA</t>
  </si>
  <si>
    <t>CLORO LAVANDA 1LT TAPA AMARILLA</t>
  </si>
  <si>
    <t>CLORO FLORAL 1LT TAPA AMARILLA</t>
  </si>
  <si>
    <t>LAVAPLATOS LIMON Y SABILA 1LT TAPA AMARILLA</t>
  </si>
  <si>
    <t>LAVAPLATOS LIMON Y SABILA 500ML TAPA AMARILLA</t>
  </si>
  <si>
    <t>PASTEL GUAYANES LISOL 12UND</t>
  </si>
  <si>
    <t>TEQUEÑO COMERCIAL 10 UNID LISOL</t>
  </si>
  <si>
    <t>TEQUEÑO FIESTERO 50UND LISOL</t>
  </si>
  <si>
    <t>TEQUEÑOS 25 UND FIESTA LISOL</t>
  </si>
  <si>
    <t>TEQUEÑOS 25 UND FIESTERO LISOL</t>
  </si>
  <si>
    <t>TEQUEÑOS COMERCIAL 20 UNID LISOL</t>
  </si>
  <si>
    <t>TEQUEÑOS COMERCIAL DE 30 UNID LISOL</t>
  </si>
  <si>
    <t>TEQUEÑOS JUMBO DE 18 UNID LISOL</t>
  </si>
  <si>
    <t>TEQUEÑOS JUMBO DE 4 UNID LISOL</t>
  </si>
  <si>
    <t>AZUCARADAS 500 GR MAIZORITOS</t>
  </si>
  <si>
    <t>CEREAL 500 GR CRONCH FLAKES MAIZORITOS</t>
  </si>
  <si>
    <t>CEREAL ABECITOS 240 GR  MAIZORITOS</t>
  </si>
  <si>
    <t>CEREAL AZUCARADAS 240GR MAIZORITOS</t>
  </si>
  <si>
    <t>CEREAL DE MAIZ NATURAL MIX GRANOLA Y ALMENDRA 270GR MAIZORITOS</t>
  </si>
  <si>
    <t>CEREAL FLIPS 220GR CHOCOLATE</t>
  </si>
  <si>
    <t>CEREAL FLIPS 220GR DULCE DE LECHE</t>
  </si>
  <si>
    <t>CEREAL FLIPS CHOCOAVELLANAS 220GR ALFONZO RIVAS</t>
  </si>
  <si>
    <t>CEREAL FRUTY AROS 240GR MAIZORITOS</t>
  </si>
  <si>
    <t>CEREAL POP CRONCH 240GR   MAIZORITOS</t>
  </si>
  <si>
    <t>CHOCO AZUCARADAS 240 GR MAIZORITOS</t>
  </si>
  <si>
    <t>CHOCO SAFARI 240 GR MAIZORITOS</t>
  </si>
  <si>
    <t>CRONCH FLAKES 300GR MAIZORITOS</t>
  </si>
  <si>
    <t>FLIPS  DULCE DE  LECHE  120 GR  ALFONZO RIVAS</t>
  </si>
  <si>
    <t>FLIPS CHOCOAVELLANAS 120GR ALFONZO RIVAS</t>
  </si>
  <si>
    <t>FLIPS CHOCOLATE 120GR   ALFONZO RIVAS</t>
  </si>
  <si>
    <t>GELATINA FRUTOS CITRICOS 12GR YELIGHT</t>
  </si>
  <si>
    <t>GELATINA FRUTOS ROJOS 12GR YELIGHT</t>
  </si>
  <si>
    <t>GELATINA SABOR A CEREZA 12G YELIGHT</t>
  </si>
  <si>
    <t>GELATINA SABOR A FRESA 12GR  YELIGHT</t>
  </si>
  <si>
    <t>HOJAS DE MALOJILLO 20 UNIDADES MACCORMICK</t>
  </si>
  <si>
    <t>HONEY MUSTARD VOLTEADA 310 GR MC CORMICK</t>
  </si>
  <si>
    <t>INFUCION ROSA JAMAICA 10 UND MC CORMICK</t>
  </si>
  <si>
    <t>INFUSION 20 UND HERBAL RELAX MC CORMICK</t>
  </si>
  <si>
    <t>INFUSION AROMATICA DE ROSA JAMAICA 30GR MACCORMICK</t>
  </si>
  <si>
    <t>INFUSION FRUTOS ROJOS 20 B MC CORMICK</t>
  </si>
  <si>
    <t>MAIZENA AMERICANA 800 GR ALFONZO RIVAS</t>
  </si>
  <si>
    <t>MAIZINA AMERICANA 2 KG ALFONZO RIVAS</t>
  </si>
  <si>
    <t>MAIZINA AMERICANA 200 GR ALFONZO RIVAS</t>
  </si>
  <si>
    <t>MAIZINA AMERICANA 400 GR ALFONZO RIVAS</t>
  </si>
  <si>
    <t>MAIZINA AMERICANA 90 GR ALFONSO RIVAS</t>
  </si>
  <si>
    <t>MEZCLA P/TORTA DE VAINILLA 520GR MAIZINA AMERICANA</t>
  </si>
  <si>
    <t>MOSTAZA PICANTE 278 GR MC CORMICK</t>
  </si>
  <si>
    <t>MOSTAZA PREPARADA 260 GR MC CORMICK</t>
  </si>
  <si>
    <t>MOSTAZA SPICY BROWN 290 GR MC CORMICK</t>
  </si>
  <si>
    <t>OVOMALTINA INDUSTRIAL 1KG ALFONZO RIVAS</t>
  </si>
  <si>
    <t>OVOMALTINA MAXI 100GR ALFONZO</t>
  </si>
  <si>
    <t>OVOMALTINA TUBO 35 GR ALFONZO</t>
  </si>
  <si>
    <t>POP CRONCH CHOCOLATE 240GR MAIZORITOS</t>
  </si>
  <si>
    <t>SALSA 230GR TERIYAKI MC CORMICK</t>
  </si>
  <si>
    <t>SALSA BBQ 307 GR PICANTE MC CORMICK</t>
  </si>
  <si>
    <t>SALSA BBQ HONEY MUSTAR 295 GR MC CORMICK</t>
  </si>
  <si>
    <t>SALSA BBQ ORIGINAL 230 ML MC CORMICK</t>
  </si>
  <si>
    <t>SALSA DE AJO  150ML  MC CORMICK</t>
  </si>
  <si>
    <t>SALSA DE AJO 300ML   MC CORMICK</t>
  </si>
  <si>
    <t>SALSA DE SOYA 150ML MC CORMICK</t>
  </si>
  <si>
    <t>SALSA DE SOYA 300ML MC CORMICK</t>
  </si>
  <si>
    <t>SALSA INGLESA 150 ML  MC CORMICK</t>
  </si>
  <si>
    <t>SALSA INGLESA 300 ML  MC CORMICK</t>
  </si>
  <si>
    <t>SIROPE DE CHOCOLATE 360 GR MC CORMICK</t>
  </si>
  <si>
    <t>SIROPE SABOR A MAPLE 375 GR MC CORMICK</t>
  </si>
  <si>
    <t>TE DE FLORES DE MANZANILLA 10UNID MC CORMICK</t>
  </si>
  <si>
    <t>TE DE FLORES DE MANZANILLA 20GR MACCORMICK</t>
  </si>
  <si>
    <t>TE EN SOBRE  HOJAS DE TORONJIL 20GR MACCORMICK</t>
  </si>
  <si>
    <t>TE MANZANILLA LIMON Y MIEL 20GR MACCORMICK</t>
  </si>
  <si>
    <t>TE NEGRO 10 BOL 18 GR  MC CORMICK</t>
  </si>
  <si>
    <t>TE NEGRO 36GR MASTER BLEND MACCORMICK</t>
  </si>
  <si>
    <t>TE TILO 15 GR 10 BOL MC CORMICK</t>
  </si>
  <si>
    <t>TE VERDE 20 UNIDADES MACCORMICK</t>
  </si>
  <si>
    <t>TELISTO EN POLVO SABOR A LIMON 400G MCCORMICK</t>
  </si>
  <si>
    <t>TELISTO EN POLVO SABOR DURAZNO 400 GR MC CORMICK</t>
  </si>
  <si>
    <t>TOOST-AVENA 300 GR CANELA</t>
  </si>
  <si>
    <t>TOOST-AVENA 300 GR ORIGINAL</t>
  </si>
  <si>
    <t>PAPEL 1 ROLLO 300 HOJAS JAZMIN SUPER</t>
  </si>
  <si>
    <t>PAPEL SANITARIO ECOLOGICO 150 HOJAS 4ROLLOS SUTIL</t>
  </si>
  <si>
    <t>PAPEL SUTIL CLASSIC 200HOJAS SUTIL</t>
  </si>
  <si>
    <t>PAPEL SUTIL PREMIUM 4ROLLOS 400HOJAS MANPA</t>
  </si>
  <si>
    <t>PAPEL SUTIL PREMIUM 4ROLLOS 500HOJAS MANPA</t>
  </si>
  <si>
    <t>SERVILLETA 160UND PEQUEÑA MARACAY</t>
  </si>
  <si>
    <t>TOALLAS INDUSTRIALES (180) HOJAS MARACAY</t>
  </si>
  <si>
    <t>DAMASCU</t>
  </si>
  <si>
    <t>PAN ARABE 5 UND EL ARABITO</t>
  </si>
  <si>
    <t>PAN ARABE INTEGRAL ARABITO 5UND</t>
  </si>
  <si>
    <t>PAN ARABE PITABURGER ARABITO 12UND</t>
  </si>
  <si>
    <t>30 PAQ</t>
  </si>
  <si>
    <t>20 PAQ</t>
  </si>
  <si>
    <t>10 PAQ</t>
  </si>
  <si>
    <t>ARTICULO</t>
  </si>
  <si>
    <t xml:space="preserve">TEQUEÑO 25 UND DICASAMI </t>
  </si>
  <si>
    <t>BULTOS</t>
  </si>
  <si>
    <t>10 CAJA</t>
  </si>
  <si>
    <t>5 CAJA</t>
  </si>
  <si>
    <t>COMBO HALLAQUERO</t>
  </si>
  <si>
    <t>COMBO 3</t>
  </si>
  <si>
    <t>$</t>
  </si>
  <si>
    <t>PABILO (2 UND)</t>
  </si>
  <si>
    <t>HOJA PARA HACER HALLACAS  (6 KG 2 PAQ)</t>
  </si>
  <si>
    <t>ACEITUNA SIN SEMILLAS (250GR EMPACADO AL VACIO)</t>
  </si>
  <si>
    <t>ALCAPARRA (250 GR EMPACADO AL VACIO)</t>
  </si>
  <si>
    <t>CARNE DE RES (5 KG)</t>
  </si>
  <si>
    <t>POLLO (PECHUGA 2 KG )</t>
  </si>
  <si>
    <t>AJO PORRO 2 KG</t>
  </si>
  <si>
    <t>CEBOLLIN 2 KG</t>
  </si>
  <si>
    <t>CEBOLLA 2 KG</t>
  </si>
  <si>
    <t>AJI DULCE 1 KG</t>
  </si>
  <si>
    <t>AJO CRIOLLO 1 KG</t>
  </si>
  <si>
    <t>PRECIOS</t>
  </si>
  <si>
    <t>ATUN EN LATA 170 GR</t>
  </si>
  <si>
    <t>BOLSA PLASTICA TIPO HIELO</t>
  </si>
  <si>
    <t>GRAMO/KG/UND</t>
  </si>
  <si>
    <t>QUESO FUNDIDO 453 GR KRAFT</t>
  </si>
  <si>
    <t>UND</t>
  </si>
  <si>
    <t>HISTORIAL DE PRODUCTOS NAVIDAD</t>
  </si>
  <si>
    <t>17/09/2020</t>
  </si>
  <si>
    <t>ACEITUNA RELLENA KG</t>
  </si>
  <si>
    <t>19/09/2020</t>
  </si>
  <si>
    <t>TOBO DE ACEITUNA VERDE RELLENAS 15KG</t>
  </si>
  <si>
    <t>16/11/2020</t>
  </si>
  <si>
    <t>ALCAPARRA KG</t>
  </si>
  <si>
    <t>Fecha</t>
  </si>
  <si>
    <t>13/11/2020</t>
  </si>
  <si>
    <t>FRUTAS CONFITADAS CAJA DE 5 KG</t>
  </si>
  <si>
    <t>27/11/2020</t>
  </si>
  <si>
    <t>FRUTAS CONFITADAS KG</t>
  </si>
  <si>
    <t>22/01/2021</t>
  </si>
  <si>
    <t>GLOBAL PACK</t>
  </si>
  <si>
    <t>SAO VICENTE</t>
  </si>
  <si>
    <t>Fecha2</t>
  </si>
  <si>
    <t>23/09/2020</t>
  </si>
  <si>
    <t>ONOTO  ENTERO POR  KG</t>
  </si>
  <si>
    <t>30/09/2020</t>
  </si>
  <si>
    <t>SUMIPAN</t>
  </si>
  <si>
    <t>5 KG</t>
  </si>
  <si>
    <t>3 CAJA</t>
  </si>
  <si>
    <t>CARNE  DE COCHINO (PERNIL CON CUERO EMPACADO AL VACIO 5 KG)</t>
  </si>
  <si>
    <t>PANETON 1 KG HIPER MODELO</t>
  </si>
  <si>
    <t>ACEITUNA 500GR (EMPACADO AL VACIO)</t>
  </si>
  <si>
    <t>MANI SALADO 500GR (EMPAQCADO AL VACIO)</t>
  </si>
  <si>
    <t>QUESO GOUDA 1 KG CUADRADO LUCERO</t>
  </si>
  <si>
    <t>GALLETAS MODELO 500G EN BANDEJA HIPER MODELO</t>
  </si>
  <si>
    <t>TURRON  IMPERIAL 100GR LA MARCONA</t>
  </si>
  <si>
    <t>BEBIDA ESPUMANTE 0.75ML TENTACION</t>
  </si>
  <si>
    <t>HARINA DE MAIZ (4 KG) PAN</t>
  </si>
  <si>
    <t>MAYONESA 445GR MAVESA</t>
  </si>
  <si>
    <t>SALSA DE TOMATE 0.397GR PAMPERO</t>
  </si>
  <si>
    <t>MARGARINA 500GR MAVESA</t>
  </si>
  <si>
    <t>MOZTAZA 490GR HEINZ</t>
  </si>
  <si>
    <t>ACEITE DE OLIVA 500GR EMOC</t>
  </si>
  <si>
    <t>CAFÉ 1 KG KALDY</t>
  </si>
  <si>
    <t>HARINA TODO USO 1 KG DOÑA MARIA</t>
  </si>
  <si>
    <t>SAL 1 KGCELESTIAL</t>
  </si>
  <si>
    <t>LECHE EN POLVO 900GR LA CAMPIÑA</t>
  </si>
  <si>
    <t>SARDINA EN LATA 170 GR PEÑERO</t>
  </si>
  <si>
    <t>MAIZ EN LATA 400.GR  KALDINI</t>
  </si>
  <si>
    <t>CEREAL DE DESAYUNO FAMILIAR 300GR MAIZORITO</t>
  </si>
  <si>
    <t>GELATINA 96GR GOLDEN</t>
  </si>
  <si>
    <t>ACONDICIONADOR  PH 4.5 ALOE STRAK SLIK</t>
  </si>
  <si>
    <t>ACONDICIONADOR 240 ML ANTICAIDA ALOE STRAK SLIK</t>
  </si>
  <si>
    <t>AGUA 60 CC VOL 20 SLIK</t>
  </si>
  <si>
    <t>AGUA 800 ML VOLUMENES 10  MAGICOLOR SLIK</t>
  </si>
  <si>
    <t>AGUA 800 ML VOLUMENES 20 MAGICOLOR SLIK</t>
  </si>
  <si>
    <t>AGUA 800 ML VOLUMENES 40 MAGICOLOR SLIK</t>
  </si>
  <si>
    <t>AGUA OXIGENADA 30VOL 800C SLIK</t>
  </si>
  <si>
    <t>AMPOLLA NUTRITIVA 30ML FORLLED ARGAN</t>
  </si>
  <si>
    <t>AQUA WAX EVOLUTION 140 GR SLIK</t>
  </si>
  <si>
    <t>BAÑO DE CREMA 200 GR CHOCO ALMENDRA  SLIK</t>
  </si>
  <si>
    <t>BAÑO DE CREMA 400 GR VITALITE SLIK</t>
  </si>
  <si>
    <t>BAÑO DE CREMA 500 GR CHOCO ALMENDRA  VAINILLA SLIK</t>
  </si>
  <si>
    <t>CERA DEFINICION 100 GR ALOE STRAK SLIK</t>
  </si>
  <si>
    <t>CERA STYLING CREAM WAX 60 GR SLIK</t>
  </si>
  <si>
    <t>CERA STYLING FIBER WAX 60 GR SLIK</t>
  </si>
  <si>
    <t>CREMA CORPORAL 360 ML MILK NUTRITIVA  SLIK</t>
  </si>
  <si>
    <t>CREMA CORPORAL 360 ML SOFT MILK SLIK</t>
  </si>
  <si>
    <t>CREMA CORPORAL OLEO ARGAN 360 ML SLIK</t>
  </si>
  <si>
    <t>CREMA DE PEINAR 300 GR ETNIK SLIK</t>
  </si>
  <si>
    <t>CREMA DE PEINAR RIZOS DEF.150ML FORLLED</t>
  </si>
  <si>
    <t>CREMA NUTRITIVA ACTIVACION 380ML BRIZNA</t>
  </si>
  <si>
    <t>CREMA NUTRITIVA ELASTICIDAD 380ML BRIZNA</t>
  </si>
  <si>
    <t>CREMA NUTRITIVA HIDRATACION 380ML BRIZNA</t>
  </si>
  <si>
    <t>CREMA NUTRITIVA PROTECCION 380ML BRIZNA</t>
  </si>
  <si>
    <t>ESPUMA FIJADORA 180 GR MOUSSE ALOE STRAK SLIK</t>
  </si>
  <si>
    <t>GEL DE BAÑO 350 ML MANGO SLIK</t>
  </si>
  <si>
    <t>GEL DE BAÑO 350CM SLIK</t>
  </si>
  <si>
    <t>GEL LIMPIADOR ANTIGRASA 240ML FORLLE GOLD LISS</t>
  </si>
  <si>
    <t>KIT BORGOÑA INTENSE NRO 4.6 SLIK</t>
  </si>
  <si>
    <t>KIT CASTAÑO OSCURO NRO 3 SLIK</t>
  </si>
  <si>
    <t>KIT CHOCOLATE INTENSE NRO 6.7 SLIK</t>
  </si>
  <si>
    <t>KIT NEGRO NRO 1 INTENSEVE SLIK</t>
  </si>
  <si>
    <t>LIMPIADOR CAPILAR 240ML PASO 1 BIOKER</t>
  </si>
  <si>
    <t>LIMPIADOR CAPILAR SOBRE 10ML BIOKER</t>
  </si>
  <si>
    <t>MASCARA 180 GR ALOE STRAK SLIK</t>
  </si>
  <si>
    <t>MASCARILLA 240 ML CAPILAR DESENREDANTE BIOKER</t>
  </si>
  <si>
    <t>MASCARILLA DE VISON P/CABELLOS 200ML GELLY</t>
  </si>
  <si>
    <t>POLVO DECOLORANTE FIBRA HAIR 28 GR SLIK</t>
  </si>
  <si>
    <t>POMADA 100 GR STYLE MANDARINA SLIK</t>
  </si>
  <si>
    <t>SHAMPO 350 ML SLIK PAPAYA Y MELON SIN SAL</t>
  </si>
  <si>
    <t>SHAMPOO 240 ML ANTICAIDA SLIK</t>
  </si>
  <si>
    <t>SHAMPOO 240 ML ANTICASPA ALOE STRAK SLIK</t>
  </si>
  <si>
    <t>SHAMPOO 240 ML BRILLO DE PLATA ALOE STRAK</t>
  </si>
  <si>
    <t>SHAMPOO 240 ML CREMOSO ALOE STRAK</t>
  </si>
  <si>
    <t>SHAMPOO 240 ML PH 4.5 ALOE STRAK</t>
  </si>
  <si>
    <t>SHAMPOO LIQUIDO 240 ML ALOE STARK SLIK</t>
  </si>
  <si>
    <t>SHAMPOO SENSITIVE ALOE STRAK 240 ML</t>
  </si>
  <si>
    <t>SOLUCION CAPILAR 65 ML ACEITE DE ARGAN  SLIK</t>
  </si>
  <si>
    <t>TINTE # 3 CASTAÑO OSCURO 60 GR MAGICOLOR PRO SLIK</t>
  </si>
  <si>
    <t>TINTE # 4 CASTAÑO 60 GR MAGICOLOR PRO SLIK</t>
  </si>
  <si>
    <t>TINTE # 5 CASTAÑO CLARO 60 GR MAGICOLOR PRO SLIK</t>
  </si>
  <si>
    <t>TINTE # 6 RUBIO OSCURO 60 GR MAGICOLOR SLIK CAJA ROJA</t>
  </si>
  <si>
    <t>TINTE # 6.1 RUBIO OSCURO CENIZA 60 GR MAGICOLOR</t>
  </si>
  <si>
    <t>TINTE # 6.76 CHOCOLATE CLARO 60 GR MAGICOLOR PRO SLIK</t>
  </si>
  <si>
    <t>TINTE # 7.75 RUBIO MARRON CAOBA 60 GR MAGICOLOR PRO SLIK</t>
  </si>
  <si>
    <t>TINTE # 9.1 RUBIO MUY CLARO CENIZA 60 GR MAGICOLOR</t>
  </si>
  <si>
    <t>TINTE # 9.1 RUBIO MUY CLARO CENIZA 60 GR MAGICOLOR PRO SLIK</t>
  </si>
  <si>
    <t>TINTE # 9.2 RUBIO MUY CLARO 60 GR MAGICOLOR PRO SLIK</t>
  </si>
  <si>
    <t>TINTE #0.00 SUPERACLARANTE ESPECIAL 60GR MAGICOLOR SLIK</t>
  </si>
  <si>
    <t>TINTE #0.1 AZUL INTENSIFICADOR 60 GR MAGICOLOR CAJA ROJA</t>
  </si>
  <si>
    <t>TINTE #0.2 VIOLETA INTENSIFICADOR 60GR MAGICOLOR SLIK C.ROJA</t>
  </si>
  <si>
    <t>TINTE #1 NEGRO 60 GR MAGICOLOR PRO SLIK</t>
  </si>
  <si>
    <t>TINTE #4.6 CASTAÑO ROJIZO 60GR MAGICOLOR SLIK CAJA ROJA</t>
  </si>
  <si>
    <t>TINTE #4.7 TABACO 60 GR MAGICOLOR CAJA ROJA</t>
  </si>
  <si>
    <t>TINTE #7.56 RUBIO CAOBA ROJIZO 60GR MAGICOLOR SLIK</t>
  </si>
  <si>
    <t>TINTE #7.62 RUBIO ROJIZO MALVA 60GR MAGICOLOR SLIK</t>
  </si>
  <si>
    <t>TINTE #7.7 RUBIO MARRON 60 GR MAGICOLOR PRO SLIK</t>
  </si>
  <si>
    <t>TINTE #8 RUBIO CLARO 60GR MAGICOLOR SLIK</t>
  </si>
  <si>
    <t>TINTE #8.45 RUBIO CLARO COBRIZO CAOBA 60GR MAGICOLOR SLIK C/ROJA</t>
  </si>
  <si>
    <t>TINTE #9.2 RUBIO MUY CLARO MALVA 60 GR MAGICOLOR CAJA ROJA</t>
  </si>
  <si>
    <t>TINTE 100 GR # 6.46 RUBIO OSCURO COBRIZO ROJIZO MAGICOLOR SLIK</t>
  </si>
  <si>
    <t>TINTE 100 GR CASTAÑO CLARO ROJIZO #5.6 MAGICOLOR SLIK</t>
  </si>
  <si>
    <t>TINTE 100 GR CHOCOLATE  # 6.7 MAGICOLOR SLIK</t>
  </si>
  <si>
    <t>TINTE 6.3 RUBIO OSCURO DORADO 60 G MAGICOLOR</t>
  </si>
  <si>
    <t>TINTE 60 G NEGRO #1 MAGICOLOR SLIK CAJA ROJA</t>
  </si>
  <si>
    <t>TINTE 60 GR CASTAÑO MEDIUM NRO 4 MAGICOLOR SLIK CAJA ROJA</t>
  </si>
  <si>
    <t>TINTE 60 GR CHOC CLARO #6.76  MAGICOLOR SLIK CAJA ROJA</t>
  </si>
  <si>
    <t>TINTE 60 GR CHOCOLATE # 6.7 SLIK</t>
  </si>
  <si>
    <t>TINTE 60 GR MAGICOLOR 0.2 VIOLETA INTENSIFICADOR SLIK</t>
  </si>
  <si>
    <t>TINTE 60 GR MAGICOLOR PRO 5.6 CASTAÑO CLARO ROJIZO SLIK</t>
  </si>
  <si>
    <t>TINTE 60 GR PLATA #0.9 SLIK MAGICOLOR CAJA ROJA</t>
  </si>
  <si>
    <t>TINTE 60 GR PLATA INTENSIFICADOR #0.9 MAGICOLOR SLIK C.AZUL</t>
  </si>
  <si>
    <t>TINTE 60 GR RUBIO CENIZA #7.1 MAGICOLOR SLIK</t>
  </si>
  <si>
    <t>TINTE 60 GR RUBIO CLARO CENIZA # 8.1 MAGICOLOR SLIK</t>
  </si>
  <si>
    <t>TINTE 60 GR RUBIO CLARO NRO 8 MAGICOLOR SLIK CAJA AZUL</t>
  </si>
  <si>
    <t>TINTE 60 GR RUBIO COBRIZO DORADO # 7.43 MAGICOLOR SLIK C.AZUL</t>
  </si>
  <si>
    <t>TINTE 60 GR RUBIO DORADO # 7.3 SLIK</t>
  </si>
  <si>
    <t>TINTE 60 GR RUBIO EXTRA CLARO #10 SLIK</t>
  </si>
  <si>
    <t>TINTE 60 GR RUBIO OSCURO NRO 6 MAGICOLOR SLIK CAJA ZUL</t>
  </si>
  <si>
    <t>TINTE CASTAÑO 60 GR #3 SLIK CAJA ROJA</t>
  </si>
  <si>
    <t>TINTE CASTAÑO CLARO 60 GR # 5 SLIK CAJA ROJA</t>
  </si>
  <si>
    <t>TINTE CHOCOLATE 6.7 COLOR EFECT</t>
  </si>
  <si>
    <t>TINTE COLOR EFECT SLIK 7 RUBIO NATURAL</t>
  </si>
  <si>
    <t>TINTE COLOR EFECT SLIK 7.7 CHOCOLATE CLARO</t>
  </si>
  <si>
    <t>TINTE COLOR EFECT SLIK 8.1 RUBIO CENIZA CLARO</t>
  </si>
  <si>
    <t>TINTE MAGICOLOR 100 GR 1 NEGRO BLACK</t>
  </si>
  <si>
    <t>TINTE MAGICOLOR 100 GR 6.6 RUBIO OSCURO ROJIZO</t>
  </si>
  <si>
    <t>TINTE MAGICOLOR 100 GR 7.45 RUBIO COBRIZO CAOBA</t>
  </si>
  <si>
    <t>TINTE MAGICOLOR 60 GR 6.7 CHOCOLATE SLIK</t>
  </si>
  <si>
    <t>TINTE MAGICOLOR 8.1 RUBIO CLARO CENIZA 60 GR SLIK</t>
  </si>
  <si>
    <t>TINTE NEGRO AZULADO # 1.8 SLIK CAJA ROJA</t>
  </si>
  <si>
    <t>TINTE RUBIO CAOBA 60 GR # 7.75 SLIK</t>
  </si>
  <si>
    <t>TINTE RUBIO CLARO DORADO 60 GR #8.3 SLIK</t>
  </si>
  <si>
    <t>TINTE RUBIO MARRON 60 GR # 7.7 SLIK CAJA ROJA</t>
  </si>
  <si>
    <t>TINTE RUBIO MUY CLARO  60 GR MAGICOLOR # 9 SLIK CAJA ROJA</t>
  </si>
  <si>
    <t>TINTE RUBIO NATURAL #7 60 GR SLIK CAJA ROJA</t>
  </si>
  <si>
    <t>TINTE TABACO 4.7 COLOR EFECT</t>
  </si>
  <si>
    <t>TINTE#5.37 CARAMELO TOSTADO 60GR MAGICOLOR SLIK C.ROJA</t>
  </si>
  <si>
    <t>TRATAMIENTO 240 ML PARA CABELLO BRILLO DE PERLA SLIK</t>
  </si>
  <si>
    <t>TRATAMIENTO 240 ML PARA CABELLO BRILLO DE PLATA SLIK</t>
  </si>
  <si>
    <t>TRATAMIENTO ANTIGRASA 350 ML FRUTAL SLIK</t>
  </si>
  <si>
    <t>ACOND. DRENE EXTRA LISO 350ML FISA</t>
  </si>
  <si>
    <t>ACOND. DRENE SECO MALTRATADO 350ML FISA</t>
  </si>
  <si>
    <t>ACOND. EVERY NIGHT RIZADO/ONDULADI.350ML FRUTAS FISA</t>
  </si>
  <si>
    <t>ACOND.EVERY NIGHT EXTR/FRUT SEC/MALT 350ML FISA</t>
  </si>
  <si>
    <t>ACONDICIONADOR EXTRATOS DE FRUTAS EVERY NIGHT 200CC</t>
  </si>
  <si>
    <t>AXION LIQUIDO LIMON 400ML</t>
  </si>
  <si>
    <t>BRISOL LIQUIDO 1LT MULTIUSO</t>
  </si>
  <si>
    <t>CHAMPU  DRENE ANTICAIDA 350ML FISA</t>
  </si>
  <si>
    <t>CHAMPU BIO CACAO Y FRUTS 210ML EVERY NIGHT</t>
  </si>
  <si>
    <t>CHAMPU BIO CEREAL MULTV.365ML EVERY NIGHT</t>
  </si>
  <si>
    <t>CHAMPU BIO COCO 210ML EVERY NIGHT</t>
  </si>
  <si>
    <t>CHAMPU BIO EXTRACTOS DE FRUTA 365 ML EVERY NIGHT</t>
  </si>
  <si>
    <t>CHAMPU BIO NUTR. COCO 365ML EVERY NIGHT</t>
  </si>
  <si>
    <t>CHAMPU DRENE ANTICASPA GRASO 350ML FISA DRENE</t>
  </si>
  <si>
    <t>CHAMPU DRENE ANTICASPA SECO 350ML FISA DRENE</t>
  </si>
  <si>
    <t>CHAMPU DRENE ANTICASPA/ANTICAIDA 350ML FISA</t>
  </si>
  <si>
    <t>CHAMPU DRENE EXTRA LISO 200ML FISA</t>
  </si>
  <si>
    <t>CHAMPU DRENE EXTRA LISO 350ML FISA</t>
  </si>
  <si>
    <t>CHAMPU DRENE SECO MALTRATADO 200ML FISA</t>
  </si>
  <si>
    <t>CHAMPU DRENE SECO MALTRATADO 350ML FISA</t>
  </si>
  <si>
    <t>CHAMPU EVERY NIGHT DE NIÑOS 200ML FISA</t>
  </si>
  <si>
    <t>CHAMPU EVERY NIGHT EXT.D FRUT SEC/MALT 350ML FISA</t>
  </si>
  <si>
    <t>CHAMPU EVERY NIGHT EXT.DE FRUT RIZ/OND 350ML FISA</t>
  </si>
  <si>
    <t>CHAMPU EVERY NIGHT MANZANILLA P/NIÑOS 350ML FISA</t>
  </si>
  <si>
    <t>CHAMPU EVERY NIGHT P/ NIÑOS 350ML FISA</t>
  </si>
  <si>
    <t>CHAMPU EVERY NIGHT SECO/DAÑADO 350ML FISA</t>
  </si>
  <si>
    <t>CHAMPU EVERY NIGHT SECO/REBELDE 350ML FISA</t>
  </si>
  <si>
    <t>CHAMPU P/CABELLO SECO 400ML EVERY DAY</t>
  </si>
  <si>
    <t>COLGATE CEPILLO TWSTER WHITE 2X1 MED</t>
  </si>
  <si>
    <t>COLGATE ENJ/BUC PLAX ICE INFINITY</t>
  </si>
  <si>
    <t>COLONIA FRESCA EVERY NIGHT P/NIÑOS 200ML FISA</t>
  </si>
  <si>
    <t>COLONIA SUAVE EVERY NIGHT P/NIÑOS 200ML FISA</t>
  </si>
  <si>
    <t>CREMA CORPORAL HIDRA/MAX/PROTEC 365ML COCO&amp;AV</t>
  </si>
  <si>
    <t>CREMA CORPORAL HIDRA/PROF/REPAR 365ML MIEL&amp;TRIG</t>
  </si>
  <si>
    <t>CREMA CORPORAL HIDRAT/SUAVE 365ML MILK</t>
  </si>
  <si>
    <t>CREMA CORPORAL OLE VERA  EVERY NIGHT 200ML</t>
  </si>
  <si>
    <t>CREMA CORPORAL/HIDRA/ULTRA/ANTIOX 365ML CACAO&amp;FRT</t>
  </si>
  <si>
    <t>CREMA DENTAL  105GR TRIPLE ACCION  COLGATE</t>
  </si>
  <si>
    <t>CREMA DENTAL  PLAX 100ML COLGATE</t>
  </si>
  <si>
    <t>CREMA DENTAL 100ML  TRIPLE ACCION MENTA ORIGINAL 123 COLGATE</t>
  </si>
  <si>
    <t>CREMA DENTAL 100ML MAXIMA PROTECCION COLGATE</t>
  </si>
  <si>
    <t>CREMA DENTAL 50 ML KIDS COLGATE</t>
  </si>
  <si>
    <t>CREMA DENTAL 75 ML MENTA COLGATE</t>
  </si>
  <si>
    <t>CREMA DENTAL MAXIMA PROTECCION 50ML COLGATE</t>
  </si>
  <si>
    <t>CREMA DENTAL SENSITIVE 110 GR PRO-ALIVIO COLGATE</t>
  </si>
  <si>
    <t>CREMA DENTAL TRIPLE ACCION 75ML COLGATE</t>
  </si>
  <si>
    <t>CREMA DRENE P/ PEINAR EXTRA LISO 240ML FISA</t>
  </si>
  <si>
    <t>CREMA LUMINOUS WHITE BRILLIANT 75ML COLGATE</t>
  </si>
  <si>
    <t>CREMA MULTIUSO 500GR AXION</t>
  </si>
  <si>
    <t>CREMA P/ PEINAR DRENE SECO MALT/ 240ML FISA</t>
  </si>
  <si>
    <t>CREMA P/PEINAR 300ML HIDRAT.MAXIMA SECO/MALT.EVERY NIGHT</t>
  </si>
  <si>
    <t>CREMA P/PEINAR 300ML HIDRAT.PROFUNDA RIZ/OND. EVERY NIGHT</t>
  </si>
  <si>
    <t>CREMA P/PEINAR DRENE ANTICAIDA 240ML FISA</t>
  </si>
  <si>
    <t>CREMA P/PEINAR NIÑOS 240ML EVERY NIGHT</t>
  </si>
  <si>
    <t>DESENGRASANTE 1 LT MULTISUPERFICIE AJAX</t>
  </si>
  <si>
    <t>DESENGRASANTE 550 GR POLVO AJAX</t>
  </si>
  <si>
    <t>DESENGRASANTE MULTISUPERFICIE 500ML AJAX</t>
  </si>
  <si>
    <t>DESKARO BLUE DESODORANTE BOLITA 75G</t>
  </si>
  <si>
    <t>DESODORANTE BIO BABY PING 90GR EVERY NIGHT</t>
  </si>
  <si>
    <t>DESODORANTE BIO NATURELLE  90GR EVERY NIGHT</t>
  </si>
  <si>
    <t>DESODORANTE BIO POWDER 90GR  EVERY NIGHT</t>
  </si>
  <si>
    <t>DESODORANTE BIO SPRING FRESH 90GR EVERY NIGHT</t>
  </si>
  <si>
    <t>DETERGENTE ABC 1KG LIMON</t>
  </si>
  <si>
    <t>DETERGENTE ABC DURAZNO 1KG</t>
  </si>
  <si>
    <t>DETERGENTE ABC DURAZNO 400G</t>
  </si>
  <si>
    <t>DETERGENTE LIQUIDO 500 ML VEL ROSA</t>
  </si>
  <si>
    <t>DETERGENTE VEL ROSA DELICADA 1LT</t>
  </si>
  <si>
    <t>DRENE ACONDICIONADOR 200 ML EXTRA LISO</t>
  </si>
  <si>
    <t>DRENE ACONDICIONADOR 200 ML SECO MALTRATADO</t>
  </si>
  <si>
    <t>ENJUAGUE BUCAL PERIOGARD 250ML COLGATE</t>
  </si>
  <si>
    <t>ENJUAGUE BUCAL PLAX ICE 250ML COLGATE</t>
  </si>
  <si>
    <t>ENJUAGUE BUCAL PLAX ICE INFINITY 250ML COLGATE</t>
  </si>
  <si>
    <t>FIJADOR CREMA TUBO MOLDEADO Y CONTROL 45 GR EVERY NIGHT</t>
  </si>
  <si>
    <t>GEL ANTIBACTERIAL ALOE VERA 200ML EVERY NIHT</t>
  </si>
  <si>
    <t>GEL DENTAL KIDS FRESANTASTICO 50GR COLGATE</t>
  </si>
  <si>
    <t>GEL ESPUMOSO 3EN1 FOR MEN ACTIVE 350ML EVERY NIGHT</t>
  </si>
  <si>
    <t>GEL ESPUMOSO 3EN1 FOR MEN FRESH 350ML EVERY NIGHT</t>
  </si>
  <si>
    <t>GEL FIJADOR 250 GR FRESH EVERY NIGHT</t>
  </si>
  <si>
    <t>GEL FIJADOR 250 GR POWER EVERY NIGHT</t>
  </si>
  <si>
    <t>GEL FIJADOR 250 GR STRONG EVERY NIGHT</t>
  </si>
  <si>
    <t>GEL REFRESCANTE BUCAL PLAX 75ML COLGATE</t>
  </si>
  <si>
    <t>JABON 221 ML LIQUIDO AVENA PROTEX</t>
  </si>
  <si>
    <t>JABON ALOE &amp; OLIVA 3 X 75 GR PALMOLIVE</t>
  </si>
  <si>
    <t>JABON DE AVENA EVERY NIGHT 110GR</t>
  </si>
  <si>
    <t>JABON EXPLOSION TROPICAL EVERY NIGHT 110GR</t>
  </si>
  <si>
    <t>JABON MANZANA VERDE EVERY NIGHT 110GR</t>
  </si>
  <si>
    <t>JABON PALMOLIVE SENSACION HUMECTANTE X 3 375 GR</t>
  </si>
  <si>
    <t>JABON PROTEX ALOE X 3 270 GR</t>
  </si>
  <si>
    <t>KEROSENE 1000ML ARCA</t>
  </si>
  <si>
    <t>KEROSENE 500ML ARCA</t>
  </si>
  <si>
    <t>KEROSENE HIUK</t>
  </si>
  <si>
    <t>LAVAPLATOS EN CREMA AXION LIMON 450G</t>
  </si>
  <si>
    <t>LAVAPLATOS MULTIUSO 500ML BRISOL</t>
  </si>
  <si>
    <t>LAVAPLATOS MULTIUSO EN CREMA 230 GR AXION</t>
  </si>
  <si>
    <t>MATAVOLADOR 235 ML  FLYTOX</t>
  </si>
  <si>
    <t>PAUL GRINE DESODORANTE AEROSOL POUR HOME 200 ML</t>
  </si>
  <si>
    <t>PINO PINEX ANTI-BACTERIAL JABONOSO 830ML HIUK</t>
  </si>
  <si>
    <t>ROLL-ON 24H FOR MEN FRESH 90GR EVERY NIGHT</t>
  </si>
  <si>
    <t>ROLL-ON 24H FOR MEN SPORT 90GR EVERY NIGHT</t>
  </si>
  <si>
    <t>SHAMPOO 365 ML TE VERDE Y ALOE EVERY NIGHT</t>
  </si>
  <si>
    <t>SHAMPOO BIONUTRIENTES 210 ML EXTRATOS FRUTAS EVERY NIGHT</t>
  </si>
  <si>
    <t>SUAVITEL ACOND. 1LT  FRESCA PRIMAVERA</t>
  </si>
  <si>
    <t>SUAVIZANTE 1 LT SUAVITEL FRESCA PRIMAVERA</t>
  </si>
  <si>
    <t>SUAVIZANTE BESS"Q CARICIA FLORAL 1LT HIUK</t>
  </si>
  <si>
    <t>SUAVIZANTE FRESCA PRIMAVERA 500 C SUAVITEL</t>
  </si>
  <si>
    <t>VENSOL  500ML ARCA</t>
  </si>
  <si>
    <t>VENSOL 1000ML ARCA</t>
  </si>
  <si>
    <t>ACE BLANCOS DIAMANTE 400GR P&amp;G</t>
  </si>
  <si>
    <t>DESODORANTE ROLL ON  COLONIA 90GR MUM</t>
  </si>
  <si>
    <t>DETERGENTE ACE MAXI LIMPIEZA  800GR</t>
  </si>
  <si>
    <t>DETERGENTE ACE MAXI LIMPIEZA 500GR</t>
  </si>
  <si>
    <t>DETERGENTE ARIEL DOBLE PODER 850GR</t>
  </si>
  <si>
    <t>DETERGENTE ARIEL TOQUE DOWNY 750GR</t>
  </si>
  <si>
    <t>DOWNY 800ML ENJUAGUE CONCENTRADO AROMA FLORAL</t>
  </si>
  <si>
    <t>ENJUAGUE DOWNY OCEANO BREEZE  800ML</t>
  </si>
  <si>
    <t>ENJUAGUE DOWNY SUAVE Y GENTIL 800ML</t>
  </si>
  <si>
    <t>ESPONJA ACERO INOXIDABLE 1UNID IZY CLEAN</t>
  </si>
  <si>
    <t>ESPONJA DOBLE USO 1UNID IZY CLEAN</t>
  </si>
  <si>
    <t>ESPONJA JABONOSA  1 UND IZY CLEAN</t>
  </si>
  <si>
    <t>ESPONJA MULTIUSO IZY CLEAN</t>
  </si>
  <si>
    <t>ESPONJA SALVA UÑAS  IZY CLEAN</t>
  </si>
  <si>
    <t>ESPONJA TODO TERRENO YZICLEAN</t>
  </si>
  <si>
    <t>JABON AROMA CITRICO ROPA 200GR SUPREMO</t>
  </si>
  <si>
    <t>JABON AROMA FLORAL ROPA 200GR SUPREMO</t>
  </si>
  <si>
    <t>JABON AVENA Y ARGAN 90GR MONCLER</t>
  </si>
  <si>
    <t>JABON DE TOCADOR 75GR PURE SUAVISA/REV  MONCLER</t>
  </si>
  <si>
    <t>JABON EN BARRA 200 GR LIMON SUPREMO</t>
  </si>
  <si>
    <t>JABON ENERGIA AMARILLO 90GR MONCLER</t>
  </si>
  <si>
    <t>JABON HUMECTANTE BLANCO 90GR MONCLER</t>
  </si>
  <si>
    <t>JABON MICELAR HIDRATANTE 90GR MONCLER</t>
  </si>
  <si>
    <t>JABON MULTIUSO LIMON 100GR SUPREMO</t>
  </si>
  <si>
    <t>JABON NUTRI-CARE 90GR MONCLER</t>
  </si>
  <si>
    <t>JABON RADIANTE 90GR MONCLER</t>
  </si>
  <si>
    <t>JABON REFRESCANTE AZUL 90GR MONCLER</t>
  </si>
  <si>
    <t>JABON TOCADOR 125 GR ALOE VERA MIMLOT</t>
  </si>
  <si>
    <t>JABON TOCADOR 125 GR LIMON MIMLOT</t>
  </si>
  <si>
    <t>JABON TOCADOR 125 GR MANZANA MIMLOT</t>
  </si>
  <si>
    <t>JABON TOCADOR 90 GR ALMENDRA MIMLOT</t>
  </si>
  <si>
    <t>JABON TOCADOR 90 GR FRESA MIMLOT</t>
  </si>
  <si>
    <t>LAVALOZA 400 ML LIQUIDO SUPREMO</t>
  </si>
  <si>
    <t>LAVALOZA 720 ML LIQUIDO ARRASA C/ GRASA SUPREMO</t>
  </si>
  <si>
    <t>PANTENE PRO-V 3 MINUTOS MIRACLE 170 ML RESTAURACION</t>
  </si>
  <si>
    <t>PAÑAL ( P) CONFORT SEC 28 UND PAMPERS</t>
  </si>
  <si>
    <t>PAÑAL CONFORT SEC M 24 UND PAMPERS</t>
  </si>
  <si>
    <t>PAÑAL CONFORT SEC TALLA G 20 UND PAMPERS</t>
  </si>
  <si>
    <t>PAÑAL CONFORT SEC XG 18 UND PAMPERS</t>
  </si>
  <si>
    <t>PAÑAL CONFORT SEC XXG 16 UND PAMPERS</t>
  </si>
  <si>
    <t>PAÑAL PAMPERS JUEGOS Y SUEÑOS (M)</t>
  </si>
  <si>
    <t>PAÑAL XGDE 32 UND PAMPERS SUEÑOS</t>
  </si>
  <si>
    <t>PROTECTORES DIARIOS 40 UND SIN PERFUME FRIENDS</t>
  </si>
  <si>
    <t>QUITA GRASA 500 ML ROCIADOR SUPREMO</t>
  </si>
  <si>
    <t>ROLL-ON 60 GR POWER RUSH GILLETTE</t>
  </si>
  <si>
    <t>ROLL-ON 60 ML POWDER PROTECT SECRET</t>
  </si>
  <si>
    <t>ROLL-ON COOL WAVE 60/57 ML GR GILLETTE</t>
  </si>
  <si>
    <t>ROLL-ON POWDER FRESH 60 GR SECRET ULTRA</t>
  </si>
  <si>
    <t>SHAMPOO 200ml RESTAURACION ORIGINAL PANTENE</t>
  </si>
  <si>
    <t>SHAMPOO 2EN1 HEAD &amp; SHOLDERS 375 ML LIMPIEZA RENOVADA</t>
  </si>
  <si>
    <t>SHAMPOO 375 ML HEAD &amp; SHOLDERS LIMPIEZA RENOVADORA</t>
  </si>
  <si>
    <t>SHAMPOO 400 ML LISO EXTREMO PANTENE.</t>
  </si>
  <si>
    <t>SHAMPOO HEAD &amp; SHOLDERS 375 ML PROTECCION CAIDA</t>
  </si>
  <si>
    <t>TOALLAS HIGIENICAS 8UND. SUAVE  FLEXI ALAS ALWAYS</t>
  </si>
  <si>
    <t>TOALLAS HUMEDAS CREMA 72PCS MIMLOT</t>
  </si>
  <si>
    <t>TOALLAS HUMEDAS-ALOE VERA 72PCS MIMLOT</t>
  </si>
  <si>
    <t>3 BULTOS</t>
  </si>
  <si>
    <t>Costo</t>
  </si>
  <si>
    <t>TURRON  DE MANI DURO 100 GR.LA MARCONA</t>
  </si>
  <si>
    <t>TURRON MANI CON CHOCOLATE 150 GR. LA MARCONA</t>
  </si>
  <si>
    <t>TURRON IMPERIAL 150 GR CHOCOLATE LA MARCONA</t>
  </si>
  <si>
    <t>TURRON IMPERIAL 100GR</t>
  </si>
  <si>
    <t>PRECIO X CAJA</t>
  </si>
  <si>
    <t>PEDIDO AUTOMERCADO EXPRESS 2707</t>
  </si>
  <si>
    <t>CAJA</t>
  </si>
  <si>
    <t>2 BULTOS</t>
  </si>
  <si>
    <t>2 BULTO</t>
  </si>
  <si>
    <t>2 CAJA</t>
  </si>
  <si>
    <t>1 CAJA</t>
  </si>
  <si>
    <t>4 BULTOS</t>
  </si>
  <si>
    <t>1 BULTOS</t>
  </si>
  <si>
    <t>5 BULTOS</t>
  </si>
  <si>
    <t xml:space="preserve">QUESO FUND PARA UNTAR 300GM DALVITO </t>
  </si>
  <si>
    <t>COSTO</t>
  </si>
  <si>
    <t>TOTAL</t>
  </si>
  <si>
    <t>MAS MARGEN</t>
  </si>
  <si>
    <t>RIKESA QUESO CHEDDAR ORIGINAL 300GR RIKESA</t>
  </si>
  <si>
    <t xml:space="preserve">MERCANCIA </t>
  </si>
  <si>
    <t>DESPACHOSADELANTOS  NAVIDEÑOS</t>
  </si>
  <si>
    <t>UVAS PASAS</t>
  </si>
  <si>
    <t>CODIGO DE BARRA</t>
  </si>
  <si>
    <t>FECHA</t>
  </si>
  <si>
    <t>CEPILLO CLASSIC MEDIO GALACTIC</t>
  </si>
  <si>
    <t>CEPILLO CLASSIC SUAVE GALACTIC</t>
  </si>
  <si>
    <t>CREMA DENTAL 100 GR NIÑAS TUTI KIDS GALACTIC</t>
  </si>
  <si>
    <t>CREMA DENTAL 100 GR NIÑO TUTI KIDS GALACTIC</t>
  </si>
  <si>
    <t>CREMA DENTAL 100 GR ULTRA MENTA ICE GALACTIC</t>
  </si>
  <si>
    <t>CREMA DENTAL 120 GR DIAMOND WHITE GALACTIC.</t>
  </si>
  <si>
    <t>CREMA DENTAL 120 GR ULTRA MINT GALACTIC.</t>
  </si>
  <si>
    <t>CREMA DENTAL CLASSIC 180 GR GALACTIC</t>
  </si>
  <si>
    <t>CREMA DENTAL CLASSIC 63 GR GALACTIC</t>
  </si>
  <si>
    <t>CREMA DENTAL CLASSSIC 100 GR GALACTIC</t>
  </si>
  <si>
    <t>PASTA LARGA VERMICELLI  1KG PREMIUM  LA ESPECIAL</t>
  </si>
  <si>
    <t>PASTA PREMIUM 1 KG DEDAL LA ESPECIAL</t>
  </si>
  <si>
    <t>PASTA PREMIUM 1 KG PLUMA LA ESPECIAL</t>
  </si>
  <si>
    <t>PASTA PREMIUM 500 GR PLUMA COLLEZIONE</t>
  </si>
  <si>
    <t>PASTA PREMIUM 500 GR RIGATONE COLLEZIONE</t>
  </si>
  <si>
    <t>PASTA PREMIUM 500 GR VERMICELLI COLLEZIONE</t>
  </si>
  <si>
    <t>TALCO MEDICADO 283 GR CARE STUDIO</t>
  </si>
  <si>
    <t>TALCO P/PIES 142 GR CARE STUDIO</t>
  </si>
  <si>
    <t>24 UND</t>
  </si>
  <si>
    <t>4 DISPLEY</t>
  </si>
  <si>
    <t>1 DISPLEY</t>
  </si>
  <si>
    <t>3 DISPLEY</t>
  </si>
  <si>
    <t>30 BULTOS</t>
  </si>
  <si>
    <t>10 BULTOS</t>
  </si>
  <si>
    <t>NO</t>
  </si>
  <si>
    <t>PEDIDO GRUPO PRINCIPAL CAPITAL</t>
  </si>
  <si>
    <t>POLLO ENTERO</t>
  </si>
  <si>
    <t>ALAS</t>
  </si>
  <si>
    <t>ALAS PARRILLERAS</t>
  </si>
  <si>
    <t xml:space="preserve">MUSLOS DE POLLO </t>
  </si>
  <si>
    <t>MUSLO DE POLLO PARRILLERI</t>
  </si>
  <si>
    <t>PATAS DE POLLO</t>
  </si>
  <si>
    <t>MILANESA DE POLLO</t>
  </si>
  <si>
    <t>MOLLEJA</t>
  </si>
  <si>
    <t>HIGADO DE POLLO</t>
  </si>
  <si>
    <t>ASADURA</t>
  </si>
  <si>
    <t xml:space="preserve">CHORIZO AHUMADO </t>
  </si>
  <si>
    <t>CHORIZO AJO</t>
  </si>
  <si>
    <t>MORCILLA</t>
  </si>
  <si>
    <t>CHULETA AHUMADA</t>
  </si>
  <si>
    <t>CHULETA FRESCA</t>
  </si>
  <si>
    <t>HUESO AHUMADO</t>
  </si>
  <si>
    <t>GALLINA KG</t>
  </si>
  <si>
    <t xml:space="preserve">TOCINETA </t>
  </si>
  <si>
    <t xml:space="preserve">PRECIO </t>
  </si>
  <si>
    <t>MAELLA</t>
  </si>
  <si>
    <t>PRODALVA</t>
  </si>
  <si>
    <t>CARNICO</t>
  </si>
  <si>
    <t>PERNIL SIN HUESO</t>
  </si>
  <si>
    <t>COSTILLA DE COCHINO   FRESCA</t>
  </si>
  <si>
    <t>PATA DE COCHINO</t>
  </si>
  <si>
    <t>TOCINO SIN PIEL</t>
  </si>
  <si>
    <t>TOCINO CON PIEL</t>
  </si>
  <si>
    <t xml:space="preserve">CODIGO </t>
  </si>
  <si>
    <t xml:space="preserve">DESCRIPCION </t>
  </si>
  <si>
    <t>QUESO DURO X KG</t>
  </si>
  <si>
    <t>RICCOTTE X KG</t>
  </si>
  <si>
    <t>GUAYANES X KG</t>
  </si>
  <si>
    <t>TELITA X KG</t>
  </si>
  <si>
    <t>QUESO POTE AREPERO</t>
  </si>
  <si>
    <t>MASA FACIL DOÑA CUSTODIA</t>
  </si>
  <si>
    <t>ROMA</t>
  </si>
  <si>
    <t>ALCAPARA</t>
  </si>
  <si>
    <t>ACEITUNA RELLENA</t>
  </si>
  <si>
    <t>ONOTO</t>
  </si>
  <si>
    <t>CIRUELAS PASA</t>
  </si>
  <si>
    <t>OREJONES DE MANZANA</t>
  </si>
  <si>
    <t>AUTO</t>
  </si>
  <si>
    <t>EXQ</t>
  </si>
  <si>
    <t>MOD</t>
  </si>
  <si>
    <t>SAN ANT</t>
  </si>
  <si>
    <t>HOYADA</t>
  </si>
  <si>
    <t>6/09/2020 al 31/12/2020</t>
  </si>
  <si>
    <t>ANALIZIS</t>
  </si>
  <si>
    <t xml:space="preserve">AUTOMERCADO EXPRESS 2707 </t>
  </si>
  <si>
    <t xml:space="preserve">EXQUISITECES  MODELO </t>
  </si>
  <si>
    <t xml:space="preserve"> HIPER MODE</t>
  </si>
  <si>
    <t>SAN ANTONIO EXPRERSS</t>
  </si>
  <si>
    <t xml:space="preserve">ROMA EXPRES  </t>
  </si>
  <si>
    <t>HOYADA  EXPRESS</t>
  </si>
  <si>
    <t>MI PAN BERMUPAN</t>
  </si>
  <si>
    <t xml:space="preserve">SAN PEDRO  </t>
  </si>
  <si>
    <t>REFRESCO 7UP 2 LT PEPSI COLA</t>
  </si>
  <si>
    <t>REFRESCO KOLITA 2 LTS GOLDEN PEPSI COLA</t>
  </si>
  <si>
    <t>REFRESCO PEPSI 2 LTS PEPSI COLA</t>
  </si>
  <si>
    <t>REFRESCO PEPSI LIGHT  2 LTS PEPSI COLA</t>
  </si>
  <si>
    <t>TOTAL UNID</t>
  </si>
  <si>
    <t xml:space="preserve">TOTAL CAJAS </t>
  </si>
  <si>
    <t>REFRESCO 2 LT</t>
  </si>
  <si>
    <t>DESCUENTO</t>
  </si>
  <si>
    <t xml:space="preserve"> COSTO 2 LT PRECIO UND</t>
  </si>
  <si>
    <t>5 % POR CIENTO</t>
  </si>
  <si>
    <t>CANTIDAD DE UND VENDIDAS</t>
  </si>
  <si>
    <t>marge</t>
  </si>
  <si>
    <t>PRECIO MAS IVA</t>
  </si>
  <si>
    <t>TOTAL DE LA NOTA</t>
  </si>
  <si>
    <t>PRECIO PROMO</t>
  </si>
  <si>
    <t>SIN IVA</t>
  </si>
  <si>
    <t>MAS IVA</t>
  </si>
  <si>
    <r>
      <rPr>
        <b/>
        <sz val="11"/>
        <color theme="1"/>
        <rFont val="Calibri"/>
        <family val="2"/>
        <scheme val="minor"/>
      </rPr>
      <t>NOTA IMPORTANTE</t>
    </r>
    <r>
      <rPr>
        <sz val="11"/>
        <color theme="1"/>
        <rFont val="Calibri"/>
        <family val="2"/>
        <scheme val="minor"/>
      </rPr>
      <t xml:space="preserve"> POR FAVOR RECALCULAR SEGÚN LA TASA DEL BCV DEL DIA DE LA NOTA DE CREDITO PARA SU  EXPRECION EN BsF </t>
    </r>
  </si>
  <si>
    <t>CODIGOS INTERNO</t>
  </si>
  <si>
    <t>CAFÉ AMANECER</t>
  </si>
  <si>
    <t>KALDY</t>
  </si>
  <si>
    <t>VERO CAFÉ</t>
  </si>
  <si>
    <t>CAFE MOLIDO GOURMET 200G  CAFE AMANECER ( 24 UND)</t>
  </si>
  <si>
    <t>CAFE MOLIDO 250GR AL VACIO 100%   CAFE AMANECER (20 UND)</t>
  </si>
  <si>
    <t>CAFE 200 GR GOURMET DELLA NONNA (24 UND)</t>
  </si>
  <si>
    <t>CAFE 250 GR GOURMET KALDI (24 UND)</t>
  </si>
  <si>
    <t>CAFE 500 GR GOURMET KALDI (12 UND)</t>
  </si>
  <si>
    <t>CAFE GOURMET 500GR SANTA FE (NO PEDIR)</t>
  </si>
  <si>
    <t>CAFE GOURMET 250GR SANTA FE (NO PEDIR)</t>
  </si>
  <si>
    <t>CAFÉ KALDY 1 KG DE GRAMO (</t>
  </si>
  <si>
    <t>CAFE 500 GR GOURMET DELLA NONNA (10 UND)</t>
  </si>
  <si>
    <t>CAFE 500 GR AMANECER GOURMET (10 UND)</t>
  </si>
  <si>
    <t>20 BULTOS</t>
  </si>
  <si>
    <t>15 BULTOS</t>
  </si>
  <si>
    <t>CAFE 250 GR GOURMET VERO CAFÉ (24 UND)</t>
  </si>
  <si>
    <t>CAFE 500 GR GOURMET VERO CAFÉ ( 12 UND)</t>
  </si>
  <si>
    <t>1 BULTO</t>
  </si>
  <si>
    <t>30 tobo 35 kg</t>
  </si>
  <si>
    <t>QUESO MOZZARLLA NAPOLITANI (CAJA 5 X2.5KG)</t>
  </si>
  <si>
    <t>QUESO MOZZARELLA NAPOLITANA PORC (CAJA 24X 0,400GR)</t>
  </si>
  <si>
    <t>QUESO PALMI BUFALA (CAJA 5 X2.50KG)</t>
  </si>
  <si>
    <t>QUESO PALMI BUFALA (CAJA  24 X 0.400GR)</t>
  </si>
  <si>
    <t>QUESO BLANCO DURO PARA RALLAR (CAJA 24 X0.400GR)</t>
  </si>
  <si>
    <t>QUESO PIRINEO (CAJ 5X 2.50KG APROX)</t>
  </si>
  <si>
    <t>QUESO PIRINEO (CAJ 9X 1, 1 KG APROX)</t>
  </si>
  <si>
    <t>QUESO PIRINEO PORCION (CAJ 24X 0.40GR  APROX)</t>
  </si>
  <si>
    <t>QUESO PECORINO TOSCANO S/P (CAJA 6X1.6 KG APROX)</t>
  </si>
  <si>
    <t>QUESO PECORINO TOSCANO C/P (CAJA 6X1.6 KG APROX)</t>
  </si>
  <si>
    <t>QUESO PECORINO TOSCANO (CAJA 24 X 0.150GR )</t>
  </si>
  <si>
    <t>QUESO PECORINO TOSCANO (CAJA 12 X 0.200GR )</t>
  </si>
  <si>
    <t>QUESO PECORINO TOSCANO (CAJA 12 X 0.100GR )</t>
  </si>
  <si>
    <t>AUTOMERCADO EXPRESS SUCURSAL DE SAN ANTONIO</t>
  </si>
  <si>
    <t>PIZZA DE PAN DE PITA AMESA 6 UND</t>
  </si>
  <si>
    <t>PAN ARABE 380 GR 6 UNIDADES  EL FAMOSO</t>
  </si>
  <si>
    <t>PAN ARABE 6UNID MEDIO ORIENTE</t>
  </si>
  <si>
    <t>ARABE</t>
  </si>
  <si>
    <t>15 PAQ</t>
  </si>
  <si>
    <t>NO NO</t>
  </si>
  <si>
    <t>50 CAJA</t>
  </si>
  <si>
    <t>15 CAJA</t>
  </si>
  <si>
    <t>ACEITE BONNA SOYA  CUÑETE 18LT</t>
  </si>
  <si>
    <t>ACEITE COMESTIBLE 1LT NATUROIL</t>
  </si>
  <si>
    <t>ACEITE VEGETAL 1 LT FRITO LISTO</t>
  </si>
  <si>
    <t>ACEITE VEGETAL 1LT COPOSA</t>
  </si>
  <si>
    <t>ACEITE VEGETAL 850 ML FRITO LISTO</t>
  </si>
  <si>
    <t>ACEITE VEGETAL 850 ML NATUROIL</t>
  </si>
  <si>
    <t>ACEITE VEGETAL 850ML COPOSA</t>
  </si>
  <si>
    <t>MANTECA 15 KG (PRODUCCION)    COPOSA</t>
  </si>
  <si>
    <t>MANTECA COPOSA 400 GR</t>
  </si>
  <si>
    <t>MANTEQUILLA 500 GR MIRASOL</t>
  </si>
  <si>
    <t>MANTEQUILLA MIRASOL 250GR</t>
  </si>
  <si>
    <t>MARGARINA 454 GR MIRASOL</t>
  </si>
  <si>
    <t>MARGARINA CON SAL DE 5KG (PRODUCCION)</t>
  </si>
  <si>
    <t>MARGARINA LIGHT 500 GR MIRASOL</t>
  </si>
  <si>
    <t>MARGARINA MIRASOL 227 GR</t>
  </si>
  <si>
    <t>MAYONESA MIRASOL  445GR</t>
  </si>
  <si>
    <t>30 CAJA</t>
  </si>
  <si>
    <t>AUTOMERCADO EXPRESS 2707</t>
  </si>
  <si>
    <t xml:space="preserve">                                                                                                                                                SANTA TERESA 18 DE AGOSTO DEL 2.021</t>
  </si>
  <si>
    <t xml:space="preserve">                                                  </t>
  </si>
  <si>
    <t>CODIGO DEL PRODUCTO</t>
  </si>
  <si>
    <t>DESCRIPCION DEL PRODUCTO</t>
  </si>
  <si>
    <t>PRESENTACION</t>
  </si>
  <si>
    <t>PRECIO BS.</t>
  </si>
  <si>
    <t>PRECIO POR UNIDAD Bs.</t>
  </si>
  <si>
    <t>PRECIO SUGERIDO Bs.</t>
  </si>
  <si>
    <t>PESO DE LA CAJA</t>
  </si>
  <si>
    <t>CAJAS POR PALETA</t>
  </si>
  <si>
    <t xml:space="preserve"> PRECIOS US $.</t>
  </si>
  <si>
    <t>7591202201096</t>
  </si>
  <si>
    <t>PASTA DE TOMATE D/C</t>
  </si>
  <si>
    <t>24 x 200 grs.</t>
  </si>
  <si>
    <t>57.123.239,00 + IVA</t>
  </si>
  <si>
    <t>2.380.134,96 + IVA</t>
  </si>
  <si>
    <t>4.022.428,09 + IVA</t>
  </si>
  <si>
    <t>9.0 KGS.</t>
  </si>
  <si>
    <t>130 CAJAS</t>
  </si>
  <si>
    <t>7591202201119</t>
  </si>
  <si>
    <t>12 x 500 grs.</t>
  </si>
  <si>
    <t>67.472.678,00 + IVA</t>
  </si>
  <si>
    <t>5.622.723,17 + IVA</t>
  </si>
  <si>
    <t>9.502.402,16 + IVA</t>
  </si>
  <si>
    <t>9.2 KGS.</t>
  </si>
  <si>
    <t>104 CAJAS</t>
  </si>
  <si>
    <t>75916367</t>
  </si>
  <si>
    <t>SALSA DE TOMATE KETCHUP</t>
  </si>
  <si>
    <t>24 x 397 grs.</t>
  </si>
  <si>
    <t>71.168.561,00 + IVA</t>
  </si>
  <si>
    <t>2.965.356,71 + IVA</t>
  </si>
  <si>
    <t>5.011.452,84 + IVA</t>
  </si>
  <si>
    <t>14.8 KGS.</t>
  </si>
  <si>
    <t>78 CAJAS</t>
  </si>
  <si>
    <t>7591202201058</t>
  </si>
  <si>
    <t>VINAGRE</t>
  </si>
  <si>
    <t>24 x 500 cc.</t>
  </si>
  <si>
    <t>46.087.736,00 + IVA</t>
  </si>
  <si>
    <t>1.920.322,33 + IVA</t>
  </si>
  <si>
    <t>3.245.344,74 + IVA</t>
  </si>
  <si>
    <t>13.2 KGS.</t>
  </si>
  <si>
    <t>60 CAJAS</t>
  </si>
  <si>
    <t>12 x 1.000 cc.</t>
  </si>
  <si>
    <t>34.274.391,,00 + IVA</t>
  </si>
  <si>
    <t>2.856.199,25 + IVA</t>
  </si>
  <si>
    <t>4.826.976,74 + IVA</t>
  </si>
  <si>
    <t>13.0 KGS.</t>
  </si>
  <si>
    <t>56 CAJAS</t>
  </si>
  <si>
    <t>7591202201072</t>
  </si>
  <si>
    <t>4 x 3.900 cc.</t>
  </si>
  <si>
    <t>44.782.082,00 + IVA</t>
  </si>
  <si>
    <t>11.195.520,50 + IVA</t>
  </si>
  <si>
    <t>18.920.429,65 + IVA</t>
  </si>
  <si>
    <t>16.4 KGS.</t>
  </si>
  <si>
    <t>36 CAJAS</t>
  </si>
  <si>
    <t>7591202101013</t>
  </si>
  <si>
    <t>MOSTAZA DE VIDRIO</t>
  </si>
  <si>
    <t>24 x 190 grs.</t>
  </si>
  <si>
    <t>41.506.678,00 + IVA</t>
  </si>
  <si>
    <t>1.729.444,92 + IVA</t>
  </si>
  <si>
    <t>2.922.761,92 + IVA</t>
  </si>
  <si>
    <t>8.8 KGS.</t>
  </si>
  <si>
    <t>759120211011167</t>
  </si>
  <si>
    <t>MOSTAZA DE PLASTICO</t>
  </si>
  <si>
    <t>24 x 285 grs.</t>
  </si>
  <si>
    <t>55.997.686,00 + IVA</t>
  </si>
  <si>
    <t>2.333.236,92 + IVA</t>
  </si>
  <si>
    <t>3.943.170,40 + IVA</t>
  </si>
  <si>
    <t>7.7 KGS.</t>
  </si>
  <si>
    <t>91 CAJAS</t>
  </si>
  <si>
    <t>7591202101020</t>
  </si>
  <si>
    <t>12 x 480 grs.</t>
  </si>
  <si>
    <t>7591202101228</t>
  </si>
  <si>
    <t>SALSA DE SOYA</t>
  </si>
  <si>
    <t>24 x 150 cc.</t>
  </si>
  <si>
    <t>46.604.500,00 + IVA</t>
  </si>
  <si>
    <t>1.941.854,17 + IVA</t>
  </si>
  <si>
    <t>3.281.733,55 + IVA</t>
  </si>
  <si>
    <t>6.9 KGS.</t>
  </si>
  <si>
    <t>140 CAJAS</t>
  </si>
  <si>
    <t>7591202101266</t>
  </si>
  <si>
    <t>SALSA DE AJO</t>
  </si>
  <si>
    <t>50.713.000,00 + IVA</t>
  </si>
  <si>
    <t>2.113.041,67 + IVA</t>
  </si>
  <si>
    <t>3.571.040,42 + IVA</t>
  </si>
  <si>
    <t>7591202101181</t>
  </si>
  <si>
    <t>SALSA INGLESA</t>
  </si>
  <si>
    <t>44.571.000,00 + IVA</t>
  </si>
  <si>
    <t>1.857.125,00 + IVA</t>
  </si>
  <si>
    <t>3.138.541,25 + IVA</t>
  </si>
  <si>
    <t>7591202101297</t>
  </si>
  <si>
    <t>SALSA PICANTE</t>
  </si>
  <si>
    <t>54.531.000,00 + IVA</t>
  </si>
  <si>
    <t>2.272.125,00 + IVA</t>
  </si>
  <si>
    <t>3.839.891,25 + IVA</t>
  </si>
  <si>
    <t>7591202101075</t>
  </si>
  <si>
    <t>ADOBO</t>
  </si>
  <si>
    <t>52.622.000,00 + IVA</t>
  </si>
  <si>
    <t>2.192.583,33 + IVA</t>
  </si>
  <si>
    <t>3.705.465,83 + IVA</t>
  </si>
  <si>
    <t>7.4 KGS.</t>
  </si>
  <si>
    <t>160 CAJAS</t>
  </si>
  <si>
    <t>7591202200754</t>
  </si>
  <si>
    <t>ACEITUNAS VERDES CON HUESO</t>
  </si>
  <si>
    <t>60.875.222,00 + IVA</t>
  </si>
  <si>
    <t>5.072.935,17 + IVA</t>
  </si>
  <si>
    <t>8.573.260,44 + IVA</t>
  </si>
  <si>
    <t>7591202200761</t>
  </si>
  <si>
    <t>12 x 1000 grs.</t>
  </si>
  <si>
    <t>87.929.448,00 + IVA</t>
  </si>
  <si>
    <t>7.327.454,00 + IVA</t>
  </si>
  <si>
    <t>12.381.988,93 + IVA</t>
  </si>
  <si>
    <t>14.4 KGS</t>
  </si>
  <si>
    <t>7591202200778</t>
  </si>
  <si>
    <t>4 x 4000 grs.</t>
  </si>
  <si>
    <t>121.732.559,00 + IVA</t>
  </si>
  <si>
    <t>30.433.139,75 + IVA</t>
  </si>
  <si>
    <t>51.432.006,18 + IVA</t>
  </si>
  <si>
    <t>17.4 KGS</t>
  </si>
  <si>
    <t>7591202200822</t>
  </si>
  <si>
    <t>ACEITUNAS RELLENAS CON PIMENTON</t>
  </si>
  <si>
    <t>131.147.656,00 + IVA</t>
  </si>
  <si>
    <t>10.928.971,33 + IVA</t>
  </si>
  <si>
    <t>18.469.961,55 + IVA</t>
  </si>
  <si>
    <t>7591202200891</t>
  </si>
  <si>
    <t>ALCAPARRAS EN VINAGRE</t>
  </si>
  <si>
    <t>77.591.266,00 + IVA</t>
  </si>
  <si>
    <t>6.465.938,83 + IVA</t>
  </si>
  <si>
    <t>10.927.436,62 + IVA</t>
  </si>
  <si>
    <t>9.2 KGS</t>
  </si>
  <si>
    <t>7591202200952</t>
  </si>
  <si>
    <t>ENCURTIDOS EN VINAGRE</t>
  </si>
  <si>
    <t>66.144.481,00 + IVA</t>
  </si>
  <si>
    <t>5.512.040,08 + IVA</t>
  </si>
  <si>
    <t>9.315.347,73 + IVA</t>
  </si>
  <si>
    <t xml:space="preserve">                                                      (EN ESTOS PRECIOS NO ESTA INCLUIDO EL IVA)</t>
  </si>
  <si>
    <t xml:space="preserve">                                         LOS PRECIOS EN DIVISAS ESTAN CALCULADOS SEGÚN LA TASA DEL BANCO CENTRAL DE VENEZUELA AL 18-08-2021</t>
  </si>
  <si>
    <t>SAMUEL E. CARBALLO,</t>
  </si>
  <si>
    <t>GERENTE DE VENTAS</t>
  </si>
  <si>
    <t xml:space="preserve">                                                                                                          Calle Principal, Parcela: 1, 2, 3,5 y 9, Urb. Industrial  El Paraíso  del Tuy.</t>
  </si>
  <si>
    <t xml:space="preserve">                                                                                                          Santa Teresa del Tuy, Edo. Miranda – Venezuela. Telf.: (0239) 231.11.93 </t>
  </si>
  <si>
    <t xml:space="preserve">                                                                                                                         231.15.84- 231.14.24- 231.86.14. Fax: (0239) 231.14.10. </t>
  </si>
  <si>
    <r>
      <t xml:space="preserve">                                                                                                         </t>
    </r>
    <r>
      <rPr>
        <i/>
        <sz val="10"/>
        <color rgb="FFC00000"/>
        <rFont val="Calibri"/>
        <family val="2"/>
        <scheme val="minor"/>
      </rPr>
      <t>Web-Site: www.prodalic.com.</t>
    </r>
  </si>
  <si>
    <t>COMPARACION FRANCIS</t>
  </si>
  <si>
    <t>VIGENCIA: A PARTIR DEL DÍA 10 DE SEPTIEMBRE DE 2021.</t>
  </si>
  <si>
    <t>CLIENTES DE INDUSTRIAS MAROS, CADENAS</t>
  </si>
  <si>
    <t>PRODUCTO</t>
  </si>
  <si>
    <t>TIPO DE PRODUCTO</t>
  </si>
  <si>
    <t>PRESENTACIÓN</t>
  </si>
  <si>
    <t xml:space="preserve">COD BARRAS </t>
  </si>
  <si>
    <t>EMPAQUE</t>
  </si>
  <si>
    <t>CANT X CAJA</t>
  </si>
  <si>
    <t>PRECIO FACTURACIÓN SIN IVA ($/Caja)</t>
  </si>
  <si>
    <t>PRECIO FACTURACIÓN                     CON IVA ($/Caja)</t>
  </si>
  <si>
    <t>PRECIO UNITARIO        SIN IVA                    ($/Unidad)</t>
  </si>
  <si>
    <t>PRECIO UNITARIO       CON IVA              ($/Unidad)</t>
  </si>
  <si>
    <t>NÉCTAR</t>
  </si>
  <si>
    <t>ALUMINIO (340 cm3)</t>
  </si>
  <si>
    <t>Nectar de Durazno Aluminio 340cc</t>
  </si>
  <si>
    <t>24 x 340 cm3</t>
  </si>
  <si>
    <t>Nectar de Pera Aluminio 340cc</t>
  </si>
  <si>
    <t>Nectar de Manzana Aluminio 340cc</t>
  </si>
  <si>
    <t>Nectar de Coctel de Frutas Aluminio 340cc</t>
  </si>
  <si>
    <t>Nectar de Mango Aluminio 340cc</t>
  </si>
  <si>
    <t>Nectar de Guayaba Aluminio 340cc</t>
  </si>
  <si>
    <t>Nectar de Tamarindo Aluminio 340cc</t>
  </si>
  <si>
    <t>Nectar de Naranjada Aluminio 340cc</t>
  </si>
  <si>
    <t>VIDRIO (250 cm3)</t>
  </si>
  <si>
    <t>Nectar de Durazno Vidrio 250cc</t>
  </si>
  <si>
    <t>24 x 250 cm3</t>
  </si>
  <si>
    <t>Nectar de Pera Vidrio 250cc</t>
  </si>
  <si>
    <t>Nectar de Manzana Vidrio 250cc</t>
  </si>
  <si>
    <t>Nectar de Coctel de frutas Vidrio 250cc</t>
  </si>
  <si>
    <t>Nectar de Mango Vidrio 250cc</t>
  </si>
  <si>
    <t>Nectar de Guayaba Vidrio 250cc</t>
  </si>
  <si>
    <t>Nectar de Tamarindo Vidrio 250cc</t>
  </si>
  <si>
    <t>Nectar de Naranjada Vidrio 250cc</t>
  </si>
  <si>
    <t>VIDRIO (1000 cm3)</t>
  </si>
  <si>
    <t xml:space="preserve">Nectar de Durazno Vidrio 1000 </t>
  </si>
  <si>
    <t>12 x 1000 cm3</t>
  </si>
  <si>
    <t xml:space="preserve">Nectar de Pera Vidrio 1000 </t>
  </si>
  <si>
    <t xml:space="preserve">Nectar de Manzana Vidrio 1000 </t>
  </si>
  <si>
    <t xml:space="preserve">Nectar de Coctel de frutas Vidrio 1000 </t>
  </si>
  <si>
    <t xml:space="preserve">Nectar de Mango Vidrio 1000 </t>
  </si>
  <si>
    <t xml:space="preserve">Nectar de Guayaba Vidrio 1000 </t>
  </si>
  <si>
    <t xml:space="preserve">Nectar de Tamarindo Vidrio 1000 </t>
  </si>
  <si>
    <t xml:space="preserve">Nectar de Naranjada Vidrio 1000 </t>
  </si>
  <si>
    <t>TETRA PAK (TETRA CLASIC)</t>
  </si>
  <si>
    <t>Nectar de Durazno TC 150 cc</t>
  </si>
  <si>
    <t>24 x 150 cm3</t>
  </si>
  <si>
    <t>Nectar de Pera TC 150 cc</t>
  </si>
  <si>
    <t>Nectar de Manzana TC 150 cc</t>
  </si>
  <si>
    <t>TETRA CLASSIC SIX PACK</t>
  </si>
  <si>
    <t>Nectar de Durazno TC 150 cc Six Pack</t>
  </si>
  <si>
    <t>6 x 6 x 150 cm3</t>
  </si>
  <si>
    <t>Nectar de Pera TC 150 cc Six Pack</t>
  </si>
  <si>
    <t>Nectar de Manzana TC 150 cc Six Pack</t>
  </si>
  <si>
    <t>TETRA PAK (TETRA PRISMA)</t>
  </si>
  <si>
    <t>Nectar de Durazno TP 250cc</t>
  </si>
  <si>
    <t>8 x 3 x 250 cm3</t>
  </si>
  <si>
    <t>Nectar de Pera TP 250cc</t>
  </si>
  <si>
    <t>Nectar de Manzana TP 250cc</t>
  </si>
  <si>
    <t>Nectar de Naranajada TP 250cc</t>
  </si>
  <si>
    <t>TETRA PAK (TETRA BRICK)</t>
  </si>
  <si>
    <t>Nectar de Durazno TBA 1000</t>
  </si>
  <si>
    <t>12 x 1 L</t>
  </si>
  <si>
    <t>Nectar de Pera TBA 1000</t>
  </si>
  <si>
    <t>Nectar de Manzana TBA 1000</t>
  </si>
  <si>
    <t>Nectar de Coctel de Frutas TBA 1000</t>
  </si>
  <si>
    <t>Nectar de Mango TBA 1000</t>
  </si>
  <si>
    <t>Nectar de Naranja TBA 1000</t>
  </si>
  <si>
    <t>COLADO</t>
  </si>
  <si>
    <t>VIDRIO (113 g)</t>
  </si>
  <si>
    <t>Colado de Durazno Vidrio 113g</t>
  </si>
  <si>
    <t>24 x 113 g</t>
  </si>
  <si>
    <t>Colado de Pera Vidrio 113g</t>
  </si>
  <si>
    <t>Colado de Manzana Vidrio 113g</t>
  </si>
  <si>
    <t>VIDRIO (186 g)</t>
  </si>
  <si>
    <t>COLADO DE PERA VIDRIO 186GR</t>
  </si>
  <si>
    <t>24 x 186 g</t>
  </si>
  <si>
    <t>COLADO DE MANZANA VIDRIO 186GR</t>
  </si>
  <si>
    <t>COLADO DE DURAZNO VIDRIO 186GR</t>
  </si>
  <si>
    <t>LECHE CONDENSADA AZUCARADA (LCA)</t>
  </si>
  <si>
    <t>HOJALATA</t>
  </si>
  <si>
    <t>Leche Condensada Lata 397 gr</t>
  </si>
  <si>
    <t>24 x 397 g</t>
  </si>
  <si>
    <t>TETRA 340 g</t>
  </si>
  <si>
    <t>Leche Condensada UHT 340 gr</t>
  </si>
  <si>
    <t>24 x 340 g</t>
  </si>
  <si>
    <t>TETRA SLIM</t>
  </si>
  <si>
    <t>Leche Condensada UHT 100 gr</t>
  </si>
  <si>
    <t>24 x 100g</t>
  </si>
  <si>
    <t>TUBO COLAPSIBLE</t>
  </si>
  <si>
    <t>Tubito Leche Condensada 50 gr</t>
  </si>
  <si>
    <t>6 x 24 x 50 g</t>
  </si>
  <si>
    <t>BOLSA ASEPTICA</t>
  </si>
  <si>
    <t>Leche Condensada Bolsa 5 Kg</t>
  </si>
  <si>
    <t>2 x 5 Kg</t>
  </si>
  <si>
    <t>LPO</t>
  </si>
  <si>
    <t>LECHE EN POLVO</t>
  </si>
  <si>
    <t>Leche en polvo completa 125gr</t>
  </si>
  <si>
    <t>16 x 125 g</t>
  </si>
  <si>
    <t>Leche en polvo completa 900gr</t>
  </si>
  <si>
    <t>12 x 900 g</t>
  </si>
  <si>
    <t>DULCE DE LECHE (AREQUIPE)</t>
  </si>
  <si>
    <t>Dulce de leche 40 gr</t>
  </si>
  <si>
    <t>6 x 24 x 40 gr</t>
  </si>
  <si>
    <t>Dulce de leche Lata 380 gr</t>
  </si>
  <si>
    <t>24 x 380 gr</t>
  </si>
  <si>
    <t>Dulce de leche Bolsa 5 Kg</t>
  </si>
  <si>
    <t>BOLSA TRANSPARENTE 1KG SIN ASA MILLAR</t>
  </si>
  <si>
    <t>BOLSA TRANSPARENTE 2KG SIN ASA MILLAR</t>
  </si>
  <si>
    <t>BOLSAS DE 2KG CON ASAS MILLAR</t>
  </si>
  <si>
    <t>BOLSAS PLASTICAS DE 10KG X UND</t>
  </si>
  <si>
    <t>FACTURA 9426 Y FACTURA 9428</t>
  </si>
  <si>
    <t>INVERSIONES A.V.168.C.A.</t>
  </si>
  <si>
    <t>PRECIO X BULTO</t>
  </si>
  <si>
    <t>LECHE CONDENSADA 270GR ITALAC (24 UND)</t>
  </si>
  <si>
    <t>MARGARINA CON SAL 250GR  SADIA DELINE (24 UND)</t>
  </si>
  <si>
    <t>MARGARINA CON SAL 500GR DELINE SADIA (12 UND)</t>
  </si>
  <si>
    <t>BOMBILLO 100 WATT GAMME LUXE (100 UND )</t>
  </si>
  <si>
    <t>DETERGENTE EN POLVO 500GR  ALIVE (24 UND)</t>
  </si>
  <si>
    <t>DETERGENTE EN POLVO 900 GR LAVANDA  (12 UND)</t>
  </si>
  <si>
    <t>DETERGENTE EN POLVO LIMON 900 GR ZERO (12 UNS)</t>
  </si>
  <si>
    <t>DETERGENTE POLVO 400 GR LAVANDA ZERO (24 UND)</t>
  </si>
  <si>
    <t>GEL DENTAL TANS FRESA 2-6 AÑOS (72 UND)</t>
  </si>
  <si>
    <t>PEGA LOKA 3 GR LA ORIGINAL (252 UND)</t>
  </si>
  <si>
    <t>TOALLAS DIARIAS 20 UND ALUAYASS (100 UND)</t>
  </si>
  <si>
    <t>TOALLAS SANITARIAS VERDE 10UNID ALLUAYS (48 UND)</t>
  </si>
  <si>
    <t>UND POR EMPAQUE</t>
  </si>
  <si>
    <t>REAL</t>
  </si>
  <si>
    <t>TOTAL DE FACTURA</t>
  </si>
  <si>
    <t>ACEITE COAMO 900ML</t>
  </si>
  <si>
    <t xml:space="preserve">ACEITE CONCORVADO 900ML </t>
  </si>
  <si>
    <t>HOJAS DE HALLACAS</t>
  </si>
  <si>
    <t>HARINA DOÑA MARIA 1 KG</t>
  </si>
  <si>
    <t>LECHE CONDENSADA ITALAC</t>
  </si>
  <si>
    <t>CREMA ALIDENT AZUL</t>
  </si>
  <si>
    <t>CREMA ALIDENT VERDE</t>
  </si>
  <si>
    <t xml:space="preserve">ALIVE ROSA 500GR </t>
  </si>
  <si>
    <t>ALIVE ROSA 1 KG</t>
  </si>
  <si>
    <t>ALIVE AZUL 1 KG</t>
  </si>
  <si>
    <t>ACESS 800GR</t>
  </si>
  <si>
    <t>CERE3 LIMON 400GR</t>
  </si>
  <si>
    <t>CERE3 LIMON 900GR</t>
  </si>
  <si>
    <t>ZERO 400GR LIMON</t>
  </si>
  <si>
    <t>ZERO 900GR LIMON</t>
  </si>
  <si>
    <t>ZERO 3 400GR LAVANDA</t>
  </si>
  <si>
    <t>ZERO 900GR LAVANDA</t>
  </si>
  <si>
    <t>HARMONI 75 GR</t>
  </si>
  <si>
    <t>JABON AV LIMON 170GR</t>
  </si>
  <si>
    <t>TOALLAS SANITARIAS VERDE ALLUYAS</t>
  </si>
  <si>
    <t>TOALLAS SANITARIAS AZULES  ALUYAZ</t>
  </si>
  <si>
    <t xml:space="preserve">NUTRIBELA REPOLARIZACION </t>
  </si>
  <si>
    <t>.</t>
  </si>
  <si>
    <t>LACTEO EN POLVO VILLA LACTEA LA CAMPESTRE 900GR</t>
  </si>
  <si>
    <t>LECHE CONDENSADA AZUCARADA 395 GR VILLA LACTEA CAMPESTRE</t>
  </si>
  <si>
    <t>LECHE CONDENSADA AZUCARADA CAMPESTRE 395GR LATA</t>
  </si>
  <si>
    <t>LECHE EN POLVO COMPLETA 1KG CAMPESTRE</t>
  </si>
  <si>
    <t>LECHE EN POLVO COMPLETA 500GR CAMPESTRE</t>
  </si>
  <si>
    <t>LECHE LIQ/DESCREMADA 1LT CAMPESTRE</t>
  </si>
  <si>
    <t>QUESO FUND PARA UNTAR 300GM DALVITO</t>
  </si>
  <si>
    <t>QUESO FUNDIDO DALVITO 200GR</t>
  </si>
  <si>
    <t>Sobre 1 Kg</t>
  </si>
  <si>
    <t>( E )</t>
  </si>
  <si>
    <t>Sobre 500 g</t>
  </si>
  <si>
    <t>Sobre 125 g</t>
  </si>
  <si>
    <t>LECHE EN POLVO SEMIDESCREMADA</t>
  </si>
  <si>
    <t>Sobre 900 g</t>
  </si>
  <si>
    <t>Sobre de 450 g</t>
  </si>
  <si>
    <t>Sobre de 115 g</t>
  </si>
  <si>
    <t>LECHE EN POLVO DESCREMADA</t>
  </si>
  <si>
    <t>Sobre de 900 g</t>
  </si>
  <si>
    <t>ALIMENTO LÁCTEO EN POLVO VILLA LÁCTEA</t>
  </si>
  <si>
    <t>Sobre 400 g</t>
  </si>
  <si>
    <t>LECHE CONDENSADA AZUCARADA CAMPESTRE</t>
  </si>
  <si>
    <t>Hojalata 395 g</t>
  </si>
  <si>
    <t>MANTEQUILLA CON SAL</t>
  </si>
  <si>
    <t>Lata de 360 g</t>
  </si>
  <si>
    <t>Barra de 200g</t>
  </si>
  <si>
    <t>DULCE DE LECHE INDUSTRIAL</t>
  </si>
  <si>
    <t>Galón de 5 Kg</t>
  </si>
  <si>
    <t>CHICHA INSTANTÁNEA</t>
  </si>
  <si>
    <t>Sobre de 400 g</t>
  </si>
  <si>
    <t>Sobre de 200 g</t>
  </si>
  <si>
    <t>BEBIDA ACHOCOLATADA GENICA PROFESIONAL</t>
  </si>
  <si>
    <t>Sobre de 1 Kg</t>
  </si>
  <si>
    <t>CHOCO COOL</t>
  </si>
  <si>
    <t>LACTOVISOY</t>
  </si>
  <si>
    <t>Sobre de 500 g</t>
  </si>
  <si>
    <t>QUESOS FUNDIDOS UNTABLES</t>
  </si>
  <si>
    <t>Q. FUNDIDO P/ UNTAR DALVITO</t>
  </si>
  <si>
    <t>Frasco de 200 g</t>
  </si>
  <si>
    <t>Frasco de 300 g</t>
  </si>
  <si>
    <t>TWISTIKESO A BASE DE QUESO</t>
  </si>
  <si>
    <t>TWISTIKESO GALÓN</t>
  </si>
  <si>
    <t>Galón de 3,85 Kg</t>
  </si>
  <si>
    <t>QUESOS NATURALES</t>
  </si>
  <si>
    <t>QUESO PRATO</t>
  </si>
  <si>
    <t>1 Kg</t>
  </si>
  <si>
    <t>QUESO FUNDIDO TIPO AMERICANO</t>
  </si>
  <si>
    <t>QUESO CREMA GALÓN</t>
  </si>
  <si>
    <t>4 kg</t>
  </si>
  <si>
    <t>QUESO MOZZARELLA</t>
  </si>
  <si>
    <t>1kg</t>
  </si>
  <si>
    <t>QUESO CHEDDYS</t>
  </si>
  <si>
    <t>QUESO ZULIDALVI</t>
  </si>
  <si>
    <t>500g</t>
  </si>
  <si>
    <t>SEASONS TEA LIMON DOYPACK 12x450g</t>
  </si>
  <si>
    <t>Sobre de 450g</t>
  </si>
  <si>
    <t>SEASONS TEA DURAZNO DOYPACK 12x450g</t>
  </si>
  <si>
    <t>SEASONS TEA DURAZNO SACHET 12x6x90g</t>
  </si>
  <si>
    <t>Sobre de 90g</t>
  </si>
  <si>
    <t>SEASONS TEA LIMON SACHET 12x6x90g</t>
  </si>
  <si>
    <t>Sobre de 30g</t>
  </si>
  <si>
    <t>BEBIDAS UHT</t>
  </si>
  <si>
    <t>LECHE ENTERA BOLSA UHT 3X6L</t>
  </si>
  <si>
    <t>Bolsa UHT 1L</t>
  </si>
  <si>
    <t>LECHE DESCREMADA BOLSA UHT 3X6L</t>
  </si>
  <si>
    <t>LECHE SEMIDESCREMADA BOLSA UHT 3X6L</t>
  </si>
  <si>
    <t>LECHE SEMIDESCREMADA BOLSA UHT 18x1L</t>
  </si>
  <si>
    <t>BEBIDA LÁCTEA VILLA LÁCTEA BOLSA UHT 3X6L</t>
  </si>
  <si>
    <t>BEBIDA LACTEA VILLA LACTEA BOLSA UHT18X1L</t>
  </si>
  <si>
    <r>
      <rPr>
        <b/>
        <sz val="13"/>
        <color rgb="FFFFFFFF"/>
        <rFont val="Verdana"/>
        <family val="2"/>
      </rPr>
      <t>INDUSTRIALES</t>
    </r>
  </si>
  <si>
    <t>MANTEQUILLA INDUSTRIAL</t>
  </si>
  <si>
    <r>
      <rPr>
        <sz val="13"/>
        <rFont val="Arial Black"/>
        <family val="2"/>
      </rPr>
      <t xml:space="preserve">MANTEQUILLA INDUSTRIAL 5 KILOS </t>
    </r>
    <r>
      <rPr>
        <b/>
        <sz val="13"/>
        <color rgb="FFFF0000"/>
        <rFont val="Verdana"/>
        <family val="2"/>
      </rPr>
      <t>(NUEVA)</t>
    </r>
  </si>
  <si>
    <t>5kg</t>
  </si>
  <si>
    <t>LECHE EN POLVO 1%</t>
  </si>
  <si>
    <t>LECHE EN POLVO 21%</t>
  </si>
  <si>
    <t>LECHE EN POLVO 26%</t>
  </si>
  <si>
    <t>LECHE EN POLVO COMPLETA CAMPESTRE</t>
  </si>
  <si>
    <t>LECHE EN POLVO COMPLETA EXTRA CALCIO CAMPESTRE</t>
  </si>
  <si>
    <t>6 CAJA</t>
  </si>
  <si>
    <t>3 CJA</t>
  </si>
  <si>
    <t>5 CJA</t>
  </si>
  <si>
    <t>LECHE ENTERA BOLSA UHT 18X1L LA CAMPESTRE</t>
  </si>
  <si>
    <t>LECHE DESCREMADA BOLSA UHT 18x1L LA CAMPESTRE</t>
  </si>
  <si>
    <t>2 CAJ</t>
  </si>
  <si>
    <r>
      <t xml:space="preserve">                           </t>
    </r>
    <r>
      <rPr>
        <b/>
        <sz val="13"/>
        <rFont val="Times New Roman"/>
        <family val="1"/>
      </rPr>
      <t xml:space="preserve">LISTA DE PRECIOS             </t>
    </r>
    <r>
      <rPr>
        <b/>
        <vertAlign val="superscript"/>
        <sz val="13"/>
        <rFont val="Times New Roman"/>
        <family val="1"/>
      </rPr>
      <t xml:space="preserve">30 DE AGOSTO DE 2021                                                      </t>
    </r>
    <r>
      <rPr>
        <vertAlign val="subscript"/>
        <sz val="13"/>
        <rFont val="Times New Roman"/>
        <family val="1"/>
      </rPr>
      <t xml:space="preserve">                                </t>
    </r>
  </si>
  <si>
    <r>
      <rPr>
        <b/>
        <sz val="13"/>
        <color rgb="FFFFFFFF"/>
        <rFont val="Times New Roman"/>
        <family val="1"/>
      </rPr>
      <t>LECHES Y ALIMENTOS LÁCTEOS EN POLVO</t>
    </r>
  </si>
  <si>
    <r>
      <rPr>
        <b/>
        <sz val="13"/>
        <color rgb="FFFFFFFF"/>
        <rFont val="Times New Roman"/>
        <family val="1"/>
      </rPr>
      <t>CÓD. INTERNO</t>
    </r>
  </si>
  <si>
    <r>
      <rPr>
        <b/>
        <sz val="13"/>
        <color rgb="FFFFFFFF"/>
        <rFont val="Times New Roman"/>
        <family val="1"/>
      </rPr>
      <t>CÓDIGO DE BARRA</t>
    </r>
  </si>
  <si>
    <r>
      <rPr>
        <b/>
        <sz val="13"/>
        <color rgb="FFFFFFFF"/>
        <rFont val="Times New Roman"/>
        <family val="1"/>
      </rPr>
      <t>PRESENTACIÓN</t>
    </r>
  </si>
  <si>
    <r>
      <rPr>
        <b/>
        <sz val="13"/>
        <color rgb="FFFFFFFF"/>
        <rFont val="Times New Roman"/>
        <family val="1"/>
      </rPr>
      <t>UNIDAD DE DESPACHO</t>
    </r>
  </si>
  <si>
    <r>
      <rPr>
        <b/>
        <sz val="13"/>
        <rFont val="Times New Roman"/>
        <family val="1"/>
      </rPr>
      <t>DIVISAS DIST-
MAYORISTAS</t>
    </r>
  </si>
  <si>
    <r>
      <rPr>
        <b/>
        <sz val="13"/>
        <color rgb="FFFFFFFF"/>
        <rFont val="Times New Roman"/>
        <family val="1"/>
      </rPr>
      <t>CAJA (CORRUGADO)</t>
    </r>
  </si>
  <si>
    <r>
      <rPr>
        <b/>
        <sz val="13"/>
        <color rgb="FFFFFFFF"/>
        <rFont val="Times New Roman"/>
        <family val="1"/>
      </rPr>
      <t>PV JUSTO ACTUAL S/IVA</t>
    </r>
  </si>
  <si>
    <r>
      <rPr>
        <b/>
        <sz val="13"/>
        <color rgb="FFFFFFFF"/>
        <rFont val="Times New Roman"/>
        <family val="1"/>
      </rPr>
      <t>IVA (16%)</t>
    </r>
  </si>
  <si>
    <r>
      <rPr>
        <b/>
        <sz val="13"/>
        <color rgb="FFFFFFFF"/>
        <rFont val="Times New Roman"/>
        <family val="1"/>
      </rPr>
      <t>PMVP</t>
    </r>
  </si>
  <si>
    <r>
      <rPr>
        <b/>
        <sz val="13"/>
        <color rgb="FFFFFFFF"/>
        <rFont val="Times New Roman"/>
        <family val="1"/>
      </rPr>
      <t>LECHES CONDENSADAS</t>
    </r>
  </si>
  <si>
    <r>
      <rPr>
        <sz val="13"/>
        <rFont val="Times New Roman"/>
        <family val="1"/>
      </rPr>
      <t xml:space="preserve">LECHE CONDENSADA AZUCARADA VILLA LÁCTEA </t>
    </r>
    <r>
      <rPr>
        <b/>
        <sz val="13"/>
        <color rgb="FFFF0000"/>
        <rFont val="Times New Roman"/>
        <family val="1"/>
      </rPr>
      <t>(NUEVO)</t>
    </r>
  </si>
  <si>
    <r>
      <rPr>
        <b/>
        <sz val="13"/>
        <color rgb="FFFFFFFF"/>
        <rFont val="Times New Roman"/>
        <family val="1"/>
      </rPr>
      <t>MANTEQUILLA CAMPESTRE</t>
    </r>
  </si>
  <si>
    <r>
      <rPr>
        <b/>
        <sz val="13"/>
        <color rgb="FFFFFFFF"/>
        <rFont val="Times New Roman"/>
        <family val="1"/>
      </rPr>
      <t>DULCE DE LECHE CAMPESTRE</t>
    </r>
  </si>
  <si>
    <r>
      <rPr>
        <b/>
        <sz val="13"/>
        <color rgb="FFFFFFFF"/>
        <rFont val="Times New Roman"/>
        <family val="1"/>
      </rPr>
      <t>MODIFICADORES LÁCTEOS</t>
    </r>
  </si>
  <si>
    <r>
      <rPr>
        <sz val="13"/>
        <rFont val="Times New Roman"/>
        <family val="1"/>
      </rPr>
      <t xml:space="preserve">DALVI EDAM PORCIONADO 12X500G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</si>
  <si>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DALVI CHEDDAR PORCIONADO 12X500G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</si>
  <si>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DALVI PEPPERJACK PORCIONADO 12X500G </t>
    </r>
    <r>
      <rPr>
        <b/>
        <sz val="13"/>
        <color rgb="FFFF0000"/>
        <rFont val="Times New Roman"/>
        <family val="1"/>
      </rPr>
      <t>(NUEVO)</t>
    </r>
  </si>
  <si>
    <r>
      <rPr>
        <b/>
        <sz val="13"/>
        <color rgb="FFFFFFFF"/>
        <rFont val="Times New Roman"/>
        <family val="1"/>
      </rPr>
      <t>BEBIDAS INSTANTÁNEAS</t>
    </r>
  </si>
  <si>
    <r>
      <rPr>
        <sz val="13"/>
        <rFont val="Times New Roman"/>
        <family val="1"/>
      </rPr>
      <t xml:space="preserve">SEASONS FRUIT NARANJA SACHET 12x6x30g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</si>
  <si>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SEASONS FRUIT FRESA SACHET 12x6x30g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</si>
  <si>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SEASONS FRUIT MANDARINA SACHET 12x6x30g </t>
    </r>
    <r>
      <rPr>
        <b/>
        <sz val="13"/>
        <color rgb="FFFF0000"/>
        <rFont val="Times New Roman"/>
        <family val="1"/>
      </rPr>
      <t>(NUEVO)</t>
    </r>
  </si>
  <si>
    <t>SALCHICHA ALEMANA 420 GR TOVAR</t>
  </si>
  <si>
    <t>SALCHICHA POLACA 420 GR TOVAR</t>
  </si>
  <si>
    <t>SALCHICHA FRANKFURT 400 GR TOVAR</t>
  </si>
  <si>
    <t>SALCHICHA 6UND FRANKFURT TOVAR</t>
  </si>
  <si>
    <t>SALCHICHA POLACA SUPERIOR 5UNID TOVAR</t>
  </si>
  <si>
    <t>LECHE EN POLVO SEMIDESCREMADO 900GR TORONDOY</t>
  </si>
  <si>
    <t>MANTEQUILLA CON SAL 200 GR TORONDOY</t>
  </si>
  <si>
    <t>PARMESANO AÑEJO TORONDOY KG</t>
  </si>
  <si>
    <t>PARMESANO TORONDOY KG</t>
  </si>
  <si>
    <t>PECORINO TORONDOY KG</t>
  </si>
  <si>
    <t>QUESO BOLA TORONDOY KG</t>
  </si>
  <si>
    <t>QUESO GOUDA BROSSO KG</t>
  </si>
  <si>
    <t>QUESO GOUDA MLEKOVITA KG</t>
  </si>
  <si>
    <t>QUESO MUNSTER TORONDOY KG</t>
  </si>
  <si>
    <t>QUESO PASTEURIZADO TORONDOY KG</t>
  </si>
  <si>
    <t>QUESO VENMENTAL TORONDOY KG</t>
  </si>
  <si>
    <t>PEDIDO HECHO 8 DE SEPTI</t>
  </si>
  <si>
    <t>ANTERIOR</t>
  </si>
  <si>
    <t>6 DIAS</t>
  </si>
  <si>
    <t>8 DIAS</t>
  </si>
  <si>
    <t>SUGERIDO</t>
  </si>
  <si>
    <t>QUEDA</t>
  </si>
  <si>
    <t>BELMONT GRANDE</t>
  </si>
  <si>
    <t>BELMONT PEQUEÑO</t>
  </si>
  <si>
    <t>LUCKY MORADO 20 UND</t>
  </si>
  <si>
    <t>LUCKY STRIKE AZUL</t>
  </si>
  <si>
    <t>LUCKY STRIKE ROJO</t>
  </si>
  <si>
    <t>LUCKY STRIKE WILD</t>
  </si>
  <si>
    <t>PALL MALL GRANDE</t>
  </si>
  <si>
    <t>PALL MALL PEQUEÑO</t>
  </si>
  <si>
    <t>VICEROY</t>
  </si>
  <si>
    <t>UNIVERSAL</t>
  </si>
  <si>
    <t>CHESTERFILD AZUL</t>
  </si>
  <si>
    <t xml:space="preserve">CHESTERFIELD ROJO </t>
  </si>
  <si>
    <t>CHESTERFIELD BLANCO</t>
  </si>
  <si>
    <t>MARLBORO ROJO</t>
  </si>
  <si>
    <t>MARLBORO AZUL</t>
  </si>
  <si>
    <t>MARLBORO VERDE</t>
  </si>
  <si>
    <t xml:space="preserve">MARLBORO GOL </t>
  </si>
  <si>
    <t>NUEVA FACTURA</t>
  </si>
  <si>
    <t xml:space="preserve">LUCKY MORADO </t>
  </si>
  <si>
    <t>COD</t>
  </si>
  <si>
    <t>SUGERIDO DE BIGGOT</t>
  </si>
  <si>
    <t>PRECIO DEL SUGERIDO POR PAQUETE</t>
  </si>
  <si>
    <t>COSTO REAL DE FACTURA</t>
  </si>
  <si>
    <t xml:space="preserve">COSTO DE FACTURA </t>
  </si>
  <si>
    <t xml:space="preserve">PRECIO CON EL      8 %  </t>
  </si>
  <si>
    <t xml:space="preserve">PRECIO DE VENTA  </t>
  </si>
  <si>
    <t>TODAY</t>
  </si>
  <si>
    <t>8 DE SEPTIEMBRE</t>
  </si>
  <si>
    <t>PRESUPUESTO</t>
  </si>
  <si>
    <t>LECHE EN POLVO COMPLETA  1 KG  TORONDOY</t>
  </si>
  <si>
    <t>SHAMPOO 340 ML CERAMIDAS SEDAL</t>
  </si>
  <si>
    <t>PAÑAL  M 30 UND ACTIVE SEC HUGGIES</t>
  </si>
  <si>
    <t>ACONDICIONADOR RESCONST COMPLETA 400 ML CABELLO DAÑADO DOVE</t>
  </si>
  <si>
    <t>ACONDICIONADOR 400 ML OLEO NUT CABELLO SECO DOVE</t>
  </si>
  <si>
    <t>ACONDICIONADOR 340 ML RIZOS DEFINIDOS SEDAL</t>
  </si>
  <si>
    <t>SHAMPOO 340 ML DUO 2 EN 1 SEDAL</t>
  </si>
  <si>
    <t>SHAMPOO 400 ML RECONTRUCCION COMPLETA DOVE</t>
  </si>
  <si>
    <t>SHAMPOO 400 ML OLEO NUTRICION DOVE</t>
  </si>
  <si>
    <t>SHAMPOO 340 ML RIZOS DEFINIDOS SEDAL</t>
  </si>
  <si>
    <t>JABON TOCADOR 125 GR JAZMIN LUX</t>
  </si>
  <si>
    <t>JABON TOCADOR 125 GR FLOR VAINILLA LUX</t>
  </si>
  <si>
    <t>JABON TOCADOR 120 GR BAMBOO REXONA</t>
  </si>
  <si>
    <t>JABON TOCADOR 120 GR FRESH REXONA</t>
  </si>
  <si>
    <t>DESODORANTE 50 GR COTTON DRY REXONA</t>
  </si>
  <si>
    <t>DESODORANTE MEN 50 GR BARRA INVISIBLE REXONA</t>
  </si>
  <si>
    <t>DESODORANTE PARA PIES 153 ML ORIGINAL REXONA</t>
  </si>
  <si>
    <t>ROLLON 50 ML INVISIBLE MEN REXONA</t>
  </si>
  <si>
    <t>ROLLON 50 ML MEN SPORTFAN REXONA</t>
  </si>
  <si>
    <t>PROTECTORES DIARIOS X 50 KOTEX MEGA PACK</t>
  </si>
  <si>
    <t>TOALLAS SANITARIAS 8 UND NOCTURNAS KOTEX</t>
  </si>
  <si>
    <t>PAÑAL ACTIVE SEC TALLA G/3 30 UND HUGGIES</t>
  </si>
  <si>
    <t>TOALLAS SANITARIA 10 UND NORMAL KOTEX</t>
  </si>
  <si>
    <t>PROTECTORES DIARIOS 50 UND KOTEX</t>
  </si>
  <si>
    <t>TOALLAS HUMEDAS 48 UND HUGGIES</t>
  </si>
  <si>
    <t>PAPEL HIGIENICO RINDEMAX 4ROLLOS SCOTT</t>
  </si>
  <si>
    <t>PAÑAL ACTIVE SEC 20 UND XG HUGGIES</t>
  </si>
  <si>
    <t>PAÑAL ACTIVE SEC XXG 20 UND HUGGIES</t>
  </si>
  <si>
    <t>PAÑAL ACTIVE SEC 20 UND TALLA G HUGGIES</t>
  </si>
  <si>
    <t>PAÑAL NATURAL CARE (M) HUGGIES</t>
  </si>
  <si>
    <t>PAÑAL NATURAL CARE (G) HUGGIES</t>
  </si>
  <si>
    <t>PAÑAL NATURAL CARE (XG) HUGGIES</t>
  </si>
  <si>
    <t>SHAMPOO 340ML CONTROL CASPA SEDAL</t>
  </si>
  <si>
    <t>DESODORANTE 50 GR MEN+CARE DOVE</t>
  </si>
  <si>
    <t>40 BULTOS</t>
  </si>
  <si>
    <t>48 UND</t>
  </si>
  <si>
    <t>HIPER  MODELO</t>
  </si>
  <si>
    <t>3 BULTO</t>
  </si>
  <si>
    <t>KOTEX TOALLA FEMENINA DISCRETA 10 UND</t>
  </si>
  <si>
    <t xml:space="preserve">TOALLAS HUMEDAS HUGGIES LIMP COTIDIANA (AMARILLOS) 80 UND </t>
  </si>
  <si>
    <t>7896018700628</t>
  </si>
  <si>
    <t>TOALLAS HUMEDAS HUGGIES LIMP EFECTIVA (VERDES) 48 UND CON TAPA NUEVO</t>
  </si>
  <si>
    <t>ADOBO COMPLETO 200 GR LA COMADRE</t>
  </si>
  <si>
    <t>AVENA EN HOJUELAS 400GR  LASSIE</t>
  </si>
  <si>
    <t>AVENA EN HOJUELAS 800GR LASSIE</t>
  </si>
  <si>
    <t>HARINA DE MAIZ CLASICA 1KG JUANA</t>
  </si>
  <si>
    <t>HARINA DE MAIZ INTEGRAL 1KG  LIGERINA  DEMASA</t>
  </si>
  <si>
    <t>HARINA DE TRIGO 1KG LEUDANTE    ROBIN HOOD</t>
  </si>
  <si>
    <t>HARINA JUANA NUEVA IMAGEN 1KG AMARILLA</t>
  </si>
  <si>
    <t>HARINA TRIGO TODO USO ROBIN HOOD 1KG</t>
  </si>
  <si>
    <t>JUANA CACHAPA MEZCLA LISTA 500G</t>
  </si>
  <si>
    <t>MEZCLA AREPITAS DULCE 500 GR JUANA</t>
  </si>
  <si>
    <t>TORTILLAS DE TRIGO ORIGINAL 330GR ROBIN HOOD</t>
  </si>
  <si>
    <t>LUCKY STRIKE NOVA</t>
  </si>
  <si>
    <t>G</t>
  </si>
  <si>
    <r>
      <t xml:space="preserve">CODIGO </t>
    </r>
    <r>
      <rPr>
        <b/>
        <i/>
        <sz val="11"/>
        <color theme="1"/>
        <rFont val="Calibri"/>
        <family val="2"/>
        <scheme val="minor"/>
      </rPr>
      <t>INT</t>
    </r>
  </si>
  <si>
    <t>CASABITO NATURAL 30 UND SOL DE CARABOBO</t>
  </si>
  <si>
    <t>CASABITO CON CEBOLLA 30 UND SOL DE CARABOBO</t>
  </si>
  <si>
    <t>CASABE 4 UND SOL DE CARABOBO</t>
  </si>
  <si>
    <t>CASABITO CON AJO 30 UND SOL DE CARABOBO</t>
  </si>
  <si>
    <t>CASABITO CON AJI PICANTE 30 UND SOL DE CARABOBO</t>
  </si>
  <si>
    <t>20 UND</t>
  </si>
  <si>
    <t>3 TORTAS</t>
  </si>
  <si>
    <t>35 UND</t>
  </si>
  <si>
    <t>ACONDICIONADOR HUMECTANTE 360 ML DIGI</t>
  </si>
  <si>
    <t>AGUA OXIGENADA 20 VOL 500 CC ROLDA</t>
  </si>
  <si>
    <t>AGUA OXIGENADA 500 CC VOL 30 ROLDA</t>
  </si>
  <si>
    <t>AGUA OXIGENADA CON FRAGANCIA 20VOL.120CM ROLDA</t>
  </si>
  <si>
    <t>AGUA OXIGENDA VOLUMEN 30.120CC  ROLDA</t>
  </si>
  <si>
    <t>BRILLANTINA PROFESIONAL 100GR  ROLDA</t>
  </si>
  <si>
    <t>CHAMPU ALGAS MARINA LINEA FAMILIAR 1100ML ROLDA</t>
  </si>
  <si>
    <t>CREMA P/PEINAR 300CM CERA D/ABEJAS ROLDA</t>
  </si>
  <si>
    <t>CREMA P/PEINAR CON PLACENTA 300ML ROLDA</t>
  </si>
  <si>
    <t>CREMA P/PEINAR MAYOLIVA TERMO 5FIVE 180ML ROLDA</t>
  </si>
  <si>
    <t>CREMA P/PEINAR THERMO 5FIVE CHOCOLATE 180ML ROLDA</t>
  </si>
  <si>
    <t>CREMA PARA PEINAR  KARITE &amp; QUERAT THERMO 5FIVE 180ML ROLDA</t>
  </si>
  <si>
    <t>CREMA PARA PEINAR ACEITE DE VISON 300ML ROLDA</t>
  </si>
  <si>
    <t>CREMA PARA PEINAR COLAGENO 300ML ROLDA</t>
  </si>
  <si>
    <t>CREMA PARA PEINAR YOGURT THERMO 5FIVE 180ML ROLDA</t>
  </si>
  <si>
    <t>DESCOLORANTE EN POLVO CON PROTEINAS DE SEDA 25GR ROLDA</t>
  </si>
  <si>
    <t>GEL ANTIBACTERIAL CLASICA TRADICIONAL 85GR DIGI ROLDA</t>
  </si>
  <si>
    <t>GEL DE DUCHA POWER FIX 3EN1 400ML ROLDA</t>
  </si>
  <si>
    <t>GEL DE DUCHA SPORT LOOK 3EN1 400ML ROLDA</t>
  </si>
  <si>
    <t>GEL DIGI 120 GR BLANCO EFFECT ROLDA</t>
  </si>
  <si>
    <t>GEL DIGI 120GR AZUL CASCO EFFECT ROLDA</t>
  </si>
  <si>
    <t>GEL DIGI 250 GR BLANCO ROLDA</t>
  </si>
  <si>
    <t>GEL DIGI 250 GR FIJADOR AZUL ROLDA</t>
  </si>
  <si>
    <t>GEL FIJADOR 120 GR EXTRACTOS BOTANICOS BLANCO ROLDA</t>
  </si>
  <si>
    <t>GEL FIJADOR 120 GR EXTRATOS BOTANICOS MORADO ROLDA</t>
  </si>
  <si>
    <t>GEL FIJADOR 120 GR ROJO ROLDA</t>
  </si>
  <si>
    <t>GEL FIJADOR 250 GR AGUA MARINA ROLDA</t>
  </si>
  <si>
    <t>GEL FIJADOR 250 GR ANTICAIDA BLANCO ROLDA</t>
  </si>
  <si>
    <t>GEL FIJADOR 250 GR ANTICASPA AZUL ROLDA</t>
  </si>
  <si>
    <t>GEL FIJADOR 250 GR ROJO ROLDA</t>
  </si>
  <si>
    <t>GEL FIJADOR 500 GR EXTRACTOS BOTANICOS BLANCO ROLDA</t>
  </si>
  <si>
    <t>GEL FIJADOR 500 GR EXTRACTOS BOTANICOS MORADO ROLDA</t>
  </si>
  <si>
    <t>GEL FIJADOR 500 GR VERDE ROLDA</t>
  </si>
  <si>
    <t>GEL FIJADOR AGUA MARINA 120GR ROLDA</t>
  </si>
  <si>
    <t>GEL FIJADOR AZUL 250GR ROLDA</t>
  </si>
  <si>
    <t>GEL FIJADOR AZUL 500GR ROLDA</t>
  </si>
  <si>
    <t>GEL FIJADOR BLACK 120GR ROLDA</t>
  </si>
  <si>
    <t>GEL FIJADOR BLACK STYLING 250GR ROLDA</t>
  </si>
  <si>
    <t>GEL FIJADOR BLANCO  500GR ROLDA</t>
  </si>
  <si>
    <t>GEL FIJADOR BLANCO 1000 GR ROLDA</t>
  </si>
  <si>
    <t>GEL FIJADOR BLANCO 120GR  ROLDA</t>
  </si>
  <si>
    <t>GEL FIJADOR BLANCO 250GR ROLDA</t>
  </si>
  <si>
    <t>GEL FIJADOR MORADO 250GR ROLDA</t>
  </si>
  <si>
    <t>GEL FIJADOR MORADO 500GR ROLDA</t>
  </si>
  <si>
    <t>GEL FIJADOR POWER FIX 120GR ROLDA</t>
  </si>
  <si>
    <t>GEL FIJADOR POWER FIX 250GR ROLDA</t>
  </si>
  <si>
    <t>GEL FIJADOR SPORT LOOK 120GR ROLDA</t>
  </si>
  <si>
    <t>GEL FIJADOR SPORT STYLING 250GR ROLDA</t>
  </si>
  <si>
    <t>GEL FIJADOR TRADICIONAL AGUA MARINA 500GR ROLDA</t>
  </si>
  <si>
    <t>GEL FIJADOR TRADICIONAL AZUL 120GR ROLDA</t>
  </si>
  <si>
    <t>GEL FIJADOR TRADICIONAL MORADO 120GR ROLDA</t>
  </si>
  <si>
    <t>GEL FIJADOR TRADICIONAL ROJO 1000GR ROLDA</t>
  </si>
  <si>
    <t>GEL FIJADOR TRADICIONAL ROJO 500GR ROLDA</t>
  </si>
  <si>
    <t>GEL FIJADOR VERDE 250GR  ROLDA</t>
  </si>
  <si>
    <t>LINEA FAMILIAR ACONDICIONADOR CON PROTEINAS 1100CC</t>
  </si>
  <si>
    <t>LINEA FAMILIAR CHAMPU PLUS AMARILLO 1100CC ROLDA</t>
  </si>
  <si>
    <t>LINEA FAMILIAR CHAMPU PLUS NARANJA 1100CC ROLDA</t>
  </si>
  <si>
    <t>LINEA FAMILIAR CHAMPU PLUS VERDE 1100CC ROLDA</t>
  </si>
  <si>
    <t>MASCARILLA CAPILAR ACEITE DE VISON 225GR ROLDA</t>
  </si>
  <si>
    <t>MASCARILLA CAPILAR ACEITE DE VISON 450GR ROLDA</t>
  </si>
  <si>
    <t>MASCARILLA CAPILAR CERA DE ABEJA 225GR ROLDA</t>
  </si>
  <si>
    <t>MASCARILLA CAPILAR CERA DE ABEJAS 450GR  ROLDA</t>
  </si>
  <si>
    <t>MASCARILLA CAPILAR COLAGENO 225GR ROLDA</t>
  </si>
  <si>
    <t>MASCARILLA CAPILAR COLAGENO 450GR ROLDA</t>
  </si>
  <si>
    <t>REMOVEDOR D/ESMALTE ULTRA FUERTE 120ML ROLDA</t>
  </si>
  <si>
    <t>REMOVEDOR DE ESMALTE BLANQUEADOR 120ML RLDA</t>
  </si>
  <si>
    <t>REMOVEDOR DE ESMALTE ENDURECEDOR 120ML ROLDA</t>
  </si>
  <si>
    <t>REMOVEDOR DE ESMALTE HUMECTANTE 120ML ROLDA</t>
  </si>
  <si>
    <t>RESTRUCTURANTE SILICON PROFESIONAL 70CC ROLDA</t>
  </si>
  <si>
    <t>SHAMPOO PLUS 360 ML AMBAR COCO DIGI</t>
  </si>
  <si>
    <t>SHAMPOO PLUS 360 ML AZUL ALGAS MARINAS DIGI</t>
  </si>
  <si>
    <t>SHAMPOO THERMO FIVE CHOCOLATE 400ML ROLDA</t>
  </si>
  <si>
    <t>SHAMPOO THERMO FIVE KARITE&amp;QUERATINA 400ML ROLDA</t>
  </si>
  <si>
    <t>SHAMPOO THERMO FIVE MAYOLIVA 400ML ROLDA</t>
  </si>
  <si>
    <t>SHAMPOO THERMO FIVE YOGURT 400ML ROLDA</t>
  </si>
  <si>
    <t>TRAT.CAPILAR CON PLACENTA 470GR ROLDA</t>
  </si>
  <si>
    <t>TRATAMIENTO CAPILAR CON PLACENTA 240GR ROLDA</t>
  </si>
  <si>
    <t>TRATAMIENTO TERMO 5FIVE YOGURT 240GR ROLDA</t>
  </si>
  <si>
    <t>TRATAMIENTO THERMO 5FIVE CHOCOLATE 240 GR ROLDA</t>
  </si>
  <si>
    <t>TRATAMIENTO THERMO 5FIVE KARITE &amp; QUERATINA 240 GR ROLDA</t>
  </si>
  <si>
    <t>TRATAMIENTO THERMO 5FIVE MAYOLIVA 240 GR ROLDA</t>
  </si>
  <si>
    <t>VASELINA SABILA Y VITAMINA E 100GR   ROLDA</t>
  </si>
  <si>
    <t>WOMEN ACTIVE LOCION LIMPIADORA ANTI-CASPA 400CM ROLDA</t>
  </si>
  <si>
    <t>PEDIDO HECHO 9 DE SEPTIEMBRE</t>
  </si>
  <si>
    <t xml:space="preserve">PEDIDO HECHO </t>
  </si>
  <si>
    <t>AFTER SHAVE BALSAMO 100ML MALIZIA</t>
  </si>
  <si>
    <t>AFTER SHAVE LOCION TONICA 100ML MALIZIA</t>
  </si>
  <si>
    <t>COMBO NRO 10 MALIZIA</t>
  </si>
  <si>
    <t>COMBO NRO 11 MALIZIA</t>
  </si>
  <si>
    <t>COMBO NRO 3 INTENSA</t>
  </si>
  <si>
    <t>COMBO NRO 4 INTENSA</t>
  </si>
  <si>
    <t>COMBO NRO 5 INTENSA</t>
  </si>
  <si>
    <t>COMBO NRO 6 INTENSA</t>
  </si>
  <si>
    <t>COMBO NRO 9 MALIZIA</t>
  </si>
  <si>
    <t>DEODORANT BODYSPRAY  VITACELL 150ML INTESA</t>
  </si>
  <si>
    <t>DEODORANT BODYSPRAY AMBER 150ML MALIZIA</t>
  </si>
  <si>
    <t>DEODORANT BODYSPRAY AQUA 150ML MALIZIA</t>
  </si>
  <si>
    <t>DEODORANT BODYSPRAY BLACK&amp;WILD 150ML MALIZIA</t>
  </si>
  <si>
    <t>DEODORANT BODYSPRAY ENERGY 150ML MALIZIA</t>
  </si>
  <si>
    <t>DEODORANT BODYSPRAY GOLD 150ML MALIZIA</t>
  </si>
  <si>
    <t>DEODORANT BODYSPRAY MUSK 150ML MALIZIA</t>
  </si>
  <si>
    <t>DEODORANT BODYSPRAY NO ALCOOL 150ML MALIZIA</t>
  </si>
  <si>
    <t>DEODORANT BODYSPRAY SILVER 150ML MALIZIA</t>
  </si>
  <si>
    <t>DEODORANT BODYSPRAY SKYLINE 150ML MALIZIA</t>
  </si>
  <si>
    <t>DEODORANT BODYSPRAY URBAN LIFE 150ML MALIZIA</t>
  </si>
  <si>
    <t>DEODORANT BODYSPRAY VETYVER 150ML MALIZIA</t>
  </si>
  <si>
    <t>DEODORANT ENERGY POWER 150ML INTESA</t>
  </si>
  <si>
    <t>DEODORANT SEXTREME UNISEX 125ML INTESA</t>
  </si>
  <si>
    <t>DEODORANT SUPER SEX UNISEX 125ML INTESA</t>
  </si>
  <si>
    <t>DEODORANT TATTOO UNISEX 125ML INTESA</t>
  </si>
  <si>
    <t>DESOD. CORPORAL MIRAGE D AMOUR 100ML MALIZIA</t>
  </si>
  <si>
    <t>DESOD.CORPORAL SENSUAL BLUE 100ML MALIZIA</t>
  </si>
  <si>
    <t>DESODORANT CORPORAL ANIMALIER 100ML MALIZIA</t>
  </si>
  <si>
    <t>DESODORANT CORPORAL BRIVIDO 100ML MALIZIA</t>
  </si>
  <si>
    <t>DESODORANT CORPORAL BURLESQUE 100ML MALIZIA</t>
  </si>
  <si>
    <t>DESODORANT CORPORAL GREEN T 100ML MALIZIA</t>
  </si>
  <si>
    <t>DESODORANT CORPORAL INTENSE 100ML MALIZIA</t>
  </si>
  <si>
    <t>DESODORANT CORPORAL LOLITA 100ML MALIZIA</t>
  </si>
  <si>
    <t>DESODORANT CORPORAL PASSION 100ML MALIZIA</t>
  </si>
  <si>
    <t>DESODORANT CORPORAL PURPLE 100ML MALIZIA</t>
  </si>
  <si>
    <t>DESODORANT CORPORAL SECRET MUSK 100ML MALIZIA</t>
  </si>
  <si>
    <t>DESODORANT CORPORAL TOUJOURS 100ML MALIZIA</t>
  </si>
  <si>
    <t>DESODORANT CORPORAL VAINILLA 100ML MALIZIA</t>
  </si>
  <si>
    <t>DESODORANT SPRAY  ORIGINAL 150ML MALIZIA</t>
  </si>
  <si>
    <t>DESODORANT SPRAY TALC 150ML MALIZIA</t>
  </si>
  <si>
    <t>DESORORANT CORPORAL CERTEZZA 100ML MALIZIA</t>
  </si>
  <si>
    <t>ESPUMA DE AFEITAR VITA- E WOODY 300ML INTESA</t>
  </si>
  <si>
    <t>ESPUMA DE AFEITAR VITACELL 300ML INTESA</t>
  </si>
  <si>
    <t>ESPUMA DE BARBA ARGAN &amp; KARITE 300ML MALIZIA</t>
  </si>
  <si>
    <t>ESPUMA DE BARBA ENERGY POWER 300ML INTESA</t>
  </si>
  <si>
    <t>ESPUMA DE BARBA VETYVER 300ML MALIZIA</t>
  </si>
  <si>
    <t>ESPUMA P/CABELLO ECOLOGICA 200ML MALIZIA</t>
  </si>
  <si>
    <t>INTENSA DEO AMBRA DARABIA 125 ML UNI SEX</t>
  </si>
  <si>
    <t>JABON LIQ.ARGAN/VAINILLA 1LT MALIZIA</t>
  </si>
  <si>
    <t>JABON LIQ.ARGAN/VAINILLA 300ML MALIZIA</t>
  </si>
  <si>
    <t>JABON LIQ.CREMA DE LECHE 1LT MALIZIA</t>
  </si>
  <si>
    <t>JABON LIQ.CREMA DE LECHE 300ML MALIZIA</t>
  </si>
  <si>
    <t>JABON LIQ.MUSCHIO BIANCO 300ML MALIZIA</t>
  </si>
  <si>
    <t>JABON LIQ.TE VERDE/MENTA 1LT MALIZIA</t>
  </si>
  <si>
    <t>JABON LIQ.TE VERDE/MENTA 300ML MALIZIA</t>
  </si>
  <si>
    <t>MALIZIA E LACCA EXTRA FORTE 300 ML ECOFIX</t>
  </si>
  <si>
    <t>MALIZIA E LACCA FORTE ECOFIX 300 ML</t>
  </si>
  <si>
    <t>MALIZIA F JABON INTIMO 200 ML CALENDULA</t>
  </si>
  <si>
    <t>MALIZIA F JABON INTIMO 200 ML CAMOMILA</t>
  </si>
  <si>
    <t>MALIZIA F JABON INTIMO 200 ML TE VERDE</t>
  </si>
  <si>
    <t>TOALLITAS HUMECTANTES INTIMA 20PZ MALIZIA</t>
  </si>
  <si>
    <t>6 UNDADES</t>
  </si>
  <si>
    <t>6 UNIDADES</t>
  </si>
  <si>
    <t>UVAS PASAS (PASITAS)</t>
  </si>
  <si>
    <t>COMPRADAS</t>
  </si>
  <si>
    <t>2339 UND</t>
  </si>
  <si>
    <t>PLATOS PLASTICO P5     ZUPLA</t>
  </si>
  <si>
    <t>PLATOS PLASTICOS P 7 ZUPLA</t>
  </si>
  <si>
    <t>VASOS PLASTICO 27 ZUPLA</t>
  </si>
  <si>
    <t>VASOS PLASTICOS 107 ZUPLA</t>
  </si>
  <si>
    <t>VASOS PLASTICOS 57 ZUPLA</t>
  </si>
  <si>
    <t>VASOS PLASTICOS 77 S ZUPLA</t>
  </si>
  <si>
    <t>VASOS ZUPLA #67 SS 100 UND</t>
  </si>
  <si>
    <t xml:space="preserve">PITILLO ZUPLA </t>
  </si>
  <si>
    <t xml:space="preserve">PLATOS PLASTICO P 6 ZUPLA </t>
  </si>
  <si>
    <t>4 CAJA</t>
  </si>
  <si>
    <t>4CAJA</t>
  </si>
  <si>
    <t>pedido pendiente por pasar</t>
  </si>
  <si>
    <t>frascos</t>
  </si>
  <si>
    <t>250 gr de tetero iberia</t>
  </si>
  <si>
    <t>iberia</t>
  </si>
  <si>
    <t>X 2 FRASCOS</t>
  </si>
  <si>
    <t>MOZTAZA 250GR TETERO   (2 TETEROS)</t>
  </si>
  <si>
    <t>120 caja</t>
  </si>
  <si>
    <t xml:space="preserve">IGUAL </t>
  </si>
  <si>
    <t>UNIDADES DEL PEDIDO</t>
  </si>
  <si>
    <t>ZUCARITA 250GR KELLOGOS</t>
  </si>
  <si>
    <t>120 CAJA</t>
  </si>
  <si>
    <t>60 CAJA</t>
  </si>
  <si>
    <t>20 CAJA</t>
  </si>
  <si>
    <t>CERVEZA 222 ML RET SOLERA RETORNABLE VERDE POLAR</t>
  </si>
  <si>
    <t>SAL REFINADA DE 25KG (PRODUCCION)</t>
  </si>
  <si>
    <t>SAL REFINADA 1 KG CELESTIAL (AZUL)</t>
  </si>
  <si>
    <t>SACO SAL 25KG CELESTIAL</t>
  </si>
  <si>
    <t>SAL FINA CELESTIAL NEGRA 1 KG</t>
  </si>
  <si>
    <t>SAL GRUESA 1 KG CELESTIAL (PARRILLERA)(NEGRA</t>
  </si>
  <si>
    <t xml:space="preserve">QUESO FUND PARA UNTAR 20GR DALVITO </t>
  </si>
  <si>
    <t>MARGARINA 250GR DELICATA</t>
  </si>
  <si>
    <t>PEDIDO SR NUNO</t>
  </si>
  <si>
    <t>FAMA DE AMERICA 200GR PREMIUM</t>
  </si>
  <si>
    <t>2 CAJA POR AROMA</t>
  </si>
  <si>
    <t>TANS SHAMPOO 3 EN 1 TAPA ROSADA 405ML</t>
  </si>
  <si>
    <t>TANS SHAMPOO 3 EN 1 TAPA NEGRA 405ML</t>
  </si>
  <si>
    <t>160 BULTOS</t>
  </si>
  <si>
    <t>ARROZ ESMERALDA 900GR MARY</t>
  </si>
  <si>
    <t>PASTA LARGA PREMIUM LINGUINI 500 GR MARY.</t>
  </si>
  <si>
    <t>PASTA TORNILLO PREMIUM 500 GR MARY</t>
  </si>
  <si>
    <t>PASTA TORNILLO SUPERIOR 1 KG MARY</t>
  </si>
  <si>
    <t>PASTA PLUMA PREMIUM 500 GR MARY</t>
  </si>
  <si>
    <t>ARROZ PREMIUM 900 GR MARY</t>
  </si>
  <si>
    <t>ARROZ 1 KG ESMERALDA MARY</t>
  </si>
  <si>
    <t>CREMA DE ARROZ BOLSA 450GR MARY</t>
  </si>
  <si>
    <t>ARROZ  PREMIUM 1 KG BLANCO  TIPO 1  MARY</t>
  </si>
  <si>
    <t>FRIJOL BAYO 500GR MARY</t>
  </si>
  <si>
    <t>GALLETAS TIP-TOP CHOCO MANI 80G</t>
  </si>
  <si>
    <t>SOPA INSTANTANEA DE POLLO 64GR MARUCHAN</t>
  </si>
  <si>
    <t>SOPA INSTANTANEA CON CAMARON 64GR MARUCHAN</t>
  </si>
  <si>
    <t>GALLETAS CHARMY CHOCO 216GR CALEDONIA</t>
  </si>
  <si>
    <t>GALLETA TIPTOP CHOCOLATE 80GR CALEDONIA</t>
  </si>
  <si>
    <t>GALLETAS TIPTOP VAINILLA 80GR CALEDONIA</t>
  </si>
  <si>
    <t>GALLETAS CHARMY VAINILLA 216GR CALEDONIA</t>
  </si>
  <si>
    <t>GALLETAS TIPTOP COCO 80GR CALEDONIA</t>
  </si>
  <si>
    <t>GALLETAS CHARMY FRESA 216GR CALEDONIA</t>
  </si>
  <si>
    <t>GALLETAS TIPTOP MANI 80GR CALEDONIA</t>
  </si>
  <si>
    <t>GALLETAS 216 GR 2 SABORES FRESA VAINILLA CALEDONIA.</t>
  </si>
  <si>
    <t>GALLETAS 2 SABORES 216 GR CHOC/ VAINILLA CALEDONIA</t>
  </si>
  <si>
    <t>GALLETAS MARIA 250 GR CALEDONIA</t>
  </si>
  <si>
    <t>ARROZ DORADO PARBOILED 800GR MARY</t>
  </si>
  <si>
    <t>ARVEJA VERDE PARTIDA 500 GR MARY</t>
  </si>
  <si>
    <t>ARROZ  TIPO III 1KG  BLANCO  EMI</t>
  </si>
  <si>
    <t>ARVEJAS AMARILLAS ENTERAS 500GR MARY</t>
  </si>
  <si>
    <t>CARAOTAS NEGRAS 500GR MARY</t>
  </si>
  <si>
    <t>ARROZ TRADICIONAL 1 KG MARY</t>
  </si>
  <si>
    <t>ARROZ SUPERIOR 1 KG MARY</t>
  </si>
  <si>
    <t>PASTA 500 GR DEDAL   MARY</t>
  </si>
  <si>
    <t>PASTA 500 GR LINGUINI MARY</t>
  </si>
  <si>
    <t>PASTA TORNILLO 500GR MARY</t>
  </si>
  <si>
    <t>PASTA 500 GR PLUMITAS MARY</t>
  </si>
  <si>
    <t>PASTA VERMICELLI 500 GR MARY</t>
  </si>
  <si>
    <t>ACEITE DE SOYA 900ML DOÑA ALICIA</t>
  </si>
  <si>
    <t>ARROZ BLANCO TIPO I 1KG DOÑA ALICIA</t>
  </si>
  <si>
    <t>ARROZ BLANCO TIPO A 1KG PLATINUM</t>
  </si>
  <si>
    <t>ACEITE DE GIRASOL 900ML DOÑA ALICIA</t>
  </si>
  <si>
    <t>ARROZ ESPIGA DORADA TIPO III 1KG.</t>
  </si>
  <si>
    <t>CARAOTAS NEGRAS 500GR DOÑA ALICIA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</si>
  <si>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</si>
  <si>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</si>
  <si>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</si>
  <si>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</si>
  <si>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</si>
  <si>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</si>
  <si>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</si>
  <si>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PEDIDO HECHO 14 DE SEPTIEMBRE</t>
  </si>
  <si>
    <t>MAIZ DULCE PROVEFRU 1 KG</t>
  </si>
  <si>
    <t>AUTOMERCADO EXPRESS TIENDA  PRINCIPAL</t>
  </si>
  <si>
    <t>1 CESTA</t>
  </si>
  <si>
    <t>SR MIGUEL   14 DE SEPTIEMBRE</t>
  </si>
  <si>
    <t>AVENA EN HOJUELAS 800GR LA LUCHA</t>
  </si>
  <si>
    <t>CARAOTAS NEGRAS 500GR</t>
  </si>
  <si>
    <t>CREMA DE ARROZ LA LUCHA 450G</t>
  </si>
  <si>
    <t>FORORO 900 GR ENDULZADO TOSTADO LA LUCHA</t>
  </si>
  <si>
    <t>FORORO 900GR SIMPLE HARINA DE MAIZ TOSTADO  LA LUCHA</t>
  </si>
  <si>
    <t>GOFIO HARINA DE TOSTADO 900 GR LA LUCHA</t>
  </si>
  <si>
    <t>HARINA DE MAIZ BLANCO LUCHAREPA 1KG LA LUCHA</t>
  </si>
  <si>
    <t>HARINA DE TRIGO LEUDANTE 1KG LA LUCHA</t>
  </si>
  <si>
    <t>HARINA DE TRIGO TODO USO 1KG LA LUCHA</t>
  </si>
  <si>
    <t>HARINA DE TRIGO TOSTADO GOFIO 450GR LA LUCHA</t>
  </si>
  <si>
    <t>MAIZ PARA COTUFA 500GR LA LUCHA</t>
  </si>
  <si>
    <t>PABILO</t>
  </si>
  <si>
    <t>60 PAQ</t>
  </si>
  <si>
    <t>AJI DULCE 150 GR EL ANDINITO</t>
  </si>
  <si>
    <t>AJO PELADO 150 GR EL ANDINITO</t>
  </si>
  <si>
    <t>HELADO 2 LT CHOCOLATE EFE</t>
  </si>
  <si>
    <t>HELADO 2 LT MANTECADO EFE</t>
  </si>
  <si>
    <t>HELADO DE CAFE 920 ML EFE</t>
  </si>
  <si>
    <t>HELADO DE COCO 920 ML EFE</t>
  </si>
  <si>
    <t>HELADO DE FRESA  920 ML EFE</t>
  </si>
  <si>
    <t>HELADO DUO CHOCO/MANTECADO 2L EFE</t>
  </si>
  <si>
    <t>HELADO DUO MANTECADO FRESA 2L EFE</t>
  </si>
  <si>
    <t>HELADO DUO MANTECADO Y CHOCOLATE 2 LT EFE</t>
  </si>
  <si>
    <t>HELADO MANTECADO 920 ML EFE</t>
  </si>
  <si>
    <t>HELADO NAPOLITANO  2 LT EFE</t>
  </si>
  <si>
    <t>HELADO RON PASAS 920 ML EFE</t>
  </si>
  <si>
    <t>HELADO TODDY 920 ML EFE</t>
  </si>
  <si>
    <t>HELADO CHOCOLATE 920ML EFE</t>
  </si>
  <si>
    <t>PEDDIDO  14 DE SEPTIEMBRE</t>
  </si>
  <si>
    <t>RECEP</t>
  </si>
  <si>
    <t xml:space="preserve">VENTAS PEPSI, DESDE 10 AL 13  DE SEPTIEMBRE 2021 </t>
  </si>
  <si>
    <t>BCV HOY 13 DE SEPTIEMBRE DEL 2021 ( 4057528.65)</t>
  </si>
  <si>
    <t>AGUA MINERAL LIBRE DE SODIO 1.5LTS MINALBA</t>
  </si>
  <si>
    <t>AGUA MINERAL LIBRE DE SODIO 355ML MINALBA.</t>
  </si>
  <si>
    <t>AGUA MINERAL LIBRE DE SODIO 5 LTS MINALBA</t>
  </si>
  <si>
    <t>AGUA MINERAL LIBRE DE SODIO 600ML MINALBA</t>
  </si>
  <si>
    <t>AGUA SPARKLING DE LIMON 500ML MINALBA</t>
  </si>
  <si>
    <t>AGUA SPARKLING DE TORONJA 500ML MINALBA</t>
  </si>
  <si>
    <t>BIB JARABE  PEPSI COLA NEGRA 9.463LT PEPSI-COLA</t>
  </si>
  <si>
    <t>BIB JARABE GOLDEN KOLA KOLITA 9.463LT PEPSI-COLA</t>
  </si>
  <si>
    <t>BOMBONAS CO2 9 KG</t>
  </si>
  <si>
    <t>GATORADE 500ML SABOR A FRUTAS TROPICALES</t>
  </si>
  <si>
    <t>GATORADE MANDARINA 500 ML PEPSI COLA</t>
  </si>
  <si>
    <t>GATORADE SABOR A MORA 500ML PEPSICO.</t>
  </si>
  <si>
    <t>JUGO 500 ML DURAZNO YUKERY</t>
  </si>
  <si>
    <t>JUGO 500 ML MANGO YUKERY</t>
  </si>
  <si>
    <t>JUGO DE DURAZNO 1.5 LT YUKERY</t>
  </si>
  <si>
    <t>JUGO DE MANZANA 1.5LT YUKERY</t>
  </si>
  <si>
    <t>JUGO DE NARANJA 1.5LT YUKERY</t>
  </si>
  <si>
    <t>JUGO DE NARANJA-NANGO 1.5 LT YUKERY</t>
  </si>
  <si>
    <t>JUGO DE PERA 1.5LT YUKERY</t>
  </si>
  <si>
    <t>JUGO DURAZNO 250 ML YUKERY.</t>
  </si>
  <si>
    <t>JUGO MANGO 250 ML YUKERY BOTELLA</t>
  </si>
  <si>
    <t>JUGO PERA 250 ML YUKERY BOTELLA</t>
  </si>
  <si>
    <t>JUGO YUKERY 250 ML NARANJA .</t>
  </si>
  <si>
    <t>PQ.DE VASOS PEPSI DESECHABLE 16OZ 50 UNID</t>
  </si>
  <si>
    <t>RECARGA PEPSI COLA 1.25 LT</t>
  </si>
  <si>
    <t>REFRESCO 7UP 1.5 LTS PEPSI COLA</t>
  </si>
  <si>
    <t>REFRESCO 7UP 2 LT PEPSI COLA.</t>
  </si>
  <si>
    <t>REFRESCO 7UP 355ML  PEPSI COLA</t>
  </si>
  <si>
    <t>REFRESCO KOLITA 1.5LT GOLDEN</t>
  </si>
  <si>
    <t>REFRESCO KOLITA 355ML  GOLDEN PEPSI COLA</t>
  </si>
  <si>
    <t>REFRESCO NARA/PARCHITA LATA 355ML GOLDEN</t>
  </si>
  <si>
    <t>REFRESCO PEPSI 1.5LT PEPSI-COLA</t>
  </si>
  <si>
    <t>REFRESCO PEPSI 2 LTS PEPSI COLA.</t>
  </si>
  <si>
    <t>REFRESCO PEPSI COLA 1 LT</t>
  </si>
  <si>
    <t>REFRESCO PEPSI COLA LATA ORIGINAL 355 ML</t>
  </si>
  <si>
    <t>REFRESCO PEPSI DE LATA 320ML</t>
  </si>
  <si>
    <t>REFRESCO PEPSI LIGHT 355ML  PEPSI COLA</t>
  </si>
  <si>
    <t>REFRESCO SABOR A NARA PARCHITA 1.5 LT GOLDEN</t>
  </si>
  <si>
    <t>REFRESCO UVA 1.5 LT GOLDEN</t>
  </si>
  <si>
    <t>SODA 355 ML EVERVESS LATA</t>
  </si>
  <si>
    <t>SODA PSH 250ML EVERVESS PEPSI COLA</t>
  </si>
  <si>
    <t>TE 1.5 LT DURAZNO LIPTON</t>
  </si>
  <si>
    <t>TE 1.5 LT LIMON LIPTON</t>
  </si>
  <si>
    <t>TE CON LIMON PET 500ML LIPTON</t>
  </si>
  <si>
    <t>TE DE DURAZNO PET 500ML LIPTON</t>
  </si>
  <si>
    <t>TE VERDE CON LIMON PET 500ML LIPTON</t>
  </si>
  <si>
    <t>YUKY-PACK 250 ML UVA</t>
  </si>
  <si>
    <t>YUKY-PAK 250 ML DURAZNO</t>
  </si>
  <si>
    <t>YUKY-PAK 250 ML MANZANA</t>
  </si>
  <si>
    <t>YUKY-PAK 250 ML PERA</t>
  </si>
  <si>
    <t>HARINA DE TRIGO DOÑA MARIA 1KG.</t>
  </si>
  <si>
    <t>PRECIO DE COSTO</t>
  </si>
  <si>
    <t>MANTECA TODO USO TRESCO LTE 15 KG (CARGILL)</t>
  </si>
  <si>
    <t>ACEITE VEGETAL 1 LT VATEL</t>
  </si>
  <si>
    <t>PASTA PLUMA 1 KG MIMESA</t>
  </si>
  <si>
    <t>HARINA DE TRIGO LEUDANTE 1 KG BLANCAFLOR</t>
  </si>
  <si>
    <t>HARINA DE TRIGO TODO USO 1 KG BLANCAFLOR</t>
  </si>
  <si>
    <t>HARINA DE TRIGO 1 KG TODO USO SAN AGUSTIN</t>
  </si>
  <si>
    <t>ACEITE SOYA 500GR VATEL</t>
  </si>
  <si>
    <t>ACEITE DE SOYA 900 ML LIZA</t>
  </si>
  <si>
    <t>PASTA VERMICELLI JET 500 GR RONCO</t>
  </si>
  <si>
    <t>PASTA PREMIUM 1 KG LINGUINI RONCO</t>
  </si>
  <si>
    <t>PASTA PREMIUM 1 KG TORNILLO RONCO</t>
  </si>
  <si>
    <t>PASTA PREMIUM PLUMA 500GR RONCO</t>
  </si>
  <si>
    <t>HARINA DE TRIGO 45 KG REY DEL NORTE (CARGILL)</t>
  </si>
  <si>
    <t>ACEITE 1 LT VATEL SOYA</t>
  </si>
  <si>
    <t>PEPSI 1.25ML VIDRIO VENTA CON BOTELLA</t>
  </si>
  <si>
    <t>BCV</t>
  </si>
  <si>
    <t>PRECIO CON IVA</t>
  </si>
  <si>
    <t>COSTO $ SIN IVA</t>
  </si>
  <si>
    <t xml:space="preserve">PRECIO DE VENTA </t>
  </si>
  <si>
    <t>IMFORMACION IMPORTANTE</t>
  </si>
  <si>
    <t>SE DEVUELVE 48 UND EN MAL ESTADO</t>
  </si>
  <si>
    <t>FALTANTE</t>
  </si>
  <si>
    <t>14 DE SEPTIEMBRE</t>
  </si>
  <si>
    <t>SALSA TOMATE KETCHUP  397G TIQUIRE FLORES</t>
  </si>
  <si>
    <t>SALSA DE TOMATE  KETCHUP 397 GR EUREKA</t>
  </si>
  <si>
    <t>con iva</t>
  </si>
  <si>
    <t>SALSA DE TOMATE KEPTCHUP 397GR  HEINZ</t>
  </si>
  <si>
    <t>Código SKU</t>
  </si>
  <si>
    <t>Nombre SKU</t>
  </si>
  <si>
    <t>Precio  Por Unidad $</t>
  </si>
  <si>
    <t>PTPRO21</t>
  </si>
  <si>
    <t>RONCO C JET PLUMA 500G        ALMOHADA</t>
  </si>
  <si>
    <t>G201</t>
  </si>
  <si>
    <t>RONCO VERMICELLI JET 24x1/2 KG</t>
  </si>
  <si>
    <t>PTPRO25</t>
  </si>
  <si>
    <t>RONCO PREMIUM VERMICELLI 1KG12</t>
  </si>
  <si>
    <t>PTPRO26</t>
  </si>
  <si>
    <t>RONCO PREMIUM PLUMA 1 KG B10KG</t>
  </si>
  <si>
    <t>PTPRO33</t>
  </si>
  <si>
    <t>RONCO PREMIUM LINGUINI 12KG   RONCO PREMIUM LINGUINI 12KG</t>
  </si>
  <si>
    <t>PTPRO36</t>
  </si>
  <si>
    <t>RONCO PREMIUM TORNILLO 10X1KG</t>
  </si>
  <si>
    <t>PTPRO34</t>
  </si>
  <si>
    <t>RONCO PREMIUM DEDAL 10X1KG</t>
  </si>
  <si>
    <t>G156</t>
  </si>
  <si>
    <t>HARINA BLANCA FLOR TODO USO 20X1 KILO</t>
  </si>
  <si>
    <t>G155</t>
  </si>
  <si>
    <t>HARINA BLANCA FLOR LEUDANTE 20X1 KILO</t>
  </si>
  <si>
    <t>VATEL ACEITE VEGETAL 12X1L</t>
  </si>
  <si>
    <t>VATEL ACEITE SOYA 12X1L</t>
  </si>
  <si>
    <t>PTAVS01</t>
  </si>
  <si>
    <t>VATEL ACEITE SOYA 24X1/2 LT</t>
  </si>
  <si>
    <t>ASV01</t>
  </si>
  <si>
    <t>VATEL 5VF ACEITE SOYA 20X900 ML</t>
  </si>
  <si>
    <t xml:space="preserve">BULTOS </t>
  </si>
  <si>
    <t>PEDIDO HECHO 16 DE SEPTIEMBRE</t>
  </si>
  <si>
    <t>15 DIAS</t>
  </si>
  <si>
    <t>ACONDICIONADOR 400 ML CAIDA RESISTENTE X3 ELVIVE</t>
  </si>
  <si>
    <t>ACONDICIONADOR 400 ML COLOR-VIVE ELVIVE</t>
  </si>
  <si>
    <t>ACONDICIONADOR 400 ML OLEO EXTRAORDINARIO ELVIVE</t>
  </si>
  <si>
    <t>ACONDICIONADOR 400 ML REP TOTAL 5 ELVIVE</t>
  </si>
  <si>
    <t>ACONDICIONADOR SUPER LISS 400 ML DREAM LONG ELVIVE</t>
  </si>
  <si>
    <t>ALCOHOL 950 CC ALNA</t>
  </si>
  <si>
    <t>BAÑO DE CREMA 300 GR LOREAL COLOR VIVE</t>
  </si>
  <si>
    <t>BAÑO DE CREMA 300 GR LOREAL KERA LISO</t>
  </si>
  <si>
    <t>BOROCANFORD 35 GR ORIGINAL</t>
  </si>
  <si>
    <t>COLONIA 220 ML PARA NIÑOS CHICCO</t>
  </si>
  <si>
    <t>COLONIA PARA NIÑOS 200ML CHICCO</t>
  </si>
  <si>
    <t>COLONIA ROSADA 100ML MELODY</t>
  </si>
  <si>
    <t>COTONCITOS PURO ALGODON 60UNID CHICCO</t>
  </si>
  <si>
    <t>CREMA CORPORAL 400 ML REAFIRMANTE Q10 NIVEA</t>
  </si>
  <si>
    <t>CREMA CORPORAL 400ML EXPRESS HYDRATION 48H NIVEA</t>
  </si>
  <si>
    <t>CREMA CORPORAL EXPRESS HYDRATION 48H 250ML NIVEA</t>
  </si>
  <si>
    <t>CREMA CORPORAL MILK NUTRITIVA 48H 250ML NIVEA</t>
  </si>
  <si>
    <t>CREMA CORPORAL MILK NUTRITIVA 48H 400ML NIVEA</t>
  </si>
  <si>
    <t>CREMA CORPORAL SOFT MILK 48H 250ML NIVEA</t>
  </si>
  <si>
    <t>CREMA CORPORAL SOFT MILK 48H 400ML NIVEA</t>
  </si>
  <si>
    <t>CREMA DE PEINAR 300 ML ELVIVE REPARACION TOTAL</t>
  </si>
  <si>
    <t>KOTEX PROTECTORES DIARIOS 15 UND</t>
  </si>
  <si>
    <t>MAGIC RETOUCH 75 ML NEGRO LOREAL</t>
  </si>
  <si>
    <t>MAGIC RETOUCH 75 ML RUBIO CLARO LOREAL</t>
  </si>
  <si>
    <t>MAGIC RETOUCH 75 ML RUBIO MEDIO LOREAL</t>
  </si>
  <si>
    <t>MELODY 200 ML CHAMPOO</t>
  </si>
  <si>
    <t>MELODY CHAMPOO 100 ML</t>
  </si>
  <si>
    <t>NIVEA 50 ML EN CREMA</t>
  </si>
  <si>
    <t>OFF AEROSOL REPELENTE DE INSECTOS 172ML JOHNSON</t>
  </si>
  <si>
    <t>PROTECTOR SOLAR HIDRATANTE 125ML PFS50 ALTO NIVEA</t>
  </si>
  <si>
    <t>ROLL-ON 50 ML ACLARADO NATURAL CLASSIC TOUCH NIVEA</t>
  </si>
  <si>
    <t>ROLL-ON 50 ML PEARL &amp; BEAUTY NIVEA</t>
  </si>
  <si>
    <t>ROLL-ON 50 ML PROTECCION Y CUIDADO NIVEA</t>
  </si>
  <si>
    <t>SHAMPOO 200 ML OLEO EXTRAORDINARIO ELVIVE</t>
  </si>
  <si>
    <t>SHAMPOO CAIDA RESIST X3  400 ML ELVIVE LOREAL</t>
  </si>
  <si>
    <t>SHAMPOO COLOR- VIVE  PROTECTOR 400 ML ELVIVE LOREAL</t>
  </si>
  <si>
    <t>SHAMPOO DREAM LONG  LISS 400 ML ELVIVE</t>
  </si>
  <si>
    <t>SHAMPOO DREAM LONG 400 ML RECONSTRUCTOR ELVIVE</t>
  </si>
  <si>
    <t>SHAMPOO KERA LISO MQ 400 ML ELVIVE LOREAL</t>
  </si>
  <si>
    <t>SHAMPOO NUTR/ EXTRAORDINARIO OLEO  400 ML ELVIVE LOREAL</t>
  </si>
  <si>
    <t>SHAMPOO REP.TOTAL5 ELVIVE 400ML LOREAL PARIS</t>
  </si>
  <si>
    <t>SUPER ACONDICIONADOR 400 ML DREAM LONG ELVIVE</t>
  </si>
  <si>
    <t>TALCO 100 GR MELODY</t>
  </si>
  <si>
    <t>TALCO 120 GR BOROCANFOR COOL</t>
  </si>
  <si>
    <t>TALCO 120 GR BOROCANFOR ORIGINAL</t>
  </si>
  <si>
    <t>TALCO 200 GR PARA NIÑO MELODY</t>
  </si>
  <si>
    <t>TALCO 60 GR BOROCANFOR COOL</t>
  </si>
  <si>
    <t>TALCO 60GR BOROCANFOR ORIGINAL</t>
  </si>
  <si>
    <t>TINTE 50 ML #  4.45 CAST COBRE CAOBA DRENE COLOR</t>
  </si>
  <si>
    <t>TINTE 50 ML # 1.0 NEGRO DRENE COLOR</t>
  </si>
  <si>
    <t>TINTE 50 ML # 10.0 RUBIO EXT CLARO DRENE COLOR</t>
  </si>
  <si>
    <t>TINTE 50 ML # 3.0 CASTAÑO OSCURO DRENE COLOR</t>
  </si>
  <si>
    <t>TINTE 50 ML # 5.3 CASTAÑO OSCURO DORADO DRENE COLOR</t>
  </si>
  <si>
    <t>TINTE 50 ML # 5.5 CASTAÑO CL CAOBA DRENE COLOR</t>
  </si>
  <si>
    <t>TINTE 50 ML # 7.0 RUBIO MEDIANO DRENE COLOR</t>
  </si>
  <si>
    <t>TINTE 50 ML # 7.3 RUBIO AVELLANA DRENE COLOR</t>
  </si>
  <si>
    <t>TINTE 50 ML # 7.53 RUBIO MEDIO CHOC DRENE COLOR</t>
  </si>
  <si>
    <t>TINTE 50 ML # 8.0 RUBIO CLARO DRENE COLOR</t>
  </si>
  <si>
    <t>TINTE 50 ML # 8.1 RUBIO CLARO CENIZA DRENE COLOR</t>
  </si>
  <si>
    <t>TINTE 50 ML # 8.31 RUBIO CL DOR CENIZA DRENE COLOR</t>
  </si>
  <si>
    <t>TINTE 50 ML # 9.0 RUBIO MUY CLARO DRENE COLOR</t>
  </si>
  <si>
    <t>TINTE 50 ML #5.0 CASTAÑO CLARO DRENE COLOR</t>
  </si>
  <si>
    <t>TINTE 50 ML #6.53 RUBIO OSCURO CHOCO DRENE COLOR</t>
  </si>
  <si>
    <t>TOALLA HUMEDAS 72 UND AMY CON EXTRATO DE MANZANILLA</t>
  </si>
  <si>
    <t>TOALLAS SANITARIAS 10 UND FRIENDS</t>
  </si>
  <si>
    <t>GALLETAS 192 GR CHARMY MOKA</t>
  </si>
  <si>
    <t xml:space="preserve">PALETA </t>
  </si>
  <si>
    <t>TOCINO</t>
  </si>
  <si>
    <t>MILANESA EMPAMIZADA</t>
  </si>
  <si>
    <t>NUGGUER</t>
  </si>
  <si>
    <t>QUESO CREMA GABY 250 GR QUENACA</t>
  </si>
  <si>
    <t>CREMA DE LECHE  250 GR QUENACA</t>
  </si>
  <si>
    <t>LECHE EN POLVO LA CAMPIÑA 900GR PARMALAT</t>
  </si>
  <si>
    <t>SANTAL LIGHT DE PERA 1.5LT PARMALAT</t>
  </si>
  <si>
    <t>SANTAL LIGHT DE MANZANA 1.5LT PARMALAT</t>
  </si>
  <si>
    <t>JUGO NARANJA Y ZANAHORIA 1.5 LT SANTAL ACTIVE</t>
  </si>
  <si>
    <t>SANTAL ACTIVE NARANJA/ZANAHORIA 500ML PARMALAT</t>
  </si>
  <si>
    <t>MANTEQUILLA CON SAL 2 X 100 GR MARACAY</t>
  </si>
  <si>
    <t>LECHE EN POLVO 500 GR LA CAMPIÑA.</t>
  </si>
  <si>
    <r>
      <t xml:space="preserve">MASA  FACIL 1 KG </t>
    </r>
    <r>
      <rPr>
        <sz val="11"/>
        <color rgb="FFFF0000"/>
        <rFont val="Calibri"/>
        <family val="2"/>
        <scheme val="minor"/>
      </rPr>
      <t># 4</t>
    </r>
    <r>
      <rPr>
        <sz val="11"/>
        <color theme="1"/>
        <rFont val="Calibri"/>
        <family val="2"/>
        <scheme val="minor"/>
      </rPr>
      <t xml:space="preserve"> LISOL</t>
    </r>
  </si>
  <si>
    <r>
      <t xml:space="preserve">MASA FACIL  </t>
    </r>
    <r>
      <rPr>
        <sz val="11"/>
        <color rgb="FFFF0000"/>
        <rFont val="Calibri"/>
        <family val="2"/>
        <scheme val="minor"/>
      </rPr>
      <t>#3</t>
    </r>
    <r>
      <rPr>
        <sz val="11"/>
        <color theme="1"/>
        <rFont val="Calibri"/>
        <family val="2"/>
        <scheme val="minor"/>
      </rPr>
      <t xml:space="preserve">  C/S 500GM LISOL</t>
    </r>
  </si>
  <si>
    <r>
      <t xml:space="preserve">MASA FACIL  1 KG  </t>
    </r>
    <r>
      <rPr>
        <sz val="11"/>
        <color rgb="FFFF0000"/>
        <rFont val="Calibri"/>
        <family val="2"/>
        <scheme val="minor"/>
      </rPr>
      <t>#3</t>
    </r>
    <r>
      <rPr>
        <sz val="11"/>
        <color theme="1"/>
        <rFont val="Calibri"/>
        <family val="2"/>
        <scheme val="minor"/>
      </rPr>
      <t xml:space="preserve">  LISOL</t>
    </r>
  </si>
  <si>
    <r>
      <t>MASA FACIL  NRO</t>
    </r>
    <r>
      <rPr>
        <sz val="11"/>
        <color rgb="FFFF0000"/>
        <rFont val="Calibri"/>
        <family val="2"/>
        <scheme val="minor"/>
      </rPr>
      <t>.#2</t>
    </r>
    <r>
      <rPr>
        <sz val="11"/>
        <color theme="1"/>
        <rFont val="Calibri"/>
        <family val="2"/>
        <scheme val="minor"/>
      </rPr>
      <t xml:space="preserve">  LISOL 1 KG</t>
    </r>
  </si>
  <si>
    <r>
      <t xml:space="preserve">MASA FACIL </t>
    </r>
    <r>
      <rPr>
        <sz val="11"/>
        <color rgb="FFFF0000"/>
        <rFont val="Calibri"/>
        <family val="2"/>
        <scheme val="minor"/>
      </rPr>
      <t>#1</t>
    </r>
    <r>
      <rPr>
        <sz val="11"/>
        <color theme="1"/>
        <rFont val="Calibri"/>
        <family val="2"/>
        <scheme val="minor"/>
      </rPr>
      <t xml:space="preserve"> 500 GR LISOL</t>
    </r>
  </si>
  <si>
    <r>
      <t xml:space="preserve">MASA FACIL 1KG  LISOL </t>
    </r>
    <r>
      <rPr>
        <sz val="11"/>
        <color rgb="FFFF0000"/>
        <rFont val="Calibri"/>
        <family val="2"/>
        <scheme val="minor"/>
      </rPr>
      <t>N°1</t>
    </r>
    <r>
      <rPr>
        <sz val="11"/>
        <color theme="1"/>
        <rFont val="Calibri"/>
        <family val="2"/>
        <scheme val="minor"/>
      </rPr>
      <t xml:space="preserve">  LISOL</t>
    </r>
  </si>
  <si>
    <r>
      <t xml:space="preserve">MASA FACIL 500 GR </t>
    </r>
    <r>
      <rPr>
        <sz val="11"/>
        <color rgb="FFFF0000"/>
        <rFont val="Calibri"/>
        <family val="2"/>
        <scheme val="minor"/>
      </rPr>
      <t xml:space="preserve"> #4</t>
    </r>
    <r>
      <rPr>
        <sz val="11"/>
        <color theme="1"/>
        <rFont val="Calibri"/>
        <family val="2"/>
        <scheme val="minor"/>
      </rPr>
      <t xml:space="preserve">  LISOL</t>
    </r>
  </si>
  <si>
    <t>3 CESTA</t>
  </si>
  <si>
    <t>20 DE SEPTIEMBRE</t>
  </si>
  <si>
    <t xml:space="preserve">TOALLAS DIARIAS 20 UND ALIVE </t>
  </si>
  <si>
    <t>FRUCTUS 15 GR</t>
  </si>
  <si>
    <t>BOMBILLO 100 WATT GAMME LUXE</t>
  </si>
  <si>
    <t>TOALLAS SANITARIAS VERDE 10UNID ALLUAYS</t>
  </si>
  <si>
    <t>CER03 LIMON 400GR</t>
  </si>
  <si>
    <t>CERO3 LIMON 900GR</t>
  </si>
  <si>
    <t>HARMONI 75 GR SURTIDO</t>
  </si>
  <si>
    <t>COPROAL</t>
  </si>
  <si>
    <t>SAN TONI</t>
  </si>
  <si>
    <t>SUAVIZANTE CONCENTRADO PARA ROPA 1 LT ROSAS UNO</t>
  </si>
  <si>
    <t>SUAVIZANTE CONCENTRADO PARA ROPA 1 LT OCEANO UNO</t>
  </si>
  <si>
    <t>SUAVIZANTE CONCENTRADO PARA ROPA 1 LT LAVANDA UNO</t>
  </si>
  <si>
    <t>LAVAPLATOS LIQUIDO 750 ML VERDE UNO</t>
  </si>
  <si>
    <t>LAVAPLATOS LIQUIDO 500 ML VERDE UNO</t>
  </si>
  <si>
    <t>DETERGENTE LIQUIDO 1 LT ROPA NEGRA UNO</t>
  </si>
  <si>
    <t>DETERGENTE LIQUIDO 1 LT ROPA BLANCA UNO</t>
  </si>
  <si>
    <t>DETERGENTE LIQUIDO 1 LT ROPA COLOR UNO</t>
  </si>
  <si>
    <t>ALMOHADILLAS DE ALGODON  100 UND UNO</t>
  </si>
  <si>
    <t>HISOPOS 300 UND UNO</t>
  </si>
  <si>
    <t>HISOPOS 100 UND UNO</t>
  </si>
  <si>
    <t>SHAMPOO PARA BEBE ROSADO 300 ML UNO</t>
  </si>
  <si>
    <t>SHAMPOO PARA BEBE AZUL 300 ML UNO</t>
  </si>
  <si>
    <t>SHAMPOO PARA BEBE AMARILLO 300 ML UNO</t>
  </si>
  <si>
    <t>ACONDICIONADOR MIEL Y LECHE 750 ML UNO</t>
  </si>
  <si>
    <t>SHAMPOO MANZANILLA 300 ML UNO</t>
  </si>
  <si>
    <t>SHAMPOO DE COCO 300 ML UNO</t>
  </si>
  <si>
    <t>SHAMPOO ACEITE ARGAN 300 ML UNO</t>
  </si>
  <si>
    <t>JABON LIQUIDO PARA MANOS LIMON FRESCO UNO</t>
  </si>
  <si>
    <t>12 UND</t>
  </si>
  <si>
    <t>PULPA DE GUANABANA 1 KG MANFRUC</t>
  </si>
  <si>
    <t>PULPA DE FRESA 1 KG MANFRUC</t>
  </si>
  <si>
    <t>PULPA DE MORA 1 KG MANFRUC</t>
  </si>
  <si>
    <t>PULPA DE PARCHITA 1 KG MANFRUC</t>
  </si>
  <si>
    <t>PULPA DE DURAZNO 1 KG MANFRUC</t>
  </si>
  <si>
    <t>PULPA DE TAMARINDO 1 KG NANFRUC</t>
  </si>
  <si>
    <t>PULPA DE MANGO 1 KG NANFRUC</t>
  </si>
  <si>
    <t>5 UND</t>
  </si>
  <si>
    <t>10 UND</t>
  </si>
  <si>
    <t xml:space="preserve">AUTOMERCADO EXPRESS </t>
  </si>
  <si>
    <t>PEDIDO HECHO 21 DE SEPTIEMBRE</t>
  </si>
  <si>
    <t>50 UND</t>
  </si>
  <si>
    <t>CARBON VERGETAL 4 KG LARA</t>
  </si>
  <si>
    <t>CARBON VEGETAL 1.5 KG LARA</t>
  </si>
  <si>
    <t>CARBON VEGETAL INSTANTANEO 1.5 KG LARA</t>
  </si>
  <si>
    <t>NUEVO</t>
  </si>
  <si>
    <t>AL CAMPO</t>
  </si>
  <si>
    <t>MARGEN</t>
  </si>
  <si>
    <t>PREFORMAS SOLICITADA</t>
  </si>
  <si>
    <t xml:space="preserve">GEL DE BAÑO DE FRESA 330 ML UNO </t>
  </si>
  <si>
    <t xml:space="preserve">GEL DE BAÑO DE COCO 330 ML UNO </t>
  </si>
  <si>
    <t xml:space="preserve">JABON LIQUIDO DE MANO 500 ML LAVANDA UNO </t>
  </si>
  <si>
    <t xml:space="preserve"> TOALLAS HUMEDAS PARA BEBE 72 PCS AZUL UNO </t>
  </si>
  <si>
    <t xml:space="preserve">TOALLAS HUMEDAS PARA BEBE  ROSADA 72PCS UNO </t>
  </si>
  <si>
    <t xml:space="preserve">TOALLAS HUMEDAS PARA BEBE VERDE 72 PCS UNO </t>
  </si>
  <si>
    <t>UNIDADES POR CAJA</t>
  </si>
  <si>
    <t>6 PIEZAS</t>
  </si>
  <si>
    <t>4 PIEZAS</t>
  </si>
  <si>
    <t>8 PIEZAS</t>
  </si>
  <si>
    <t>12 PIEZAS</t>
  </si>
  <si>
    <t>48 PIEZAS</t>
  </si>
  <si>
    <t>18 piezas</t>
  </si>
  <si>
    <t>12 piezas</t>
  </si>
  <si>
    <t>precio $ bulto</t>
  </si>
  <si>
    <t>costo und</t>
  </si>
  <si>
    <t>TOTAL PEDIDO</t>
  </si>
  <si>
    <t xml:space="preserve">MARGARINA DE PANELON SIN SAL 5KG </t>
  </si>
  <si>
    <t>COSTO $</t>
  </si>
  <si>
    <t>BULTO $</t>
  </si>
  <si>
    <t>UND X EMPAQUE</t>
  </si>
  <si>
    <t>8 BULTOS</t>
  </si>
  <si>
    <t xml:space="preserve">JAMON PLANCHADO </t>
  </si>
  <si>
    <t>UND/ KG</t>
  </si>
  <si>
    <t>PEDIDO 20 DE SEPTIEMBRE</t>
  </si>
  <si>
    <t>ENDULZANTE "O"CALORIAS  112 SOBRES MONTALBAN</t>
  </si>
  <si>
    <t>ENDULZANTE SACAROSA CON STEVIA 500GR MONTALBAN</t>
  </si>
  <si>
    <t>PAPELON EN POLVO 500GR SABOR A LIMON  MONTALBA</t>
  </si>
  <si>
    <t>PAPELON NATURAL 500GR MONTALBAN</t>
  </si>
  <si>
    <t>PAPELON LIMON 115 GR MONTALBAN</t>
  </si>
  <si>
    <t>AZUCAR GLASS MONTALBAN 500GR.</t>
  </si>
  <si>
    <t>PUDIN CHOCOLATE 90GR MONTALBAN</t>
  </si>
  <si>
    <t>AZUCAR GLASS 1KG</t>
  </si>
  <si>
    <t>UNID X EMPAQUE</t>
  </si>
  <si>
    <t>23 DE SEPTIEMBRE</t>
  </si>
  <si>
    <t>ATUN EN ACEITE 170GR DIPLOMATICO</t>
  </si>
  <si>
    <t>SARDINAS EN SALSA ITALIANA 170GR PEÑERO</t>
  </si>
  <si>
    <t>AZUCAR REFINADA 900GR MELAO</t>
  </si>
  <si>
    <t>SARDINAS EN ACEITE VEGETAL 170GR PEÑERO</t>
  </si>
  <si>
    <t>SARDINAS EN SALSA DE TOMATE 170GR PEÑERO</t>
  </si>
  <si>
    <t>VASOS PLASTICOS 100UNID #57 LOS LLANOS</t>
  </si>
  <si>
    <t>VASOS PLASTICOS 100UNID #77 LOS LLANOS</t>
  </si>
  <si>
    <t>VASOS PLASTICOS 100UNID #27 LOS LLANOS</t>
  </si>
  <si>
    <t>VASOS PLASTICOS 50UNID #107 LOS LLANOS</t>
  </si>
  <si>
    <t>60 BULTOS</t>
  </si>
  <si>
    <t xml:space="preserve">ATUN EN SALSA DE TOMATE 170GR PEÑERO </t>
  </si>
  <si>
    <t>PRECIO $ UND</t>
  </si>
  <si>
    <t>ACEITUNA 500GR (EMPACADO EN BOLSITAS)</t>
  </si>
  <si>
    <t>JAMON AHUMADO</t>
  </si>
  <si>
    <t>PRECIOS X KG</t>
  </si>
  <si>
    <t>PRECIO DE VENTA 15 % $</t>
  </si>
  <si>
    <t>COSTO MAS IVA $</t>
  </si>
  <si>
    <t>NO BORRAR</t>
  </si>
  <si>
    <t>PASITAS 250GR (EMPACADO EN BOLSITAS))</t>
  </si>
  <si>
    <t>MANI SALADO 250GR (EMPACADO EN BOLSITAS)</t>
  </si>
  <si>
    <t>NUTELLA 900GR ORIGINAL</t>
  </si>
  <si>
    <t>LIMPIADOR DE POCETAS 360 ML MAS</t>
  </si>
  <si>
    <t>LIMPIADOR DE POCETAS 710ML MAS</t>
  </si>
  <si>
    <t>LIMPIADOR DE POCETAS 1 LT MAS</t>
  </si>
  <si>
    <t>LIMPIADOR DE HORNOS CON APLICADOR 250GR  MAS</t>
  </si>
  <si>
    <t>PEDIDO HECHO 24 DE SEPTIEMBRE</t>
  </si>
  <si>
    <t>LAMARSELLIN</t>
  </si>
  <si>
    <t>SALCHICHA BLANCA MARVELLINA KG</t>
  </si>
  <si>
    <t>CHORIZO PARRILLERO MARVELLINA KG</t>
  </si>
  <si>
    <t>CHORIZO AHUMADO MARVELLINA KG</t>
  </si>
  <si>
    <t>CHORIZO AJO MARSELLINA KG</t>
  </si>
  <si>
    <t>SALCH ITAL/HINOJO MARSELLINA KG</t>
  </si>
  <si>
    <t>CHISTORRA MARSELLINA KG</t>
  </si>
  <si>
    <t>CHORIZO PICANTE MARSELLINA KG</t>
  </si>
  <si>
    <t>CHORIZO GOURMET MARSELLINA KG</t>
  </si>
  <si>
    <t>KG COMPRADOS</t>
  </si>
  <si>
    <t>IVA 16 %</t>
  </si>
  <si>
    <t>ESTUDIO HECHO  DE 15 AL 23</t>
  </si>
  <si>
    <t>PAPA KG</t>
  </si>
  <si>
    <t>MANTEQUILLA CON SAL 200 GR HACIENDA EL TUNAL</t>
  </si>
  <si>
    <t>HUEVOS 1/2 CARTON</t>
  </si>
  <si>
    <t>CREMA DE LECHE 500 GR PURISIMA</t>
  </si>
  <si>
    <t>CREMA DE LECHE 250 GR PURISIMA</t>
  </si>
  <si>
    <t>CEBOLLA BLANCA KG</t>
  </si>
  <si>
    <t>SALCHICHA DE POLLO 450 GR EL TUNAL</t>
  </si>
  <si>
    <t>JAMON DE PIERNA ITALICO KG</t>
  </si>
  <si>
    <t>JAMON DE PIERNA ALIMEX KG</t>
  </si>
  <si>
    <t>SALCHICHA 450GR VIENA ALIMEX</t>
  </si>
  <si>
    <t>SALCHICHA 800 GR VIENA ALIMEX</t>
  </si>
  <si>
    <t>SALCHICHA 490 GR COCTEL ALIMEX</t>
  </si>
  <si>
    <t>JAMON AHUMADO ALIMEX KG</t>
  </si>
  <si>
    <t>SALCH DETALLADA ALIMEX KG</t>
  </si>
  <si>
    <t>SALCHICHA TIPO WIENERS 450 GR ALIMEX</t>
  </si>
  <si>
    <t xml:space="preserve">JAMON DE ESPALDA ALIMEX </t>
  </si>
  <si>
    <t>PECHUGA DE PAVO ALIMEX</t>
  </si>
  <si>
    <t>5 caja</t>
  </si>
  <si>
    <t>10 caja</t>
  </si>
  <si>
    <t>70 caja</t>
  </si>
  <si>
    <t>1 caja</t>
  </si>
  <si>
    <t>27 de sep</t>
  </si>
  <si>
    <t>refresco GOLD PIÑA 1.5LT PEPSI</t>
  </si>
  <si>
    <t>REFRESCOS PEPSI 350CC O COCACOLA(VIDRIO) RETORNABLE</t>
  </si>
  <si>
    <t>REFRESCO PEPSI BOTELLA 250 ML PSH PEPSI COLA</t>
  </si>
  <si>
    <t>AGUA MINALBA SPARKLING 500ML  PEPSI-COLA</t>
  </si>
  <si>
    <t>TE LIPTON TE VERDE CON LIMON 1.50L</t>
  </si>
  <si>
    <t>MAS IVA $</t>
  </si>
  <si>
    <t>COSTO SIN IVA SOBERANO</t>
  </si>
  <si>
    <t>IVA SOBERANO</t>
  </si>
  <si>
    <t>PRECIO CON IVA SOBERANO</t>
  </si>
  <si>
    <t>COSTO SIN IVA SOBERANO DIGITAL</t>
  </si>
  <si>
    <t>REFRESCO FRESCOLITA 1.5 LTS SIN CALORIAS COCA COLA</t>
  </si>
  <si>
    <t>REFRESCO FRESCOLITA 2 LT COCA COLA</t>
  </si>
  <si>
    <t>REFRESCO NARANJA HIT 2 LT COCA COLA</t>
  </si>
  <si>
    <t>REFRESCO CHINOTO 2 LT COCA COLA</t>
  </si>
  <si>
    <t>REFRESCO 1.5 LT UVA COCA COLA</t>
  </si>
  <si>
    <t>REFRESCO COLA COLA 2LT SABOR ORIGINAL</t>
  </si>
  <si>
    <t>REFRESCO COCA COLA 1.5 LT SABOR ORIGINAL</t>
  </si>
  <si>
    <t>REFRESCO COCA COLA 1LT SABOR ORIGINAL</t>
  </si>
  <si>
    <t>REFRESCO CHINOTTO 1.5LT COCA COLA</t>
  </si>
  <si>
    <t>COCA COLA 355 ML LATA ORIGINAL</t>
  </si>
  <si>
    <t>REFRESCO HIT NARANJA 1.5LTS SIN CALORIAS COCA COLA</t>
  </si>
  <si>
    <t>COCACOLA 1.25ML VIDRIO VENTA CON BOTELLA.</t>
  </si>
  <si>
    <t>RECARGA COCA COLA 1.25ML</t>
  </si>
  <si>
    <t>REFRESCO CHINOTTO 1LT COCA-COLA</t>
  </si>
  <si>
    <t>FRESCOLITA 1 LT (COCA COLA)</t>
  </si>
  <si>
    <t>CHINOTTO LATA 355CC COCA-COLA</t>
  </si>
  <si>
    <t>FRESCOLITA LATA 355CC COCA-COLA</t>
  </si>
  <si>
    <t>AGUA POTABLE 600ML NEVADA</t>
  </si>
  <si>
    <t>AGUA MINERAL 1500ML NEVADA</t>
  </si>
  <si>
    <t>AGUA POTABLE 355ML NEVADA</t>
  </si>
  <si>
    <t>AGUA POTABLE 5 L NEVADA</t>
  </si>
  <si>
    <t>Factura</t>
  </si>
  <si>
    <t>19/08/2021</t>
  </si>
  <si>
    <t>CERVEZA 222 ML RET PILSEN POLAR.</t>
  </si>
  <si>
    <t>20/08/2021</t>
  </si>
  <si>
    <t>31/08/2021</t>
  </si>
  <si>
    <t>HIPER MODEO</t>
  </si>
  <si>
    <t>04/08/2021</t>
  </si>
  <si>
    <t>06/08/2021</t>
  </si>
  <si>
    <t>MERCANCIA ENTREGADa</t>
  </si>
  <si>
    <t>total</t>
  </si>
  <si>
    <t>07/07/2021</t>
  </si>
  <si>
    <t>09/07/2021</t>
  </si>
  <si>
    <t>21/07/2021</t>
  </si>
  <si>
    <t>23/07/2021</t>
  </si>
  <si>
    <t>MES DE JULIO</t>
  </si>
  <si>
    <t>05773</t>
  </si>
  <si>
    <t>05786</t>
  </si>
  <si>
    <t>006796</t>
  </si>
  <si>
    <t>MES DE JUNIO</t>
  </si>
  <si>
    <t>09/06/2021</t>
  </si>
  <si>
    <t>03/06/2021</t>
  </si>
  <si>
    <t>16/06/2021</t>
  </si>
  <si>
    <t>17/06/2021</t>
  </si>
  <si>
    <t>23/06/2021</t>
  </si>
  <si>
    <t>25/06/2021</t>
  </si>
  <si>
    <t>05729</t>
  </si>
  <si>
    <t>057290</t>
  </si>
  <si>
    <t>006236</t>
  </si>
  <si>
    <t>006755</t>
  </si>
  <si>
    <t>05757</t>
  </si>
  <si>
    <t>QUESO AMARILLO CALICANTO KG</t>
  </si>
  <si>
    <t>MOZZARELLA CALICANTO KG</t>
  </si>
  <si>
    <t>29/09/2021</t>
  </si>
  <si>
    <t>CODOGO INT</t>
  </si>
  <si>
    <t>NUM FACTURA</t>
  </si>
  <si>
    <t>KG</t>
  </si>
  <si>
    <t>venta</t>
  </si>
  <si>
    <t>inv</t>
  </si>
  <si>
    <t>venta en bulto</t>
  </si>
  <si>
    <t>inv en bultos</t>
  </si>
  <si>
    <t>01/09/2021</t>
  </si>
  <si>
    <t>03/09/2021</t>
  </si>
  <si>
    <t>15/09/2021</t>
  </si>
  <si>
    <t>17/09/2021</t>
  </si>
  <si>
    <t>30/09/2021</t>
  </si>
  <si>
    <t>05839</t>
  </si>
  <si>
    <t>05842</t>
  </si>
  <si>
    <t>16/09/2021</t>
  </si>
  <si>
    <t>0398</t>
  </si>
  <si>
    <t>05856</t>
  </si>
  <si>
    <t>05861</t>
  </si>
  <si>
    <t>AUTOMERCADO EXPRES 2707</t>
  </si>
  <si>
    <t>TOTAL UND</t>
  </si>
  <si>
    <t>TRANFORMACION EN CAJA</t>
  </si>
  <si>
    <t>006840</t>
  </si>
  <si>
    <t>0400</t>
  </si>
  <si>
    <t>DEMPRECA DISTRIBUIDORA DE EMPAQUES PREMIUM C.A</t>
  </si>
  <si>
    <t>08/06/2020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</si>
  <si>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</si>
  <si>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</si>
  <si>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</si>
  <si>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</si>
  <si>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</si>
  <si>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29/07/2020</t>
  </si>
  <si>
    <t>27/08/2020</t>
  </si>
  <si>
    <t>13/01/2021</t>
  </si>
  <si>
    <t>BOLSA ECOLOGICA 200LT 5 UND ECO</t>
  </si>
  <si>
    <t>11/05/2021</t>
  </si>
  <si>
    <t>VEN</t>
  </si>
  <si>
    <t xml:space="preserve">  </t>
  </si>
  <si>
    <t>80 BULTOS</t>
  </si>
  <si>
    <t>ULTIMO ANALIZIZ 30 DE SEP</t>
  </si>
  <si>
    <t xml:space="preserve">CEPILLO TIPO POPULAR CON PALO </t>
  </si>
  <si>
    <t>COSTO $ X BULTO</t>
  </si>
  <si>
    <t>COSTO $ UND</t>
  </si>
  <si>
    <t>CEPILLO SUP BICOLOR CON PALO</t>
  </si>
  <si>
    <t>CEPILLO SUP NEGRO CON PALO</t>
  </si>
  <si>
    <t xml:space="preserve">CEPILLO LAVAR PLANCHITA </t>
  </si>
  <si>
    <t>CEPILLO LAVAR S/ASA</t>
  </si>
  <si>
    <t>CEPILLO SANITARIO CON BASE</t>
  </si>
  <si>
    <t>PALAS PLASTICA GRANDE C/ PALO</t>
  </si>
  <si>
    <t>Señores:
Presente.</t>
  </si>
  <si>
    <t>Caracas 27 de agosto del 2021</t>
  </si>
  <si>
    <t>Sirva el presente para notificar cambio de precios en los productos que detallamos a continuacion:</t>
  </si>
  <si>
    <t>Cod JDE</t>
  </si>
  <si>
    <t>Cod.  Barra</t>
  </si>
  <si>
    <t>Producto</t>
  </si>
  <si>
    <t>Unid.</t>
  </si>
  <si>
    <t>Nuevo Precio de Lista S/ IVA</t>
  </si>
  <si>
    <t>Nuevo Precio de Lista C/ IVA</t>
  </si>
  <si>
    <t>Precio Liquidación Unitario
S/ IVA</t>
  </si>
  <si>
    <t>Precio Liquidación Unitario
C/ IVA</t>
  </si>
  <si>
    <t>PMVP (S/ IVA)</t>
  </si>
  <si>
    <t>PMVP (C/ IVA)</t>
  </si>
  <si>
    <t>Margen</t>
  </si>
  <si>
    <t>%
Aumento</t>
  </si>
  <si>
    <t>KETCHUP</t>
  </si>
  <si>
    <t>KETCHUP 198 G</t>
  </si>
  <si>
    <t>KETCHUP 397 G</t>
  </si>
  <si>
    <t>KETCHUP TQF 198 G</t>
  </si>
  <si>
    <t>KETCHUP TQF 397 G</t>
  </si>
  <si>
    <t>KETCHUP PICANTE198 G</t>
  </si>
  <si>
    <t>KETCHUP PICANTE397 G</t>
  </si>
  <si>
    <t>SALSASA BASE DETOMATE</t>
  </si>
  <si>
    <t>SALSA A BASEDETOMATECON BBK 198 G</t>
  </si>
  <si>
    <t>SALSA A BASEDETOMATECON BBK 397 G</t>
  </si>
  <si>
    <t>SALSA A BASEDETOMATELA CUMBRE380 G</t>
  </si>
  <si>
    <t>SALSA 57</t>
  </si>
  <si>
    <t>SALSA 57 194 G</t>
  </si>
  <si>
    <t>SALSA 57 378 G</t>
  </si>
  <si>
    <t>MOSTAZA</t>
  </si>
  <si>
    <t>MOSTAZA 113 G</t>
  </si>
  <si>
    <t>MOSTAZA HEINZ 195 G</t>
  </si>
  <si>
    <t>MOSTAZA HEINZ 490 G</t>
  </si>
  <si>
    <t>MOSTAZA TQF 490 G</t>
  </si>
  <si>
    <t>MOSTAZA HEINZ 3824 G</t>
  </si>
  <si>
    <t>SALSA PICANTE150CC</t>
  </si>
  <si>
    <t>SALSA EXTRAPICANTEPICANTE150CC</t>
  </si>
  <si>
    <t>LESA</t>
  </si>
  <si>
    <t>SALSA INGLESA HEINZ 150CC</t>
  </si>
  <si>
    <t>SALSA INGLESA HEINZ 300CC</t>
  </si>
  <si>
    <t>SALSA INGLESA HEINZ 4000CC</t>
  </si>
  <si>
    <t>SALSA ING</t>
  </si>
  <si>
    <t>SALSA INGLESA TQF 150CC</t>
  </si>
  <si>
    <t>SALSA INGLESA TQF 300CC</t>
  </si>
  <si>
    <t>SALSA INGLESA LA CUMBRE150CC</t>
  </si>
  <si>
    <t>SALSA INGLESA LA CUMBRE4000CC</t>
  </si>
  <si>
    <t>SALSA SOYA</t>
  </si>
  <si>
    <t>SALSA SOYA HEINZ 150CC</t>
  </si>
  <si>
    <t>SALSA SOYA HEINZ 300CC</t>
  </si>
  <si>
    <t>SALSA SOYA HEINZ 4000 CC</t>
  </si>
  <si>
    <t>SALSA SOYA TQF 150CC</t>
  </si>
  <si>
    <t>SALSA SOYA TQF 300CC</t>
  </si>
  <si>
    <t>SALSA SOYA LA CUMBRE150CC</t>
  </si>
  <si>
    <t>TERI YAKI</t>
  </si>
  <si>
    <t>SALSA TERIYAKI 150CC</t>
  </si>
  <si>
    <t>SALSA DEAJO</t>
  </si>
  <si>
    <t>SALSA AJO HEINZ 150CC</t>
  </si>
  <si>
    <t>SALSA AJO HEINZ 300CC</t>
  </si>
  <si>
    <t>SALSA DEAJO 4000 CC</t>
  </si>
  <si>
    <t>SALSA DEAJO TQF 150 CC</t>
  </si>
  <si>
    <t>SALSA DEAJO LA CUMBRE150 CC</t>
  </si>
  <si>
    <t>SALSA DEAJO LA CUMBRE4000CC</t>
  </si>
  <si>
    <t>PASTA DEAJO</t>
  </si>
  <si>
    <t>PASTA DEAJO HEINZ 195G</t>
  </si>
  <si>
    <t>VINAGRE500cc</t>
  </si>
  <si>
    <t>VINAGRE1000cc</t>
  </si>
  <si>
    <t>VINAGRE4000cc</t>
  </si>
  <si>
    <t>VINAGRETQF 500cc</t>
  </si>
  <si>
    <t>VINAGRETQF 1000cc</t>
  </si>
  <si>
    <t>SPP BOLOGNESA VID 195G</t>
  </si>
  <si>
    <t>SALSA PARA PASTA</t>
  </si>
  <si>
    <t>SPP BOLOGNESA VID 495G</t>
  </si>
  <si>
    <t>SPP COMPLETA VID 195G</t>
  </si>
  <si>
    <t>SPP COMPLETA VID 495G</t>
  </si>
  <si>
    <t>SPP NAPOLITANA VID 195G</t>
  </si>
  <si>
    <t>SPP NAPOLITANA VID 495G</t>
  </si>
  <si>
    <t>SPP SPAGHERONI 495G</t>
  </si>
  <si>
    <t>SALSA PARA PASTA PRONTO</t>
  </si>
  <si>
    <t>SPP PRONTO BOLOGNESA 388G</t>
  </si>
  <si>
    <t>SPP PRONTO COMPLETA 388G</t>
  </si>
  <si>
    <t>SPP PRONTO NAPOLITANA 388G</t>
  </si>
  <si>
    <t>SALSA
PARA PIZZA</t>
  </si>
  <si>
    <t>SALSA PARA PIZZA TRADICIONAL 480 G</t>
  </si>
  <si>
    <t>SALSA
PARA GUISO</t>
  </si>
  <si>
    <t>SALSA PARA GUISO TQF 190G</t>
  </si>
  <si>
    <t>SALSA PARA GUISO TQF 480G</t>
  </si>
  <si>
    <t>PASS ATA</t>
  </si>
  <si>
    <t>PASSATA DETOMATE480G</t>
  </si>
  <si>
    <t>PURÉDE TOMATE</t>
  </si>
  <si>
    <t>PUREDETOMATE190G</t>
  </si>
  <si>
    <t>PUREDETOMATE490G</t>
  </si>
  <si>
    <t>PASTA DETOMATE</t>
  </si>
  <si>
    <t>PASTA DETOMATEHEINZ 210G</t>
  </si>
  <si>
    <t>PASTA DETOMATEHEINZ 511G</t>
  </si>
  <si>
    <t>PASTA DETOMATETQF 200G</t>
  </si>
  <si>
    <t>PASTA DETOMATETQF 505G</t>
  </si>
  <si>
    <t>COLADOS</t>
  </si>
  <si>
    <t>COL. MANZANA 113G</t>
  </si>
  <si>
    <t>COL. MANZANA 186G</t>
  </si>
  <si>
    <t>COL. PERA 113G</t>
  </si>
  <si>
    <t>COL. PERA 186G</t>
  </si>
  <si>
    <t>COL. FRUTASMIXTAS113G</t>
  </si>
  <si>
    <t>COL. FRUTASMIXTAS186G</t>
  </si>
  <si>
    <t>COL MELOCOTÓN 113G</t>
  </si>
  <si>
    <t>COL MELOCOTÓN 186G</t>
  </si>
  <si>
    <t>COL MANGO 113G</t>
  </si>
  <si>
    <t>COL. FRUTASTROPICALES113G</t>
  </si>
  <si>
    <t>COL. FRUTASTROPICALES186G</t>
  </si>
  <si>
    <t>COL. BANANA 113G</t>
  </si>
  <si>
    <t>COL. BANANA 186G</t>
  </si>
  <si>
    <t>COL. POSTREDEFRUTAS113G</t>
  </si>
  <si>
    <t>COL. POSTREDEFRUTAS186G</t>
  </si>
  <si>
    <t>COLADOS 100%</t>
  </si>
  <si>
    <t>COL 100% MANZANA</t>
  </si>
  <si>
    <t>COL. 100% PERA</t>
  </si>
  <si>
    <t>COLADOS POUCH</t>
  </si>
  <si>
    <t>COL. POUCH MANZANA 24 UND</t>
  </si>
  <si>
    <t>COL. POUCH PERA 24 UND</t>
  </si>
  <si>
    <t>POLLYBOLSA 12X450 g.</t>
  </si>
  <si>
    <t>POLLYBOLSA 12X900 g.</t>
  </si>
  <si>
    <t>POLLYBOLSA 4X2000 g.</t>
  </si>
  <si>
    <t>HA POLL</t>
  </si>
  <si>
    <t>MI CHICHA POLLYBOLSA 12X450 g.</t>
  </si>
  <si>
    <t>MER
ENG ADA</t>
  </si>
  <si>
    <t>MERENGADA CHOCOLATE12X450 g.</t>
  </si>
  <si>
    <t>GELATINA</t>
  </si>
  <si>
    <t>GEL. UVA 66 g.</t>
  </si>
  <si>
    <t>GEL. FRAMBUESA 66 g.</t>
  </si>
  <si>
    <t>GEL. FRESA 66 g.</t>
  </si>
  <si>
    <t>GEL. TUTTI FRUTTI 66 g.</t>
  </si>
  <si>
    <t>GEL. PIÑA 66 g.</t>
  </si>
  <si>
    <t>GEL. CEREZA 66 g.</t>
  </si>
  <si>
    <t>GEL. LIMON 66 g.</t>
  </si>
  <si>
    <t>GEL. PIÑA 132 g.</t>
  </si>
  <si>
    <t>GEL. LIMON 132 g.</t>
  </si>
  <si>
    <t>GEL. UVA 132 g.</t>
  </si>
  <si>
    <t>GEL. FRAMBUESA 132 g.</t>
  </si>
  <si>
    <t>GEL. FRESA 132 g.</t>
  </si>
  <si>
    <t>GEL. SIN SABOR33 g.</t>
  </si>
  <si>
    <t>PUDIN VAINILLA 58 g.</t>
  </si>
  <si>
    <t>PUDIN CHOCOLATE72 g.</t>
  </si>
  <si>
    <t>PUDIN FRESA 63 g.</t>
  </si>
  <si>
    <t>FLAN</t>
  </si>
  <si>
    <t>FLAN 46 g.</t>
  </si>
  <si>
    <t>FLAN 92 g.</t>
  </si>
  <si>
    <t>PRECIOS $ FRANCIS</t>
  </si>
  <si>
    <t>2 caja</t>
  </si>
  <si>
    <t>AJI 200 GR JALAPEÑO EL ANDINITO</t>
  </si>
  <si>
    <t>BERRO ATADO 400GR EL ANDINITO</t>
  </si>
  <si>
    <t>VENT</t>
  </si>
  <si>
    <t>REVISADO4 DE 10</t>
  </si>
  <si>
    <t>PAÑAL HUGGIES XXG ACTIVE SEC 30 UND</t>
  </si>
  <si>
    <t>ACONDICIONADOR 340 ML CERAMIDAS SEDAL</t>
  </si>
  <si>
    <t>UND COMPRADAS</t>
  </si>
  <si>
    <t>PRODUCTOS</t>
  </si>
  <si>
    <t>TOALLAS HUM. D/ BOLSILLO ROSA 15UNID UNO</t>
  </si>
  <si>
    <t>TOALLAS HUM.D/BOLSILLO ADENIUM 15UND UNO</t>
  </si>
  <si>
    <t>TOALLAS HUM.D/BOLSILLO MAGNOLIA 15UNID UNO</t>
  </si>
  <si>
    <t>TOALLAS HUM.D/BOLSILLO LIRIO 15UNID UNO</t>
  </si>
  <si>
    <t>TOALLAS HUM.DESMAQUILLANTES 25UNID UNO</t>
  </si>
  <si>
    <t>ADOBO 185 GR PESCADO OLYMPIA</t>
  </si>
  <si>
    <t>BICARBONATO DE SODIO 155GR OLIMPIA</t>
  </si>
  <si>
    <t>DETERGENTE ABC 400GR LIMON</t>
  </si>
  <si>
    <t>ESENCIA DE VAINILLA 150ML   OLYMPIA</t>
  </si>
  <si>
    <t>SALSA 150 ML CHIRELITO OLIMPIA</t>
  </si>
  <si>
    <t>SALSA CHIRELITO 300 ML OLYMPIA</t>
  </si>
  <si>
    <t>HIP</t>
  </si>
  <si>
    <t>CREMA DE PEINAR 300 ML LISO FRAGANCIA ACT PANTENE</t>
  </si>
  <si>
    <t>SHAMPOO 180 ML PROTECCION CAIDA HEAD &amp; SHOLDERS</t>
  </si>
  <si>
    <t>CHICKEN TENDERS 9 UND DE 35 GR LA GRANJA</t>
  </si>
  <si>
    <t>HAMB DE RES LA GRANJA KG</t>
  </si>
  <si>
    <t>HAMB POLLO EMP LA GRANJA KG</t>
  </si>
  <si>
    <t>MILANESA DE POLLO 516 GR SKY CHEES</t>
  </si>
  <si>
    <t>NUGGEST DE POLLO 12UNID 276GR LA GRANJA</t>
  </si>
  <si>
    <t>NUGGETS POLLO 38/15GR SKYCHEES</t>
  </si>
  <si>
    <t>NUGGETS POLLO 45 UND 23 GR LA GRANJA</t>
  </si>
  <si>
    <t>PAPAS FRITAS CONGELADAS 1KG LA GRANJA</t>
  </si>
  <si>
    <t>PURE LISTO 100 GR LA GRANJA</t>
  </si>
  <si>
    <t>TACO BEBIDA ACHOC BOLSA 200GR</t>
  </si>
  <si>
    <t>MILANESA DE POLLO EMPANIZADA AGRANEL KG</t>
  </si>
  <si>
    <t>NUGGETS DE POLLO A GRANEL KG</t>
  </si>
  <si>
    <t>SOLICITUD DE PREFORMA</t>
  </si>
  <si>
    <t>HECHA 4 DE OCTUBRE</t>
  </si>
  <si>
    <t>QUESO GOUDA 1 KG CUADRADO calicanto</t>
  </si>
  <si>
    <t>PANETON 1 KG HIPER MODELO (PAPEL CELOFAN)</t>
  </si>
  <si>
    <t>UND $</t>
  </si>
  <si>
    <t>p</t>
  </si>
  <si>
    <t xml:space="preserve">COMBO </t>
  </si>
  <si>
    <t>TOTAL $</t>
  </si>
  <si>
    <t>FIDEOS INSTANTANEO 75 GR POLLO KNORR</t>
  </si>
  <si>
    <t>FIDEOS INSTANTANEO CARNE 75 GR KNORR</t>
  </si>
  <si>
    <t>GALLETAS MARIA 140 GR CALEDONIA    48X140</t>
  </si>
  <si>
    <t xml:space="preserve">PRODUCTO </t>
  </si>
  <si>
    <t>ACEITE 900 ML BELLISIMO DE SOYA</t>
  </si>
  <si>
    <t>BOLSA 2 KG CON ASA (PRODUCCION)  BIOGRADABLE</t>
  </si>
  <si>
    <t>CAFE 200 GR FAMA DE AMERICA</t>
  </si>
  <si>
    <t>DETERGENTE EN POLVO 900 GR LAVANDA ZERO</t>
  </si>
  <si>
    <t>DETERGENTE EN POLVO LIMON 900 GR ZERO</t>
  </si>
  <si>
    <t>DETERGENTE POLVO 400 GR LAVANDA ZERO</t>
  </si>
  <si>
    <t>JABON HARMONY SURTIDO 35GR</t>
  </si>
  <si>
    <t>LECHE CONDENSADA 270GR ITALAC</t>
  </si>
  <si>
    <t>LECHE CONDENSADA 395GR   MOCOCA</t>
  </si>
  <si>
    <t>LECHE CONDENSADA DEMIDESNATADO 395GR. TIROL</t>
  </si>
  <si>
    <t>LECHE EN POLVO 400GR DO BON</t>
  </si>
  <si>
    <t>MAIZ DE COTUFA DONA DE 500GR</t>
  </si>
  <si>
    <t>MAIZ DE COTUFA PIPOCA 500GR</t>
  </si>
  <si>
    <t>MARGARINA CON SAL 250GR  SADIA DELINE</t>
  </si>
  <si>
    <t>MARGARINA CON SAL 500GR DELINE SADIA</t>
  </si>
  <si>
    <t>PEGA LOKA 3 GR LA ORIGINAL</t>
  </si>
  <si>
    <t>DETERGENTE EN POLVO 500GR  ALIVE ROSA</t>
  </si>
  <si>
    <t>DETERGENTE EN POLVO 1KG  ALIVE ROSA</t>
  </si>
  <si>
    <t>DETERGENTE EN POLVO 1KG  ALIVE LIMON</t>
  </si>
  <si>
    <t>DETERGENTE EN POLVO 500GR  ALIVE LIMON</t>
  </si>
  <si>
    <t>DETERGENTE EN POLVO 400 GR LIMON ZERO</t>
  </si>
  <si>
    <t>DETERGENTE EN POLVO 400 GR LIMON CERO3</t>
  </si>
  <si>
    <t>DETERGENTE EN POLVO 800 GR BLANCOS DIAMANTES ACESS</t>
  </si>
  <si>
    <t>DETERGENTE POLVO LIMON 900 GR CERO</t>
  </si>
  <si>
    <t>LEVADURA 500 GR INSTANTANEA MAGEST ROJO</t>
  </si>
  <si>
    <t>MAYONESA 445GR KRAFT ORIGINAL</t>
  </si>
  <si>
    <t>BONICE VEN SURTIDO</t>
  </si>
  <si>
    <t>AZUCAR HERLUZ 1 KG</t>
  </si>
  <si>
    <t xml:space="preserve">BOMBILLOS LIDA 9W </t>
  </si>
  <si>
    <t>VELAS BLANCAS 30 GR  DETALLADAS</t>
  </si>
  <si>
    <t>COLADORES DE CAFÉ</t>
  </si>
  <si>
    <t>COD-0028 CONSERVADOR 2 LT</t>
  </si>
  <si>
    <t>COD-0012 TAZA MEDIANA 18CM</t>
  </si>
  <si>
    <t>COD-0027 TAZA ACANALADA GRANDE 20CM</t>
  </si>
  <si>
    <t>COD-0079 TAZA ACANALADA EXTRA GRANDE  22CM</t>
  </si>
  <si>
    <t>COD 0093 PORTA CUBIERTOS</t>
  </si>
  <si>
    <t>COD-0116 SANDWICHERA N°1</t>
  </si>
  <si>
    <t>COLETO GRANDE</t>
  </si>
  <si>
    <t>BOIVARES</t>
  </si>
  <si>
    <t>PRECIO $</t>
  </si>
  <si>
    <t>5 CESTAS</t>
  </si>
  <si>
    <t>2 CESTAS</t>
  </si>
  <si>
    <t>6 CESTAS</t>
  </si>
  <si>
    <t>2 CESTA</t>
  </si>
  <si>
    <t>6 AL 6 DE OCTUBRE</t>
  </si>
  <si>
    <t>PEDIDO HECHO 6 DE OCTUBRE</t>
  </si>
  <si>
    <t>PEDIDO HECHO 7 DE OCTUBRE</t>
  </si>
  <si>
    <t>ENPARALELO</t>
  </si>
  <si>
    <t>PROTICAL</t>
  </si>
  <si>
    <t>PROTICAN HUSITO 2 KG</t>
  </si>
  <si>
    <t>PROTICAN HUSITO 4 KG</t>
  </si>
  <si>
    <t>UNIDADES</t>
  </si>
  <si>
    <t>venta und</t>
  </si>
  <si>
    <t>inv und</t>
  </si>
  <si>
    <t>inv en bulto</t>
  </si>
  <si>
    <t>del 7/09 al 7/10</t>
  </si>
  <si>
    <t>3BULTOS</t>
  </si>
  <si>
    <t xml:space="preserve">PEDIDO </t>
  </si>
  <si>
    <t>1CAJA</t>
  </si>
  <si>
    <t>2 CJA</t>
  </si>
  <si>
    <t>X</t>
  </si>
  <si>
    <t xml:space="preserve">10 BULTOS </t>
  </si>
  <si>
    <t>PEPITONA PICANTE 140 GR MARGARITA</t>
  </si>
  <si>
    <t>SARDINA 170 GR EN ACEITE MARGARITA</t>
  </si>
  <si>
    <t>SARDINA EN SALSA TOMATE 170GR MARGARITA</t>
  </si>
  <si>
    <t>MEZCLA PARA CACHAPAS 500 GR PAN</t>
  </si>
  <si>
    <t>ACEITE DE MAIZ 1 LT MAZEITE</t>
  </si>
  <si>
    <t>ARROZ PRIMOR 1 KG CLASICO</t>
  </si>
  <si>
    <t>PASTA DEDAL 1 KG PRIMOR</t>
  </si>
  <si>
    <t>PASTA VERMECELLI 1KG PRIMOR</t>
  </si>
  <si>
    <t>PASTA LARGA 1 KG ESPAGUETTI PRIMOR</t>
  </si>
  <si>
    <t>KONGA 30 GR SABOR A LIMON</t>
  </si>
  <si>
    <t>KONGA SABOR PARCHITA 30 GR</t>
  </si>
  <si>
    <t>MAYONESA 910G MAVESA</t>
  </si>
  <si>
    <t>VINAGRE MAVESA 500 CM</t>
  </si>
  <si>
    <t>MAVESA MARGARINA 500GR</t>
  </si>
  <si>
    <t>MAYONESA 445G MAVESA</t>
  </si>
  <si>
    <t>MAYONESA ADEREZO 3.6 KG MAVESA</t>
  </si>
  <si>
    <t>RIKESA QUESO CHEDDAR ORIGINAL 200 GR RIKESA</t>
  </si>
  <si>
    <t>RIKESA TOCINETA 300 GR</t>
  </si>
  <si>
    <t>MANTEQUILLA 250GR MAVESA</t>
  </si>
  <si>
    <t>MARGARINA NELLYCIOSA 250GR NELLY</t>
  </si>
  <si>
    <t>MARGARINA NELLYCIOSA 500GR NELLY</t>
  </si>
  <si>
    <t>DETERGENTE EN POLVO FLORAL 400GR LAS LLAVES</t>
  </si>
  <si>
    <t>LAS LLAVES 900 GR POLVO FLORAL</t>
  </si>
  <si>
    <t>DETERGENTE LAS LLAVES BEBE 900 GR</t>
  </si>
  <si>
    <t>MARGARINA 454 GR CHIFFON MAVESA</t>
  </si>
  <si>
    <t>YOGURT 750 GR MI GURT FRESA</t>
  </si>
  <si>
    <t>KETCHUP PAMPERO 198 GR</t>
  </si>
  <si>
    <t>KETCHUP PAMPERO 397 GR</t>
  </si>
  <si>
    <t>KONGA SABOR A NARANJA 30G UND</t>
  </si>
  <si>
    <t>PERRARINA CARNE PARRILLA DOGOURMET 1 KG</t>
  </si>
  <si>
    <t>AVENA EN HOJUELA FORTIFICADA 400 GR QUAKER</t>
  </si>
  <si>
    <t>AVENA EN HOJUELAS FORTIFICADA 800G QUAKER</t>
  </si>
  <si>
    <t>HARINA DE MAIZ 1 KG PAN</t>
  </si>
  <si>
    <t>HARINA DE MAIZ AMARILLO 1 KG PAN</t>
  </si>
  <si>
    <t>HARINA DE MAIZ BLANCO Y ARROZ 1KG PAN</t>
  </si>
  <si>
    <t>PASTA 1 KG LARGA LINGUINI PRIMOR</t>
  </si>
  <si>
    <t>CREMA DE ARROZ BOLSA 450 GR PRIMOR</t>
  </si>
  <si>
    <t>PASTA CORTA TORNILLO 1KG PRIMOR</t>
  </si>
  <si>
    <t>PASTA DEDALES 500 GR PRIMOR</t>
  </si>
  <si>
    <t>PASTA VERMICELLI 500 GR PRIMOR</t>
  </si>
  <si>
    <t>MAYONESA 175GR MAVESA</t>
  </si>
  <si>
    <t>LAS LLAVES DETERGENTE LIQ. ROPA DELI 510CC</t>
  </si>
  <si>
    <t>LAVAPLATOS 500 GR LAS LLAVES MULTIUSO CREMA</t>
  </si>
  <si>
    <t>ATUN 140 GR MARGARITA EN ACEITE</t>
  </si>
  <si>
    <t>PASTA 1 KG PLUMITA PRIMOR</t>
  </si>
  <si>
    <t>MERMELADA DE FRESA 240GR LA VIENESA</t>
  </si>
  <si>
    <t>TODDY ENVASE 200 GR</t>
  </si>
  <si>
    <t>BULTO B  DIGITAL</t>
  </si>
  <si>
    <t>UND B DIGITAL</t>
  </si>
  <si>
    <t>UND EN $</t>
  </si>
  <si>
    <t>VENTA UND</t>
  </si>
  <si>
    <t>VENTA EN BULTO</t>
  </si>
  <si>
    <t>INV EN UND</t>
  </si>
  <si>
    <t>INV EN BULTO</t>
  </si>
  <si>
    <t>PRECIO $ X BULTO</t>
  </si>
  <si>
    <t>$ X UND</t>
  </si>
  <si>
    <t>INPRODELCA</t>
  </si>
  <si>
    <t>LISTA PRECIOS</t>
  </si>
  <si>
    <t>Valor $ dia (05/04/2021; 1:00 pm)=</t>
  </si>
  <si>
    <t>CAJA S/IVA</t>
  </si>
  <si>
    <t>UNIDAD S/IVA</t>
  </si>
  <si>
    <t>CAJA C/IVA</t>
  </si>
  <si>
    <t>UNIDAD C/IVA</t>
  </si>
  <si>
    <t>INTERNO</t>
  </si>
  <si>
    <t>DE BARRA</t>
  </si>
  <si>
    <t>UNID</t>
  </si>
  <si>
    <t>REF</t>
  </si>
  <si>
    <t>PERFUMERIA</t>
  </si>
  <si>
    <t>278040</t>
  </si>
  <si>
    <t>ANTI. NATURASSE FOR LADY ROLON 50CC 1X24</t>
  </si>
  <si>
    <t>1X24</t>
  </si>
  <si>
    <t>24</t>
  </si>
  <si>
    <t>278041</t>
  </si>
  <si>
    <t>ANTI. NATURASSE FOR MEN ROLON 50CC 1X25</t>
  </si>
  <si>
    <t>PAPEL HIGIENICO SUAVE PANLOO 250 HOJAS/ROLLO</t>
  </si>
  <si>
    <t>1X12X4</t>
  </si>
  <si>
    <t>12</t>
  </si>
  <si>
    <t>PAPEL HIGIENICO SUAVE PANLOO 450 HOJAS/ROLLO</t>
  </si>
  <si>
    <t>BOLSAS PARA BASURA PLASTKING</t>
  </si>
  <si>
    <t>010101</t>
  </si>
  <si>
    <t>P.KING BOLSA 15 LITROS 24X6</t>
  </si>
  <si>
    <t>1X24X6</t>
  </si>
  <si>
    <t>010102</t>
  </si>
  <si>
    <t>P.KING BOLSA 30 LITROS 24X6</t>
  </si>
  <si>
    <t>010103</t>
  </si>
  <si>
    <t>P.KING BOLSA 60 LITROS 24X6</t>
  </si>
  <si>
    <t>010104</t>
  </si>
  <si>
    <t>P.KING BOLSA TIPO A 30 KG 24X5</t>
  </si>
  <si>
    <t>1X24X5</t>
  </si>
  <si>
    <t>010105</t>
  </si>
  <si>
    <t>P.KING BOLSA TIPO B 40 KG 24X3</t>
  </si>
  <si>
    <t>1X24X3</t>
  </si>
  <si>
    <t>BOLSAS PARA BASURA ECONOPLAST</t>
  </si>
  <si>
    <t>010405</t>
  </si>
  <si>
    <t>ECONOP.BOLSA B 40 KG ALTA 24X3</t>
  </si>
  <si>
    <t>228001</t>
  </si>
  <si>
    <t>PABILO CRUDO 4 Kg APROX X100</t>
  </si>
  <si>
    <t>1X100</t>
  </si>
  <si>
    <t>GUANTE HOGAR PK</t>
  </si>
  <si>
    <t>160101</t>
  </si>
  <si>
    <t>P.KING USO HOGAR S X12</t>
  </si>
  <si>
    <t>1X12</t>
  </si>
  <si>
    <t>160102</t>
  </si>
  <si>
    <t>P.KING USO HOGAR M X12</t>
  </si>
  <si>
    <t>160103</t>
  </si>
  <si>
    <t>P.KING USO HOGAR L X12</t>
  </si>
  <si>
    <t>COLETOS</t>
  </si>
  <si>
    <t>100804</t>
  </si>
  <si>
    <t>ADICORA COLETO MARRON MED X60</t>
  </si>
  <si>
    <t>1X60</t>
  </si>
  <si>
    <t>60</t>
  </si>
  <si>
    <t>100801</t>
  </si>
  <si>
    <t>ADICORA COLETO AZUL GRANDE X60</t>
  </si>
  <si>
    <t>100802</t>
  </si>
  <si>
    <t>ADICORA COLETO MARRON GRANDE X60</t>
  </si>
  <si>
    <t>LANILLAS</t>
  </si>
  <si>
    <t>120801</t>
  </si>
  <si>
    <t>ADICORA LANILLA AMAR.MEDIANO X60</t>
  </si>
  <si>
    <t>120802</t>
  </si>
  <si>
    <t>ADICORA LANILLA AMAR.GRANDE X60</t>
  </si>
  <si>
    <t>120803</t>
  </si>
  <si>
    <t>ADICORA LANILLA AMAR.SUPER X60</t>
  </si>
  <si>
    <t>MOPAS INDUSTRIAL</t>
  </si>
  <si>
    <t>110801</t>
  </si>
  <si>
    <t>ADICORA MOPA INDUSTRIAL #32 X12</t>
  </si>
  <si>
    <t>110802</t>
  </si>
  <si>
    <t>ADICORA MOPA INDUSTRIAL #36 X12</t>
  </si>
  <si>
    <t>MOPAS ALGODON</t>
  </si>
  <si>
    <t>110805</t>
  </si>
  <si>
    <t>ADICORA MOPA DE ALGODON #32 X12</t>
  </si>
  <si>
    <t>110806</t>
  </si>
  <si>
    <t>ADICORA MOPA DE ALGODON #36 X12</t>
  </si>
  <si>
    <t xml:space="preserve">CEPILLOS DE BARRER </t>
  </si>
  <si>
    <t>141701</t>
  </si>
  <si>
    <t>CEPILLO CEPIVEN  X12</t>
  </si>
  <si>
    <t>141501</t>
  </si>
  <si>
    <t>INDESSA ARAUCA X12</t>
  </si>
  <si>
    <t>141503</t>
  </si>
  <si>
    <t>INDESSA EXTRA X12</t>
  </si>
  <si>
    <t>141509</t>
  </si>
  <si>
    <t>INDESSA CARONI X12</t>
  </si>
  <si>
    <t>141504</t>
  </si>
  <si>
    <t>INDESSA POPULAR X12</t>
  </si>
  <si>
    <t>141506</t>
  </si>
  <si>
    <t>INDESSA RUSTICO X12</t>
  </si>
  <si>
    <t>141505</t>
  </si>
  <si>
    <t>INDESSA SUPERIOR X6</t>
  </si>
  <si>
    <t>1X6</t>
  </si>
  <si>
    <t>6</t>
  </si>
  <si>
    <t>141502</t>
  </si>
  <si>
    <t>INDESSA FLORIDA X12</t>
  </si>
  <si>
    <t>141508</t>
  </si>
  <si>
    <t>INDESSA ACOSTADO SUAVE X12</t>
  </si>
  <si>
    <t>141507</t>
  </si>
  <si>
    <t>INDESSA ACOSTADO RUSTICO X12</t>
  </si>
  <si>
    <t>141520</t>
  </si>
  <si>
    <t>INDESSA ZAPATO X24</t>
  </si>
  <si>
    <t>141518</t>
  </si>
  <si>
    <t>INDESSA LAVAR PLANCHITA X24</t>
  </si>
  <si>
    <t>141517</t>
  </si>
  <si>
    <t>INDESSA LAVAR SIN ASA 1X24</t>
  </si>
  <si>
    <t>141515</t>
  </si>
  <si>
    <t>INDESSA CHUPONES W-C X24</t>
  </si>
  <si>
    <t>141526</t>
  </si>
  <si>
    <t>INDESSA SANITARIO X36</t>
  </si>
  <si>
    <t>1X36</t>
  </si>
  <si>
    <t>36</t>
  </si>
  <si>
    <t>141527</t>
  </si>
  <si>
    <t>INDESSA SANITARIO CON BASE X24</t>
  </si>
  <si>
    <t>141525</t>
  </si>
  <si>
    <t>INDESSA RASTRILLO PLASTICO X24</t>
  </si>
  <si>
    <t>141516</t>
  </si>
  <si>
    <t>INDESSA HARAGAN PLAST SUPERIOR X48</t>
  </si>
  <si>
    <t>1X48</t>
  </si>
  <si>
    <t>48</t>
  </si>
  <si>
    <t>141522</t>
  </si>
  <si>
    <t>INDESSA PALA P.PEQUE¥A X24</t>
  </si>
  <si>
    <t>141521</t>
  </si>
  <si>
    <t>INDESSA PALA P.GRANDE X12</t>
  </si>
  <si>
    <t>218001</t>
  </si>
  <si>
    <t>PALO CON ROSCA X12</t>
  </si>
  <si>
    <t>PLATOS DE CARTON</t>
  </si>
  <si>
    <t>040101</t>
  </si>
  <si>
    <t>P.KING PLATO CARTON #5 50X18</t>
  </si>
  <si>
    <t>1X50X18</t>
  </si>
  <si>
    <t>50</t>
  </si>
  <si>
    <t>040102</t>
  </si>
  <si>
    <t>P.KING PLATO CARTON #6 50X18</t>
  </si>
  <si>
    <t>040103</t>
  </si>
  <si>
    <t>P.KING PLATO CARTON #7 50X18</t>
  </si>
  <si>
    <t>040104</t>
  </si>
  <si>
    <t>P.KING PLATO CARTON #8 50X18</t>
  </si>
  <si>
    <t>040105</t>
  </si>
  <si>
    <t>P.KING PLATO CARTON #9 50X18</t>
  </si>
  <si>
    <t>PLATOS DESECHABLES PK</t>
  </si>
  <si>
    <t>050101</t>
  </si>
  <si>
    <t>P.KING PLATO DESECHABLE #5 50X10</t>
  </si>
  <si>
    <t>1X50X10</t>
  </si>
  <si>
    <t>050102</t>
  </si>
  <si>
    <t>P.KING PLATO DESECHABLE #6 50X10</t>
  </si>
  <si>
    <t>050103</t>
  </si>
  <si>
    <t>P.KING PLATO DESECHABLE #7 50X10</t>
  </si>
  <si>
    <t>050104</t>
  </si>
  <si>
    <t>P.KING PLATO DESECHABLE #8 50X10</t>
  </si>
  <si>
    <t>050105</t>
  </si>
  <si>
    <t>P.KING PLATO DESECHABLE #9 50X10</t>
  </si>
  <si>
    <t>PLASTKING PACK CBTO</t>
  </si>
  <si>
    <t>090110</t>
  </si>
  <si>
    <t>P.KING PACK CBTO TEN / CUCHIL 20 X 20</t>
  </si>
  <si>
    <t>1X20X20</t>
  </si>
  <si>
    <t>20</t>
  </si>
  <si>
    <t>CUBIERTOS PLASTICOS PLASTKING</t>
  </si>
  <si>
    <t>090101</t>
  </si>
  <si>
    <t>P.KING CUCHARA FIESTA 50X24</t>
  </si>
  <si>
    <t>1X50X24</t>
  </si>
  <si>
    <t>090104</t>
  </si>
  <si>
    <t>P.KING CUCHARA PICNIC 40X24</t>
  </si>
  <si>
    <t>1X40X24</t>
  </si>
  <si>
    <t>40</t>
  </si>
  <si>
    <t>090103</t>
  </si>
  <si>
    <t>P.KING TENEDOR PICNIC 40X24</t>
  </si>
  <si>
    <t>090105</t>
  </si>
  <si>
    <t>P.KING CUCHILLO PICNIC 40X24</t>
  </si>
  <si>
    <t>PITILLOS PLASTICOS</t>
  </si>
  <si>
    <t>200101</t>
  </si>
  <si>
    <t>P.KING PITILLO EN BOLSA 40X150</t>
  </si>
  <si>
    <t>1X40X150</t>
  </si>
  <si>
    <t>RECIPIENTES MULTIUSO CON TAPA</t>
  </si>
  <si>
    <t>190101</t>
  </si>
  <si>
    <t>P.KING RECIPIENTE 12 OZ 350CC 18X5</t>
  </si>
  <si>
    <t>1X18X5</t>
  </si>
  <si>
    <t>190102</t>
  </si>
  <si>
    <t>P.KING RECIPIENTE 16 OZ 500CC 18X5</t>
  </si>
  <si>
    <t>190103</t>
  </si>
  <si>
    <t>P.KING RECIPIENTE 26 OZ 15X5</t>
  </si>
  <si>
    <t>1X15X5</t>
  </si>
  <si>
    <t>190104</t>
  </si>
  <si>
    <t>P.KING RECIPIENTE 32 OZ 15X5</t>
  </si>
  <si>
    <t>CONTEN. ALUMINIO EMPACADOS PLASTKING</t>
  </si>
  <si>
    <t>130102</t>
  </si>
  <si>
    <t>P.KING CONT.ALUM. 705-450CC 24X10</t>
  </si>
  <si>
    <t>1X24X10</t>
  </si>
  <si>
    <t>130103</t>
  </si>
  <si>
    <t>P.KING CONT.ALUM. 747-700CC 20X10</t>
  </si>
  <si>
    <t>1X20X10</t>
  </si>
  <si>
    <t>130104</t>
  </si>
  <si>
    <t>P.KING CONT.ALUM. 788-966CC 20X10</t>
  </si>
  <si>
    <t>COLADOR DE TELA GRANDE</t>
  </si>
  <si>
    <t>230101</t>
  </si>
  <si>
    <t>COLADOR DE TELA GRANDE X12</t>
  </si>
  <si>
    <t xml:space="preserve">NO </t>
  </si>
  <si>
    <t>21 DIA DE CREDITO A BCV</t>
  </si>
  <si>
    <t>AUTOMERCADO EXPRESS 2707 TIENDA PRINCIPAL</t>
  </si>
  <si>
    <t>SUPERMERCADOS</t>
  </si>
  <si>
    <t>Precio Facturación UNIDAD</t>
  </si>
  <si>
    <t>Precio Facturación CAJA</t>
  </si>
  <si>
    <t>CODIGO DE</t>
  </si>
  <si>
    <t>Precio de Venta</t>
  </si>
  <si>
    <t>SAP</t>
  </si>
  <si>
    <t>BARRA</t>
  </si>
  <si>
    <t>Sin IVA</t>
  </si>
  <si>
    <t>Con IVA</t>
  </si>
  <si>
    <t>TANG</t>
  </si>
  <si>
    <t>TANG GUANABANA SP 6X12X30GR</t>
  </si>
  <si>
    <t>TANG NARANJA SP 6X12X30GR</t>
  </si>
  <si>
    <t>TANG MORA SP 6X12X30GR</t>
  </si>
  <si>
    <t>TANG PARCHITA SP 6X12X30GR</t>
  </si>
  <si>
    <t>TANG LIMON SP 6X12X30GR</t>
  </si>
  <si>
    <t>CLUB SOCIAL</t>
  </si>
  <si>
    <t>CLUB SOCIAL INTEGRAL 6S (156G)</t>
  </si>
  <si>
    <t>CLUB SOCIAL 6S 20 OWX156 GR NVA IMAGEN</t>
  </si>
  <si>
    <t>BELVITA</t>
  </si>
  <si>
    <t>BELVITA KRAKER 9S 14X234 GRS</t>
  </si>
  <si>
    <t>BELVITA HONY 9S 14OWx252 G</t>
  </si>
  <si>
    <t>SODA</t>
  </si>
  <si>
    <t>SODA PREMIUM 6S 18 OW X156GR</t>
  </si>
  <si>
    <t>OREO</t>
  </si>
  <si>
    <t>OREO VAINILLA OW 6´S (216G)</t>
  </si>
  <si>
    <t>OREO VAINILLA TUBO 48X108G</t>
  </si>
  <si>
    <t>OREO CHOCOLATE OW 6´S (216G)</t>
  </si>
  <si>
    <t>OREO CHOCOLATE TUBO 48X108GRS</t>
  </si>
  <si>
    <t>OREO AMERICANO OW 6´S (216G)</t>
  </si>
  <si>
    <t>OREO AMERICANO TUBO 48X108G</t>
  </si>
  <si>
    <t>OREO FRESA OW 6´S (216G)</t>
  </si>
  <si>
    <t>OREO FRESA TUBO 48X108G</t>
  </si>
  <si>
    <t>OREO CAFE OW 6´S (216G)</t>
  </si>
  <si>
    <t>OREO CAFÉ TUBO 48X108G</t>
  </si>
  <si>
    <t>CHIPS AHOY</t>
  </si>
  <si>
    <t>CHIPS AHOY 6S OW 32X168 GRS 150D VU</t>
  </si>
  <si>
    <t>MINI CHIPS</t>
  </si>
  <si>
    <t>MINI CHIPS VAINILLA 180GRS</t>
  </si>
  <si>
    <t>SORBETICOS</t>
  </si>
  <si>
    <t>SORBETICOS VAINILLA 4S</t>
  </si>
  <si>
    <t>SORBETICOS FRESA 4S</t>
  </si>
  <si>
    <t>SORBETICOS AREQUIPE 4S</t>
  </si>
  <si>
    <t>BOLIVAR DIGITAL</t>
  </si>
  <si>
    <r>
      <rPr>
        <b/>
        <sz val="12"/>
        <rFont val="TeXGyreAdventor"/>
      </rPr>
      <t>MAYONESA</t>
    </r>
  </si>
  <si>
    <r>
      <rPr>
        <sz val="11"/>
        <rFont val="Gothic Uralic"/>
      </rPr>
      <t>MAYONESA REG 12X445GR</t>
    </r>
  </si>
  <si>
    <r>
      <rPr>
        <sz val="11"/>
        <rFont val="Gothic Uralic"/>
      </rPr>
      <t>MAYONESA REG 24X175 GR</t>
    </r>
  </si>
  <si>
    <r>
      <rPr>
        <b/>
        <sz val="10"/>
        <rFont val="TeXGyreAdventor"/>
      </rPr>
      <t>CODIGO</t>
    </r>
  </si>
  <si>
    <r>
      <rPr>
        <b/>
        <sz val="10"/>
        <rFont val="TeXGyreAdventor"/>
      </rPr>
      <t>CODIGO DE</t>
    </r>
  </si>
  <si>
    <r>
      <rPr>
        <b/>
        <sz val="10"/>
        <rFont val="TeXGyreAdventor"/>
      </rPr>
      <t>DESCRIPCION</t>
    </r>
  </si>
  <si>
    <r>
      <rPr>
        <b/>
        <sz val="10"/>
        <rFont val="TeXGyreAdventor"/>
      </rPr>
      <t>Precio de Venta</t>
    </r>
  </si>
  <si>
    <r>
      <rPr>
        <b/>
        <sz val="10"/>
        <rFont val="TeXGyreAdventor"/>
      </rPr>
      <t>SAP</t>
    </r>
  </si>
  <si>
    <r>
      <rPr>
        <b/>
        <sz val="10"/>
        <rFont val="TeXGyreAdventor"/>
      </rPr>
      <t>BARRA</t>
    </r>
  </si>
  <si>
    <r>
      <rPr>
        <b/>
        <sz val="10"/>
        <rFont val="TeXGyreAdventor"/>
      </rPr>
      <t>Sin IVA</t>
    </r>
  </si>
  <si>
    <r>
      <rPr>
        <b/>
        <sz val="10"/>
        <rFont val="TeXGyreAdventor"/>
      </rPr>
      <t>Con IVA</t>
    </r>
  </si>
  <si>
    <t>PRECIO $ Sin IVA X BULTO</t>
  </si>
  <si>
    <t xml:space="preserve">PRECIO $ UND Sin IVA </t>
  </si>
  <si>
    <t>ACEITE DE OLIVA 500ML EXTRA VIRGEN       CAPRI</t>
  </si>
  <si>
    <t>CAPRI CANNELLONE 250 GR DIRECTO AL HORNO ESPECIALIDADES</t>
  </si>
  <si>
    <t>PASTA 1 KG RIGATONI CAPRI</t>
  </si>
  <si>
    <t>PASTA 1 KG TORNILLO EXTRA ESPECIAL CAPRI</t>
  </si>
  <si>
    <t>PASTA 500 GR LINGUINI   CAPRI</t>
  </si>
  <si>
    <t>PASTA CON ESPINACA 250 GR CANELLONE CAPRI</t>
  </si>
  <si>
    <t>PASTA ESPECIALIDAD LINGUINI 1KG CAPRI</t>
  </si>
  <si>
    <t>PASTA EXTRA 1 KG ESPECIAL DEDAL CAPRI</t>
  </si>
  <si>
    <t>PASTA EXTRA 1 KG ESPECIAL VERMICELLI CAPRI</t>
  </si>
  <si>
    <t>PASTA EXTRA 1 KG PLUMA CAPRI</t>
  </si>
  <si>
    <t>PASTA EXTRA ESPECIAL VERMICELLI 500 GR CAPRI</t>
  </si>
  <si>
    <t>PASTA FIDEO 250 GR CAPRI</t>
  </si>
  <si>
    <t>PASTA FIGURITAS JUEGA Y APRENDE 250GR   CAPRI</t>
  </si>
  <si>
    <t>PASTA PREMIUM 500 GR VERMICELLI CAPRI</t>
  </si>
  <si>
    <t>PASTA PREMIUM CARACOL GRANDE 500GR CAPRI</t>
  </si>
  <si>
    <t>PASTA PREMIUM PLUMA 1KG CAPRI</t>
  </si>
  <si>
    <t>PASTA TORNILLO 1KG CAPRI</t>
  </si>
  <si>
    <t>PASTICHO 250 GR DIRECTO AL HORNO CAPRI</t>
  </si>
  <si>
    <t>PASTICHO 250GR ESPECIALIDADES CAPRI</t>
  </si>
  <si>
    <t>PASTINA ESP. ESTRELLITAS BEBE 250 GR CAPRI</t>
  </si>
  <si>
    <t>PASTINA ESP.ARROCITO BEBES 250GR CAPRI</t>
  </si>
  <si>
    <t>SALSA 490 GR BOLOGNA CAPRI</t>
  </si>
  <si>
    <t>SALSA NAPOLI 490 GR RAPIDISIMO   CAPRI</t>
  </si>
  <si>
    <t>TALLARINES ESPECIAL 500 GR CORTOS CAPRI</t>
  </si>
  <si>
    <t>PASTA PREMIUM CODITO  500 GR CAPRI</t>
  </si>
  <si>
    <t>PASTA PREMIUM PLUMITA  500 GR CAPRI</t>
  </si>
  <si>
    <t>PASTA PREMIUM VERMICELLI 1 KG CAPRI</t>
  </si>
  <si>
    <t>PASTA PREMIUM CAPRI DEDAL  1KG</t>
  </si>
  <si>
    <t>PASTA EXTRA ESPECIAL DEDALITO 1 KGCAPRI</t>
  </si>
  <si>
    <t>PASTA EXTRA CORTA DEDAL ESPECIAL 500 GR CAPRI</t>
  </si>
  <si>
    <t>COSTO X UND $</t>
  </si>
  <si>
    <t>COSTO X BULTO $</t>
  </si>
  <si>
    <t>ESTUDIO DE UN MES</t>
  </si>
  <si>
    <t>NO PEDIR</t>
  </si>
  <si>
    <t>PEDIDO HECHO 13 DE OCTUBRE</t>
  </si>
  <si>
    <t>MANZANAS ROJA</t>
  </si>
  <si>
    <t xml:space="preserve">MANZANAS VERDES </t>
  </si>
  <si>
    <t>MANZANAS AMARILLA</t>
  </si>
  <si>
    <t>PERAS</t>
  </si>
  <si>
    <t>NUMERO</t>
  </si>
  <si>
    <t>UND X CAJA</t>
  </si>
  <si>
    <t>PRECIOS $</t>
  </si>
  <si>
    <t>JEAN CARLOS HIELO</t>
  </si>
  <si>
    <t>FRUTAS IMP ALL FRESH</t>
  </si>
  <si>
    <t>QUINTA CREPO</t>
  </si>
  <si>
    <t>JOSVI BARRIOS NUENO VENDEDOR</t>
  </si>
  <si>
    <t>KG POR CAJA</t>
  </si>
  <si>
    <t>002079  MANZANA ROJA/VERDE /PERA KG</t>
  </si>
  <si>
    <t>CERVEZA POLAR TIPO PILSEN 355ML NR</t>
  </si>
  <si>
    <t>COSTO CON IVA</t>
  </si>
  <si>
    <t>CALCULO DE FACTURA YA CON IVA</t>
  </si>
  <si>
    <t>SUB</t>
  </si>
  <si>
    <t>C</t>
  </si>
  <si>
    <t>CHILENAS</t>
  </si>
  <si>
    <t>DETERGENTE EN POLVO ROSA 500GR ALIVE</t>
  </si>
  <si>
    <t>GEL DENTAL TANS FRESA 2-6 AÑOS</t>
  </si>
  <si>
    <t>TOALLAS DIARIAS 20 UND ALUAYASS</t>
  </si>
  <si>
    <t>SHAMPOO 405 ML 3EN1 TAPA ROSADA Y DORADA TANS</t>
  </si>
  <si>
    <t>DETERGENTE EN POLVO 800 GR ACESS</t>
  </si>
  <si>
    <t>DETERGENTE 400 GR LIMON CERO3</t>
  </si>
  <si>
    <t>DETERGENTE EN POLVO LIMON 900 GR CERO3</t>
  </si>
  <si>
    <t>JABON EN POLVO 400 GR LIMON ZERO</t>
  </si>
  <si>
    <t>NUTRIBELA10 REPOLARIZACION EN FRIO 27 ML</t>
  </si>
  <si>
    <t>CREMA ALIDENT 100GR GEL VERDE ALIENTO FRESCO</t>
  </si>
  <si>
    <t>CREMA ALIDENT 100GR GEL AZUL ALIENTO FRESCO</t>
  </si>
  <si>
    <t>FRUTUS 15 GR SABORES VARIOS</t>
  </si>
  <si>
    <t>BOMBILLO 9W LIDA</t>
  </si>
  <si>
    <t>DETERGENTE EN POLVO 500 GR LIMON ALIVE</t>
  </si>
  <si>
    <t>VELA DETALLADA PERLA 30GR  (AV)</t>
  </si>
  <si>
    <t>CONSERVADOR 2 LT N°4 C-0028 DURAPLAS</t>
  </si>
  <si>
    <t>TAZA MEDIANA C-0012 18CM DURAPLAS</t>
  </si>
  <si>
    <t>TAZA ACAN EXT GRANDE C-0079 22 CM DURAPLAS</t>
  </si>
  <si>
    <t>TAZA ACANALADA GRANDE C-0027 20CM DURAPLAS</t>
  </si>
  <si>
    <t>PORTA CUBIERTOS C-0093 DURAPLAS</t>
  </si>
  <si>
    <t>SANDUCHERA NRO 1 C-0116 DURAPLAS</t>
  </si>
  <si>
    <t>LEVADURA INSTANTANEA 500 GR MAGEST.</t>
  </si>
  <si>
    <t>MAYONESA 445GR KRAFT</t>
  </si>
  <si>
    <t>COLADOR DE CAFE EN TELA</t>
  </si>
  <si>
    <t>AZUCAR 1 KG HERLUZ</t>
  </si>
  <si>
    <t>ACEITE CORCOVADO 900ML</t>
  </si>
  <si>
    <t>DETERGENTE AZ 400GR</t>
  </si>
  <si>
    <t>DETERGENTE AXIAO 400 GR</t>
  </si>
  <si>
    <t>TOALLA SANITARIA DIA AXIAO</t>
  </si>
  <si>
    <t>TOALLA SANITARIA NOCHE AXIAO</t>
  </si>
  <si>
    <t xml:space="preserve">NUTIBELA ENZIMO TERAPIA </t>
  </si>
  <si>
    <t>NUTIBELA CAUTERIZADOR</t>
  </si>
  <si>
    <t>CERVEZA LIGHT DESECHABLE 0.355 L POLAR NR</t>
  </si>
  <si>
    <t>COLETOS GRANDES</t>
  </si>
  <si>
    <t>AGUA 600 ML LOS ALPES</t>
  </si>
  <si>
    <t>AGUA 1.5 LT LOS ALPES</t>
  </si>
  <si>
    <t>AGUA 5 LT LOS ALPES</t>
  </si>
  <si>
    <t>Columna1</t>
  </si>
  <si>
    <t>Columna2</t>
  </si>
  <si>
    <t>7 DIAS</t>
  </si>
  <si>
    <t>jmon ahumado</t>
  </si>
  <si>
    <t>Proveedor</t>
  </si>
  <si>
    <t>28/10/2020</t>
  </si>
  <si>
    <t>PLUMROSE LATINOAMERICANA, C.A.</t>
  </si>
  <si>
    <t>JAMON AHUMADO PLUMROSE KG</t>
  </si>
  <si>
    <t>09/11/2020</t>
  </si>
  <si>
    <t>09/08/2021</t>
  </si>
  <si>
    <t>09/09/2021</t>
  </si>
  <si>
    <t>06/10/2021</t>
  </si>
  <si>
    <t>19/10/2020</t>
  </si>
  <si>
    <t>HIPER MODELO, C.A.</t>
  </si>
  <si>
    <t>EXQUISITECES MODELO, C.A.</t>
  </si>
  <si>
    <t>1 mes</t>
  </si>
  <si>
    <t>del 14 de sep al 19 de oct</t>
  </si>
  <si>
    <t>PEDIDO HECHO 19 de octubre</t>
  </si>
  <si>
    <t>40 caja</t>
  </si>
  <si>
    <t>25 caja</t>
  </si>
  <si>
    <t>30 caja</t>
  </si>
  <si>
    <t>7 caja</t>
  </si>
  <si>
    <t>no</t>
  </si>
  <si>
    <t>BAYGON 360 ML VERDE CONTRA CUCARACHAS</t>
  </si>
  <si>
    <t>BAYGON 6 DOBLE ESPIRALES ANTI-MOSQUITOS</t>
  </si>
  <si>
    <t>BAYGON DOBLE ACCION 235ML CONTRA ZANCUDOS</t>
  </si>
  <si>
    <t>BAYGON MATA INSECTOS VOLADORES 235ML  JOHNSON</t>
  </si>
  <si>
    <t>BAYGON MATA VOLADORES 360 ML</t>
  </si>
  <si>
    <t>BAYGON VERDE CONTRA CUCARACHA 235ML JOHNSON</t>
  </si>
  <si>
    <t>DESINFECTANTE MR MUSCULO FLORAL 900ML JOHNSON</t>
  </si>
  <si>
    <t>DESINFECTANTE MR MUSCULO LAVANDA 900ML JOHNSON</t>
  </si>
  <si>
    <t>DESINFECTANTE MR.MUSCULO CARICIA BEBE 900ML</t>
  </si>
  <si>
    <t>GLADE AEROSOL 235 ML 5 EN 1 CAMPOS DE LAVANDA</t>
  </si>
  <si>
    <t>GLADE AEROSOL 235 ML 5 EN 1 MANZANA Y CANELA</t>
  </si>
  <si>
    <t>GLADE CAMPOS DE LAVANDA 360ML JOHNSON</t>
  </si>
  <si>
    <t>GLADE MANZANA Y CANELA 360ML JOHNSON</t>
  </si>
  <si>
    <t>LIMPIADOR COCINA 500ML CITRUS  MR MUSCULO</t>
  </si>
  <si>
    <t>MATA CUCARACHAS 235 ML RAID GOLD</t>
  </si>
  <si>
    <t>MR MUSCULO 5 EN 1 500 ML LIMPIADOR INODOROS MARINA</t>
  </si>
  <si>
    <t>MR MUSCULO 500 ML 5 EN 1 PARA INODOROS NATURALEZA</t>
  </si>
  <si>
    <t>MR MUSCULO 500 ML ANTIGRASA SPRAY JOHNSON</t>
  </si>
  <si>
    <t>MR MUSCULO AUTOBRILLANTE CERA FLORAL 900ML</t>
  </si>
  <si>
    <t>MR MUSCULO AUTOBRILLANTE CERA LAVANDA 900ML</t>
  </si>
  <si>
    <t>MR MUSCULO BRILLOSITA CERA LAVANDA 900ML</t>
  </si>
  <si>
    <t>MR MUSCULO GLADE CARICIA BEBE 500ML JOHNSON</t>
  </si>
  <si>
    <t>MR MUSCULO GLADE FLORAL 500ML JOHNSON</t>
  </si>
  <si>
    <t>MR MUSCULO GLADE LAVANDA 500ML JOHNSON</t>
  </si>
  <si>
    <t>MR. MUSCULO VERDE ANTIGRASA 500ML JOHNSON</t>
  </si>
  <si>
    <t>MR.MUSCULO COCINA ACCION NARANJA 500ML</t>
  </si>
  <si>
    <t>MR.MUSCULO GATILLO 5EN1 BAÑO 500ML JOHNSON</t>
  </si>
  <si>
    <t>MR.MUSCULO MULTI-ACCION OXI POWER 500ML JONHSON</t>
  </si>
  <si>
    <t>MR.MUSCULO MULTIUSO LIMON 900 ML JOHNSON</t>
  </si>
  <si>
    <t>MR.MUSCULO VIDRIO Y MULTIUSO FRESCA 500ML JOHNSON</t>
  </si>
  <si>
    <t>MR.MUSCULO VIDRIOS Y MULTIUSO LAVANDA 500ML JOHNSON</t>
  </si>
  <si>
    <t>PRIDE 500 ML MULTI SUPERFICIE JOHNSON</t>
  </si>
  <si>
    <t>PRIDE NARANJA 360ML JONHSON</t>
  </si>
  <si>
    <t>PRIDE NATURAL 360ML JOHNSON</t>
  </si>
  <si>
    <t>RAID 235 ML MATA ZANCUDOS Y MOSCAS JOHNSON</t>
  </si>
  <si>
    <t>RAID GOLD MATA CUCARACHAS Y CHIRIPAS 360 ML</t>
  </si>
  <si>
    <t>RAID HOGAR 360 ML MATA INSECTOS CASA Y JARDIN JOHNSON</t>
  </si>
  <si>
    <t>RAID MATA ZANCUDOS 360 ML JOHNSON</t>
  </si>
  <si>
    <t>RAID MAX 360 ML MATA CUCARACHAS CHIRIPAS Y HORMIGAS</t>
  </si>
  <si>
    <t>RAID MAX MATA CUCARACHAS Y CHIRIPAS 235ML JOHNSON</t>
  </si>
  <si>
    <t>UTILIDAD</t>
  </si>
  <si>
    <t>PRECIO SUJETO AL CALCULO DE LA TASA DEL BCV DEL DIA</t>
  </si>
  <si>
    <t>SUAVISANTE 500 GR ALIVE</t>
  </si>
  <si>
    <t>10/09/2021</t>
  </si>
  <si>
    <t>25/08/2021</t>
  </si>
  <si>
    <t>12/08/2021</t>
  </si>
  <si>
    <t>05/08/2021</t>
  </si>
  <si>
    <t>20/10/2021</t>
  </si>
  <si>
    <t>ART</t>
  </si>
  <si>
    <t>CANT</t>
  </si>
  <si>
    <t>FACTURA</t>
  </si>
  <si>
    <t>11/08/2021</t>
  </si>
  <si>
    <t>3540019302</t>
  </si>
  <si>
    <t>3540019754</t>
  </si>
  <si>
    <t>18/08/2021</t>
  </si>
  <si>
    <t>3540019877</t>
  </si>
  <si>
    <t>3540019878</t>
  </si>
  <si>
    <t>3540020969</t>
  </si>
  <si>
    <t>3540021809</t>
  </si>
  <si>
    <t>3540021810</t>
  </si>
  <si>
    <t>3540021534</t>
  </si>
  <si>
    <t>354002153</t>
  </si>
  <si>
    <t>3540023237.</t>
  </si>
  <si>
    <t>3540022797</t>
  </si>
  <si>
    <t>3540024091</t>
  </si>
  <si>
    <t>3540024080</t>
  </si>
  <si>
    <t>3540024083</t>
  </si>
  <si>
    <t>EN VARIA OPORTINIDADES SE SOLO LLENAVAN CASILLEROS</t>
  </si>
  <si>
    <t>07/10/2021</t>
  </si>
  <si>
    <t>AUTOMERCADO EXPRESS HOYADA</t>
  </si>
  <si>
    <t>10/08/2021</t>
  </si>
  <si>
    <t>24/08/2021</t>
  </si>
  <si>
    <t>30/08/2021</t>
  </si>
  <si>
    <t>02/09/2021</t>
  </si>
  <si>
    <t>13/09/2021</t>
  </si>
  <si>
    <t>04/10/2021</t>
  </si>
  <si>
    <t>11/10/2021</t>
  </si>
  <si>
    <t>12/10/2021</t>
  </si>
  <si>
    <t>18/10/2021</t>
  </si>
  <si>
    <t>TOTAL DE CAJA</t>
  </si>
  <si>
    <t>27/08/2021</t>
  </si>
  <si>
    <t>08/09/2021</t>
  </si>
  <si>
    <t>24/09/2021</t>
  </si>
  <si>
    <t>01/10/2021</t>
  </si>
  <si>
    <t>08/10/2021</t>
  </si>
  <si>
    <t>15/10/2021</t>
  </si>
  <si>
    <t>20 AL 20 OCT</t>
  </si>
  <si>
    <t>2 TORTAS</t>
  </si>
  <si>
    <t>30 UND</t>
  </si>
  <si>
    <t>13 TORTAS</t>
  </si>
  <si>
    <t>3 TORTA</t>
  </si>
  <si>
    <t>PEDIDO HECHO 21 DE OCTUBRE</t>
  </si>
  <si>
    <t>PEDIDO HECHO 25 DE OCTUBRE</t>
  </si>
  <si>
    <t>550 CAJA</t>
  </si>
  <si>
    <t>150 CAJA</t>
  </si>
  <si>
    <t>8 CAJA</t>
  </si>
  <si>
    <t>S/ IVA</t>
  </si>
  <si>
    <t>PRECIO X UND</t>
  </si>
  <si>
    <t>SI QUEREMOS FACTURA CON IVA</t>
  </si>
  <si>
    <t>MARGEN 30 %</t>
  </si>
  <si>
    <t>IGUAL A COSTO YA CON DESCUENTO</t>
  </si>
  <si>
    <t>24 und</t>
  </si>
  <si>
    <t>ESTUDIO HECHO 26 de octubre PEDIDO NO HECHO</t>
  </si>
  <si>
    <t>PRECIO CON IVA $ und</t>
  </si>
  <si>
    <t>AUTOMERCADO</t>
  </si>
  <si>
    <t>ACEITE DE SOYA 900 ML VATEL</t>
  </si>
  <si>
    <t>COMPRA</t>
  </si>
  <si>
    <t>DESODORANTE 40 GR BURST ONDEE DOVE</t>
  </si>
  <si>
    <t>DESODORANTE 40 GR FRESH DOVE</t>
  </si>
  <si>
    <t>DESODORANTE 40 GR INVISIBLE DRY DOVE</t>
  </si>
  <si>
    <t>DESODORANTE 40GR GO FRESH DOVE</t>
  </si>
  <si>
    <t>DESODORANTE DOVE SENSITIVE 40 ML</t>
  </si>
  <si>
    <t>DETERGENTE EN POLVO ROSA 1KG ALIVE</t>
  </si>
  <si>
    <t>LEVADURA 500 GR INSTANTANEA MAGEST</t>
  </si>
  <si>
    <t>LEVADURA 500 GR POLVO INSTAFERM</t>
  </si>
  <si>
    <t>TOALLA ALUYAZ FEXI ALAS 10 TOALLAS AZUL Y VERDE</t>
  </si>
  <si>
    <t>TOALLA SANITARIA ALUAYASS 10 UND</t>
  </si>
  <si>
    <t>TOALLA SANITARIA ALUAYZ 10 UND ULTRA FINA</t>
  </si>
  <si>
    <t>TOALLAS DIARIAS 20 UND (AZUL) ALVVEYSS</t>
  </si>
  <si>
    <t>TRATAMIENTO ENZIMOTERAPIA 27ML NUTRIBELA10</t>
  </si>
  <si>
    <t>TRATAMIENTO REPARACION INTENSIVA  27ML  NUTRIBELA10</t>
  </si>
  <si>
    <t>VELAS AV  EMPAQUE 8UND.</t>
  </si>
  <si>
    <t>DESODORANTE 51G REGULAR MEN  SPEED STICK</t>
  </si>
  <si>
    <t>DESODORANTE SPEED STICK COOL 51G</t>
  </si>
  <si>
    <t>LADY SPEED STICK 39.6G SPRING BLOSSOM</t>
  </si>
  <si>
    <t>LADY SPEED STICK 39.6G SHOWER FRESH</t>
  </si>
  <si>
    <t>LADY SPEED STICK 39.6G WILD FREESIA</t>
  </si>
  <si>
    <t>DESODORANTE 51G CLEAN SPEED STICK</t>
  </si>
  <si>
    <t>PAÑAL CHIKOOL TALLA M 20 UND</t>
  </si>
  <si>
    <t>PAÑAL CHIKOOL TALLAG 20UND. CHIKOOL</t>
  </si>
  <si>
    <t>CONDONES SABORES 3UNIDADES DUO</t>
  </si>
  <si>
    <t>CEPILLO DENTAL 360 ORAL MEDIUM  COLGATE</t>
  </si>
  <si>
    <t>LADY SPEED STICK 39.6G POWDER FRESH</t>
  </si>
  <si>
    <t>PAÑAL CHIKOL TALLAXG  20UND    CHIKOOL</t>
  </si>
  <si>
    <t>DESODORANTE ALL DYA DRY 51Gr POWER FRESH  SPEED STICK</t>
  </si>
  <si>
    <t>ESPONJA  DE FREGAR DORADA/PLATEADA/RAYAS</t>
  </si>
  <si>
    <t>CEPILLO DENTAL NEGRO ZIG ZAG CARACOL  COLGATE</t>
  </si>
  <si>
    <t>REPELENTE MOSQUITO INCIENSO NEGRO LENGE  LANJU</t>
  </si>
  <si>
    <t>MACH3 RESPUESTOS P/ AFEITADORA 4UND. GILLETTE</t>
  </si>
  <si>
    <t>CREMA ALIDENT  100GR TRIPLE ACTION</t>
  </si>
  <si>
    <t>CEPILLO DENTAL COLGATE ZIG ZAG</t>
  </si>
  <si>
    <t>TOALLITAS HUMEDAS DESECHAB/ BEBES 50UND.  CHIKOOL</t>
  </si>
  <si>
    <t>ESPONJA DOBLE USO   SIN MARCA</t>
  </si>
  <si>
    <t>TINTE BELLACOLOR 13ML 2.0 NEGRO NATURAL</t>
  </si>
  <si>
    <t>SHAMPOO PARA NIÑOS 100ML BABY FINGER</t>
  </si>
  <si>
    <t>TALCO PARA NIÑOS 100G  BABY FINGER</t>
  </si>
  <si>
    <t>COLONIA PARA NIÑOS 200ML  BABY FINGER</t>
  </si>
  <si>
    <t>COLONIA PARA NIÑOS 100ML BABY FINGER</t>
  </si>
  <si>
    <t>SHAMPOO  PALMOLIVE VARIADOS 400ML REPARAIR</t>
  </si>
  <si>
    <t>AFEITADORA DESECHABLE MAX 3 ROSADA</t>
  </si>
  <si>
    <t>SHAMPOO  200ML PARA NIÑOS  BABY FINGER</t>
  </si>
  <si>
    <t>AFEITADORA MAX3 FOR MAN UND</t>
  </si>
  <si>
    <t>CORTA CUTICULAS XIN GHAI</t>
  </si>
  <si>
    <t>SPRAY MEDIANO 60ML LARGO TRASPARENTE (VICTORIA)</t>
  </si>
  <si>
    <t>AFEITADORA VERDE PRECISION 3 MAX</t>
  </si>
  <si>
    <t>HOJILLAS NEW PLATINUM 5UNID DORCO</t>
  </si>
  <si>
    <t>AGUJAS DE COSER HOUSEHOLD</t>
  </si>
  <si>
    <t>CORTA UÑA TVO HILL    TWO HILL</t>
  </si>
  <si>
    <t>VIKI-VIKI PARA TEÑIR ROPA 15GR NEGRO</t>
  </si>
  <si>
    <t>CREMA DE ZAPATOS 30G NEGRO/MARRON CHEERY</t>
  </si>
  <si>
    <t>AFEITADORA TG 708N ROSADA 5UNID DORCO</t>
  </si>
  <si>
    <t>AFEITADORA MAX PIZECISA SPEED3 3HOJILLA   MAX</t>
  </si>
  <si>
    <t>LOCION CORPORAL 400ML BESO GRANADA   ALIVE</t>
  </si>
  <si>
    <t>LOCION CORPORAL 400ML FLOR DE PASION   ALIVE</t>
  </si>
  <si>
    <t>PILAS ALKALINE  DOBLEA Y TRIPLE A      KINGCBOY</t>
  </si>
  <si>
    <t>PETROLEUM  55G. SUAVIZA Y LUBRICA    BABY FINGER</t>
  </si>
  <si>
    <t>TALCO  PARA NIÑO 200GR.  BABY FINGER</t>
  </si>
  <si>
    <t>VAPUROB  12G ALCANF/MENTA/EUCALIPTO STARRUB</t>
  </si>
  <si>
    <t>VAPORUB 50GR  VICKS</t>
  </si>
  <si>
    <t>POLVO NAILEN # 7 14 GR</t>
  </si>
  <si>
    <t>PERFUME TUBO 35ML  EN SPRAY DAMA Y CABALLERO</t>
  </si>
  <si>
    <t>TINTE EN CREMA SIN AMONIACO PURE COLOR SABBUHA VARIADOS</t>
  </si>
  <si>
    <t>CREMA GOQI BERRY FACIAL 100 ML</t>
  </si>
  <si>
    <t>JABON GOQI BERRY 100 GR</t>
  </si>
  <si>
    <t>JABON CHECK OUT 40 GR</t>
  </si>
  <si>
    <t>CREMA CHECK OUT 50 ML</t>
  </si>
  <si>
    <t>JABON DISAAR VIT E 100 ML</t>
  </si>
  <si>
    <t>HISOPOS 100 UND ALIVE</t>
  </si>
  <si>
    <t>AFEITADORA TG/708N  DORCO</t>
  </si>
  <si>
    <t>AFEITADORA TG 708N AZUL 5UND DORCO</t>
  </si>
  <si>
    <t>LADY SPEED STICK DESODORANTE  POWDER FRESH 39.6GR</t>
  </si>
  <si>
    <t>CEPILLO DENTAL  ZIG ZAG  COLGATE</t>
  </si>
  <si>
    <t>LOCION CORPORAL 400ML VAINILLA   ALIVE</t>
  </si>
  <si>
    <t>PERFILADOR DE CEJAS COLORES 3UND. TINKLE/MICRO</t>
  </si>
  <si>
    <t>MOTA PARA COMPACTO</t>
  </si>
  <si>
    <t>ESPONJAS DE ACERO 1UND.  CM</t>
  </si>
  <si>
    <t>AFEITADORA ROSADA  DESECHABLE X UNIDAD  DORCO</t>
  </si>
  <si>
    <t>MASCARILLA KN95 BLANCO X UNIDAD</t>
  </si>
  <si>
    <t>CEPILLO DENTAL ORAL B EXPERT</t>
  </si>
  <si>
    <t>CEPILLO DENTAL ORAL B 3D WHITE</t>
  </si>
  <si>
    <t>CEPILLO DENTAL ORAL COMPLETE</t>
  </si>
  <si>
    <t>TAPA BOCAS COLORES UND.</t>
  </si>
  <si>
    <t>TAPA BOCAS NEGRO KN95.</t>
  </si>
  <si>
    <t>TAPA BOCAS NEGRO QUIRURGICO</t>
  </si>
  <si>
    <t>TAPA BOCA INFANTIL.</t>
  </si>
  <si>
    <t>TAPA BOCAS MASK NEGRO</t>
  </si>
  <si>
    <t>TOALLAS FEMENINAS EXTRA LARGA CON ALAS</t>
  </si>
  <si>
    <t>SHAMPOO ALIVE 350 ML NORMAL, SECO, GRASO TODO TIPO</t>
  </si>
  <si>
    <t>SHAMPOO 350 ML 2 EN 1 CABELLO SECO Y DAÑADO ALIVE</t>
  </si>
  <si>
    <t>SHAMPOO 350 ML 2 EN 1 CABELLO SECO ALIVE</t>
  </si>
  <si>
    <t>SHAMPOO 2EN1 CABELLO NORMAL 350ML ALIVE</t>
  </si>
  <si>
    <t>PAÑAL CHIKOOL  TALLA P 20 UND CHIKOOL</t>
  </si>
  <si>
    <t>PAÑO AMARILLO 50 X 40</t>
  </si>
  <si>
    <t>COLETO 3 RAYAS 75 X 60</t>
  </si>
  <si>
    <t>CREMA DENTAL TOTAL 12 REPAR/PREV 180GR  COLGATE</t>
  </si>
  <si>
    <t>BOMBILLO LED 9W E27 LARGADURACION C&amp;M</t>
  </si>
  <si>
    <t>BOMBILLO LED 7W LARGA DURACION C&amp;M</t>
  </si>
  <si>
    <t>PLAQUITAS ESTERILLA VAPORIZ 13GR 30UND. DE LANJU</t>
  </si>
  <si>
    <t>TOALLAS  FEMENINAS NORMAL C/ALAS 8UND.ALIVE</t>
  </si>
  <si>
    <t>ESPONJAS MULTIFUNCIONAL X 4 MAKE UP</t>
  </si>
  <si>
    <t>JABON DE BAÑO MEDICARE 90GR</t>
  </si>
  <si>
    <t>JABON DE BAÑO MEDICARE VERDE 90GR</t>
  </si>
  <si>
    <t>JABON DE BAÑO MEDICARE ROJO 90GR</t>
  </si>
  <si>
    <t>ACONDICIONADOR 413 ML ALIVE FLOR DE MANZANA</t>
  </si>
  <si>
    <t>ACONDICIONADOR 413 ML ALIVE COCO TROPICAL</t>
  </si>
  <si>
    <t>ACONDICIONADOR 413 ML ALIVE BESO GRANADA</t>
  </si>
  <si>
    <t>SHAMPOO 413ML FLOR DE MANZANA  ALIVE</t>
  </si>
  <si>
    <t>SHAMPOO 413ML COCO TROPICAL  ALIVE</t>
  </si>
  <si>
    <t>COLOR PARA TEÑIR ROPA 15GR AZUL/ VIKI-VIKI</t>
  </si>
  <si>
    <t>TOALLAS HUMEDAS 50UND. BABY FINGER</t>
  </si>
  <si>
    <t>JABON DE TOCADOR 70GR  STRAWBERRY   VEA</t>
  </si>
  <si>
    <t>JABON CORPORAL 70GR GRAPE VEA</t>
  </si>
  <si>
    <t>LOCION CORPORAL  400ML COCO TROPICAL ALIVE</t>
  </si>
  <si>
    <t>HISOPO 200UNID. REDONDO COTTON BUDS  ALIVE</t>
  </si>
  <si>
    <t>CORTA UÑAS GRANDES   ALIVE</t>
  </si>
  <si>
    <t>CORTA UÑA +GRANDE  ALIVE</t>
  </si>
  <si>
    <t>SHAMPOO 2EN1 CABELLO GRASO 350ML ALIVE</t>
  </si>
  <si>
    <t>CEPILLO DENTAL NIÑOS  3-12 SOFT</t>
  </si>
  <si>
    <t>PABILO UND</t>
  </si>
  <si>
    <t>JABON CORPORAL 85G OLEO ARGAN PALMOLIVE</t>
  </si>
  <si>
    <t>JABON CORPORAL 85G PETALOS DE ROSA PALMOLIVE</t>
  </si>
  <si>
    <t>JABON CORPORAL 85G KARITE PALMOLIVE</t>
  </si>
  <si>
    <t>DESODORANTE SPEED STICK OCEAN SURF 51G</t>
  </si>
  <si>
    <t>DESODORANTE  FRESH 51Gr. HOMBRE  SPEED STICK</t>
  </si>
  <si>
    <t>JABON DE TOCADOR 125GR CLASSIC     CAMAY</t>
  </si>
  <si>
    <t>JABON DE TOCADOR 125GR NATUREL    CAMAY</t>
  </si>
  <si>
    <t>ESPONJA ( HUEVITO ) UND VICTORIA</t>
  </si>
  <si>
    <t>JABON 85 GR CARVAO PALMOLIVE</t>
  </si>
  <si>
    <t>JABON  DE TOCADOR 125GR   CAMAY</t>
  </si>
  <si>
    <t>ESPONJAS DE ACERO UND. SUPER FINE SCRUB BALL</t>
  </si>
  <si>
    <t>ESPONJA COCINA ALICLEAN</t>
  </si>
  <si>
    <t>ACEITE DE SOYA 900 ML COAMO</t>
  </si>
  <si>
    <t>CREMA COLGATE PLAX</t>
  </si>
  <si>
    <t>CEPILLOS COLGATE EXTRA CLEAN</t>
  </si>
  <si>
    <t>CEPILLOS COLGATE PLUS</t>
  </si>
  <si>
    <t>CEPILLOS ORAL B</t>
  </si>
  <si>
    <t>CEPILLOS ORAL B 3D WHITE</t>
  </si>
  <si>
    <t>TRATAMIENTO/TERMOPROTECCION / 27ML NUTRIBELA10</t>
  </si>
  <si>
    <t>TRATAMIENTO REPARACION INTENSIVA 27ML NUTRIBELA10</t>
  </si>
  <si>
    <t>DESODORANTE 40 GR DOVE SURTIDO</t>
  </si>
  <si>
    <t>REFRESCO 1.50 LT NEGRO</t>
  </si>
  <si>
    <t>REFRESCO 2 LT NEGRO</t>
  </si>
  <si>
    <t>JUSTY NARANJA 1.50 ML</t>
  </si>
  <si>
    <t>Unid. X EMPAQUE</t>
  </si>
  <si>
    <t>MI MESA VERMICELLI 1 KG</t>
  </si>
  <si>
    <t>MI MESA DEDAL 1 KG</t>
  </si>
  <si>
    <t>PASTA MI MESA VERMICELLI 1 KG</t>
  </si>
  <si>
    <t>PASTA MI MESA DEDAL 1 KG</t>
  </si>
  <si>
    <t>PASTA MARY SUPERIOR VERMICELLI 12X1</t>
  </si>
  <si>
    <t>PASTA MARY SUPERIOR PLUMA 12X1</t>
  </si>
  <si>
    <t>PASTA MARY SUPERIOR TORNILLO 12X1</t>
  </si>
  <si>
    <t xml:space="preserve">AUTOMERCADO EXPRESS TIENDA PRINCIPAL </t>
  </si>
  <si>
    <t>90 BULTOS</t>
  </si>
  <si>
    <t>COSTO SIN IVA EN DOLARES X UND</t>
  </si>
  <si>
    <t>REFRESCO NARAPIÑA 1 LT</t>
  </si>
  <si>
    <t>REFRESCO KOLITA 1 LT</t>
  </si>
  <si>
    <t>REFRESCO 7 UP BOTELLA 250 ML PSH PEPSI COLA</t>
  </si>
  <si>
    <t>PRECIO DIVISA MAS IVA</t>
  </si>
  <si>
    <t>PRECIO DE VENTA AL PUBLICO SIN PROMOCION</t>
  </si>
  <si>
    <t xml:space="preserve">REFRESCO PEPSI 1.5LT PEPSI-COLA </t>
  </si>
  <si>
    <t>SUGERIDO DE PEPSI PRECIO DE VENTA $</t>
  </si>
  <si>
    <t>SOBRAN 29</t>
  </si>
  <si>
    <t>SOBRAN 24</t>
  </si>
  <si>
    <t>13/10/2021</t>
  </si>
  <si>
    <t>27/10/2021</t>
  </si>
  <si>
    <t>82 CAJA</t>
  </si>
  <si>
    <t>95 Cja</t>
  </si>
  <si>
    <t>05867</t>
  </si>
  <si>
    <t>05893</t>
  </si>
  <si>
    <t>MES DE OCTUBRE 2021</t>
  </si>
  <si>
    <t>006892</t>
  </si>
  <si>
    <t>BONIFICACION  ENTREGADA</t>
  </si>
  <si>
    <t>arrastrando</t>
  </si>
  <si>
    <t>MES DE SEPTIEMBRE 2021</t>
  </si>
  <si>
    <t>SOBRANTE DEL JUNIO</t>
  </si>
  <si>
    <t>SOBRANTE DEL JULIO</t>
  </si>
  <si>
    <t>MES DE AGOSTO 2021</t>
  </si>
  <si>
    <t>SOLO BOTELLA</t>
  </si>
  <si>
    <t>RECARGA PEPSI COLA 1.25 LT 0.63 S/IVA</t>
  </si>
  <si>
    <t>PEPSI 1.25ML VIDRIO VENTA CON BOTELLA   0.63+0.40 S/IVA</t>
  </si>
  <si>
    <t>UTILIDAD APLICANDO PROMOCION MARGEN CON IVA</t>
  </si>
  <si>
    <t>LO ESTAMOS VENDIENDO CON IVA</t>
  </si>
  <si>
    <t>CUBITO 120 GR DE POLLO 12 UND KNORR</t>
  </si>
  <si>
    <t>CUBITOS DE POLLO 80 GR KNORR</t>
  </si>
  <si>
    <t>GALLETA CHOCOLATE 192 GR CHARMY</t>
  </si>
  <si>
    <t>GALLETA FRESA 192 GR CHARMY</t>
  </si>
  <si>
    <t>GALLETA MARIA PREMIUM 140GR CALEDONIA</t>
  </si>
  <si>
    <t>GALLETAS 192 GR VAINILLA CHARMY</t>
  </si>
  <si>
    <t>MAIZ PARA COTUFAS  500GR   MARY</t>
  </si>
  <si>
    <t>PASTA 1 KG PLUMA MARY</t>
  </si>
  <si>
    <t>PASTA 1 KG VERMICELLI SUPERIOR MARY</t>
  </si>
  <si>
    <t>PASTA TRADICIONAL 1 KG 7-8 MIN PLUMA MARY</t>
  </si>
  <si>
    <t>PASTA TRADICIONAL 1 KG 7-8 MIN VERMICELLI MARY</t>
  </si>
  <si>
    <t>bulto bsd</t>
  </si>
  <si>
    <t>bcv</t>
  </si>
  <si>
    <t>precio en divisa</t>
  </si>
  <si>
    <t>bsd</t>
  </si>
  <si>
    <t>PEDIDO 1 DE OCTUBRE</t>
  </si>
  <si>
    <t>180 bultos</t>
  </si>
  <si>
    <t>FRANCIS</t>
  </si>
  <si>
    <t>HEINZ</t>
  </si>
  <si>
    <t>INVETARIO UND</t>
  </si>
  <si>
    <t>PRECIO DE VENTA AL PUBLICO</t>
  </si>
  <si>
    <t>PLATOS DE CARTON NRO#6-18UNID PLAST KING</t>
  </si>
  <si>
    <t>PLATOS DE CARTON NRO#7-18UNID PLAST KING</t>
  </si>
  <si>
    <t>PLATOS PLASTICOS NRO#7-10UNID PLAST KING</t>
  </si>
  <si>
    <t>CUCHARAS PLASTICAS X24UNID PLAST KING</t>
  </si>
  <si>
    <t>TENEDORES PLASTICOS X24UNID PLAST KING</t>
  </si>
  <si>
    <t>CONTENEDOR DE ALUMINIO #705X10UNID PLAST KING</t>
  </si>
  <si>
    <t>CONTENEDOR DE ALUMINIO #747X10UNID PLAST KING</t>
  </si>
  <si>
    <t>CONTENEDOR DE AUMINIO #788X10UNID PLAST KING</t>
  </si>
  <si>
    <t>EXQUISITECES</t>
  </si>
  <si>
    <t>PEDIDO HECHO 02 DE NOVIEMBRE</t>
  </si>
  <si>
    <t>TRATAMIENTO REPARACION PROTECCION 27ML NUTRIBELA10</t>
  </si>
  <si>
    <t>TRATAMIENTO CAUTERIZADOR CAPILAR 27ML  NUTRIBELA10</t>
  </si>
  <si>
    <t>TRATAMIENT/TERMOPROTEC/ INTENSIVA 27ML NUTRIBELA10</t>
  </si>
  <si>
    <t>TOALLITA HUMEDA BABY WIPES SENSITIVE 78UND TANS</t>
  </si>
  <si>
    <t>TOALLAS SANITARIA ASGODESS  10 UND</t>
  </si>
  <si>
    <t>TOALLA SANITARIA MAXI THICK 10PADS ANIER</t>
  </si>
  <si>
    <t>SHAMPOO 305 ML 2EN1 TANS BABY</t>
  </si>
  <si>
    <t>PROTECTOR DIARIO 20UND   ALIVE</t>
  </si>
  <si>
    <t>MAYONESA MAYO 450 GR KRAFT</t>
  </si>
  <si>
    <t>KETCHUP BELLINI 340 GR</t>
  </si>
  <si>
    <t>JABON DE TOCADOR 90GR FRAGANCIAS VARIADO   PROTEX</t>
  </si>
  <si>
    <t>DETERGENTE EN POLVO 1KG  ALIVE</t>
  </si>
  <si>
    <t>DESODORANTE DOVE POWDER 40 GR</t>
  </si>
  <si>
    <t>DESODORANTE DOVE ORIGINAL 40 GR</t>
  </si>
  <si>
    <t>DESODORANTE DOVE GO FRESH 40 GR</t>
  </si>
  <si>
    <t>DESODORANTE BEAUTY FINISH DOVE 40 GR</t>
  </si>
  <si>
    <t>COMBO OFERTA 3 HARMONY</t>
  </si>
  <si>
    <t>COCODIVA GALLETA RELLENA COCO Y CUBIERTACHOCOLATE ALDIVA</t>
  </si>
  <si>
    <t>CHUPETAS BIG BOM XXL TA-TA MA SURTIDA</t>
  </si>
  <si>
    <t>CEPILLO DENTAL ORAL- B EXTRA SOFT SENSITIVE</t>
  </si>
  <si>
    <t>CEPILLO DENTAL COLGATE EXTRA CLEAN</t>
  </si>
  <si>
    <t>CEPILLO DE BARRER MARY CON PALO</t>
  </si>
  <si>
    <t>CAFE MOLIDO 250GR  FAMA DE AMERICA</t>
  </si>
  <si>
    <t>CAFE 500GR  FAMA DE AMERICA</t>
  </si>
  <si>
    <t>BOLSA TRANSPARENTE   1/2 KG MILLAR</t>
  </si>
  <si>
    <t>BOLSA POR MILLAR 10KG TRANSPANTE</t>
  </si>
  <si>
    <t>BOLSA BIOGRADABLE 3 KG ASA</t>
  </si>
  <si>
    <t>ACEITE 900 ML SOYA BUNGE.</t>
  </si>
  <si>
    <t>LEVADURA INSTANTANEA 500 GR MAGEST. ROJA</t>
  </si>
  <si>
    <t>PAPEL LUCIANO MORADO 4 ROLLO</t>
  </si>
  <si>
    <t>PAPEL LUCIANO VERDE 4 ROLLO</t>
  </si>
  <si>
    <t>VELA BLANCAS 30GR  (AV) PARA DETALLAR</t>
  </si>
  <si>
    <t>*COLADOR DE CAFE EN TELA</t>
  </si>
  <si>
    <t>*CONSERVADOR 2 LT N°4 C-0028 DURAPLAS</t>
  </si>
  <si>
    <t>*PORTA CUBIERTOS C-0093 DURAPLAS</t>
  </si>
  <si>
    <t>*SANDUCHERA NRO 1 C-0116 DURAPLAS</t>
  </si>
  <si>
    <t>*TAPA BOCA DESECHABLE  MASK Y NUT</t>
  </si>
  <si>
    <t>*TAZA ACAN EXT GRANDE C-0079 22 CM DURAPLAS</t>
  </si>
  <si>
    <t>*TAZA ACANALADA GRANDE C-0027 20CM DURAPLAS</t>
  </si>
  <si>
    <t>*TAZA MEDIANA C-0012 18CM DURAPLAS</t>
  </si>
  <si>
    <t>CONTENEDOR 5.5LT COD-0060</t>
  </si>
  <si>
    <t xml:space="preserve">TOALLA SANITARIAS DIA AXIAO </t>
  </si>
  <si>
    <t xml:space="preserve">MASCARILLAS ADULTO </t>
  </si>
  <si>
    <t xml:space="preserve">VASOS #57 </t>
  </si>
  <si>
    <t>VASOS # 77</t>
  </si>
  <si>
    <t>VASOS #127</t>
  </si>
  <si>
    <t>VASOS # 167</t>
  </si>
  <si>
    <t>AZUCAR 1 KG PAPEL MONTALBAN</t>
  </si>
  <si>
    <t>PEDIDO HECHO 3 DE NOVIMBRE</t>
  </si>
  <si>
    <t>250 BULTOS</t>
  </si>
  <si>
    <t>ATUN EVEBA 140 GR EN AGUA Y LIMON</t>
  </si>
  <si>
    <t>ATUN SOLIDO 140GR EVEBA</t>
  </si>
  <si>
    <t>BOLOÑA DE POLLO PLUMROSE KG</t>
  </si>
  <si>
    <t>CHORIZO CHORIFRITO 5 UND PLUMROSE</t>
  </si>
  <si>
    <t>CHULETA AHUMADA PRAINT KG</t>
  </si>
  <si>
    <t>DIABLITO 115 GR FIESTA LATA</t>
  </si>
  <si>
    <t>ESPALDA COCIDA FIESTA KG</t>
  </si>
  <si>
    <t>FIAMBRE DE ESPALDA FIESTA KG</t>
  </si>
  <si>
    <t>JAMON AREPERO DON DIEGO KG</t>
  </si>
  <si>
    <t>JAMON DE ESPALDA PLUMROSE</t>
  </si>
  <si>
    <t>JAMON DE PIERNA DON DIEGO KG.</t>
  </si>
  <si>
    <t>JAMON DE PIERNA FIESTA KG.</t>
  </si>
  <si>
    <t>JAMON DE PIERNA PLUMROSE KG.</t>
  </si>
  <si>
    <t>JAMON DE PIERNA STANDAR PLUMROSE KG</t>
  </si>
  <si>
    <t>JAMON ENDIABLADO 110 GR PLUMROSE</t>
  </si>
  <si>
    <t>JAMON ENDIABLADO 115GR PLUMROSE</t>
  </si>
  <si>
    <t>JAMON ENDIABLADO 55GR PLUMROSE</t>
  </si>
  <si>
    <t>JAMON ENDIABLADO 60GR PLUMROSE</t>
  </si>
  <si>
    <t>JAMON FIAMBRE DON DIEGO KG</t>
  </si>
  <si>
    <t>MILANESA DE POLLO 500 GR 6 UND PLUMROSE</t>
  </si>
  <si>
    <t>MORTADELA  ESPECIAL 500 GR DON DIEGO</t>
  </si>
  <si>
    <t>MORTADELA 1 K ESP ITALSALUMI ENTERA</t>
  </si>
  <si>
    <t>MORTADELA ESPECIAL 1 KG PLUMROSE</t>
  </si>
  <si>
    <t>MORTADELA EXTRA 750 GR PLUMROSE</t>
  </si>
  <si>
    <t>MORTADELA EXTRA PLUMROSE KG</t>
  </si>
  <si>
    <t>MORTADELA POLLO ESPECIAL 1 KG PL</t>
  </si>
  <si>
    <t>MORTADELA TAPARA OSCAR MAYER  KG</t>
  </si>
  <si>
    <t>NUGGETS DE POLLO 350 GR PLUMROSE</t>
  </si>
  <si>
    <t>PASTA DE HIGADO 113 GR OSCAR MAYER</t>
  </si>
  <si>
    <t>PASTA DE HIGADO 225 GR OM</t>
  </si>
  <si>
    <t>PATAS DE COCHINO KG</t>
  </si>
  <si>
    <t>PECHUGA DE POLLO PLUMROSE KG</t>
  </si>
  <si>
    <t>PEPITONAS 140 GR AL NATURAL EVEBA</t>
  </si>
  <si>
    <t>QUESO CHEDDAR FUNDIDO DOÑA FLORA KG</t>
  </si>
  <si>
    <t>SALCHICHA DELI 6 UND BOKWURST PIMENTON DULCE PL</t>
  </si>
  <si>
    <t>SALCHICHA DELI POLACA 5 UND PLUMROSE</t>
  </si>
  <si>
    <t>SALCHICHA FRANKFURT DELI PLUMROSE</t>
  </si>
  <si>
    <t>SALCHICHA VIENA CORTA  X 12UNID FIESTA</t>
  </si>
  <si>
    <t>SALCHICHA WIENERS 12 UND CORTAS PLUMROSE</t>
  </si>
  <si>
    <t>SALCHICHA WIENERS CORTAS OM 10 UND</t>
  </si>
  <si>
    <t>SALCHICHA WIENERS JUMBO 5 UND OSCAR MAYER</t>
  </si>
  <si>
    <t>SALCHICHAS DE POLLO 12UNID FIESTA</t>
  </si>
  <si>
    <t>SALCHICHAS T/WIENERS 5UND. SABOR JALAPEÑO  OSCAR MAYER</t>
  </si>
  <si>
    <t>SALCHICHAS VIENA LARGA 12UNID FIESTA</t>
  </si>
  <si>
    <t>SALCHICHAS WIENERS COCTEL 220 GR PLUMROSE</t>
  </si>
  <si>
    <t>SALCHICHAS WIENERS PLUMROSE 480GR</t>
  </si>
  <si>
    <t>SALCHIQUESO 10 UNID OSCAR MAYER</t>
  </si>
  <si>
    <t>SARDINA AL PIMENTON EN ACEITE 125 GR EVEBA</t>
  </si>
  <si>
    <t>SARDINAS 270GR EN SALSA DE TOMATE   EVEBA</t>
  </si>
  <si>
    <t>NUECES PELADAS  250GR ((EMPACADO EN BOLSITAS)</t>
  </si>
  <si>
    <t>und x empaque</t>
  </si>
  <si>
    <t>und x emp</t>
  </si>
  <si>
    <t>CHOCOCAO 200 GR</t>
  </si>
  <si>
    <t>menos 5 %</t>
  </si>
  <si>
    <t>5 % menos</t>
  </si>
  <si>
    <t>CARNE TRONCHADA PARA HALLACAS</t>
  </si>
  <si>
    <t>PRECIO DE VENTA</t>
  </si>
  <si>
    <t>TOCINO SIN PIEL KG</t>
  </si>
  <si>
    <t>COCHINO TRONCHADO HALLACAS KG</t>
  </si>
  <si>
    <t>POLLO ENTERO CONGELADO</t>
  </si>
  <si>
    <t>ACEITUNA RELLENA KG.</t>
  </si>
  <si>
    <t>UVAS PASAS KG (PASITAS).</t>
  </si>
  <si>
    <t>ALCAPARRA KG.</t>
  </si>
  <si>
    <t>HARINA PAN TRADICIONAL 1 KG</t>
  </si>
  <si>
    <t>HOJA DE HALLACA 50 UND KATERYN YULIET</t>
  </si>
  <si>
    <t xml:space="preserve">VINO TINTO 0.70 L SAGRADA FAMILIA </t>
  </si>
  <si>
    <t>TOTAL PRECIO FULL</t>
  </si>
  <si>
    <t>COMBO HALLAQUERO CODIGO 8568</t>
  </si>
  <si>
    <t>MARGEN DE VENTA PRECIO NORMAL</t>
  </si>
  <si>
    <t>PIMENTON KG</t>
  </si>
  <si>
    <t>AJI DULCE KG</t>
  </si>
  <si>
    <t>CEBOLLIN KG</t>
  </si>
  <si>
    <t>MINI COMBO HALLAQUERO CODIGO 1569</t>
  </si>
  <si>
    <t>CAJA DE REFRESCO 1.25ML</t>
  </si>
  <si>
    <t>FECHA DE VENCIMIENTO</t>
  </si>
  <si>
    <t>TIENDA</t>
  </si>
  <si>
    <t>EXPRESS HOYADA</t>
  </si>
  <si>
    <t>EXPRESS CANTOLAGO</t>
  </si>
  <si>
    <t>EXPRESS SAN ANTONIO</t>
  </si>
  <si>
    <t>EXPRESS LAGUNETICA</t>
  </si>
  <si>
    <t>AUTOMERCADO EXPRES PRINCIPAL</t>
  </si>
  <si>
    <t>DESCUENTO DEL 8 %</t>
  </si>
  <si>
    <t>COSTO X UND</t>
  </si>
  <si>
    <t>LAVALIN 400GR</t>
  </si>
  <si>
    <t>LAVALIN 800GR</t>
  </si>
  <si>
    <t>VENTA X CAJA</t>
  </si>
  <si>
    <t>INV X CAJA</t>
  </si>
  <si>
    <t>COSTO X CAJA</t>
  </si>
  <si>
    <t>TOTAL FACTURA</t>
  </si>
  <si>
    <t>PEDIDO 5 DE SEPTIEMBRE</t>
  </si>
  <si>
    <t>MULTIPLICACION</t>
  </si>
  <si>
    <t>CEPILLO POPULAR C/PALO INDESSA</t>
  </si>
  <si>
    <t>CODIGO INTERNO</t>
  </si>
  <si>
    <t>INV X UND</t>
  </si>
  <si>
    <t>VENTA X UND</t>
  </si>
  <si>
    <t>MODELO</t>
  </si>
  <si>
    <t>AUTOMERCADO EXPRESS SAN ANTONIO</t>
  </si>
  <si>
    <t xml:space="preserve">5 BULTOS </t>
  </si>
  <si>
    <t>5 BULTO</t>
  </si>
  <si>
    <t xml:space="preserve">4 BULTOS </t>
  </si>
  <si>
    <t>4  BULTOS</t>
  </si>
  <si>
    <t>5  BULTO</t>
  </si>
  <si>
    <t xml:space="preserve">3 BULTOS </t>
  </si>
  <si>
    <t xml:space="preserve"> PEDIDO 8 DE  NOVIEMBRE 2021</t>
  </si>
  <si>
    <t>DESCRIPCIÓN</t>
  </si>
  <si>
    <t>PEDIDO: 01/02/2022</t>
  </si>
  <si>
    <t>2O BULTOS</t>
  </si>
  <si>
    <t>CAFÉ 200 GR GOURMET VERO CAFÉ  (</t>
  </si>
  <si>
    <t>35 BULTOS</t>
  </si>
  <si>
    <t xml:space="preserve">6 BULTOS </t>
  </si>
  <si>
    <t>CREMA DE LECHE PARMALAT</t>
  </si>
  <si>
    <t>DAVIMAR                         PEDIDO: 10/02/2022</t>
  </si>
  <si>
    <t>LECHE EN POLVO 400 GR MONTAÑA FRESCA</t>
  </si>
  <si>
    <t xml:space="preserve">2 CAJA </t>
  </si>
  <si>
    <t xml:space="preserve">BUENO Y BARATO </t>
  </si>
  <si>
    <t>analisis de un mes</t>
  </si>
  <si>
    <t>CANTIDAD</t>
  </si>
  <si>
    <t>VTA</t>
  </si>
  <si>
    <t xml:space="preserve">FLOR DE ARAGUA CHARCUTERIA </t>
  </si>
  <si>
    <t>CANTIDAD POR EMPAQUE</t>
  </si>
  <si>
    <t xml:space="preserve">MASA  FACIL 1 KG # 5 </t>
  </si>
  <si>
    <t xml:space="preserve">MASA FACIL  # 4    500 GM </t>
  </si>
  <si>
    <t>1 CESTAS</t>
  </si>
  <si>
    <r>
      <rPr>
        <b/>
        <sz val="12"/>
        <color theme="1"/>
        <rFont val="Calibri"/>
        <family val="2"/>
        <scheme val="minor"/>
      </rPr>
      <t xml:space="preserve"> LA BOTANA            </t>
    </r>
    <r>
      <rPr>
        <b/>
        <sz val="11"/>
        <color theme="1"/>
        <rFont val="Calibri"/>
        <family val="2"/>
        <scheme val="minor"/>
      </rPr>
      <t xml:space="preserve"> PEDIDO:</t>
    </r>
    <r>
      <rPr>
        <sz val="11"/>
        <color theme="1"/>
        <rFont val="Calibri"/>
        <family val="2"/>
        <scheme val="minor"/>
      </rPr>
      <t xml:space="preserve">                     02 DE MARZO DE 2022  </t>
    </r>
  </si>
  <si>
    <t>DESDE: 14/02/22  AL  01/03/22</t>
  </si>
  <si>
    <t xml:space="preserve">CAFE 200 GR GOURMET VERO CAFÉ </t>
  </si>
  <si>
    <t>PEDIDO: 04/03/22</t>
  </si>
  <si>
    <t>PEDIDO: 04/03/2022</t>
  </si>
  <si>
    <t>6 BULTOS</t>
  </si>
  <si>
    <t>CAFÉ 200 GR GOURMET VERO CAFÉ  (20 UND)</t>
  </si>
  <si>
    <t xml:space="preserve">2 BULTOS </t>
  </si>
  <si>
    <t>CAFÉ VERO CAFÉ 1 KG DE GRANO</t>
  </si>
  <si>
    <t>25 KILOS</t>
  </si>
  <si>
    <t xml:space="preserve">CAFÉ KALDY 1 KG DE GRAMO </t>
  </si>
  <si>
    <t>MASA FACIL DISACAMI 1 KG NUMERO # 5</t>
  </si>
  <si>
    <r>
      <rPr>
        <b/>
        <sz val="12"/>
        <color theme="1"/>
        <rFont val="Calibri"/>
        <family val="2"/>
        <scheme val="minor"/>
      </rPr>
      <t xml:space="preserve">DISACAMI            </t>
    </r>
    <r>
      <rPr>
        <b/>
        <sz val="11"/>
        <color theme="1"/>
        <rFont val="Calibri"/>
        <family val="2"/>
        <scheme val="minor"/>
      </rPr>
      <t xml:space="preserve"> PEDIDO:</t>
    </r>
    <r>
      <rPr>
        <sz val="11"/>
        <color theme="1"/>
        <rFont val="Calibri"/>
        <family val="2"/>
        <scheme val="minor"/>
      </rPr>
      <t xml:space="preserve">                                     07 DE MARZO DE 2022  </t>
    </r>
  </si>
  <si>
    <t>40 PAQ</t>
  </si>
  <si>
    <t>25 PAQ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</si>
</sst>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"/>
    <numFmt numFmtId="165" formatCode="&quot;Bs. F&quot;\ #,##0.00"/>
    <numFmt numFmtId="166" formatCode="&quot;Bs. F&quot;\ #,##0.000"/>
    <numFmt numFmtId="167" formatCode="&quot;Bs. F.&quot;\ #,##0.00"/>
    <numFmt numFmtId="168" formatCode="0.000"/>
    <numFmt numFmtId="169" formatCode="\$0.00"/>
    <numFmt numFmtId="170" formatCode="#,##0.000"/>
    <numFmt numFmtId="171" formatCode="0.0000000%"/>
    <numFmt numFmtId="172" formatCode="#,##0.0"/>
    <numFmt numFmtId="173" formatCode="&quot;Bs. F.&quot;\ #,##0"/>
  </numFmts>
  <fonts count="7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Calibri Light"/>
      <family val="1"/>
      <scheme val="major"/>
    </font>
    <font>
      <b/>
      <i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 Light"/>
      <family val="1"/>
      <scheme val="major"/>
    </font>
    <font>
      <b/>
      <i/>
      <sz val="12"/>
      <name val="Century Gothic"/>
      <family val="2"/>
    </font>
    <font>
      <b/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rgb="FF990033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990033"/>
      <name val="Times New Roman"/>
      <family val="1"/>
    </font>
    <font>
      <sz val="12"/>
      <color rgb="FFC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990033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3"/>
      <name val="Times New Roman"/>
      <family val="1"/>
    </font>
    <font>
      <b/>
      <sz val="13"/>
      <name val="Verdana"/>
      <family val="2"/>
    </font>
    <font>
      <vertAlign val="subscript"/>
      <sz val="13"/>
      <name val="Times New Roman"/>
      <family val="1"/>
    </font>
    <font>
      <sz val="13"/>
      <color rgb="FF000000"/>
      <name val="Times New Roman"/>
      <family val="1"/>
    </font>
    <font>
      <b/>
      <sz val="13"/>
      <color rgb="FFFFFFFF"/>
      <name val="Verdana"/>
      <family val="2"/>
    </font>
    <font>
      <sz val="13"/>
      <name val="Arial Black"/>
      <family val="2"/>
    </font>
    <font>
      <sz val="13"/>
      <color rgb="FF000000"/>
      <name val="Arial Black"/>
      <family val="2"/>
    </font>
    <font>
      <b/>
      <sz val="13"/>
      <color rgb="FFFF0000"/>
      <name val="Verdana"/>
      <family val="2"/>
    </font>
    <font>
      <b/>
      <sz val="13"/>
      <name val="Times New Roman"/>
      <family val="1"/>
    </font>
    <font>
      <b/>
      <vertAlign val="superscript"/>
      <sz val="13"/>
      <name val="Times New Roman"/>
      <family val="1"/>
    </font>
    <font>
      <b/>
      <sz val="13"/>
      <color rgb="FFFFFFFF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222222"/>
      <name val="Arial Narrow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2"/>
      <name val="TeXGyreAdventor"/>
    </font>
    <font>
      <sz val="11"/>
      <color rgb="FF000000"/>
      <name val="Gothic Uralic"/>
      <family val="2"/>
    </font>
    <font>
      <sz val="11"/>
      <name val="Gothic Uralic"/>
    </font>
    <font>
      <b/>
      <sz val="10"/>
      <name val="TeXGyreAdventor"/>
    </font>
    <font>
      <b/>
      <sz val="11"/>
      <color indexed="8"/>
      <name val="Calibri"/>
      <family val="2"/>
      <scheme val="minor"/>
    </font>
    <font>
      <sz val="1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3763"/>
      </patternFill>
    </fill>
    <fill>
      <patternFill patternType="solid">
        <fgColor rgb="FFFFFF00"/>
      </patternFill>
    </fill>
    <fill>
      <patternFill patternType="solid">
        <fgColor rgb="FF2F5395"/>
      </patternFill>
    </fill>
    <fill>
      <patternFill patternType="solid">
        <fgColor rgb="FF4471C4"/>
      </patternFill>
    </fill>
    <fill>
      <patternFill patternType="solid">
        <fgColor rgb="FF6FAC46"/>
      </patternFill>
    </fill>
    <fill>
      <patternFill patternType="solid">
        <fgColor rgb="FFEC7C30"/>
      </patternFill>
    </fill>
    <fill>
      <patternFill patternType="solid">
        <fgColor rgb="FFFFC000"/>
      </patternFill>
    </fill>
    <fill>
      <patternFill patternType="solid">
        <fgColor rgb="FF538235"/>
      </patternFill>
    </fill>
    <fill>
      <patternFill patternType="solid">
        <fgColor rgb="FFF3F752"/>
      </patternFill>
    </fill>
    <fill>
      <patternFill patternType="solid">
        <fgColor rgb="FF1F4E78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theme="4" tint="0.59999389629810485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EDF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D9D9D9"/>
      </right>
      <top/>
      <bottom/>
      <diagonal/>
    </border>
    <border>
      <left/>
      <right style="medium">
        <color rgb="FFD9D9D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52" fillId="0" borderId="0" applyFont="0" applyFill="0" applyBorder="0" applyAlignment="0" applyProtection="0"/>
    <xf numFmtId="0" fontId="16" fillId="0" borderId="0"/>
  </cellStyleXfs>
  <cellXfs count="1006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9" fontId="1" fillId="4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49" fontId="0" fillId="5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 wrapText="1"/>
    </xf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0" fillId="7" borderId="0" xfId="0" applyFill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0" fillId="3" borderId="5" xfId="0" applyFont="1" applyFill="1" applyBorder="1"/>
    <xf numFmtId="49" fontId="0" fillId="3" borderId="6" xfId="0" applyNumberFormat="1" applyFont="1" applyFill="1" applyBorder="1"/>
    <xf numFmtId="0" fontId="0" fillId="3" borderId="6" xfId="0" applyFont="1" applyFill="1" applyBorder="1"/>
    <xf numFmtId="49" fontId="0" fillId="3" borderId="7" xfId="0" applyNumberFormat="1" applyFont="1" applyFill="1" applyBorder="1"/>
    <xf numFmtId="0" fontId="2" fillId="10" borderId="6" xfId="0" applyFont="1" applyFill="1" applyBorder="1"/>
    <xf numFmtId="0" fontId="3" fillId="9" borderId="5" xfId="0" applyFont="1" applyFill="1" applyBorder="1"/>
    <xf numFmtId="0" fontId="3" fillId="9" borderId="6" xfId="0" applyFont="1" applyFill="1" applyBorder="1" applyAlignment="1">
      <alignment horizont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11" borderId="8" xfId="0" applyFont="1" applyFill="1" applyBorder="1"/>
    <xf numFmtId="0" fontId="1" fillId="11" borderId="8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/>
    <xf numFmtId="164" fontId="0" fillId="3" borderId="9" xfId="0" applyNumberFormat="1" applyFill="1" applyBorder="1" applyAlignment="1">
      <alignment horizontal="center"/>
    </xf>
    <xf numFmtId="2" fontId="0" fillId="3" borderId="9" xfId="0" applyNumberFormat="1" applyFill="1" applyBorder="1"/>
    <xf numFmtId="0" fontId="0" fillId="12" borderId="1" xfId="0" applyFill="1" applyBorder="1" applyAlignment="1">
      <alignment horizontal="center"/>
    </xf>
    <xf numFmtId="49" fontId="0" fillId="3" borderId="1" xfId="0" applyNumberFormat="1" applyFont="1" applyFill="1" applyBorder="1"/>
    <xf numFmtId="14" fontId="0" fillId="0" borderId="1" xfId="0" applyNumberFormat="1" applyBorder="1"/>
    <xf numFmtId="0" fontId="0" fillId="12" borderId="1" xfId="0" applyFill="1" applyBorder="1"/>
    <xf numFmtId="0" fontId="0" fillId="12" borderId="1" xfId="0" applyFill="1" applyBorder="1" applyAlignment="1">
      <alignment horizontal="center" wrapText="1"/>
    </xf>
    <xf numFmtId="2" fontId="0" fillId="1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14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7" fillId="0" borderId="0" xfId="0" applyFont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8" fillId="0" borderId="0" xfId="0" applyFont="1"/>
    <xf numFmtId="0" fontId="0" fillId="0" borderId="0" xfId="0" applyFont="1" applyAlignment="1">
      <alignment wrapText="1"/>
    </xf>
    <xf numFmtId="0" fontId="8" fillId="15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8" fillId="3" borderId="4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65" fontId="0" fillId="0" borderId="0" xfId="0" applyNumberFormat="1"/>
    <xf numFmtId="0" fontId="7" fillId="0" borderId="0" xfId="0" applyFont="1" applyAlignment="1"/>
    <xf numFmtId="0" fontId="8" fillId="11" borderId="9" xfId="0" applyFont="1" applyFill="1" applyBorder="1"/>
    <xf numFmtId="0" fontId="0" fillId="3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20" borderId="1" xfId="0" applyFill="1" applyBorder="1" applyAlignment="1">
      <alignment horizontal="center" wrapText="1"/>
    </xf>
    <xf numFmtId="0" fontId="0" fillId="20" borderId="1" xfId="0" applyFill="1" applyBorder="1"/>
    <xf numFmtId="0" fontId="1" fillId="19" borderId="1" xfId="0" applyFont="1" applyFill="1" applyBorder="1"/>
    <xf numFmtId="0" fontId="1" fillId="19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14" fontId="0" fillId="0" borderId="0" xfId="0" applyNumberFormat="1"/>
    <xf numFmtId="167" fontId="0" fillId="0" borderId="0" xfId="0" applyNumberFormat="1"/>
    <xf numFmtId="0" fontId="0" fillId="0" borderId="0" xfId="0" applyNumberFormat="1"/>
    <xf numFmtId="0" fontId="1" fillId="0" borderId="0" xfId="0" applyFont="1" applyAlignment="1">
      <alignment horizontal="center"/>
    </xf>
    <xf numFmtId="0" fontId="1" fillId="19" borderId="3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/>
    <xf numFmtId="0" fontId="1" fillId="21" borderId="1" xfId="0" applyFont="1" applyFill="1" applyBorder="1"/>
    <xf numFmtId="0" fontId="1" fillId="21" borderId="1" xfId="0" applyFont="1" applyFill="1" applyBorder="1" applyAlignment="1">
      <alignment horizontal="center" wrapText="1"/>
    </xf>
    <xf numFmtId="0" fontId="0" fillId="21" borderId="1" xfId="0" applyFill="1" applyBorder="1" applyAlignment="1">
      <alignment horizontal="center" wrapText="1"/>
    </xf>
    <xf numFmtId="0" fontId="0" fillId="21" borderId="1" xfId="0" applyFill="1" applyBorder="1"/>
    <xf numFmtId="0" fontId="0" fillId="0" borderId="0" xfId="0"/>
    <xf numFmtId="0" fontId="0" fillId="0" borderId="1" xfId="0" applyBorder="1"/>
    <xf numFmtId="0" fontId="10" fillId="3" borderId="9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4" fontId="12" fillId="0" borderId="23" xfId="0" applyNumberFormat="1" applyFont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22" borderId="27" xfId="0" applyFont="1" applyFill="1" applyBorder="1" applyAlignment="1">
      <alignment horizontal="center"/>
    </xf>
    <xf numFmtId="49" fontId="11" fillId="0" borderId="28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2" fillId="22" borderId="29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49" fontId="11" fillId="0" borderId="30" xfId="0" applyNumberFormat="1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4" fontId="12" fillId="0" borderId="31" xfId="0" applyNumberFormat="1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8" fillId="3" borderId="12" xfId="0" applyFont="1" applyFill="1" applyBorder="1" applyAlignment="1"/>
    <xf numFmtId="0" fontId="8" fillId="3" borderId="15" xfId="0" applyFont="1" applyFill="1" applyBorder="1" applyAlignment="1"/>
    <xf numFmtId="0" fontId="0" fillId="3" borderId="13" xfId="0" applyFill="1" applyBorder="1"/>
    <xf numFmtId="0" fontId="0" fillId="2" borderId="0" xfId="0" applyFill="1"/>
    <xf numFmtId="0" fontId="8" fillId="2" borderId="0" xfId="0" applyFont="1" applyFill="1" applyBorder="1" applyAlignment="1"/>
    <xf numFmtId="0" fontId="18" fillId="0" borderId="0" xfId="0" applyFont="1" applyAlignment="1">
      <alignment vertical="center"/>
    </xf>
    <xf numFmtId="0" fontId="19" fillId="2" borderId="0" xfId="0" applyFont="1" applyFill="1"/>
    <xf numFmtId="0" fontId="9" fillId="0" borderId="0" xfId="0" applyFont="1"/>
    <xf numFmtId="0" fontId="9" fillId="23" borderId="0" xfId="0" applyFont="1" applyFill="1"/>
    <xf numFmtId="0" fontId="19" fillId="23" borderId="0" xfId="0" applyFont="1" applyFill="1"/>
    <xf numFmtId="0" fontId="20" fillId="23" borderId="0" xfId="0" applyFont="1" applyFill="1"/>
    <xf numFmtId="0" fontId="0" fillId="23" borderId="0" xfId="0" applyFill="1"/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13" fillId="0" borderId="0" xfId="0" applyFont="1"/>
    <xf numFmtId="0" fontId="24" fillId="0" borderId="0" xfId="0" applyFont="1"/>
    <xf numFmtId="0" fontId="26" fillId="0" borderId="0" xfId="0" applyFont="1"/>
    <xf numFmtId="49" fontId="11" fillId="4" borderId="28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" fontId="12" fillId="4" borderId="1" xfId="0" applyNumberFormat="1" applyFont="1" applyFill="1" applyBorder="1" applyAlignment="1">
      <alignment horizontal="center"/>
    </xf>
    <xf numFmtId="49" fontId="11" fillId="4" borderId="25" xfId="0" applyNumberFormat="1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4" fontId="12" fillId="4" borderId="26" xfId="0" applyNumberFormat="1" applyFont="1" applyFill="1" applyBorder="1" applyAlignment="1">
      <alignment horizontal="center"/>
    </xf>
    <xf numFmtId="4" fontId="12" fillId="0" borderId="34" xfId="0" applyNumberFormat="1" applyFont="1" applyBorder="1" applyAlignment="1">
      <alignment horizontal="center"/>
    </xf>
    <xf numFmtId="4" fontId="12" fillId="0" borderId="35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29" fillId="3" borderId="9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30" fillId="21" borderId="1" xfId="0" applyFont="1" applyFill="1" applyBorder="1" applyAlignment="1">
      <alignment horizontal="center" wrapText="1"/>
    </xf>
    <xf numFmtId="0" fontId="31" fillId="21" borderId="1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30" fillId="0" borderId="0" xfId="0" applyFont="1"/>
    <xf numFmtId="0" fontId="30" fillId="0" borderId="1" xfId="0" applyFont="1" applyBorder="1"/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4" fillId="25" borderId="38" xfId="0" applyFont="1" applyFill="1" applyBorder="1" applyAlignment="1">
      <alignment horizontal="center" vertical="center"/>
    </xf>
    <xf numFmtId="0" fontId="34" fillId="25" borderId="38" xfId="0" applyFont="1" applyFill="1" applyBorder="1" applyAlignment="1">
      <alignment horizontal="center" vertical="center" wrapText="1"/>
    </xf>
    <xf numFmtId="0" fontId="34" fillId="25" borderId="21" xfId="0" applyFont="1" applyFill="1" applyBorder="1" applyAlignment="1">
      <alignment horizontal="center" vertical="center"/>
    </xf>
    <xf numFmtId="0" fontId="33" fillId="25" borderId="39" xfId="0" applyFont="1" applyFill="1" applyBorder="1" applyAlignment="1">
      <alignment horizontal="center" vertical="center"/>
    </xf>
    <xf numFmtId="0" fontId="34" fillId="25" borderId="40" xfId="0" applyFont="1" applyFill="1" applyBorder="1" applyAlignment="1">
      <alignment horizontal="center" vertical="center" wrapText="1"/>
    </xf>
    <xf numFmtId="0" fontId="35" fillId="26" borderId="41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35" fillId="26" borderId="42" xfId="0" applyFont="1" applyFill="1" applyBorder="1" applyAlignment="1">
      <alignment horizontal="center" vertical="center" wrapText="1"/>
    </xf>
    <xf numFmtId="0" fontId="34" fillId="27" borderId="43" xfId="0" applyFont="1" applyFill="1" applyBorder="1" applyAlignment="1">
      <alignment horizontal="center" vertical="center"/>
    </xf>
    <xf numFmtId="1" fontId="34" fillId="27" borderId="43" xfId="0" applyNumberFormat="1" applyFont="1" applyFill="1" applyBorder="1" applyAlignment="1">
      <alignment horizontal="center" vertical="center"/>
    </xf>
    <xf numFmtId="0" fontId="37" fillId="27" borderId="44" xfId="0" applyFont="1" applyFill="1" applyBorder="1" applyAlignment="1">
      <alignment horizontal="center" vertical="center"/>
    </xf>
    <xf numFmtId="0" fontId="33" fillId="25" borderId="45" xfId="0" applyFont="1" applyFill="1" applyBorder="1" applyAlignment="1">
      <alignment horizontal="center"/>
    </xf>
    <xf numFmtId="2" fontId="32" fillId="28" borderId="22" xfId="0" applyNumberFormat="1" applyFont="1" applyFill="1" applyBorder="1" applyAlignment="1">
      <alignment horizontal="center"/>
    </xf>
    <xf numFmtId="2" fontId="32" fillId="28" borderId="34" xfId="0" applyNumberFormat="1" applyFont="1" applyFill="1" applyBorder="1" applyAlignment="1">
      <alignment horizontal="center"/>
    </xf>
    <xf numFmtId="2" fontId="32" fillId="28" borderId="23" xfId="0" applyNumberFormat="1" applyFont="1" applyFill="1" applyBorder="1" applyAlignment="1">
      <alignment horizontal="center"/>
    </xf>
    <xf numFmtId="2" fontId="32" fillId="28" borderId="24" xfId="0" applyNumberFormat="1" applyFont="1" applyFill="1" applyBorder="1" applyAlignment="1">
      <alignment horizontal="center"/>
    </xf>
    <xf numFmtId="0" fontId="34" fillId="27" borderId="47" xfId="0" applyFont="1" applyFill="1" applyBorder="1" applyAlignment="1">
      <alignment horizontal="center" vertical="center"/>
    </xf>
    <xf numFmtId="1" fontId="34" fillId="27" borderId="47" xfId="0" applyNumberFormat="1" applyFont="1" applyFill="1" applyBorder="1" applyAlignment="1">
      <alignment horizontal="center" vertical="center"/>
    </xf>
    <xf numFmtId="0" fontId="37" fillId="27" borderId="48" xfId="0" applyFont="1" applyFill="1" applyBorder="1" applyAlignment="1">
      <alignment horizontal="center" vertical="center"/>
    </xf>
    <xf numFmtId="0" fontId="33" fillId="25" borderId="49" xfId="0" applyFont="1" applyFill="1" applyBorder="1" applyAlignment="1">
      <alignment horizontal="center"/>
    </xf>
    <xf numFmtId="2" fontId="32" fillId="28" borderId="28" xfId="0" applyNumberFormat="1" applyFont="1" applyFill="1" applyBorder="1" applyAlignment="1">
      <alignment horizontal="center"/>
    </xf>
    <xf numFmtId="2" fontId="32" fillId="28" borderId="3" xfId="0" applyNumberFormat="1" applyFont="1" applyFill="1" applyBorder="1" applyAlignment="1">
      <alignment horizontal="center"/>
    </xf>
    <xf numFmtId="2" fontId="32" fillId="28" borderId="1" xfId="0" applyNumberFormat="1" applyFont="1" applyFill="1" applyBorder="1" applyAlignment="1">
      <alignment horizontal="center"/>
    </xf>
    <xf numFmtId="2" fontId="32" fillId="28" borderId="29" xfId="0" applyNumberFormat="1" applyFont="1" applyFill="1" applyBorder="1" applyAlignment="1">
      <alignment horizontal="center"/>
    </xf>
    <xf numFmtId="0" fontId="34" fillId="27" borderId="38" xfId="0" applyFont="1" applyFill="1" applyBorder="1" applyAlignment="1">
      <alignment horizontal="center" vertical="center"/>
    </xf>
    <xf numFmtId="1" fontId="34" fillId="27" borderId="38" xfId="0" applyNumberFormat="1" applyFont="1" applyFill="1" applyBorder="1" applyAlignment="1">
      <alignment horizontal="center" vertical="center"/>
    </xf>
    <xf numFmtId="0" fontId="37" fillId="27" borderId="11" xfId="0" applyFont="1" applyFill="1" applyBorder="1" applyAlignment="1">
      <alignment horizontal="center" vertical="center"/>
    </xf>
    <xf numFmtId="0" fontId="33" fillId="25" borderId="50" xfId="0" applyFont="1" applyFill="1" applyBorder="1" applyAlignment="1">
      <alignment horizontal="center"/>
    </xf>
    <xf numFmtId="2" fontId="32" fillId="28" borderId="30" xfId="0" applyNumberFormat="1" applyFont="1" applyFill="1" applyBorder="1" applyAlignment="1">
      <alignment horizontal="center"/>
    </xf>
    <xf numFmtId="2" fontId="32" fillId="28" borderId="36" xfId="0" applyNumberFormat="1" applyFont="1" applyFill="1" applyBorder="1" applyAlignment="1">
      <alignment horizontal="center"/>
    </xf>
    <xf numFmtId="2" fontId="32" fillId="28" borderId="31" xfId="0" applyNumberFormat="1" applyFont="1" applyFill="1" applyBorder="1" applyAlignment="1">
      <alignment horizontal="center"/>
    </xf>
    <xf numFmtId="2" fontId="32" fillId="28" borderId="32" xfId="0" applyNumberFormat="1" applyFont="1" applyFill="1" applyBorder="1" applyAlignment="1">
      <alignment horizontal="center"/>
    </xf>
    <xf numFmtId="0" fontId="34" fillId="27" borderId="51" xfId="0" applyFont="1" applyFill="1" applyBorder="1" applyAlignment="1">
      <alignment horizontal="center" vertical="center"/>
    </xf>
    <xf numFmtId="1" fontId="34" fillId="27" borderId="51" xfId="0" applyNumberFormat="1" applyFont="1" applyFill="1" applyBorder="1" applyAlignment="1">
      <alignment horizontal="center" vertical="center"/>
    </xf>
    <xf numFmtId="0" fontId="37" fillId="27" borderId="52" xfId="0" applyFont="1" applyFill="1" applyBorder="1" applyAlignment="1">
      <alignment horizontal="center" vertical="center"/>
    </xf>
    <xf numFmtId="0" fontId="33" fillId="25" borderId="53" xfId="0" applyFont="1" applyFill="1" applyBorder="1" applyAlignment="1">
      <alignment horizontal="center"/>
    </xf>
    <xf numFmtId="0" fontId="34" fillId="27" borderId="54" xfId="0" applyFont="1" applyFill="1" applyBorder="1" applyAlignment="1">
      <alignment horizontal="center" vertical="center"/>
    </xf>
    <xf numFmtId="1" fontId="34" fillId="27" borderId="54" xfId="0" applyNumberFormat="1" applyFont="1" applyFill="1" applyBorder="1" applyAlignment="1">
      <alignment horizontal="center" vertical="center"/>
    </xf>
    <xf numFmtId="0" fontId="37" fillId="27" borderId="55" xfId="0" applyFont="1" applyFill="1" applyBorder="1" applyAlignment="1">
      <alignment horizontal="center" vertical="center"/>
    </xf>
    <xf numFmtId="0" fontId="33" fillId="25" borderId="56" xfId="0" applyFont="1" applyFill="1" applyBorder="1" applyAlignment="1">
      <alignment horizontal="center"/>
    </xf>
    <xf numFmtId="0" fontId="34" fillId="27" borderId="57" xfId="0" applyFont="1" applyFill="1" applyBorder="1" applyAlignment="1">
      <alignment horizontal="center" vertical="center"/>
    </xf>
    <xf numFmtId="0" fontId="34" fillId="27" borderId="14" xfId="0" applyFont="1" applyFill="1" applyBorder="1" applyAlignment="1">
      <alignment horizontal="center" vertical="center"/>
    </xf>
    <xf numFmtId="0" fontId="34" fillId="27" borderId="58" xfId="0" applyFont="1" applyFill="1" applyBorder="1" applyAlignment="1">
      <alignment horizontal="center" vertical="center"/>
    </xf>
    <xf numFmtId="2" fontId="32" fillId="28" borderId="26" xfId="0" applyNumberFormat="1" applyFont="1" applyFill="1" applyBorder="1" applyAlignment="1">
      <alignment horizontal="center"/>
    </xf>
    <xf numFmtId="2" fontId="32" fillId="28" borderId="27" xfId="0" applyNumberFormat="1" applyFont="1" applyFill="1" applyBorder="1" applyAlignment="1">
      <alignment horizontal="center"/>
    </xf>
    <xf numFmtId="2" fontId="32" fillId="28" borderId="8" xfId="0" applyNumberFormat="1" applyFont="1" applyFill="1" applyBorder="1" applyAlignment="1">
      <alignment horizontal="center"/>
    </xf>
    <xf numFmtId="2" fontId="32" fillId="28" borderId="59" xfId="0" applyNumberFormat="1" applyFont="1" applyFill="1" applyBorder="1" applyAlignment="1">
      <alignment horizontal="center"/>
    </xf>
    <xf numFmtId="0" fontId="34" fillId="27" borderId="60" xfId="0" applyFont="1" applyFill="1" applyBorder="1" applyAlignment="1">
      <alignment horizontal="center" vertical="center"/>
    </xf>
    <xf numFmtId="1" fontId="34" fillId="27" borderId="60" xfId="0" applyNumberFormat="1" applyFont="1" applyFill="1" applyBorder="1" applyAlignment="1">
      <alignment horizontal="center" vertical="center"/>
    </xf>
    <xf numFmtId="0" fontId="37" fillId="27" borderId="61" xfId="0" applyFont="1" applyFill="1" applyBorder="1" applyAlignment="1">
      <alignment horizontal="center" vertical="center"/>
    </xf>
    <xf numFmtId="0" fontId="33" fillId="25" borderId="62" xfId="0" applyFont="1" applyFill="1" applyBorder="1" applyAlignment="1">
      <alignment horizontal="center"/>
    </xf>
    <xf numFmtId="0" fontId="34" fillId="27" borderId="46" xfId="0" applyFont="1" applyFill="1" applyBorder="1" applyAlignment="1">
      <alignment horizontal="center" vertical="center"/>
    </xf>
    <xf numFmtId="1" fontId="34" fillId="27" borderId="46" xfId="0" applyNumberFormat="1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33" fillId="25" borderId="40" xfId="0" applyFont="1" applyFill="1" applyBorder="1" applyAlignment="1">
      <alignment horizontal="center"/>
    </xf>
    <xf numFmtId="2" fontId="32" fillId="28" borderId="63" xfId="0" applyNumberFormat="1" applyFont="1" applyFill="1" applyBorder="1" applyAlignment="1">
      <alignment horizontal="center"/>
    </xf>
    <xf numFmtId="2" fontId="32" fillId="28" borderId="19" xfId="0" applyNumberFormat="1" applyFont="1" applyFill="1" applyBorder="1" applyAlignment="1">
      <alignment horizontal="center"/>
    </xf>
    <xf numFmtId="0" fontId="36" fillId="27" borderId="43" xfId="0" applyFont="1" applyFill="1" applyBorder="1" applyAlignment="1">
      <alignment horizontal="center" vertical="center"/>
    </xf>
    <xf numFmtId="1" fontId="34" fillId="27" borderId="21" xfId="0" applyNumberFormat="1" applyFont="1" applyFill="1" applyBorder="1" applyAlignment="1">
      <alignment horizontal="center" vertical="center"/>
    </xf>
    <xf numFmtId="0" fontId="37" fillId="27" borderId="21" xfId="0" applyFont="1" applyFill="1" applyBorder="1" applyAlignment="1">
      <alignment horizontal="center" vertical="center"/>
    </xf>
    <xf numFmtId="0" fontId="33" fillId="25" borderId="33" xfId="0" applyFont="1" applyFill="1" applyBorder="1" applyAlignment="1">
      <alignment horizontal="center"/>
    </xf>
    <xf numFmtId="0" fontId="37" fillId="27" borderId="60" xfId="0" applyFont="1" applyFill="1" applyBorder="1" applyAlignment="1">
      <alignment horizontal="center" vertical="center"/>
    </xf>
    <xf numFmtId="0" fontId="37" fillId="27" borderId="54" xfId="0" applyFont="1" applyFill="1" applyBorder="1" applyAlignment="1">
      <alignment horizontal="center" vertical="center"/>
    </xf>
    <xf numFmtId="0" fontId="34" fillId="27" borderId="33" xfId="0" applyFont="1" applyFill="1" applyBorder="1" applyAlignment="1">
      <alignment horizontal="center" vertical="center"/>
    </xf>
    <xf numFmtId="1" fontId="36" fillId="27" borderId="43" xfId="0" applyNumberFormat="1" applyFont="1" applyFill="1" applyBorder="1" applyAlignment="1">
      <alignment horizontal="center" vertical="center"/>
    </xf>
    <xf numFmtId="0" fontId="34" fillId="27" borderId="53" xfId="0" applyFont="1" applyFill="1" applyBorder="1" applyAlignment="1">
      <alignment horizontal="center" vertical="center"/>
    </xf>
    <xf numFmtId="1" fontId="36" fillId="27" borderId="51" xfId="0" applyNumberFormat="1" applyFont="1" applyFill="1" applyBorder="1" applyAlignment="1">
      <alignment horizontal="center" vertical="center"/>
    </xf>
    <xf numFmtId="0" fontId="36" fillId="27" borderId="56" xfId="0" applyFont="1" applyFill="1" applyBorder="1" applyAlignment="1">
      <alignment horizontal="center" vertical="center"/>
    </xf>
    <xf numFmtId="1" fontId="36" fillId="27" borderId="54" xfId="0" applyNumberFormat="1" applyFont="1" applyFill="1" applyBorder="1" applyAlignment="1">
      <alignment horizontal="center" vertical="center"/>
    </xf>
    <xf numFmtId="0" fontId="34" fillId="27" borderId="21" xfId="0" applyFont="1" applyFill="1" applyBorder="1" applyAlignment="1">
      <alignment horizontal="center" vertical="center"/>
    </xf>
    <xf numFmtId="0" fontId="34" fillId="27" borderId="5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/>
    <xf numFmtId="168" fontId="0" fillId="0" borderId="1" xfId="0" applyNumberFormat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30" borderId="1" xfId="0" applyFill="1" applyBorder="1" applyAlignment="1">
      <alignment horizontal="center"/>
    </xf>
    <xf numFmtId="0" fontId="0" fillId="30" borderId="1" xfId="0" applyFill="1" applyBorder="1" applyAlignment="1">
      <alignment horizontal="center" wrapText="1"/>
    </xf>
    <xf numFmtId="0" fontId="0" fillId="29" borderId="0" xfId="0" applyFill="1" applyAlignment="1">
      <alignment horizontal="center"/>
    </xf>
    <xf numFmtId="0" fontId="0" fillId="29" borderId="1" xfId="0" applyFill="1" applyBorder="1"/>
    <xf numFmtId="2" fontId="0" fillId="29" borderId="1" xfId="0" applyNumberFormat="1" applyFill="1" applyBorder="1" applyAlignment="1">
      <alignment horizontal="center"/>
    </xf>
    <xf numFmtId="0" fontId="0" fillId="29" borderId="1" xfId="0" applyFill="1" applyBorder="1" applyAlignment="1">
      <alignment horizontal="center" wrapText="1"/>
    </xf>
    <xf numFmtId="2" fontId="0" fillId="29" borderId="1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/>
    </xf>
    <xf numFmtId="0" fontId="41" fillId="32" borderId="68" xfId="0" applyFont="1" applyFill="1" applyBorder="1" applyAlignment="1">
      <alignment horizontal="left" vertical="top" wrapText="1"/>
    </xf>
    <xf numFmtId="1" fontId="44" fillId="0" borderId="70" xfId="0" applyNumberFormat="1" applyFont="1" applyFill="1" applyBorder="1" applyAlignment="1">
      <alignment horizontal="right" vertical="top" indent="1" shrinkToFit="1"/>
    </xf>
    <xf numFmtId="1" fontId="44" fillId="0" borderId="70" xfId="0" applyNumberFormat="1" applyFont="1" applyFill="1" applyBorder="1" applyAlignment="1">
      <alignment horizontal="center" vertical="top" shrinkToFit="1"/>
    </xf>
    <xf numFmtId="169" fontId="44" fillId="0" borderId="70" xfId="0" applyNumberFormat="1" applyFont="1" applyFill="1" applyBorder="1" applyAlignment="1">
      <alignment horizontal="left" vertical="top" indent="1" shrinkToFit="1"/>
    </xf>
    <xf numFmtId="169" fontId="44" fillId="0" borderId="70" xfId="0" applyNumberFormat="1" applyFont="1" applyFill="1" applyBorder="1" applyAlignment="1">
      <alignment horizontal="left" vertical="top" indent="2" shrinkToFit="1"/>
    </xf>
    <xf numFmtId="169" fontId="44" fillId="0" borderId="70" xfId="0" applyNumberFormat="1" applyFont="1" applyFill="1" applyBorder="1" applyAlignment="1">
      <alignment horizontal="left" vertical="top" indent="4" shrinkToFit="1"/>
    </xf>
    <xf numFmtId="169" fontId="44" fillId="0" borderId="70" xfId="0" applyNumberFormat="1" applyFont="1" applyFill="1" applyBorder="1" applyAlignment="1">
      <alignment horizontal="left" vertical="top" shrinkToFit="1"/>
    </xf>
    <xf numFmtId="169" fontId="44" fillId="0" borderId="70" xfId="0" applyNumberFormat="1" applyFont="1" applyFill="1" applyBorder="1" applyAlignment="1">
      <alignment horizontal="left" vertical="top" indent="3" shrinkToFit="1"/>
    </xf>
    <xf numFmtId="0" fontId="43" fillId="0" borderId="70" xfId="0" applyFont="1" applyFill="1" applyBorder="1" applyAlignment="1">
      <alignment horizontal="center" vertical="top" wrapText="1"/>
    </xf>
    <xf numFmtId="0" fontId="41" fillId="0" borderId="70" xfId="0" applyFont="1" applyFill="1" applyBorder="1" applyAlignment="1">
      <alignment horizontal="left" wrapText="1"/>
    </xf>
    <xf numFmtId="0" fontId="41" fillId="0" borderId="70" xfId="0" applyFont="1" applyFill="1" applyBorder="1" applyAlignment="1">
      <alignment horizontal="center" vertical="top" wrapText="1"/>
    </xf>
    <xf numFmtId="0" fontId="41" fillId="29" borderId="70" xfId="0" applyFont="1" applyFill="1" applyBorder="1" applyAlignment="1">
      <alignment horizontal="center" vertical="top" wrapText="1"/>
    </xf>
    <xf numFmtId="0" fontId="1" fillId="29" borderId="0" xfId="0" applyFont="1" applyFill="1" applyAlignment="1">
      <alignment horizontal="center"/>
    </xf>
    <xf numFmtId="0" fontId="46" fillId="31" borderId="67" xfId="0" applyFont="1" applyFill="1" applyBorder="1" applyAlignment="1">
      <alignment horizontal="center" vertical="top" wrapText="1"/>
    </xf>
    <xf numFmtId="0" fontId="46" fillId="31" borderId="68" xfId="0" applyFont="1" applyFill="1" applyBorder="1" applyAlignment="1">
      <alignment horizontal="left" vertical="top" wrapText="1"/>
    </xf>
    <xf numFmtId="0" fontId="46" fillId="31" borderId="68" xfId="0" applyFont="1" applyFill="1" applyBorder="1" applyAlignment="1">
      <alignment horizontal="left" vertical="top" wrapText="1" indent="1"/>
    </xf>
    <xf numFmtId="0" fontId="46" fillId="31" borderId="68" xfId="0" applyFont="1" applyFill="1" applyBorder="1" applyAlignment="1">
      <alignment horizontal="left" vertical="center" wrapText="1"/>
    </xf>
    <xf numFmtId="0" fontId="46" fillId="31" borderId="68" xfId="0" applyFont="1" applyFill="1" applyBorder="1" applyAlignment="1">
      <alignment horizontal="right" vertical="center" wrapText="1" indent="2"/>
    </xf>
    <xf numFmtId="0" fontId="38" fillId="29" borderId="70" xfId="0" applyFont="1" applyFill="1" applyBorder="1" applyAlignment="1">
      <alignment horizontal="center" vertical="top" wrapText="1"/>
    </xf>
    <xf numFmtId="1" fontId="41" fillId="0" borderId="70" xfId="0" applyNumberFormat="1" applyFont="1" applyFill="1" applyBorder="1" applyAlignment="1">
      <alignment horizontal="right" vertical="top" indent="1" shrinkToFit="1"/>
    </xf>
    <xf numFmtId="1" fontId="41" fillId="0" borderId="70" xfId="0" applyNumberFormat="1" applyFont="1" applyFill="1" applyBorder="1" applyAlignment="1">
      <alignment horizontal="center" vertical="top" shrinkToFit="1"/>
    </xf>
    <xf numFmtId="0" fontId="38" fillId="0" borderId="70" xfId="0" applyFont="1" applyFill="1" applyBorder="1" applyAlignment="1">
      <alignment horizontal="left" vertical="top" wrapText="1" indent="1"/>
    </xf>
    <xf numFmtId="169" fontId="41" fillId="0" borderId="70" xfId="0" applyNumberFormat="1" applyFont="1" applyFill="1" applyBorder="1" applyAlignment="1">
      <alignment horizontal="left" vertical="top" indent="1" shrinkToFit="1"/>
    </xf>
    <xf numFmtId="169" fontId="41" fillId="0" borderId="70" xfId="0" applyNumberFormat="1" applyFont="1" applyFill="1" applyBorder="1" applyAlignment="1">
      <alignment horizontal="left" vertical="top" indent="2" shrinkToFit="1"/>
    </xf>
    <xf numFmtId="169" fontId="41" fillId="0" borderId="70" xfId="0" applyNumberFormat="1" applyFont="1" applyFill="1" applyBorder="1" applyAlignment="1">
      <alignment horizontal="left" vertical="top" indent="4" shrinkToFit="1"/>
    </xf>
    <xf numFmtId="0" fontId="38" fillId="0" borderId="70" xfId="0" applyFont="1" applyFill="1" applyBorder="1" applyAlignment="1">
      <alignment horizontal="center" vertical="top" wrapText="1"/>
    </xf>
    <xf numFmtId="169" fontId="41" fillId="0" borderId="70" xfId="0" applyNumberFormat="1" applyFont="1" applyFill="1" applyBorder="1" applyAlignment="1">
      <alignment horizontal="right" vertical="top" indent="2" shrinkToFit="1"/>
    </xf>
    <xf numFmtId="0" fontId="38" fillId="29" borderId="69" xfId="0" applyFont="1" applyFill="1" applyBorder="1" applyAlignment="1">
      <alignment horizontal="center" vertical="top" wrapText="1"/>
    </xf>
    <xf numFmtId="0" fontId="38" fillId="0" borderId="67" xfId="0" applyFont="1" applyFill="1" applyBorder="1" applyAlignment="1">
      <alignment horizontal="center" vertical="top" wrapText="1"/>
    </xf>
    <xf numFmtId="1" fontId="41" fillId="0" borderId="68" xfId="0" applyNumberFormat="1" applyFont="1" applyFill="1" applyBorder="1" applyAlignment="1">
      <alignment horizontal="right" vertical="top" indent="1" shrinkToFit="1"/>
    </xf>
    <xf numFmtId="1" fontId="41" fillId="0" borderId="68" xfId="0" applyNumberFormat="1" applyFont="1" applyFill="1" applyBorder="1" applyAlignment="1">
      <alignment horizontal="center" vertical="top" shrinkToFit="1"/>
    </xf>
    <xf numFmtId="0" fontId="38" fillId="0" borderId="68" xfId="0" applyFont="1" applyFill="1" applyBorder="1" applyAlignment="1">
      <alignment horizontal="left" vertical="top" wrapText="1" indent="1"/>
    </xf>
    <xf numFmtId="1" fontId="41" fillId="0" borderId="69" xfId="0" applyNumberFormat="1" applyFont="1" applyFill="1" applyBorder="1" applyAlignment="1">
      <alignment horizontal="center" vertical="top" shrinkToFit="1"/>
    </xf>
    <xf numFmtId="169" fontId="41" fillId="0" borderId="70" xfId="0" applyNumberFormat="1" applyFont="1" applyFill="1" applyBorder="1" applyAlignment="1">
      <alignment horizontal="left" vertical="top" shrinkToFit="1"/>
    </xf>
    <xf numFmtId="169" fontId="41" fillId="0" borderId="70" xfId="0" applyNumberFormat="1" applyFont="1" applyFill="1" applyBorder="1" applyAlignment="1">
      <alignment horizontal="left" vertical="top" indent="3" shrinkToFit="1"/>
    </xf>
    <xf numFmtId="0" fontId="38" fillId="0" borderId="70" xfId="0" applyFont="1" applyFill="1" applyBorder="1" applyAlignment="1">
      <alignment horizontal="left" vertical="top" wrapText="1"/>
    </xf>
    <xf numFmtId="0" fontId="38" fillId="41" borderId="70" xfId="0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left" vertical="top"/>
    </xf>
    <xf numFmtId="0" fontId="51" fillId="0" borderId="1" xfId="0" applyFont="1" applyBorder="1" applyAlignment="1">
      <alignment horizontal="center" wrapText="1"/>
    </xf>
    <xf numFmtId="0" fontId="46" fillId="31" borderId="68" xfId="0" applyFont="1" applyFill="1" applyBorder="1" applyAlignment="1">
      <alignment horizontal="center" vertical="center" wrapText="1"/>
    </xf>
    <xf numFmtId="169" fontId="41" fillId="0" borderId="67" xfId="0" applyNumberFormat="1" applyFont="1" applyFill="1" applyBorder="1" applyAlignment="1">
      <alignment horizontal="right" vertical="top" indent="2" shrinkToFit="1"/>
    </xf>
    <xf numFmtId="0" fontId="51" fillId="0" borderId="1" xfId="0" applyFont="1" applyFill="1" applyBorder="1" applyAlignment="1">
      <alignment horizontal="center" vertical="top"/>
    </xf>
    <xf numFmtId="0" fontId="0" fillId="0" borderId="26" xfId="0" applyBorder="1"/>
    <xf numFmtId="170" fontId="0" fillId="0" borderId="0" xfId="0" applyNumberFormat="1" applyAlignment="1">
      <alignment horizontal="center"/>
    </xf>
    <xf numFmtId="170" fontId="0" fillId="0" borderId="0" xfId="0" applyNumberFormat="1"/>
    <xf numFmtId="170" fontId="1" fillId="0" borderId="1" xfId="0" applyNumberFormat="1" applyFont="1" applyBorder="1" applyAlignment="1">
      <alignment horizontal="center"/>
    </xf>
    <xf numFmtId="170" fontId="1" fillId="3" borderId="1" xfId="0" applyNumberFormat="1" applyFont="1" applyFill="1" applyBorder="1" applyAlignment="1">
      <alignment horizontal="center"/>
    </xf>
    <xf numFmtId="0" fontId="1" fillId="42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/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1" fontId="1" fillId="42" borderId="1" xfId="0" applyNumberFormat="1" applyFont="1" applyFill="1" applyBorder="1" applyAlignment="1">
      <alignment horizontal="center"/>
    </xf>
    <xf numFmtId="49" fontId="1" fillId="43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49" fontId="1" fillId="44" borderId="1" xfId="0" applyNumberFormat="1" applyFont="1" applyFill="1" applyBorder="1" applyAlignment="1"/>
    <xf numFmtId="49" fontId="1" fillId="5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49" fontId="1" fillId="43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/>
    <xf numFmtId="49" fontId="1" fillId="44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49" fontId="1" fillId="43" borderId="1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"/>
    </xf>
    <xf numFmtId="49" fontId="1" fillId="44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16" borderId="1" xfId="0" applyFont="1" applyFill="1" applyBorder="1" applyAlignment="1">
      <alignment horizontal="center" wrapText="1"/>
    </xf>
    <xf numFmtId="9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49" fontId="1" fillId="44" borderId="1" xfId="0" applyNumberFormat="1" applyFont="1" applyFill="1" applyBorder="1"/>
    <xf numFmtId="165" fontId="1" fillId="44" borderId="1" xfId="0" applyNumberFormat="1" applyFont="1" applyFill="1" applyBorder="1" applyAlignment="1">
      <alignment horizontal="center"/>
    </xf>
    <xf numFmtId="165" fontId="1" fillId="16" borderId="1" xfId="0" applyNumberFormat="1" applyFont="1" applyFill="1" applyBorder="1"/>
    <xf numFmtId="4" fontId="1" fillId="3" borderId="1" xfId="0" applyNumberFormat="1" applyFont="1" applyFill="1" applyBorder="1" applyAlignment="1">
      <alignment horizontal="center"/>
    </xf>
    <xf numFmtId="49" fontId="1" fillId="45" borderId="1" xfId="0" applyNumberFormat="1" applyFont="1" applyFill="1" applyBorder="1"/>
    <xf numFmtId="0" fontId="1" fillId="2" borderId="0" xfId="0" applyFont="1" applyFill="1" applyAlignment="1">
      <alignment horizontal="center"/>
    </xf>
    <xf numFmtId="171" fontId="0" fillId="0" borderId="0" xfId="1" applyNumberFormat="1" applyFont="1"/>
    <xf numFmtId="0" fontId="0" fillId="0" borderId="1" xfId="0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" fillId="12" borderId="1" xfId="0" applyFont="1" applyFill="1" applyBorder="1"/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" fontId="53" fillId="2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54" fillId="2" borderId="1" xfId="2" applyFont="1" applyFill="1" applyBorder="1" applyAlignment="1">
      <alignment horizontal="center" vertical="center" wrapText="1"/>
    </xf>
    <xf numFmtId="4" fontId="54" fillId="2" borderId="1" xfId="2" applyNumberFormat="1" applyFont="1" applyFill="1" applyBorder="1" applyAlignment="1">
      <alignment horizontal="center" vertical="center" wrapText="1"/>
    </xf>
    <xf numFmtId="165" fontId="1" fillId="46" borderId="1" xfId="0" applyNumberFormat="1" applyFont="1" applyFill="1" applyBorder="1" applyAlignment="1">
      <alignment horizontal="center"/>
    </xf>
    <xf numFmtId="165" fontId="1" fillId="47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0" fillId="7" borderId="0" xfId="0" applyFill="1"/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/>
    <xf numFmtId="0" fontId="0" fillId="2" borderId="0" xfId="0" applyFill="1" applyAlignment="1">
      <alignment horizontal="center"/>
    </xf>
    <xf numFmtId="0" fontId="1" fillId="3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165" fontId="1" fillId="12" borderId="1" xfId="0" applyNumberFormat="1" applyFont="1" applyFill="1" applyBorder="1"/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7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  <xf numFmtId="2" fontId="0" fillId="3" borderId="0" xfId="0" applyNumberFormat="1" applyFill="1"/>
    <xf numFmtId="0" fontId="0" fillId="7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2" fontId="0" fillId="29" borderId="0" xfId="0" applyNumberFormat="1" applyFill="1" applyBorder="1" applyAlignment="1">
      <alignment horizontal="center" wrapText="1"/>
    </xf>
    <xf numFmtId="0" fontId="0" fillId="12" borderId="0" xfId="0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167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49" fontId="0" fillId="0" borderId="1" xfId="0" applyNumberFormat="1" applyBorder="1"/>
    <xf numFmtId="0" fontId="0" fillId="0" borderId="0" xfId="0" applyAlignment="1">
      <alignment horizontal="center"/>
    </xf>
    <xf numFmtId="167" fontId="0" fillId="0" borderId="1" xfId="0" applyNumberFormat="1" applyBorder="1"/>
    <xf numFmtId="0" fontId="55" fillId="0" borderId="0" xfId="0" applyFont="1" applyAlignment="1">
      <alignment vertical="center" wrapText="1"/>
    </xf>
    <xf numFmtId="0" fontId="56" fillId="49" borderId="72" xfId="0" applyFont="1" applyFill="1" applyBorder="1" applyAlignment="1">
      <alignment horizontal="center" vertical="center" wrapText="1"/>
    </xf>
    <xf numFmtId="0" fontId="56" fillId="49" borderId="73" xfId="0" applyFont="1" applyFill="1" applyBorder="1" applyAlignment="1">
      <alignment horizontal="center" vertical="center" wrapText="1"/>
    </xf>
    <xf numFmtId="0" fontId="57" fillId="50" borderId="38" xfId="0" applyFont="1" applyFill="1" applyBorder="1" applyAlignment="1">
      <alignment vertical="center" wrapText="1"/>
    </xf>
    <xf numFmtId="0" fontId="57" fillId="48" borderId="74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3" xfId="0" applyFill="1" applyBorder="1"/>
    <xf numFmtId="0" fontId="0" fillId="0" borderId="0" xfId="0" applyAlignment="1">
      <alignment horizontal="center"/>
    </xf>
    <xf numFmtId="0" fontId="0" fillId="0" borderId="2" xfId="0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9" fillId="52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3" borderId="3" xfId="0" applyFill="1" applyBorder="1" applyAlignment="1">
      <alignment horizontal="center"/>
    </xf>
    <xf numFmtId="18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2" borderId="1" xfId="0" applyFont="1" applyFill="1" applyBorder="1"/>
    <xf numFmtId="2" fontId="0" fillId="30" borderId="4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19" borderId="2" xfId="0" applyFont="1" applyFill="1" applyBorder="1" applyAlignment="1">
      <alignment horizontal="center" wrapText="1"/>
    </xf>
    <xf numFmtId="0" fontId="1" fillId="19" borderId="3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3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/>
    </xf>
    <xf numFmtId="167" fontId="0" fillId="0" borderId="0" xfId="0" applyNumberFormat="1" applyBorder="1"/>
    <xf numFmtId="167" fontId="0" fillId="30" borderId="1" xfId="0" applyNumberFormat="1" applyFill="1" applyBorder="1" applyAlignment="1">
      <alignment horizontal="center"/>
    </xf>
    <xf numFmtId="167" fontId="1" fillId="30" borderId="1" xfId="0" applyNumberFormat="1" applyFont="1" applyFill="1" applyBorder="1" applyAlignment="1">
      <alignment horizontal="center"/>
    </xf>
    <xf numFmtId="167" fontId="1" fillId="30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/>
    </xf>
    <xf numFmtId="167" fontId="0" fillId="0" borderId="8" xfId="0" applyNumberFormat="1" applyBorder="1"/>
    <xf numFmtId="0" fontId="0" fillId="30" borderId="1" xfId="0" applyFill="1" applyBorder="1"/>
    <xf numFmtId="2" fontId="1" fillId="30" borderId="1" xfId="0" applyNumberFormat="1" applyFont="1" applyFill="1" applyBorder="1" applyAlignment="1">
      <alignment horizontal="center" wrapText="1"/>
    </xf>
    <xf numFmtId="2" fontId="1" fillId="30" borderId="1" xfId="0" applyNumberFormat="1" applyFont="1" applyFill="1" applyBorder="1" applyAlignment="1">
      <alignment horizontal="center"/>
    </xf>
    <xf numFmtId="167" fontId="0" fillId="0" borderId="26" xfId="0" applyNumberFormat="1" applyBorder="1"/>
    <xf numFmtId="167" fontId="1" fillId="30" borderId="23" xfId="0" applyNumberFormat="1" applyFont="1" applyFill="1" applyBorder="1" applyAlignment="1">
      <alignment horizontal="center" wrapText="1"/>
    </xf>
    <xf numFmtId="167" fontId="0" fillId="0" borderId="66" xfId="0" applyNumberFormat="1" applyBorder="1" applyAlignment="1">
      <alignment horizontal="center" wrapText="1"/>
    </xf>
    <xf numFmtId="0" fontId="1" fillId="30" borderId="23" xfId="0" applyFont="1" applyFill="1" applyBorder="1" applyAlignment="1">
      <alignment horizontal="center"/>
    </xf>
    <xf numFmtId="0" fontId="1" fillId="30" borderId="24" xfId="0" applyFont="1" applyFill="1" applyBorder="1" applyAlignment="1">
      <alignment horizontal="center" wrapText="1"/>
    </xf>
    <xf numFmtId="0" fontId="0" fillId="2" borderId="28" xfId="0" applyFill="1" applyBorder="1"/>
    <xf numFmtId="0" fontId="0" fillId="0" borderId="29" xfId="0" applyBorder="1" applyAlignment="1">
      <alignment horizontal="center"/>
    </xf>
    <xf numFmtId="0" fontId="0" fillId="2" borderId="30" xfId="0" applyFill="1" applyBorder="1"/>
    <xf numFmtId="0" fontId="0" fillId="2" borderId="31" xfId="0" applyFill="1" applyBorder="1"/>
    <xf numFmtId="167" fontId="0" fillId="0" borderId="31" xfId="0" applyNumberFormat="1" applyBorder="1"/>
    <xf numFmtId="167" fontId="0" fillId="0" borderId="11" xfId="0" applyNumberFormat="1" applyBorder="1"/>
    <xf numFmtId="0" fontId="0" fillId="0" borderId="11" xfId="0" applyBorder="1"/>
    <xf numFmtId="167" fontId="1" fillId="3" borderId="1" xfId="0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7" fontId="1" fillId="53" borderId="1" xfId="0" applyNumberFormat="1" applyFont="1" applyFill="1" applyBorder="1" applyAlignment="1">
      <alignment horizontal="center" wrapText="1"/>
    </xf>
    <xf numFmtId="167" fontId="1" fillId="53" borderId="1" xfId="0" applyNumberFormat="1" applyFont="1" applyFill="1" applyBorder="1" applyAlignment="1">
      <alignment horizontal="center"/>
    </xf>
    <xf numFmtId="0" fontId="1" fillId="53" borderId="1" xfId="0" applyFont="1" applyFill="1" applyBorder="1" applyAlignment="1">
      <alignment horizontal="center"/>
    </xf>
    <xf numFmtId="0" fontId="1" fillId="53" borderId="1" xfId="0" applyFont="1" applyFill="1" applyBorder="1" applyAlignment="1">
      <alignment horizontal="center" wrapText="1"/>
    </xf>
    <xf numFmtId="9" fontId="0" fillId="0" borderId="0" xfId="0" applyNumberFormat="1"/>
    <xf numFmtId="0" fontId="1" fillId="4" borderId="1" xfId="0" applyFont="1" applyFill="1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right"/>
    </xf>
    <xf numFmtId="0" fontId="0" fillId="0" borderId="26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1" borderId="8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30" borderId="0" xfId="0" applyFill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71" xfId="0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1" fillId="30" borderId="1" xfId="0" applyNumberFormat="1" applyFont="1" applyFill="1" applyBorder="1" applyAlignment="1">
      <alignment horizontal="center"/>
    </xf>
    <xf numFmtId="0" fontId="1" fillId="30" borderId="4" xfId="0" applyFont="1" applyFill="1" applyBorder="1" applyAlignment="1"/>
    <xf numFmtId="0" fontId="1" fillId="30" borderId="3" xfId="0" applyFont="1" applyFill="1" applyBorder="1" applyAlignment="1">
      <alignment horizontal="left"/>
    </xf>
    <xf numFmtId="0" fontId="1" fillId="30" borderId="1" xfId="0" applyFont="1" applyFill="1" applyBorder="1" applyAlignment="1">
      <alignment horizontal="left"/>
    </xf>
    <xf numFmtId="172" fontId="0" fillId="0" borderId="0" xfId="0" applyNumberFormat="1" applyAlignment="1">
      <alignment horizontal="center"/>
    </xf>
    <xf numFmtId="172" fontId="1" fillId="30" borderId="1" xfId="0" applyNumberFormat="1" applyFont="1" applyFill="1" applyBorder="1" applyAlignment="1">
      <alignment horizontal="center" wrapText="1"/>
    </xf>
    <xf numFmtId="172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5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4" fontId="58" fillId="2" borderId="1" xfId="2" applyNumberFormat="1" applyFont="1" applyFill="1" applyBorder="1" applyAlignment="1">
      <alignment horizontal="center" vertical="center" wrapText="1"/>
    </xf>
    <xf numFmtId="4" fontId="1" fillId="2" borderId="1" xfId="2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/>
    </xf>
    <xf numFmtId="0" fontId="0" fillId="2" borderId="26" xfId="0" applyFill="1" applyBorder="1"/>
    <xf numFmtId="0" fontId="0" fillId="0" borderId="1" xfId="0" applyBorder="1" applyAlignment="1">
      <alignment horizontal="center"/>
    </xf>
    <xf numFmtId="0" fontId="0" fillId="0" borderId="0" xfId="0" applyNumberFormat="1" applyAlignment="1">
      <alignment horizontal="center" wrapText="1"/>
    </xf>
    <xf numFmtId="0" fontId="0" fillId="7" borderId="0" xfId="0" applyNumberFormat="1" applyFill="1" applyBorder="1" applyAlignment="1">
      <alignment horizontal="center" wrapText="1"/>
    </xf>
    <xf numFmtId="0" fontId="0" fillId="0" borderId="0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7" borderId="0" xfId="0" applyNumberFormat="1" applyFill="1" applyAlignment="1">
      <alignment horizontal="center" wrapText="1"/>
    </xf>
    <xf numFmtId="0" fontId="0" fillId="29" borderId="0" xfId="0" applyNumberFormat="1" applyFill="1" applyBorder="1" applyAlignment="1">
      <alignment horizontal="center" wrapText="1"/>
    </xf>
    <xf numFmtId="0" fontId="0" fillId="12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 wrapText="1"/>
    </xf>
    <xf numFmtId="0" fontId="0" fillId="2" borderId="48" xfId="0" applyFont="1" applyFill="1" applyBorder="1" applyAlignment="1">
      <alignment wrapText="1"/>
    </xf>
    <xf numFmtId="0" fontId="59" fillId="2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8" xfId="0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9" fontId="0" fillId="21" borderId="1" xfId="0" applyNumberFormat="1" applyFill="1" applyBorder="1" applyAlignment="1">
      <alignment horizontal="center"/>
    </xf>
    <xf numFmtId="2" fontId="0" fillId="21" borderId="1" xfId="0" applyNumberFormat="1" applyFill="1" applyBorder="1" applyAlignment="1">
      <alignment horizontal="center"/>
    </xf>
    <xf numFmtId="0" fontId="1" fillId="21" borderId="75" xfId="0" applyFont="1" applyFill="1" applyBorder="1" applyAlignment="1">
      <alignment horizontal="center"/>
    </xf>
    <xf numFmtId="0" fontId="1" fillId="21" borderId="76" xfId="0" applyFont="1" applyFill="1" applyBorder="1" applyAlignment="1">
      <alignment horizontal="center"/>
    </xf>
    <xf numFmtId="2" fontId="1" fillId="21" borderId="77" xfId="0" applyNumberFormat="1" applyFont="1" applyFill="1" applyBorder="1" applyAlignment="1">
      <alignment horizontal="center"/>
    </xf>
    <xf numFmtId="0" fontId="1" fillId="56" borderId="16" xfId="0" applyFont="1" applyFill="1" applyBorder="1" applyAlignment="1">
      <alignment horizontal="center"/>
    </xf>
    <xf numFmtId="0" fontId="1" fillId="56" borderId="20" xfId="0" applyFont="1" applyFill="1" applyBorder="1" applyAlignment="1">
      <alignment horizontal="center"/>
    </xf>
    <xf numFmtId="2" fontId="1" fillId="56" borderId="17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1" fillId="3" borderId="16" xfId="0" applyFont="1" applyFill="1" applyBorder="1" applyAlignment="1">
      <alignment horizontal="center" wrapText="1"/>
    </xf>
    <xf numFmtId="2" fontId="1" fillId="3" borderId="17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1" fontId="0" fillId="0" borderId="0" xfId="0" applyNumberFormat="1"/>
    <xf numFmtId="0" fontId="1" fillId="56" borderId="1" xfId="0" applyFont="1" applyFill="1" applyBorder="1" applyAlignment="1">
      <alignment horizontal="center" wrapText="1"/>
    </xf>
    <xf numFmtId="173" fontId="0" fillId="0" borderId="0" xfId="0" applyNumberFormat="1"/>
    <xf numFmtId="0" fontId="0" fillId="2" borderId="78" xfId="0" applyFill="1" applyBorder="1"/>
    <xf numFmtId="0" fontId="0" fillId="2" borderId="8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2" fontId="0" fillId="7" borderId="1" xfId="0" applyNumberFormat="1" applyFill="1" applyBorder="1" applyAlignment="1">
      <alignment horizontal="center"/>
    </xf>
    <xf numFmtId="0" fontId="0" fillId="7" borderId="3" xfId="0" applyFill="1" applyBorder="1"/>
    <xf numFmtId="0" fontId="1" fillId="7" borderId="1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1" fillId="1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1" fontId="61" fillId="0" borderId="70" xfId="0" applyNumberFormat="1" applyFont="1" applyFill="1" applyBorder="1" applyAlignment="1">
      <alignment horizontal="center" vertical="top" shrinkToFit="1"/>
    </xf>
    <xf numFmtId="0" fontId="62" fillId="0" borderId="70" xfId="0" applyFont="1" applyFill="1" applyBorder="1" applyAlignment="1">
      <alignment horizontal="left" vertical="top" wrapText="1"/>
    </xf>
    <xf numFmtId="2" fontId="61" fillId="0" borderId="70" xfId="0" applyNumberFormat="1" applyFont="1" applyFill="1" applyBorder="1" applyAlignment="1">
      <alignment horizontal="right" vertical="top" shrinkToFit="1"/>
    </xf>
    <xf numFmtId="0" fontId="0" fillId="0" borderId="70" xfId="0" applyFill="1" applyBorder="1" applyAlignment="1">
      <alignment horizontal="left" wrapText="1"/>
    </xf>
    <xf numFmtId="1" fontId="0" fillId="0" borderId="3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37" xfId="0" applyNumberFormat="1" applyBorder="1" applyAlignment="1">
      <alignment horizontal="center" wrapText="1"/>
    </xf>
    <xf numFmtId="0" fontId="0" fillId="0" borderId="7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2" fontId="1" fillId="30" borderId="43" xfId="0" applyNumberFormat="1" applyFont="1" applyFill="1" applyBorder="1" applyAlignment="1">
      <alignment horizontal="center"/>
    </xf>
    <xf numFmtId="2" fontId="1" fillId="0" borderId="26" xfId="0" applyNumberFormat="1" applyFont="1" applyBorder="1" applyAlignment="1">
      <alignment horizontal="center" wrapText="1"/>
    </xf>
    <xf numFmtId="2" fontId="64" fillId="30" borderId="43" xfId="0" applyNumberFormat="1" applyFont="1" applyFill="1" applyBorder="1" applyAlignment="1">
      <alignment horizontal="center"/>
    </xf>
    <xf numFmtId="2" fontId="64" fillId="30" borderId="54" xfId="0" applyNumberFormat="1" applyFont="1" applyFill="1" applyBorder="1" applyAlignment="1">
      <alignment horizontal="center" wrapText="1"/>
    </xf>
    <xf numFmtId="2" fontId="0" fillId="0" borderId="26" xfId="0" applyNumberFormat="1" applyBorder="1" applyAlignment="1">
      <alignment horizontal="center" wrapText="1"/>
    </xf>
    <xf numFmtId="2" fontId="64" fillId="30" borderId="54" xfId="0" applyNumberFormat="1" applyFont="1" applyFill="1" applyBorder="1" applyAlignment="1">
      <alignment horizontal="center"/>
    </xf>
    <xf numFmtId="0" fontId="1" fillId="30" borderId="0" xfId="0" applyFont="1" applyFill="1" applyAlignment="1">
      <alignment horizontal="center"/>
    </xf>
    <xf numFmtId="0" fontId="1" fillId="58" borderId="1" xfId="0" applyFont="1" applyFill="1" applyBorder="1" applyAlignment="1">
      <alignment horizontal="center"/>
    </xf>
    <xf numFmtId="16" fontId="0" fillId="0" borderId="0" xfId="0" applyNumberFormat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/>
    <xf numFmtId="0" fontId="1" fillId="59" borderId="1" xfId="0" applyFont="1" applyFill="1" applyBorder="1" applyAlignment="1">
      <alignment horizontal="center"/>
    </xf>
    <xf numFmtId="0" fontId="1" fillId="59" borderId="1" xfId="0" applyFont="1" applyFill="1" applyBorder="1" applyAlignment="1">
      <alignment horizontal="center" wrapText="1"/>
    </xf>
    <xf numFmtId="0" fontId="1" fillId="21" borderId="0" xfId="0" applyFont="1" applyFill="1" applyAlignment="1">
      <alignment horizontal="center"/>
    </xf>
    <xf numFmtId="0" fontId="1" fillId="21" borderId="2" xfId="0" applyFont="1" applyFill="1" applyBorder="1" applyAlignment="1">
      <alignment horizontal="center"/>
    </xf>
    <xf numFmtId="0" fontId="1" fillId="21" borderId="0" xfId="0" applyFont="1" applyFill="1" applyBorder="1" applyAlignment="1">
      <alignment horizontal="center"/>
    </xf>
    <xf numFmtId="0" fontId="0" fillId="54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0" borderId="1" xfId="0" applyFont="1" applyFill="1" applyBorder="1" applyAlignment="1">
      <alignment horizontal="center" wrapText="1"/>
    </xf>
    <xf numFmtId="0" fontId="1" fillId="20" borderId="1" xfId="0" applyFont="1" applyFill="1" applyBorder="1" applyAlignment="1">
      <alignment horizontal="center"/>
    </xf>
    <xf numFmtId="0" fontId="0" fillId="30" borderId="2" xfId="0" applyFill="1" applyBorder="1"/>
    <xf numFmtId="0" fontId="0" fillId="0" borderId="0" xfId="0" applyAlignment="1">
      <alignment horizontal="center"/>
    </xf>
    <xf numFmtId="0" fontId="0" fillId="3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0" borderId="82" xfId="0" applyBorder="1"/>
    <xf numFmtId="0" fontId="0" fillId="0" borderId="35" xfId="0" applyBorder="1"/>
    <xf numFmtId="0" fontId="0" fillId="0" borderId="10" xfId="0" applyBorder="1"/>
    <xf numFmtId="0" fontId="0" fillId="2" borderId="2" xfId="0" applyFill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14" borderId="1" xfId="0" applyFill="1" applyBorder="1"/>
    <xf numFmtId="0" fontId="0" fillId="0" borderId="3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48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168" fontId="1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3" borderId="0" xfId="0" applyFill="1" applyBorder="1"/>
    <xf numFmtId="0" fontId="0" fillId="3" borderId="2" xfId="0" applyFill="1" applyBorder="1"/>
    <xf numFmtId="0" fontId="0" fillId="0" borderId="17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0" fontId="1" fillId="7" borderId="1" xfId="0" applyFont="1" applyFill="1" applyBorder="1"/>
    <xf numFmtId="0" fontId="1" fillId="7" borderId="43" xfId="0" applyFont="1" applyFill="1" applyBorder="1" applyAlignment="1">
      <alignment horizontal="center" wrapText="1"/>
    </xf>
    <xf numFmtId="0" fontId="1" fillId="7" borderId="54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1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67" fontId="0" fillId="21" borderId="1" xfId="0" applyNumberFormat="1" applyFill="1" applyBorder="1" applyAlignment="1">
      <alignment horizontal="center" wrapText="1"/>
    </xf>
    <xf numFmtId="167" fontId="0" fillId="21" borderId="1" xfId="0" applyNumberFormat="1" applyFill="1" applyBorder="1"/>
    <xf numFmtId="0" fontId="57" fillId="51" borderId="74" xfId="0" applyFont="1" applyFill="1" applyBorder="1" applyAlignment="1">
      <alignment horizontal="center" vertical="center"/>
    </xf>
    <xf numFmtId="0" fontId="57" fillId="48" borderId="74" xfId="0" applyFont="1" applyFill="1" applyBorder="1" applyAlignment="1">
      <alignment horizontal="center" vertical="center"/>
    </xf>
    <xf numFmtId="0" fontId="65" fillId="2" borderId="1" xfId="0" applyFont="1" applyFill="1" applyBorder="1"/>
    <xf numFmtId="0" fontId="0" fillId="0" borderId="1" xfId="0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3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2" borderId="0" xfId="0" applyNumberFormat="1" applyFill="1"/>
    <xf numFmtId="14" fontId="0" fillId="2" borderId="0" xfId="0" applyNumberFormat="1" applyFill="1"/>
    <xf numFmtId="167" fontId="1" fillId="2" borderId="1" xfId="0" applyNumberFormat="1" applyFont="1" applyFill="1" applyBorder="1" applyAlignment="1">
      <alignment horizontal="center" wrapText="1"/>
    </xf>
    <xf numFmtId="2" fontId="1" fillId="3" borderId="8" xfId="0" applyNumberFormat="1" applyFont="1" applyFill="1" applyBorder="1" applyAlignment="1">
      <alignment horizontal="center"/>
    </xf>
    <xf numFmtId="167" fontId="1" fillId="12" borderId="8" xfId="0" applyNumberFormat="1" applyFont="1" applyFill="1" applyBorder="1" applyAlignment="1">
      <alignment horizontal="center" wrapText="1"/>
    </xf>
    <xf numFmtId="167" fontId="1" fillId="12" borderId="76" xfId="0" applyNumberFormat="1" applyFont="1" applyFill="1" applyBorder="1" applyAlignment="1">
      <alignment horizontal="center" wrapText="1"/>
    </xf>
    <xf numFmtId="167" fontId="0" fillId="0" borderId="2" xfId="0" applyNumberFormat="1" applyBorder="1"/>
    <xf numFmtId="0" fontId="1" fillId="29" borderId="3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49" fontId="0" fillId="30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9" fontId="1" fillId="4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60" borderId="1" xfId="0" applyFill="1" applyBorder="1"/>
    <xf numFmtId="0" fontId="59" fillId="55" borderId="1" xfId="0" applyFont="1" applyFill="1" applyBorder="1" applyAlignment="1">
      <alignment horizontal="center"/>
    </xf>
    <xf numFmtId="0" fontId="0" fillId="60" borderId="1" xfId="0" applyFill="1" applyBorder="1" applyAlignment="1">
      <alignment horizontal="center"/>
    </xf>
    <xf numFmtId="0" fontId="0" fillId="60" borderId="0" xfId="0" applyFill="1" applyBorder="1" applyAlignment="1">
      <alignment horizontal="center"/>
    </xf>
    <xf numFmtId="0" fontId="63" fillId="57" borderId="1" xfId="0" applyFont="1" applyFill="1" applyBorder="1" applyAlignment="1">
      <alignment horizontal="center" vertical="top" wrapText="1"/>
    </xf>
    <xf numFmtId="0" fontId="0" fillId="0" borderId="80" xfId="0" applyBorder="1" applyAlignment="1">
      <alignment horizontal="center"/>
    </xf>
    <xf numFmtId="0" fontId="0" fillId="60" borderId="3" xfId="0" applyFill="1" applyBorder="1"/>
    <xf numFmtId="0" fontId="0" fillId="0" borderId="1" xfId="0" applyFill="1" applyBorder="1" applyAlignment="1">
      <alignment horizontal="left" vertical="top"/>
    </xf>
    <xf numFmtId="0" fontId="0" fillId="60" borderId="0" xfId="0" applyFill="1" applyBorder="1"/>
    <xf numFmtId="0" fontId="0" fillId="0" borderId="83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9" fillId="55" borderId="5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2" fillId="60" borderId="3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12" borderId="0" xfId="0" applyFill="1"/>
    <xf numFmtId="0" fontId="0" fillId="12" borderId="3" xfId="0" applyFill="1" applyBorder="1"/>
    <xf numFmtId="2" fontId="0" fillId="1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1" fontId="1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0" borderId="81" xfId="0" applyFill="1" applyBorder="1" applyAlignment="1">
      <alignment horizontal="center" wrapText="1"/>
    </xf>
    <xf numFmtId="1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19" borderId="3" xfId="0" applyFont="1" applyFill="1" applyBorder="1"/>
    <xf numFmtId="0" fontId="0" fillId="21" borderId="0" xfId="0" applyFill="1"/>
    <xf numFmtId="0" fontId="0" fillId="21" borderId="0" xfId="0" applyFill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14" fontId="1" fillId="42" borderId="1" xfId="0" applyNumberFormat="1" applyFont="1" applyFill="1" applyBorder="1" applyAlignment="1">
      <alignment horizontal="center"/>
    </xf>
    <xf numFmtId="14" fontId="1" fillId="12" borderId="1" xfId="0" applyNumberFormat="1" applyFont="1" applyFill="1" applyBorder="1" applyAlignment="1">
      <alignment horizontal="center"/>
    </xf>
    <xf numFmtId="14" fontId="1" fillId="11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0" fontId="1" fillId="56" borderId="1" xfId="0" applyFont="1" applyFill="1" applyBorder="1" applyAlignment="1">
      <alignment horizontal="center"/>
    </xf>
    <xf numFmtId="14" fontId="1" fillId="56" borderId="1" xfId="0" applyNumberFormat="1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/>
    </xf>
    <xf numFmtId="14" fontId="1" fillId="14" borderId="1" xfId="0" applyNumberFormat="1" applyFont="1" applyFill="1" applyBorder="1" applyAlignment="1">
      <alignment horizontal="center"/>
    </xf>
    <xf numFmtId="14" fontId="1" fillId="30" borderId="1" xfId="0" applyNumberFormat="1" applyFont="1" applyFill="1" applyBorder="1" applyAlignment="1">
      <alignment horizontal="center"/>
    </xf>
    <xf numFmtId="0" fontId="1" fillId="56" borderId="1" xfId="0" applyFont="1" applyFill="1" applyBorder="1"/>
    <xf numFmtId="164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2" fontId="0" fillId="0" borderId="17" xfId="0" applyNumberFormat="1" applyFill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2" fontId="0" fillId="0" borderId="17" xfId="0" applyNumberFormat="1" applyBorder="1" applyAlignment="1">
      <alignment horizontal="center"/>
    </xf>
    <xf numFmtId="0" fontId="1" fillId="21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56" borderId="0" xfId="0" applyFill="1" applyAlignment="1">
      <alignment horizontal="center"/>
    </xf>
    <xf numFmtId="0" fontId="1" fillId="56" borderId="0" xfId="0" applyFont="1" applyFill="1" applyAlignment="1">
      <alignment horizontal="center"/>
    </xf>
    <xf numFmtId="0" fontId="0" fillId="56" borderId="1" xfId="0" applyFill="1" applyBorder="1" applyAlignment="1">
      <alignment horizontal="center"/>
    </xf>
    <xf numFmtId="2" fontId="0" fillId="56" borderId="1" xfId="0" applyNumberFormat="1" applyFill="1" applyBorder="1" applyAlignment="1">
      <alignment horizontal="center"/>
    </xf>
    <xf numFmtId="0" fontId="0" fillId="61" borderId="1" xfId="0" applyFill="1" applyBorder="1" applyAlignment="1">
      <alignment horizontal="center"/>
    </xf>
    <xf numFmtId="0" fontId="0" fillId="56" borderId="1" xfId="0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 wrapText="1"/>
    </xf>
    <xf numFmtId="0" fontId="0" fillId="14" borderId="1" xfId="0" applyFill="1" applyBorder="1" applyAlignment="1">
      <alignment horizontal="center"/>
    </xf>
    <xf numFmtId="0" fontId="1" fillId="2" borderId="0" xfId="0" applyFont="1" applyFill="1"/>
    <xf numFmtId="1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8" fillId="0" borderId="1" xfId="0" applyFont="1" applyBorder="1"/>
    <xf numFmtId="0" fontId="6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3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59" fillId="0" borderId="1" xfId="0" applyFont="1" applyFill="1" applyBorder="1" applyAlignment="1">
      <alignment horizontal="center"/>
    </xf>
    <xf numFmtId="0" fontId="69" fillId="0" borderId="0" xfId="0" applyFont="1"/>
    <xf numFmtId="0" fontId="59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58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30" borderId="58" xfId="0" applyNumberFormat="1" applyFont="1" applyFill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63" fillId="57" borderId="8" xfId="0" applyFont="1" applyFill="1" applyBorder="1" applyAlignment="1">
      <alignment horizontal="left" vertical="top" wrapText="1" indent="1"/>
    </xf>
    <xf numFmtId="0" fontId="63" fillId="57" borderId="26" xfId="0" applyFont="1" applyFill="1" applyBorder="1" applyAlignment="1">
      <alignment horizontal="left" vertical="top" wrapText="1" indent="4"/>
    </xf>
    <xf numFmtId="0" fontId="63" fillId="57" borderId="8" xfId="0" applyFont="1" applyFill="1" applyBorder="1" applyAlignment="1">
      <alignment horizontal="center" vertical="top" wrapText="1"/>
    </xf>
    <xf numFmtId="0" fontId="63" fillId="57" borderId="26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2" fontId="64" fillId="30" borderId="60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Fill="1"/>
    <xf numFmtId="0" fontId="63" fillId="0" borderId="0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1" fillId="30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170" fontId="0" fillId="0" borderId="0" xfId="0" applyNumberFormat="1" applyFill="1" applyBorder="1"/>
    <xf numFmtId="165" fontId="0" fillId="0" borderId="0" xfId="0" applyNumberFormat="1" applyFill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center"/>
    </xf>
    <xf numFmtId="170" fontId="0" fillId="0" borderId="0" xfId="0" applyNumberFormat="1" applyFill="1"/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9" fillId="0" borderId="1" xfId="0" applyFont="1" applyBorder="1"/>
    <xf numFmtId="0" fontId="0" fillId="0" borderId="1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19" borderId="1" xfId="0" applyFill="1" applyBorder="1"/>
    <xf numFmtId="0" fontId="0" fillId="19" borderId="1" xfId="0" applyFill="1" applyBorder="1" applyAlignment="1">
      <alignment horizontal="center" wrapText="1"/>
    </xf>
    <xf numFmtId="0" fontId="0" fillId="19" borderId="1" xfId="0" applyFill="1" applyBorder="1" applyAlignment="1">
      <alignment horizontal="center"/>
    </xf>
    <xf numFmtId="0" fontId="59" fillId="0" borderId="0" xfId="0" applyFont="1" applyBorder="1"/>
    <xf numFmtId="0" fontId="0" fillId="0" borderId="37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3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63" fillId="57" borderId="84" xfId="0" applyFont="1" applyFill="1" applyBorder="1" applyAlignment="1">
      <alignment horizontal="center" vertical="center" wrapText="1"/>
    </xf>
    <xf numFmtId="0" fontId="63" fillId="57" borderId="79" xfId="0" applyFont="1" applyFill="1" applyBorder="1" applyAlignment="1">
      <alignment horizontal="center" vertical="center" wrapText="1"/>
    </xf>
    <xf numFmtId="0" fontId="60" fillId="0" borderId="79" xfId="0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wrapText="1"/>
    </xf>
    <xf numFmtId="2" fontId="1" fillId="0" borderId="26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81" xfId="0" applyNumberFormat="1" applyBorder="1" applyAlignment="1">
      <alignment horizontal="center" wrapText="1"/>
    </xf>
    <xf numFmtId="2" fontId="0" fillId="0" borderId="82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4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30" borderId="3" xfId="0" applyFill="1" applyBorder="1" applyAlignment="1">
      <alignment horizontal="center"/>
    </xf>
    <xf numFmtId="0" fontId="0" fillId="30" borderId="4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48" xfId="0" applyBorder="1" applyAlignment="1">
      <alignment horizontal="center" wrapText="1"/>
    </xf>
    <xf numFmtId="0" fontId="0" fillId="0" borderId="52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1" fillId="0" borderId="82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16" borderId="12" xfId="0" applyFont="1" applyFill="1" applyBorder="1" applyAlignment="1">
      <alignment horizontal="center" wrapText="1"/>
    </xf>
    <xf numFmtId="0" fontId="8" fillId="16" borderId="15" xfId="0" applyFont="1" applyFill="1" applyBorder="1" applyAlignment="1">
      <alignment horizontal="center" wrapText="1"/>
    </xf>
    <xf numFmtId="0" fontId="8" fillId="16" borderId="13" xfId="0" applyFont="1" applyFill="1" applyBorder="1" applyAlignment="1">
      <alignment horizontal="center" wrapText="1"/>
    </xf>
    <xf numFmtId="165" fontId="7" fillId="16" borderId="16" xfId="0" applyNumberFormat="1" applyFont="1" applyFill="1" applyBorder="1" applyAlignment="1">
      <alignment horizontal="center"/>
    </xf>
    <xf numFmtId="165" fontId="7" fillId="16" borderId="20" xfId="0" applyNumberFormat="1" applyFont="1" applyFill="1" applyBorder="1" applyAlignment="1">
      <alignment horizontal="center"/>
    </xf>
    <xf numFmtId="165" fontId="7" fillId="16" borderId="17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" fillId="18" borderId="0" xfId="0" applyNumberFormat="1" applyFont="1" applyFill="1" applyBorder="1" applyAlignment="1">
      <alignment horizontal="center"/>
    </xf>
    <xf numFmtId="165" fontId="1" fillId="17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166" fontId="7" fillId="0" borderId="18" xfId="0" applyNumberFormat="1" applyFont="1" applyBorder="1" applyAlignment="1">
      <alignment horizontal="center"/>
    </xf>
    <xf numFmtId="166" fontId="7" fillId="0" borderId="19" xfId="0" applyNumberFormat="1" applyFont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4" borderId="5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8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34" fillId="27" borderId="43" xfId="0" applyFont="1" applyFill="1" applyBorder="1" applyAlignment="1">
      <alignment horizontal="center" vertical="center" wrapText="1"/>
    </xf>
    <xf numFmtId="0" fontId="34" fillId="27" borderId="51" xfId="0" applyFont="1" applyFill="1" applyBorder="1" applyAlignment="1">
      <alignment horizontal="center" vertical="center" wrapText="1"/>
    </xf>
    <xf numFmtId="0" fontId="34" fillId="27" borderId="54" xfId="0" applyFont="1" applyFill="1" applyBorder="1" applyAlignment="1">
      <alignment horizontal="center" vertical="center" wrapText="1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center" vertical="center" wrapText="1"/>
    </xf>
    <xf numFmtId="0" fontId="36" fillId="27" borderId="46" xfId="0" applyFont="1" applyFill="1" applyBorder="1" applyAlignment="1">
      <alignment horizontal="center" vertical="center" wrapText="1"/>
    </xf>
    <xf numFmtId="0" fontId="36" fillId="27" borderId="38" xfId="0" applyFont="1" applyFill="1" applyBorder="1" applyAlignment="1">
      <alignment horizontal="center" vertical="center" wrapText="1"/>
    </xf>
    <xf numFmtId="0" fontId="34" fillId="27" borderId="21" xfId="0" applyFont="1" applyFill="1" applyBorder="1" applyAlignment="1">
      <alignment horizontal="center" vertical="center" wrapText="1"/>
    </xf>
    <xf numFmtId="0" fontId="34" fillId="27" borderId="46" xfId="0" applyFont="1" applyFill="1" applyBorder="1" applyAlignment="1">
      <alignment horizontal="center" vertical="center" wrapText="1"/>
    </xf>
    <xf numFmtId="0" fontId="34" fillId="27" borderId="38" xfId="0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center" vertical="center"/>
    </xf>
    <xf numFmtId="0" fontId="36" fillId="27" borderId="46" xfId="0" applyFont="1" applyFill="1" applyBorder="1" applyAlignment="1">
      <alignment horizontal="center" vertical="center"/>
    </xf>
    <xf numFmtId="0" fontId="36" fillId="27" borderId="38" xfId="0" applyFont="1" applyFill="1" applyBorder="1" applyAlignment="1">
      <alignment horizontal="center" vertical="center"/>
    </xf>
    <xf numFmtId="0" fontId="36" fillId="27" borderId="64" xfId="0" applyFont="1" applyFill="1" applyBorder="1" applyAlignment="1">
      <alignment horizontal="center" vertical="center"/>
    </xf>
    <xf numFmtId="0" fontId="36" fillId="27" borderId="65" xfId="0" applyFont="1" applyFill="1" applyBorder="1" applyAlignment="1">
      <alignment horizontal="center" vertical="center"/>
    </xf>
    <xf numFmtId="0" fontId="36" fillId="27" borderId="66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center" vertical="center"/>
    </xf>
    <xf numFmtId="0" fontId="36" fillId="27" borderId="11" xfId="0" applyFont="1" applyFill="1" applyBorder="1" applyAlignment="1">
      <alignment horizontal="center" vertical="center"/>
    </xf>
    <xf numFmtId="0" fontId="34" fillId="27" borderId="33" xfId="0" applyFont="1" applyFill="1" applyBorder="1" applyAlignment="1">
      <alignment horizontal="center" vertical="center" wrapText="1"/>
    </xf>
    <xf numFmtId="0" fontId="34" fillId="27" borderId="50" xfId="0" applyFont="1" applyFill="1" applyBorder="1" applyAlignment="1">
      <alignment horizontal="center" vertical="center" wrapText="1"/>
    </xf>
    <xf numFmtId="0" fontId="46" fillId="37" borderId="67" xfId="0" applyFont="1" applyFill="1" applyBorder="1" applyAlignment="1">
      <alignment horizontal="left" vertical="top" wrapText="1" indent="6"/>
    </xf>
    <xf numFmtId="0" fontId="46" fillId="37" borderId="68" xfId="0" applyFont="1" applyFill="1" applyBorder="1" applyAlignment="1">
      <alignment horizontal="left" vertical="top" wrapText="1" indent="6"/>
    </xf>
    <xf numFmtId="0" fontId="46" fillId="38" borderId="67" xfId="0" applyFont="1" applyFill="1" applyBorder="1" applyAlignment="1">
      <alignment horizontal="left" vertical="top" wrapText="1" indent="5"/>
    </xf>
    <xf numFmtId="0" fontId="46" fillId="38" borderId="68" xfId="0" applyFont="1" applyFill="1" applyBorder="1" applyAlignment="1">
      <alignment horizontal="left" vertical="top" wrapText="1" indent="5"/>
    </xf>
    <xf numFmtId="0" fontId="46" fillId="39" borderId="67" xfId="0" applyFont="1" applyFill="1" applyBorder="1" applyAlignment="1">
      <alignment horizontal="left" vertical="top" wrapText="1" indent="7"/>
    </xf>
    <xf numFmtId="0" fontId="46" fillId="39" borderId="68" xfId="0" applyFont="1" applyFill="1" applyBorder="1" applyAlignment="1">
      <alignment horizontal="left" vertical="top" wrapText="1" indent="7"/>
    </xf>
    <xf numFmtId="0" fontId="39" fillId="40" borderId="67" xfId="0" applyFont="1" applyFill="1" applyBorder="1" applyAlignment="1">
      <alignment horizontal="left" vertical="top" wrapText="1" indent="7"/>
    </xf>
    <xf numFmtId="0" fontId="39" fillId="40" borderId="68" xfId="0" applyFont="1" applyFill="1" applyBorder="1" applyAlignment="1">
      <alignment horizontal="left" vertical="top" wrapText="1" indent="7"/>
    </xf>
    <xf numFmtId="0" fontId="39" fillId="40" borderId="69" xfId="0" applyFont="1" applyFill="1" applyBorder="1" applyAlignment="1">
      <alignment horizontal="left" vertical="top" wrapText="1" indent="7"/>
    </xf>
    <xf numFmtId="0" fontId="38" fillId="0" borderId="67" xfId="0" applyFont="1" applyFill="1" applyBorder="1" applyAlignment="1">
      <alignment horizontal="left" vertical="top" wrapText="1"/>
    </xf>
    <xf numFmtId="0" fontId="41" fillId="0" borderId="68" xfId="0" applyFont="1" applyFill="1" applyBorder="1" applyAlignment="1">
      <alignment horizontal="left" vertical="top" wrapText="1"/>
    </xf>
    <xf numFmtId="0" fontId="41" fillId="0" borderId="69" xfId="0" applyFont="1" applyFill="1" applyBorder="1" applyAlignment="1">
      <alignment horizontal="left" vertical="top" wrapText="1"/>
    </xf>
    <xf numFmtId="0" fontId="46" fillId="33" borderId="67" xfId="0" applyFont="1" applyFill="1" applyBorder="1" applyAlignment="1">
      <alignment horizontal="left" vertical="top" wrapText="1" indent="6"/>
    </xf>
    <xf numFmtId="0" fontId="46" fillId="33" borderId="68" xfId="0" applyFont="1" applyFill="1" applyBorder="1" applyAlignment="1">
      <alignment horizontal="left" vertical="top" wrapText="1" indent="6"/>
    </xf>
    <xf numFmtId="0" fontId="46" fillId="33" borderId="67" xfId="0" applyFont="1" applyFill="1" applyBorder="1" applyAlignment="1">
      <alignment horizontal="left" vertical="top" wrapText="1" indent="5"/>
    </xf>
    <xf numFmtId="0" fontId="46" fillId="33" borderId="68" xfId="0" applyFont="1" applyFill="1" applyBorder="1" applyAlignment="1">
      <alignment horizontal="left" vertical="top" wrapText="1" indent="5"/>
    </xf>
    <xf numFmtId="0" fontId="46" fillId="34" borderId="67" xfId="0" applyFont="1" applyFill="1" applyBorder="1" applyAlignment="1">
      <alignment horizontal="left" vertical="top" wrapText="1" indent="5"/>
    </xf>
    <xf numFmtId="0" fontId="46" fillId="34" borderId="68" xfId="0" applyFont="1" applyFill="1" applyBorder="1" applyAlignment="1">
      <alignment horizontal="left" vertical="top" wrapText="1" indent="5"/>
    </xf>
    <xf numFmtId="0" fontId="46" fillId="35" borderId="67" xfId="0" applyFont="1" applyFill="1" applyBorder="1" applyAlignment="1">
      <alignment horizontal="left" vertical="top" wrapText="1" indent="5"/>
    </xf>
    <xf numFmtId="0" fontId="46" fillId="35" borderId="68" xfId="0" applyFont="1" applyFill="1" applyBorder="1" applyAlignment="1">
      <alignment horizontal="left" vertical="top" wrapText="1" indent="5"/>
    </xf>
    <xf numFmtId="0" fontId="46" fillId="36" borderId="67" xfId="0" applyFont="1" applyFill="1" applyBorder="1" applyAlignment="1">
      <alignment horizontal="left" vertical="top" wrapText="1" indent="4"/>
    </xf>
    <xf numFmtId="0" fontId="46" fillId="36" borderId="68" xfId="0" applyFont="1" applyFill="1" applyBorder="1" applyAlignment="1">
      <alignment horizontal="left" vertical="top" wrapText="1" indent="4"/>
    </xf>
  </cellXfs>
  <cellStyles count="3">
    <cellStyle name="Normal" xfId="0" builtinId="0"/>
    <cellStyle name="Normal 10" xfId="2"/>
    <cellStyle name="Porcentaje" xfId="1" builtinId="5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integer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integer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connections" Target="connection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447674</xdr:colOff>
      <xdr:row>7</xdr:row>
      <xdr:rowOff>85725</xdr:rowOff>
    </xdr:from>
    <xdr:to>
      <xdr:col>7</xdr:col>
      <xdr:colOff>2228849</xdr:colOff>
      <xdr:row>10</xdr:row>
      <xdr:rowOff>114300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4" y="2371725"/>
          <a:ext cx="6353175" cy="6000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5</xdr:col>
      <xdr:colOff>9525</xdr:colOff>
      <xdr:row>7</xdr:row>
      <xdr:rowOff>28575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0" y="762000"/>
          <a:ext cx="4295775" cy="6000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</xdr:row>
      <xdr:rowOff>85725</xdr:rowOff>
    </xdr:from>
    <xdr:to>
      <xdr:col>9</xdr:col>
      <xdr:colOff>219075</xdr:colOff>
      <xdr:row>4</xdr:row>
      <xdr:rowOff>114300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76225"/>
          <a:ext cx="4295775" cy="6000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1</xdr:row>
      <xdr:rowOff>600075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3114675" cy="6000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5</xdr:row>
      <xdr:rowOff>0</xdr:rowOff>
    </xdr:from>
    <xdr:to>
      <xdr:col>3</xdr:col>
      <xdr:colOff>342900</xdr:colOff>
      <xdr:row>5</xdr:row>
      <xdr:rowOff>600075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5" y="952500"/>
          <a:ext cx="3086100" cy="6000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3</xdr:row>
      <xdr:rowOff>85725</xdr:rowOff>
    </xdr:from>
    <xdr:to>
      <xdr:col>6</xdr:col>
      <xdr:colOff>247649</xdr:colOff>
      <xdr:row>7</xdr:row>
      <xdr:rowOff>57150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657225"/>
          <a:ext cx="5419724" cy="7334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190499</xdr:rowOff>
    </xdr:from>
    <xdr:to>
      <xdr:col>4</xdr:col>
      <xdr:colOff>323849</xdr:colOff>
      <xdr:row>8</xdr:row>
      <xdr:rowOff>161924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952499"/>
          <a:ext cx="5419724" cy="7334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345281</xdr:colOff>
      <xdr:row>2</xdr:row>
      <xdr:rowOff>119062</xdr:rowOff>
    </xdr:from>
    <xdr:to>
      <xdr:col>5</xdr:col>
      <xdr:colOff>650081</xdr:colOff>
      <xdr:row>6</xdr:row>
      <xdr:rowOff>10205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6BC9D68-9942-45C3-96D0-5F76695EA4F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" t="1883" b="66537"/>
        <a:stretch/>
      </xdr:blipFill>
      <xdr:spPr bwMode="auto">
        <a:xfrm>
          <a:off x="345281" y="119062"/>
          <a:ext cx="8477250" cy="653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656203</xdr:colOff>
      <xdr:row>3</xdr:row>
      <xdr:rowOff>47625</xdr:rowOff>
    </xdr:from>
    <xdr:to>
      <xdr:col>2</xdr:col>
      <xdr:colOff>56128</xdr:colOff>
      <xdr:row>6</xdr:row>
      <xdr:rowOff>66785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F91DE554-F9DA-4D74-A6AA-D9B6C5C0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03" y="238125"/>
          <a:ext cx="923925" cy="59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1509394</xdr:colOff>
      <xdr:row>60</xdr:row>
      <xdr:rowOff>77431</xdr:rowOff>
    </xdr:from>
    <xdr:ext cx="371970" cy="181267"/>
    <xdr:pic>
      <xdr:nvPicPr>
        <xdr:cNvPr id="7" name="image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94" y="39082306"/>
          <a:ext cx="371970" cy="1812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</xdr:rowOff>
    </xdr:from>
    <xdr:to>
      <xdr:col>2</xdr:col>
      <xdr:colOff>238125</xdr:colOff>
      <xdr:row>4</xdr:row>
      <xdr:rowOff>38100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200025"/>
          <a:ext cx="34671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27</xdr:row>
      <xdr:rowOff>95250</xdr:rowOff>
    </xdr:from>
    <xdr:to>
      <xdr:col>4</xdr:col>
      <xdr:colOff>609600</xdr:colOff>
      <xdr:row>27</xdr:row>
      <xdr:rowOff>695325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5810250"/>
          <a:ext cx="3467100" cy="600075"/>
        </a:xfrm>
        <a:prstGeom prst="rect">
          <a:avLst/>
        </a:prstGeom>
      </xdr:spPr>
    </xdr:pic>
    <xdr:clientData/>
  </xdr:twoCellAnchor>
  <xdr:oneCellAnchor>
    <xdr:from>
      <xdr:col>2</xdr:col>
      <xdr:colOff>523875</xdr:colOff>
      <xdr:row>63</xdr:row>
      <xdr:rowOff>104775</xdr:rowOff>
    </xdr:from>
    <xdr:ext cx="3467100" cy="600075"/>
    <xdr:pic>
      <xdr:nvPicPr>
        <xdr:cNvPr id="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11525250"/>
          <a:ext cx="3467100" cy="600075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101</xdr:row>
      <xdr:rowOff>57150</xdr:rowOff>
    </xdr:from>
    <xdr:ext cx="3467100" cy="600075"/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5754350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124</xdr:row>
      <xdr:rowOff>133350</xdr:rowOff>
    </xdr:from>
    <xdr:ext cx="3467100" cy="600075"/>
    <xdr:pic>
      <xdr:nvPicPr>
        <xdr:cNvPr id="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1031200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173</xdr:row>
      <xdr:rowOff>114300</xdr:rowOff>
    </xdr:from>
    <xdr:ext cx="3467100" cy="600075"/>
    <xdr:pic>
      <xdr:nvPicPr>
        <xdr:cNvPr id="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28489275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240</xdr:row>
      <xdr:rowOff>0</xdr:rowOff>
    </xdr:from>
    <xdr:ext cx="3467100" cy="600075"/>
    <xdr:pic>
      <xdr:nvPicPr>
        <xdr:cNvPr id="8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31442025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307</xdr:row>
      <xdr:rowOff>133350</xdr:rowOff>
    </xdr:from>
    <xdr:ext cx="3467100" cy="600075"/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37547550"/>
          <a:ext cx="3467100" cy="6000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504444</xdr:colOff>
      <xdr:row>37</xdr:row>
      <xdr:rowOff>170624</xdr:rowOff>
    </xdr:from>
    <xdr:ext cx="1784985" cy="617855"/>
    <xdr:sp macro="" textlink="">
      <xdr:nvSpPr>
        <xdr:cNvPr id="2" name="Shape 2"/>
        <xdr:cNvSpPr/>
      </xdr:nvSpPr>
      <xdr:spPr>
        <a:xfrm>
          <a:off x="2018919" y="2618549"/>
          <a:ext cx="1784985" cy="617855"/>
        </a:xfrm>
        <a:custGeom>
          <a:avLst/>
          <a:gdLst/>
          <a:ahLst/>
          <a:cxnLst/>
          <a:rect l="0" t="0" r="0" b="0"/>
          <a:pathLst>
            <a:path w="1784985" h="617855">
              <a:moveTo>
                <a:pt x="1784985" y="0"/>
              </a:moveTo>
              <a:lnTo>
                <a:pt x="0" y="0"/>
              </a:lnTo>
              <a:lnTo>
                <a:pt x="0" y="617562"/>
              </a:lnTo>
              <a:lnTo>
                <a:pt x="1784985" y="617562"/>
              </a:lnTo>
              <a:lnTo>
                <a:pt x="1784985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1</xdr:col>
      <xdr:colOff>208011</xdr:colOff>
      <xdr:row>39</xdr:row>
      <xdr:rowOff>74950</xdr:rowOff>
    </xdr:from>
    <xdr:ext cx="1556058" cy="600821"/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011" y="7904500"/>
          <a:ext cx="1556058" cy="60082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133351</xdr:colOff>
      <xdr:row>3</xdr:row>
      <xdr:rowOff>19050</xdr:rowOff>
    </xdr:from>
    <xdr:to>
      <xdr:col>5</xdr:col>
      <xdr:colOff>1933575</xdr:colOff>
      <xdr:row>3</xdr:row>
      <xdr:rowOff>533402</xdr:rowOff>
    </xdr:to>
    <xdr:pic>
      <xdr:nvPicPr>
        <xdr:cNvPr id="2" name="1 Imagen" descr="C:\Users\Tesoreria-12\Desktop\LOGO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1" y="590550"/>
          <a:ext cx="1800224" cy="5143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6</xdr:row>
      <xdr:rowOff>19050</xdr:rowOff>
    </xdr:from>
    <xdr:to>
      <xdr:col>6</xdr:col>
      <xdr:colOff>66675</xdr:colOff>
      <xdr:row>7</xdr:row>
      <xdr:rowOff>428625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3575" y="1562100"/>
          <a:ext cx="3467100" cy="6000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2</xdr:row>
      <xdr:rowOff>133350</xdr:rowOff>
    </xdr:from>
    <xdr:to>
      <xdr:col>5</xdr:col>
      <xdr:colOff>333375</xdr:colOff>
      <xdr:row>3</xdr:row>
      <xdr:rowOff>542925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5" y="523875"/>
          <a:ext cx="3467100" cy="600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1565275</xdr:colOff>
      <xdr:row>7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15652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</xdr:colOff>
      <xdr:row>4</xdr:row>
      <xdr:rowOff>85726</xdr:rowOff>
    </xdr:from>
    <xdr:to>
      <xdr:col>5</xdr:col>
      <xdr:colOff>28575</xdr:colOff>
      <xdr:row>14</xdr:row>
      <xdr:rowOff>28575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5101" y="847726"/>
          <a:ext cx="5419724" cy="18573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22</xdr:row>
      <xdr:rowOff>66675</xdr:rowOff>
    </xdr:from>
    <xdr:to>
      <xdr:col>1</xdr:col>
      <xdr:colOff>2762250</xdr:colOff>
      <xdr:row>25</xdr:row>
      <xdr:rowOff>95250</xdr:rowOff>
    </xdr:to>
    <xdr:pic>
      <xdr:nvPicPr>
        <xdr:cNvPr id="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4638675"/>
          <a:ext cx="2447925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1" displayName="Tabla1" ref="B5:G8" totalsRowShown="0" headerRowDxfId="9" headerRowBorderDxfId="8" tableBorderDxfId="7" totalsRowBorderDxfId="6">
  <autoFilter ref="B5:G8"/>
  <tableColumns count="6">
    <tableColumn id="7" name="Articulo" dataDxfId="5"/>
    <tableColumn id="8" name="Cantidad" dataDxfId="4"/>
    <tableColumn id="9" name="Costo" dataDxfId="3"/>
    <tableColumn id="11" name="Descripcion" dataDxfId="2"/>
    <tableColumn id="16" name="Columna1" dataDxfId="1"/>
    <tableColumn id="17" name="Columna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4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5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S19"/>
  <sheetViews>
    <sheetView workbookViewId="0">
      <selection activeCell="E12" sqref="E12"/>
    </sheetView>
  </sheetViews>
  <sheetFormatPr baseColWidth="10" defaultRowHeight="15"/>
  <cols>
    <col min="1" max="1" width="7.42578125" customWidth="1"/>
    <col min="2" max="2" width="11.42578125" style="835"/>
    <col min="3" max="3" width="11.42578125" style="494"/>
    <col min="4" max="4" width="49.7109375" customWidth="1"/>
    <col min="5" max="5" width="16.85546875" customWidth="1"/>
    <col min="6" max="7" width="16.85546875" style="494" hidden="1" customWidth="1"/>
    <col min="8" max="8" width="13.85546875" hidden="1" customWidth="1"/>
    <col min="9" max="10" width="13.85546875" style="494" hidden="1" customWidth="1"/>
    <col min="11" max="11" width="11.42578125" customWidth="1"/>
    <col min="12" max="13" width="11.42578125" style="494" hidden="1" customWidth="1"/>
    <col min="15" max="16" width="0" style="494" hidden="1" customWidth="1"/>
    <col min="18" max="19" width="0" hidden="1" customWidth="1"/>
  </cols>
  <sheetData>
    <row r="1" spans="2:19">
      <c r="D1" t="s">
        <v>2816</v>
      </c>
    </row>
    <row r="2" spans="2:19" ht="45">
      <c r="B2" s="834" t="s">
        <v>0</v>
      </c>
      <c r="C2" s="766" t="s">
        <v>3148</v>
      </c>
      <c r="D2" s="23" t="s">
        <v>113</v>
      </c>
      <c r="E2" s="42" t="s">
        <v>24</v>
      </c>
      <c r="F2" s="42" t="s">
        <v>116</v>
      </c>
      <c r="G2" s="42" t="s">
        <v>117</v>
      </c>
      <c r="H2" s="42" t="s">
        <v>25</v>
      </c>
      <c r="I2" s="42" t="s">
        <v>116</v>
      </c>
      <c r="J2" s="42" t="s">
        <v>117</v>
      </c>
      <c r="K2" s="42" t="s">
        <v>26</v>
      </c>
      <c r="L2" s="42" t="s">
        <v>116</v>
      </c>
      <c r="M2" s="42" t="s">
        <v>117</v>
      </c>
      <c r="N2" s="42" t="s">
        <v>28</v>
      </c>
      <c r="O2" s="42" t="s">
        <v>116</v>
      </c>
      <c r="P2" s="42" t="s">
        <v>117</v>
      </c>
      <c r="Q2" s="42" t="s">
        <v>29</v>
      </c>
      <c r="R2" s="42" t="s">
        <v>116</v>
      </c>
      <c r="S2" s="42" t="s">
        <v>117</v>
      </c>
    </row>
    <row r="3" spans="2:19">
      <c r="B3" s="834">
        <v>1508</v>
      </c>
      <c r="C3" s="22" t="s">
        <v>3148</v>
      </c>
      <c r="D3" s="22" t="s">
        <v>1313</v>
      </c>
      <c r="E3" s="834" t="s">
        <v>2813</v>
      </c>
      <c r="F3" s="834">
        <v>34</v>
      </c>
      <c r="G3" s="834">
        <v>31</v>
      </c>
      <c r="H3" s="609" t="s">
        <v>72</v>
      </c>
      <c r="I3" s="834">
        <v>4</v>
      </c>
      <c r="J3" s="834">
        <v>14</v>
      </c>
      <c r="K3" s="834" t="s">
        <v>669</v>
      </c>
      <c r="L3" s="834">
        <v>0</v>
      </c>
      <c r="M3" s="834">
        <v>7</v>
      </c>
      <c r="N3" s="679" t="s">
        <v>1320</v>
      </c>
      <c r="O3" s="834">
        <v>27</v>
      </c>
      <c r="P3" s="834">
        <v>3</v>
      </c>
      <c r="Q3" s="834" t="s">
        <v>669</v>
      </c>
      <c r="R3" s="588"/>
      <c r="S3" s="588"/>
    </row>
    <row r="4" spans="2:19">
      <c r="B4" s="834">
        <v>2001</v>
      </c>
      <c r="C4" s="22"/>
      <c r="D4" s="22" t="s">
        <v>1314</v>
      </c>
      <c r="E4" s="834" t="s">
        <v>2813</v>
      </c>
      <c r="F4" s="834">
        <v>46</v>
      </c>
      <c r="G4" s="834">
        <v>35</v>
      </c>
      <c r="H4" s="609" t="s">
        <v>72</v>
      </c>
      <c r="I4" s="834">
        <v>7</v>
      </c>
      <c r="J4" s="834">
        <v>13</v>
      </c>
      <c r="K4" s="834" t="s">
        <v>669</v>
      </c>
      <c r="L4" s="834">
        <v>4</v>
      </c>
      <c r="M4" s="834">
        <v>2</v>
      </c>
      <c r="N4" s="834" t="s">
        <v>669</v>
      </c>
      <c r="O4" s="834">
        <v>13</v>
      </c>
      <c r="P4" s="834">
        <v>23</v>
      </c>
      <c r="Q4" s="834" t="s">
        <v>669</v>
      </c>
      <c r="R4" s="588"/>
      <c r="S4" s="588"/>
    </row>
    <row r="5" spans="2:19">
      <c r="B5" s="834">
        <v>2002</v>
      </c>
      <c r="C5" s="834">
        <v>50</v>
      </c>
      <c r="D5" s="22" t="s">
        <v>1315</v>
      </c>
      <c r="E5" s="834" t="s">
        <v>2814</v>
      </c>
      <c r="F5" s="834">
        <v>496</v>
      </c>
      <c r="G5" s="834">
        <v>82</v>
      </c>
      <c r="H5" s="609" t="s">
        <v>72</v>
      </c>
      <c r="I5" s="834">
        <v>63</v>
      </c>
      <c r="J5" s="834">
        <v>74</v>
      </c>
      <c r="K5" s="834" t="s">
        <v>2812</v>
      </c>
      <c r="L5" s="834">
        <v>114</v>
      </c>
      <c r="M5" s="834">
        <v>86</v>
      </c>
      <c r="N5" s="834" t="s">
        <v>2815</v>
      </c>
      <c r="O5" s="834"/>
      <c r="P5" s="834"/>
      <c r="Q5" s="834" t="s">
        <v>1319</v>
      </c>
      <c r="R5" s="588">
        <v>105</v>
      </c>
      <c r="S5" s="588">
        <v>39</v>
      </c>
    </row>
    <row r="6" spans="2:19">
      <c r="B6" s="834">
        <v>1510</v>
      </c>
      <c r="C6" s="22"/>
      <c r="D6" s="22" t="s">
        <v>1316</v>
      </c>
      <c r="E6" s="834" t="s">
        <v>2813</v>
      </c>
      <c r="F6" s="834">
        <v>41</v>
      </c>
      <c r="G6" s="834">
        <v>37</v>
      </c>
      <c r="H6" s="609" t="s">
        <v>72</v>
      </c>
      <c r="I6" s="834">
        <v>10</v>
      </c>
      <c r="J6" s="834">
        <v>8</v>
      </c>
      <c r="K6" s="834" t="s">
        <v>669</v>
      </c>
      <c r="L6" s="834">
        <v>2</v>
      </c>
      <c r="M6" s="834">
        <v>4</v>
      </c>
      <c r="N6" s="834" t="s">
        <v>1320</v>
      </c>
      <c r="O6" s="834">
        <v>18</v>
      </c>
      <c r="P6" s="834">
        <v>13</v>
      </c>
      <c r="Q6" s="834" t="s">
        <v>669</v>
      </c>
      <c r="R6" s="588"/>
      <c r="S6" s="588"/>
    </row>
    <row r="7" spans="2:19">
      <c r="B7" s="834">
        <v>1511</v>
      </c>
      <c r="C7" s="22"/>
      <c r="D7" s="22" t="s">
        <v>1317</v>
      </c>
      <c r="E7" s="834" t="s">
        <v>2813</v>
      </c>
      <c r="F7" s="834">
        <v>34</v>
      </c>
      <c r="G7" s="834">
        <v>42</v>
      </c>
      <c r="H7" s="609" t="s">
        <v>72</v>
      </c>
      <c r="I7" s="834">
        <v>3</v>
      </c>
      <c r="J7" s="834">
        <v>17</v>
      </c>
      <c r="K7" s="834" t="s">
        <v>669</v>
      </c>
      <c r="L7" s="834">
        <v>0</v>
      </c>
      <c r="M7" s="834">
        <v>0</v>
      </c>
      <c r="N7" s="834" t="s">
        <v>669</v>
      </c>
      <c r="O7" s="834"/>
      <c r="P7" s="834"/>
      <c r="Q7" s="834" t="s">
        <v>669</v>
      </c>
      <c r="R7" s="588"/>
      <c r="S7" s="588"/>
    </row>
    <row r="8" spans="2:19">
      <c r="E8" s="113"/>
      <c r="F8" s="113"/>
      <c r="G8" s="113"/>
      <c r="H8" s="849" t="s">
        <v>2644</v>
      </c>
      <c r="I8" s="113"/>
      <c r="J8" s="113"/>
      <c r="K8" s="850" t="s">
        <v>72</v>
      </c>
      <c r="L8" s="113"/>
      <c r="M8" s="113"/>
      <c r="N8" s="113"/>
    </row>
    <row r="9" spans="2:19">
      <c r="E9" s="113"/>
      <c r="F9" s="113"/>
      <c r="G9" s="113"/>
      <c r="H9" s="113"/>
      <c r="I9" s="113"/>
      <c r="J9" s="113"/>
      <c r="K9" s="113"/>
      <c r="L9" s="113"/>
      <c r="M9" s="113"/>
      <c r="N9" s="113"/>
    </row>
    <row r="18" spans="4:4">
      <c r="D18" t="s">
        <v>2811</v>
      </c>
    </row>
    <row r="19" spans="4:4">
      <c r="D19" s="608" t="s">
        <v>2643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H27"/>
  <sheetViews>
    <sheetView topLeftCell="A7" workbookViewId="0">
      <selection activeCell="B18" sqref="B18"/>
    </sheetView>
  </sheetViews>
  <sheetFormatPr baseColWidth="10" defaultRowHeight="15"/>
  <cols>
    <col min="2" max="2" width="40.42578125" customWidth="1"/>
  </cols>
  <sheetData>
    <row r="4" spans="1:8" ht="75">
      <c r="A4" s="1" t="s">
        <v>0</v>
      </c>
      <c r="B4" s="1" t="s">
        <v>1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spans="1:8">
      <c r="A5" s="1">
        <v>3057</v>
      </c>
      <c r="B5" s="1" t="s">
        <v>86</v>
      </c>
      <c r="C5" s="1"/>
      <c r="D5" s="1"/>
      <c r="E5" s="1"/>
      <c r="F5" s="1"/>
      <c r="G5" s="1"/>
      <c r="H5" s="1"/>
    </row>
    <row r="6" spans="1:8">
      <c r="A6" s="1">
        <v>1619</v>
      </c>
      <c r="B6" s="1" t="s">
        <v>84</v>
      </c>
      <c r="C6" s="1"/>
      <c r="D6" s="1"/>
      <c r="E6" s="1"/>
      <c r="F6" s="1"/>
      <c r="G6" s="1"/>
      <c r="H6" s="1"/>
    </row>
    <row r="7" spans="1:8">
      <c r="A7" s="1">
        <v>2648</v>
      </c>
      <c r="B7" s="1" t="s">
        <v>87</v>
      </c>
      <c r="C7" s="1"/>
      <c r="D7" s="1"/>
      <c r="E7" s="1"/>
      <c r="F7" s="1"/>
      <c r="G7" s="1"/>
      <c r="H7" s="1"/>
    </row>
    <row r="8" spans="1:8">
      <c r="A8" s="1">
        <v>14237</v>
      </c>
      <c r="B8" s="1" t="s">
        <v>82</v>
      </c>
      <c r="C8" s="1"/>
      <c r="D8" s="1"/>
      <c r="E8" s="1"/>
      <c r="F8" s="1"/>
      <c r="G8" s="1"/>
      <c r="H8" s="1"/>
    </row>
    <row r="9" spans="1:8">
      <c r="A9" s="1">
        <v>3782</v>
      </c>
      <c r="B9" s="1" t="s">
        <v>85</v>
      </c>
      <c r="C9" s="1"/>
      <c r="D9" s="1"/>
      <c r="E9" s="1"/>
      <c r="F9" s="1"/>
      <c r="G9" s="1"/>
      <c r="H9" s="1"/>
    </row>
    <row r="10" spans="1:8">
      <c r="A10" s="1">
        <v>12435</v>
      </c>
      <c r="B10" s="1" t="s">
        <v>83</v>
      </c>
      <c r="C10" s="1"/>
      <c r="D10" s="1"/>
      <c r="E10" s="1"/>
      <c r="F10" s="1"/>
      <c r="G10" s="1"/>
      <c r="H10" s="1"/>
    </row>
    <row r="13" spans="1:8" ht="30">
      <c r="B13" s="12" t="s">
        <v>69</v>
      </c>
      <c r="C13" s="13" t="s">
        <v>67</v>
      </c>
      <c r="D13" s="13" t="s">
        <v>70</v>
      </c>
      <c r="E13" s="13" t="s">
        <v>73</v>
      </c>
      <c r="F13" s="13" t="s">
        <v>74</v>
      </c>
      <c r="G13" s="13" t="s">
        <v>75</v>
      </c>
      <c r="H13" s="13" t="s">
        <v>76</v>
      </c>
    </row>
    <row r="14" spans="1:8">
      <c r="A14" s="1">
        <v>3057</v>
      </c>
      <c r="B14" s="1" t="s">
        <v>86</v>
      </c>
      <c r="C14" s="5">
        <v>12.75</v>
      </c>
      <c r="D14" s="5" t="s">
        <v>71</v>
      </c>
      <c r="E14" s="5">
        <v>36</v>
      </c>
      <c r="F14" s="6">
        <f>C14/E14</f>
        <v>0.35416666666666669</v>
      </c>
      <c r="G14" s="5">
        <v>10</v>
      </c>
      <c r="H14" s="5">
        <f>C14*G14</f>
        <v>127.5</v>
      </c>
    </row>
    <row r="15" spans="1:8" hidden="1">
      <c r="A15" s="1">
        <v>1619</v>
      </c>
      <c r="B15" s="1" t="s">
        <v>84</v>
      </c>
      <c r="C15" s="5"/>
      <c r="D15" s="5" t="s">
        <v>71</v>
      </c>
      <c r="E15" s="5"/>
      <c r="F15" s="6" t="e">
        <f t="shared" ref="F15:F18" si="0">C15/E15</f>
        <v>#DIV/0!</v>
      </c>
      <c r="G15" s="5"/>
      <c r="H15" s="5">
        <f t="shared" ref="H15:H19" si="1">C15*G15</f>
        <v>0</v>
      </c>
    </row>
    <row r="16" spans="1:8" hidden="1">
      <c r="A16" s="1">
        <v>2648</v>
      </c>
      <c r="B16" s="1" t="s">
        <v>87</v>
      </c>
      <c r="C16" s="5"/>
      <c r="D16" s="5" t="s">
        <v>71</v>
      </c>
      <c r="E16" s="5"/>
      <c r="F16" s="6" t="e">
        <f t="shared" si="0"/>
        <v>#DIV/0!</v>
      </c>
      <c r="G16" s="5"/>
      <c r="H16" s="5">
        <f t="shared" si="1"/>
        <v>0</v>
      </c>
    </row>
    <row r="17" spans="1:8">
      <c r="A17" s="1">
        <v>14237</v>
      </c>
      <c r="B17" s="1" t="s">
        <v>82</v>
      </c>
      <c r="C17" s="5">
        <v>13.5</v>
      </c>
      <c r="D17" s="5" t="s">
        <v>71</v>
      </c>
      <c r="E17" s="5">
        <v>24</v>
      </c>
      <c r="F17" s="6">
        <f t="shared" si="0"/>
        <v>0.5625</v>
      </c>
      <c r="G17" s="5">
        <v>0</v>
      </c>
      <c r="H17" s="5">
        <f t="shared" si="1"/>
        <v>0</v>
      </c>
    </row>
    <row r="18" spans="1:8">
      <c r="A18" s="1">
        <v>3782</v>
      </c>
      <c r="B18" s="1" t="s">
        <v>85</v>
      </c>
      <c r="C18" s="5">
        <v>16.5</v>
      </c>
      <c r="D18" s="5" t="s">
        <v>71</v>
      </c>
      <c r="E18" s="5">
        <v>24</v>
      </c>
      <c r="F18" s="6">
        <f t="shared" si="0"/>
        <v>0.6875</v>
      </c>
      <c r="G18" s="5">
        <v>0</v>
      </c>
      <c r="H18" s="5">
        <f t="shared" si="1"/>
        <v>0</v>
      </c>
    </row>
    <row r="19" spans="1:8" hidden="1">
      <c r="A19" s="1">
        <v>12435</v>
      </c>
      <c r="B19" s="1" t="s">
        <v>83</v>
      </c>
      <c r="C19" s="5"/>
      <c r="D19" s="5" t="s">
        <v>68</v>
      </c>
      <c r="E19" s="5"/>
      <c r="F19" s="5"/>
      <c r="G19" s="5"/>
      <c r="H19" s="5">
        <f t="shared" si="1"/>
        <v>0</v>
      </c>
    </row>
    <row r="20" spans="1:8" ht="30">
      <c r="G20" s="2" t="s">
        <v>81</v>
      </c>
      <c r="H20" s="14">
        <f>SUM(H14:H19)</f>
        <v>127.5</v>
      </c>
    </row>
    <row r="23" spans="1:8">
      <c r="H23">
        <v>90.3</v>
      </c>
    </row>
    <row r="24" spans="1:8">
      <c r="H24">
        <v>18.02</v>
      </c>
    </row>
    <row r="25" spans="1:8">
      <c r="H25">
        <v>14.45</v>
      </c>
    </row>
    <row r="26" spans="1:8">
      <c r="H26">
        <v>4.7300000000000004</v>
      </c>
    </row>
    <row r="27" spans="1:8">
      <c r="H27">
        <f>SUM(H23:H26)</f>
        <v>127.5</v>
      </c>
    </row>
  </sheetData>
  <sortState ref="A5:B10">
    <sortCondition ref="B5:B1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4"/>
  <sheetViews>
    <sheetView topLeftCell="A106" workbookViewId="0">
      <selection activeCell="B1" sqref="B1:B1048576"/>
    </sheetView>
  </sheetViews>
  <sheetFormatPr baseColWidth="10" defaultRowHeight="15"/>
  <cols>
    <col min="2" max="2" width="11.42578125" style="835"/>
    <col min="3" max="3" width="59.5703125" customWidth="1"/>
  </cols>
  <sheetData>
    <row r="2" spans="2:3">
      <c r="B2" s="842" t="s">
        <v>0</v>
      </c>
      <c r="C2" s="495" t="s">
        <v>1</v>
      </c>
    </row>
    <row r="3" spans="2:3">
      <c r="B3" s="842">
        <v>2647</v>
      </c>
      <c r="C3" s="495" t="s">
        <v>2255</v>
      </c>
    </row>
    <row r="4" spans="2:3">
      <c r="B4" s="842">
        <v>6132</v>
      </c>
      <c r="C4" s="495" t="s">
        <v>2847</v>
      </c>
    </row>
    <row r="5" spans="2:3">
      <c r="B5" s="842">
        <v>6382</v>
      </c>
      <c r="C5" s="495" t="s">
        <v>2848</v>
      </c>
    </row>
    <row r="6" spans="2:3">
      <c r="B6" s="842">
        <v>6383</v>
      </c>
      <c r="C6" s="495" t="s">
        <v>2849</v>
      </c>
    </row>
    <row r="7" spans="2:3">
      <c r="B7" s="842">
        <v>6384</v>
      </c>
      <c r="C7" s="495" t="s">
        <v>2850</v>
      </c>
    </row>
    <row r="8" spans="2:3">
      <c r="B8" s="842">
        <v>6385</v>
      </c>
      <c r="C8" s="495" t="s">
        <v>2851</v>
      </c>
    </row>
    <row r="9" spans="2:3">
      <c r="B9" s="842">
        <v>6386</v>
      </c>
      <c r="C9" s="495" t="s">
        <v>2852</v>
      </c>
    </row>
    <row r="10" spans="2:3">
      <c r="B10" s="842">
        <v>6415</v>
      </c>
      <c r="C10" s="495" t="s">
        <v>2853</v>
      </c>
    </row>
    <row r="11" spans="2:3">
      <c r="B11" s="842">
        <v>6417</v>
      </c>
      <c r="C11" s="495" t="s">
        <v>2854</v>
      </c>
    </row>
    <row r="12" spans="2:3">
      <c r="B12" s="842">
        <v>6452</v>
      </c>
      <c r="C12" s="495" t="s">
        <v>2855</v>
      </c>
    </row>
    <row r="13" spans="2:3">
      <c r="B13" s="842">
        <v>6593</v>
      </c>
      <c r="C13" s="495" t="s">
        <v>2856</v>
      </c>
    </row>
    <row r="14" spans="2:3">
      <c r="B14" s="842">
        <v>6595</v>
      </c>
      <c r="C14" s="495" t="s">
        <v>2857</v>
      </c>
    </row>
    <row r="15" spans="2:3">
      <c r="B15" s="842">
        <v>6645</v>
      </c>
      <c r="C15" s="495" t="s">
        <v>2858</v>
      </c>
    </row>
    <row r="16" spans="2:3">
      <c r="B16" s="842">
        <v>6826</v>
      </c>
      <c r="C16" s="495" t="s">
        <v>2859</v>
      </c>
    </row>
    <row r="17" spans="2:3">
      <c r="B17" s="842">
        <v>7197</v>
      </c>
      <c r="C17" s="495" t="s">
        <v>2860</v>
      </c>
    </row>
    <row r="18" spans="2:3">
      <c r="B18" s="842">
        <v>7217</v>
      </c>
      <c r="C18" s="495" t="s">
        <v>2861</v>
      </c>
    </row>
    <row r="19" spans="2:3">
      <c r="B19" s="842">
        <v>7254</v>
      </c>
      <c r="C19" s="495" t="s">
        <v>2862</v>
      </c>
    </row>
    <row r="20" spans="2:3">
      <c r="B20" s="842">
        <v>7911</v>
      </c>
      <c r="C20" s="495" t="s">
        <v>2863</v>
      </c>
    </row>
    <row r="21" spans="2:3">
      <c r="B21" s="842">
        <v>8016</v>
      </c>
      <c r="C21" s="495" t="s">
        <v>2864</v>
      </c>
    </row>
    <row r="22" spans="2:3">
      <c r="B22" s="842">
        <v>8017</v>
      </c>
      <c r="C22" s="495" t="s">
        <v>2674</v>
      </c>
    </row>
    <row r="23" spans="2:3">
      <c r="B23" s="842">
        <v>8117</v>
      </c>
      <c r="C23" s="495" t="s">
        <v>2675</v>
      </c>
    </row>
    <row r="24" spans="2:3">
      <c r="B24" s="842">
        <v>8255</v>
      </c>
      <c r="C24" s="495" t="s">
        <v>2865</v>
      </c>
    </row>
    <row r="25" spans="2:3">
      <c r="B25" s="842">
        <v>8464</v>
      </c>
      <c r="C25" s="495" t="s">
        <v>2866</v>
      </c>
    </row>
    <row r="26" spans="2:3">
      <c r="B26" s="842">
        <v>9570</v>
      </c>
      <c r="C26" s="495" t="s">
        <v>2867</v>
      </c>
    </row>
    <row r="27" spans="2:3">
      <c r="B27" s="842">
        <v>9744</v>
      </c>
      <c r="C27" s="495" t="s">
        <v>2868</v>
      </c>
    </row>
    <row r="28" spans="2:3">
      <c r="B28" s="842">
        <v>9776</v>
      </c>
      <c r="C28" s="495" t="s">
        <v>2869</v>
      </c>
    </row>
    <row r="29" spans="2:3">
      <c r="B29" s="842">
        <v>9778</v>
      </c>
      <c r="C29" s="495" t="s">
        <v>2870</v>
      </c>
    </row>
    <row r="30" spans="2:3">
      <c r="B30" s="842">
        <v>9838</v>
      </c>
      <c r="C30" s="495" t="s">
        <v>2871</v>
      </c>
    </row>
    <row r="31" spans="2:3">
      <c r="B31" s="842">
        <v>9839</v>
      </c>
      <c r="C31" s="495" t="s">
        <v>2872</v>
      </c>
    </row>
    <row r="32" spans="2:3">
      <c r="B32" s="842">
        <v>9871</v>
      </c>
      <c r="C32" s="495" t="s">
        <v>2873</v>
      </c>
    </row>
    <row r="33" spans="2:3">
      <c r="B33" s="842">
        <v>10068</v>
      </c>
      <c r="C33" s="495" t="s">
        <v>2874</v>
      </c>
    </row>
    <row r="34" spans="2:3">
      <c r="B34" s="842">
        <v>10209</v>
      </c>
      <c r="C34" s="495" t="s">
        <v>2875</v>
      </c>
    </row>
    <row r="35" spans="2:3">
      <c r="B35" s="842">
        <v>10772</v>
      </c>
      <c r="C35" s="495" t="s">
        <v>2876</v>
      </c>
    </row>
    <row r="36" spans="2:3">
      <c r="B36" s="842">
        <v>14084</v>
      </c>
      <c r="C36" s="495" t="s">
        <v>2877</v>
      </c>
    </row>
    <row r="37" spans="2:3">
      <c r="B37" s="842">
        <v>14841</v>
      </c>
      <c r="C37" s="495" t="s">
        <v>2878</v>
      </c>
    </row>
    <row r="38" spans="2:3">
      <c r="B38" s="842">
        <v>9505</v>
      </c>
      <c r="C38" s="495" t="s">
        <v>2879</v>
      </c>
    </row>
    <row r="39" spans="2:3">
      <c r="B39" s="842">
        <v>1691</v>
      </c>
      <c r="C39" s="495" t="s">
        <v>2880</v>
      </c>
    </row>
    <row r="40" spans="2:3">
      <c r="B40" s="842">
        <v>2407</v>
      </c>
      <c r="C40" s="495" t="s">
        <v>2881</v>
      </c>
    </row>
    <row r="41" spans="2:3">
      <c r="B41" s="842">
        <v>6120</v>
      </c>
      <c r="C41" s="495" t="s">
        <v>2882</v>
      </c>
    </row>
    <row r="42" spans="2:3">
      <c r="B42" s="842">
        <v>6330</v>
      </c>
      <c r="C42" s="495" t="s">
        <v>2883</v>
      </c>
    </row>
    <row r="43" spans="2:3">
      <c r="B43" s="842">
        <v>6419</v>
      </c>
      <c r="C43" s="495" t="s">
        <v>2884</v>
      </c>
    </row>
    <row r="44" spans="2:3">
      <c r="B44" s="842">
        <v>6951</v>
      </c>
      <c r="C44" s="495" t="s">
        <v>2885</v>
      </c>
    </row>
    <row r="45" spans="2:3">
      <c r="B45" s="842">
        <v>8027</v>
      </c>
      <c r="C45" s="495" t="s">
        <v>2886</v>
      </c>
    </row>
    <row r="46" spans="2:3">
      <c r="B46" s="842">
        <v>8362</v>
      </c>
      <c r="C46" s="495" t="s">
        <v>2887</v>
      </c>
    </row>
    <row r="47" spans="2:3">
      <c r="B47" s="842">
        <v>8363</v>
      </c>
      <c r="C47" s="495" t="s">
        <v>2888</v>
      </c>
    </row>
    <row r="48" spans="2:3">
      <c r="B48" s="842">
        <v>9673</v>
      </c>
      <c r="C48" s="495" t="s">
        <v>2889</v>
      </c>
    </row>
    <row r="49" spans="2:3">
      <c r="B49" s="842">
        <v>10207</v>
      </c>
      <c r="C49" s="495" t="s">
        <v>2890</v>
      </c>
    </row>
    <row r="50" spans="2:3">
      <c r="B50" s="842">
        <v>10208</v>
      </c>
      <c r="C50" s="495" t="s">
        <v>2891</v>
      </c>
    </row>
    <row r="51" spans="2:3">
      <c r="B51" s="842">
        <v>13842</v>
      </c>
      <c r="C51" s="495" t="s">
        <v>2892</v>
      </c>
    </row>
    <row r="52" spans="2:3">
      <c r="B52" s="842">
        <v>15638</v>
      </c>
      <c r="C52" s="495" t="s">
        <v>2893</v>
      </c>
    </row>
    <row r="53" spans="2:3">
      <c r="B53" s="842">
        <v>7719</v>
      </c>
      <c r="C53" s="495" t="s">
        <v>2894</v>
      </c>
    </row>
    <row r="54" spans="2:3">
      <c r="B54" s="842">
        <v>9795</v>
      </c>
      <c r="C54" s="495" t="s">
        <v>2895</v>
      </c>
    </row>
    <row r="55" spans="2:3">
      <c r="B55" s="842">
        <v>14938</v>
      </c>
      <c r="C55" s="495" t="s">
        <v>2896</v>
      </c>
    </row>
    <row r="56" spans="2:3">
      <c r="B56" s="842">
        <v>15693</v>
      </c>
      <c r="C56" s="495" t="s">
        <v>2897</v>
      </c>
    </row>
    <row r="57" spans="2:3">
      <c r="B57" s="842">
        <v>15694</v>
      </c>
      <c r="C57" s="495" t="s">
        <v>2898</v>
      </c>
    </row>
    <row r="58" spans="2:3">
      <c r="B58" s="842">
        <v>15695</v>
      </c>
      <c r="C58" s="495" t="s">
        <v>2899</v>
      </c>
    </row>
    <row r="59" spans="2:3">
      <c r="B59" s="842">
        <v>15696</v>
      </c>
      <c r="C59" s="495" t="s">
        <v>2900</v>
      </c>
    </row>
    <row r="60" spans="2:3">
      <c r="B60" s="842">
        <v>15698</v>
      </c>
      <c r="C60" s="495" t="s">
        <v>2901</v>
      </c>
    </row>
    <row r="61" spans="2:3">
      <c r="B61" s="842">
        <v>680</v>
      </c>
      <c r="C61" s="495" t="s">
        <v>2902</v>
      </c>
    </row>
    <row r="62" spans="2:3">
      <c r="B62" s="842">
        <v>6655</v>
      </c>
      <c r="C62" s="495" t="s">
        <v>2903</v>
      </c>
    </row>
    <row r="63" spans="2:3">
      <c r="B63" s="842">
        <v>6886</v>
      </c>
      <c r="C63" s="495" t="s">
        <v>2904</v>
      </c>
    </row>
    <row r="64" spans="2:3">
      <c r="B64" s="842">
        <v>6941</v>
      </c>
      <c r="C64" s="495" t="s">
        <v>2905</v>
      </c>
    </row>
    <row r="65" spans="2:3">
      <c r="B65" s="842">
        <v>7130</v>
      </c>
      <c r="C65" s="495" t="s">
        <v>2906</v>
      </c>
    </row>
    <row r="66" spans="2:3">
      <c r="B66" s="842">
        <v>8364</v>
      </c>
      <c r="C66" s="495" t="s">
        <v>2907</v>
      </c>
    </row>
    <row r="67" spans="2:3">
      <c r="B67" s="842">
        <v>8809</v>
      </c>
      <c r="C67" s="495" t="s">
        <v>2908</v>
      </c>
    </row>
    <row r="68" spans="2:3">
      <c r="B68" s="842">
        <v>9396</v>
      </c>
      <c r="C68" s="495" t="s">
        <v>2909</v>
      </c>
    </row>
    <row r="69" spans="2:3">
      <c r="B69" s="842">
        <v>9987</v>
      </c>
      <c r="C69" s="495" t="s">
        <v>2910</v>
      </c>
    </row>
    <row r="70" spans="2:3">
      <c r="B70" s="842">
        <v>11272</v>
      </c>
      <c r="C70" s="495" t="s">
        <v>2911</v>
      </c>
    </row>
    <row r="71" spans="2:3">
      <c r="B71" s="842">
        <v>13580</v>
      </c>
      <c r="C71" s="495" t="s">
        <v>2912</v>
      </c>
    </row>
    <row r="72" spans="2:3">
      <c r="B72" s="842">
        <v>13843</v>
      </c>
      <c r="C72" s="495" t="s">
        <v>2913</v>
      </c>
    </row>
    <row r="73" spans="2:3">
      <c r="B73" s="842">
        <v>13844</v>
      </c>
      <c r="C73" s="495" t="s">
        <v>2914</v>
      </c>
    </row>
    <row r="74" spans="2:3">
      <c r="B74" s="842">
        <v>13845</v>
      </c>
      <c r="C74" s="495" t="s">
        <v>2915</v>
      </c>
    </row>
    <row r="75" spans="2:3">
      <c r="B75" s="842">
        <v>16121</v>
      </c>
      <c r="C75" s="495" t="s">
        <v>2916</v>
      </c>
    </row>
    <row r="76" spans="2:3">
      <c r="B76" s="842">
        <v>16123</v>
      </c>
      <c r="C76" s="495" t="s">
        <v>2917</v>
      </c>
    </row>
    <row r="77" spans="2:3">
      <c r="B77" s="842">
        <v>16124</v>
      </c>
      <c r="C77" s="495" t="s">
        <v>2918</v>
      </c>
    </row>
    <row r="78" spans="2:3">
      <c r="B78" s="842">
        <v>16125</v>
      </c>
      <c r="C78" s="495" t="s">
        <v>2919</v>
      </c>
    </row>
    <row r="79" spans="2:3">
      <c r="B79" s="842">
        <v>16281</v>
      </c>
      <c r="C79" s="495" t="s">
        <v>2920</v>
      </c>
    </row>
    <row r="80" spans="2:3">
      <c r="B80" s="842">
        <v>11020</v>
      </c>
      <c r="C80" s="495" t="s">
        <v>2921</v>
      </c>
    </row>
    <row r="81" spans="2:3">
      <c r="B81" s="842">
        <v>11018</v>
      </c>
      <c r="C81" s="495" t="s">
        <v>2922</v>
      </c>
    </row>
    <row r="82" spans="2:3">
      <c r="B82" s="842">
        <v>11612</v>
      </c>
      <c r="C82" s="495" t="s">
        <v>2923</v>
      </c>
    </row>
    <row r="83" spans="2:3">
      <c r="B83" s="842">
        <v>11613</v>
      </c>
      <c r="C83" s="495" t="s">
        <v>2924</v>
      </c>
    </row>
    <row r="84" spans="2:3">
      <c r="B84" s="842">
        <v>11617</v>
      </c>
      <c r="C84" s="495" t="s">
        <v>2925</v>
      </c>
    </row>
    <row r="85" spans="2:3">
      <c r="B85" s="842">
        <v>6416</v>
      </c>
      <c r="C85" s="495" t="s">
        <v>2926</v>
      </c>
    </row>
    <row r="86" spans="2:3">
      <c r="B86" s="842">
        <v>953</v>
      </c>
      <c r="C86" s="495" t="s">
        <v>2927</v>
      </c>
    </row>
    <row r="87" spans="2:3">
      <c r="B87" s="842">
        <v>956</v>
      </c>
      <c r="C87" s="495" t="s">
        <v>2928</v>
      </c>
    </row>
    <row r="88" spans="2:3">
      <c r="B88" s="842">
        <v>7331</v>
      </c>
      <c r="C88" s="495" t="s">
        <v>2929</v>
      </c>
    </row>
    <row r="89" spans="2:3">
      <c r="B89" s="842">
        <v>9638</v>
      </c>
      <c r="C89" s="495" t="s">
        <v>2930</v>
      </c>
    </row>
    <row r="90" spans="2:3">
      <c r="B90" s="842">
        <v>9763</v>
      </c>
      <c r="C90" s="495" t="s">
        <v>2931</v>
      </c>
    </row>
    <row r="91" spans="2:3">
      <c r="B91" s="842">
        <v>13835</v>
      </c>
      <c r="C91" s="495" t="s">
        <v>2932</v>
      </c>
    </row>
    <row r="92" spans="2:3">
      <c r="B92" s="842">
        <v>9989</v>
      </c>
      <c r="C92" s="495" t="s">
        <v>2933</v>
      </c>
    </row>
    <row r="93" spans="2:3">
      <c r="B93" s="842">
        <v>18205</v>
      </c>
      <c r="C93" s="495" t="s">
        <v>2934</v>
      </c>
    </row>
    <row r="94" spans="2:3">
      <c r="B94" s="842">
        <v>103</v>
      </c>
      <c r="C94" s="495" t="s">
        <v>2935</v>
      </c>
    </row>
    <row r="95" spans="2:3">
      <c r="B95" s="842">
        <v>104</v>
      </c>
      <c r="C95" s="495" t="s">
        <v>2936</v>
      </c>
    </row>
    <row r="96" spans="2:3">
      <c r="B96" s="842">
        <v>128</v>
      </c>
      <c r="C96" s="495" t="s">
        <v>2937</v>
      </c>
    </row>
    <row r="97" spans="2:3">
      <c r="B97" s="842">
        <v>301</v>
      </c>
      <c r="C97" s="495" t="s">
        <v>2938</v>
      </c>
    </row>
    <row r="98" spans="2:3">
      <c r="B98" s="842">
        <v>313</v>
      </c>
      <c r="C98" s="495" t="s">
        <v>2939</v>
      </c>
    </row>
    <row r="99" spans="2:3">
      <c r="B99" s="842">
        <v>314</v>
      </c>
      <c r="C99" s="495" t="s">
        <v>2940</v>
      </c>
    </row>
    <row r="100" spans="2:3">
      <c r="B100" s="842">
        <v>6550</v>
      </c>
      <c r="C100" s="495" t="s">
        <v>2941</v>
      </c>
    </row>
    <row r="101" spans="2:3">
      <c r="B101" s="842">
        <v>6552</v>
      </c>
      <c r="C101" s="495" t="s">
        <v>2942</v>
      </c>
    </row>
    <row r="102" spans="2:3">
      <c r="B102" s="842">
        <v>6654</v>
      </c>
      <c r="C102" s="495" t="s">
        <v>2943</v>
      </c>
    </row>
    <row r="103" spans="2:3">
      <c r="B103" s="842">
        <v>7847</v>
      </c>
      <c r="C103" s="495" t="s">
        <v>2944</v>
      </c>
    </row>
    <row r="104" spans="2:3">
      <c r="B104" s="842">
        <v>8353</v>
      </c>
      <c r="C104" s="495" t="s">
        <v>2945</v>
      </c>
    </row>
    <row r="105" spans="2:3">
      <c r="B105" s="842">
        <v>8365</v>
      </c>
      <c r="C105" s="495" t="s">
        <v>2946</v>
      </c>
    </row>
    <row r="106" spans="2:3">
      <c r="B106" s="842">
        <v>8374</v>
      </c>
      <c r="C106" s="495" t="s">
        <v>2947</v>
      </c>
    </row>
    <row r="107" spans="2:3">
      <c r="B107" s="842">
        <v>9435</v>
      </c>
      <c r="C107" s="495" t="s">
        <v>2948</v>
      </c>
    </row>
    <row r="108" spans="2:3">
      <c r="B108" s="842">
        <v>9874</v>
      </c>
      <c r="C108" s="495" t="s">
        <v>2949</v>
      </c>
    </row>
    <row r="109" spans="2:3">
      <c r="B109" s="842">
        <v>10624</v>
      </c>
      <c r="C109" s="495" t="s">
        <v>2950</v>
      </c>
    </row>
    <row r="110" spans="2:3">
      <c r="B110" s="842">
        <v>11615</v>
      </c>
      <c r="C110" s="495" t="s">
        <v>2951</v>
      </c>
    </row>
    <row r="111" spans="2:3">
      <c r="B111" s="842">
        <v>12852</v>
      </c>
      <c r="C111" s="495" t="s">
        <v>2952</v>
      </c>
    </row>
    <row r="112" spans="2:3">
      <c r="B112" s="842">
        <v>5203</v>
      </c>
      <c r="C112" s="495" t="s">
        <v>2953</v>
      </c>
    </row>
    <row r="113" spans="2:3">
      <c r="B113" s="842">
        <v>6134</v>
      </c>
      <c r="C113" s="495" t="s">
        <v>2954</v>
      </c>
    </row>
    <row r="114" spans="2:3">
      <c r="B114" s="842">
        <v>6138</v>
      </c>
      <c r="C114" s="495" t="s">
        <v>2955</v>
      </c>
    </row>
    <row r="115" spans="2:3">
      <c r="B115" s="842">
        <v>6140</v>
      </c>
      <c r="C115" s="495" t="s">
        <v>2956</v>
      </c>
    </row>
    <row r="116" spans="2:3">
      <c r="B116" s="842">
        <v>6381</v>
      </c>
      <c r="C116" s="495" t="s">
        <v>2957</v>
      </c>
    </row>
    <row r="117" spans="2:3">
      <c r="B117" s="842">
        <v>6594</v>
      </c>
      <c r="C117" s="495" t="s">
        <v>2958</v>
      </c>
    </row>
    <row r="118" spans="2:3">
      <c r="B118" s="842">
        <v>8115</v>
      </c>
      <c r="C118" s="495" t="s">
        <v>2959</v>
      </c>
    </row>
    <row r="119" spans="2:3">
      <c r="B119" s="842">
        <v>10064</v>
      </c>
      <c r="C119" s="495" t="s">
        <v>2960</v>
      </c>
    </row>
    <row r="120" spans="2:3">
      <c r="B120" s="842">
        <v>20079</v>
      </c>
      <c r="C120" s="495" t="s">
        <v>2961</v>
      </c>
    </row>
    <row r="121" spans="2:3">
      <c r="B121" s="842">
        <v>20080</v>
      </c>
      <c r="C121" s="495" t="s">
        <v>2962</v>
      </c>
    </row>
    <row r="122" spans="2:3">
      <c r="B122" s="842">
        <v>8566</v>
      </c>
      <c r="C122" s="495" t="s">
        <v>2963</v>
      </c>
    </row>
    <row r="123" spans="2:3">
      <c r="B123" s="842">
        <v>10201</v>
      </c>
      <c r="C123" s="495" t="s">
        <v>2964</v>
      </c>
    </row>
    <row r="124" spans="2:3">
      <c r="B124" s="842">
        <v>20661</v>
      </c>
      <c r="C124" s="495" t="s">
        <v>2965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3"/>
  <sheetViews>
    <sheetView topLeftCell="A120" workbookViewId="0">
      <selection activeCell="C94" sqref="C94"/>
    </sheetView>
  </sheetViews>
  <sheetFormatPr baseColWidth="10" defaultRowHeight="15"/>
  <cols>
    <col min="1" max="1" width="11.42578125" style="494"/>
    <col min="2" max="2" width="17.85546875" style="573" hidden="1" customWidth="1"/>
    <col min="3" max="3" width="43.28515625" style="573" customWidth="1"/>
    <col min="4" max="4" width="14.7109375" style="499" customWidth="1"/>
    <col min="5" max="5" width="14.42578125" style="573" hidden="1" customWidth="1"/>
    <col min="6" max="6" width="11.42578125" style="573" hidden="1" customWidth="1"/>
    <col min="7" max="7" width="48.140625" style="573" hidden="1" customWidth="1"/>
    <col min="8" max="8" width="11.42578125" style="806" hidden="1" customWidth="1"/>
    <col min="9" max="9" width="11.42578125" style="573" hidden="1" customWidth="1"/>
    <col min="10" max="10" width="11.42578125" style="374" hidden="1" customWidth="1"/>
    <col min="11" max="11" width="23.5703125" style="583" customWidth="1"/>
    <col min="12" max="12" width="12.42578125" style="583" hidden="1" customWidth="1"/>
    <col min="13" max="13" width="15.140625" style="583" hidden="1" customWidth="1"/>
    <col min="14" max="14" width="11.42578125" hidden="1" customWidth="1"/>
    <col min="15" max="15" width="16.5703125" style="583" hidden="1" customWidth="1"/>
    <col min="16" max="16" width="11.42578125" style="583" hidden="1" customWidth="1"/>
    <col min="17" max="17" width="16" style="583" hidden="1" customWidth="1"/>
    <col min="18" max="20" width="11.42578125" style="583" hidden="1" customWidth="1"/>
  </cols>
  <sheetData>
    <row r="1" spans="2:20">
      <c r="E1" s="891" t="s">
        <v>2553</v>
      </c>
      <c r="F1" s="891"/>
      <c r="G1" s="891"/>
      <c r="H1" s="891"/>
      <c r="I1" s="891"/>
      <c r="J1" s="891"/>
      <c r="K1" s="891"/>
      <c r="L1" s="891"/>
      <c r="M1" s="891"/>
      <c r="N1" s="891"/>
    </row>
    <row r="2" spans="2:20">
      <c r="B2" s="109" t="s">
        <v>2358</v>
      </c>
      <c r="D2" s="499" t="s">
        <v>2359</v>
      </c>
    </row>
    <row r="3" spans="2:20">
      <c r="C3" s="573">
        <v>44461</v>
      </c>
      <c r="G3" s="109"/>
      <c r="H3" s="807" t="s">
        <v>2360</v>
      </c>
      <c r="I3" s="109"/>
    </row>
    <row r="4" spans="2:20" ht="61.5" customHeight="1">
      <c r="B4" s="109" t="s">
        <v>123</v>
      </c>
      <c r="D4" s="499" t="s">
        <v>123</v>
      </c>
      <c r="G4" s="43" t="s">
        <v>2361</v>
      </c>
      <c r="H4" s="568" t="s">
        <v>2362</v>
      </c>
      <c r="I4" s="43" t="s">
        <v>2363</v>
      </c>
      <c r="J4" s="356" t="s">
        <v>2364</v>
      </c>
      <c r="K4" s="893" t="s">
        <v>2554</v>
      </c>
      <c r="L4" s="893"/>
      <c r="M4" s="892" t="s">
        <v>25</v>
      </c>
      <c r="N4" s="892"/>
      <c r="O4" s="890" t="s">
        <v>26</v>
      </c>
      <c r="P4" s="890"/>
      <c r="Q4" s="892" t="s">
        <v>778</v>
      </c>
      <c r="R4" s="892"/>
      <c r="S4" s="890" t="s">
        <v>706</v>
      </c>
      <c r="T4" s="890"/>
    </row>
    <row r="5" spans="2:20" ht="30">
      <c r="B5" s="354" t="s">
        <v>2365</v>
      </c>
      <c r="C5" s="354" t="s">
        <v>113</v>
      </c>
      <c r="D5" s="585" t="s">
        <v>2366</v>
      </c>
      <c r="E5" s="355" t="s">
        <v>1860</v>
      </c>
      <c r="F5" s="354" t="s">
        <v>2367</v>
      </c>
      <c r="G5" s="354" t="s">
        <v>2368</v>
      </c>
      <c r="H5" s="787" t="s">
        <v>2368</v>
      </c>
      <c r="I5" s="354" t="s">
        <v>2368</v>
      </c>
      <c r="J5" s="679" t="s">
        <v>2368</v>
      </c>
      <c r="K5" s="354" t="s">
        <v>75</v>
      </c>
      <c r="L5" s="354" t="s">
        <v>637</v>
      </c>
      <c r="M5" s="354" t="s">
        <v>75</v>
      </c>
      <c r="N5" s="354" t="s">
        <v>637</v>
      </c>
      <c r="O5" s="354" t="s">
        <v>75</v>
      </c>
      <c r="P5" s="354" t="s">
        <v>637</v>
      </c>
      <c r="Q5" s="354" t="s">
        <v>75</v>
      </c>
      <c r="R5" s="354" t="s">
        <v>637</v>
      </c>
      <c r="S5" s="354" t="s">
        <v>75</v>
      </c>
      <c r="T5" s="354" t="s">
        <v>637</v>
      </c>
    </row>
    <row r="6" spans="2:20" hidden="1">
      <c r="B6" s="574"/>
      <c r="C6" s="23" t="s">
        <v>2369</v>
      </c>
      <c r="D6" s="487"/>
      <c r="E6" s="574"/>
      <c r="F6" s="574"/>
      <c r="G6" s="574"/>
      <c r="H6" s="808"/>
      <c r="I6" s="574"/>
      <c r="J6" s="780"/>
      <c r="K6" s="77"/>
      <c r="L6" s="77"/>
      <c r="M6" s="584"/>
      <c r="N6" s="495"/>
      <c r="O6" s="584"/>
      <c r="P6" s="584"/>
      <c r="Q6" s="584"/>
      <c r="R6" s="584"/>
      <c r="S6" s="584"/>
      <c r="T6" s="584"/>
    </row>
    <row r="7" spans="2:20" hidden="1">
      <c r="B7" s="574" t="s">
        <v>2370</v>
      </c>
      <c r="C7" s="574" t="s">
        <v>2371</v>
      </c>
      <c r="D7" s="487">
        <v>7595334001982</v>
      </c>
      <c r="E7" s="574" t="s">
        <v>2372</v>
      </c>
      <c r="F7" s="574" t="s">
        <v>2373</v>
      </c>
      <c r="G7" s="6">
        <v>4.3859649122807021</v>
      </c>
      <c r="H7" s="809">
        <f t="shared" ref="H7:H10" si="0">G7/F7</f>
        <v>0.18274853801169591</v>
      </c>
      <c r="I7" s="6">
        <f t="shared" ref="I7:I10" si="1">G7*1.16</f>
        <v>5.0877192982456139</v>
      </c>
      <c r="J7" s="804">
        <f t="shared" ref="J7:J10" si="2">I7/F7</f>
        <v>0.21198830409356725</v>
      </c>
      <c r="K7" s="77"/>
      <c r="L7" s="590">
        <f>I7*K7</f>
        <v>0</v>
      </c>
      <c r="M7" s="584"/>
      <c r="N7" s="584">
        <f>I7*M7</f>
        <v>0</v>
      </c>
      <c r="O7" s="584"/>
      <c r="P7" s="584">
        <f>I7*O7</f>
        <v>0</v>
      </c>
      <c r="Q7" s="584"/>
      <c r="R7" s="584">
        <f>I7*Q7</f>
        <v>0</v>
      </c>
      <c r="S7" s="584"/>
      <c r="T7" s="584"/>
    </row>
    <row r="8" spans="2:20" hidden="1">
      <c r="B8" s="574" t="s">
        <v>2374</v>
      </c>
      <c r="C8" s="574" t="s">
        <v>2375</v>
      </c>
      <c r="D8" s="487">
        <v>7595334001975</v>
      </c>
      <c r="E8" s="574" t="s">
        <v>2372</v>
      </c>
      <c r="F8" s="574" t="s">
        <v>2373</v>
      </c>
      <c r="G8" s="6">
        <v>4.3859649122807021</v>
      </c>
      <c r="H8" s="809">
        <f t="shared" si="0"/>
        <v>0.18274853801169591</v>
      </c>
      <c r="I8" s="6">
        <f t="shared" si="1"/>
        <v>5.0877192982456139</v>
      </c>
      <c r="J8" s="804">
        <f t="shared" si="2"/>
        <v>0.21198830409356725</v>
      </c>
      <c r="K8" s="77"/>
      <c r="L8" s="590">
        <f t="shared" ref="L8:L71" si="3">I8*K8</f>
        <v>0</v>
      </c>
      <c r="M8" s="584"/>
      <c r="N8" s="584">
        <f t="shared" ref="N8:N71" si="4">I8*M8</f>
        <v>0</v>
      </c>
      <c r="O8" s="584"/>
      <c r="P8" s="584">
        <f t="shared" ref="P8:P71" si="5">I8*O8</f>
        <v>0</v>
      </c>
      <c r="Q8" s="584"/>
      <c r="R8" s="584">
        <f t="shared" ref="R8:R71" si="6">I8*Q8</f>
        <v>0</v>
      </c>
      <c r="S8" s="584"/>
      <c r="T8" s="584"/>
    </row>
    <row r="9" spans="2:20" hidden="1">
      <c r="B9" s="574"/>
      <c r="C9" s="574" t="s">
        <v>2376</v>
      </c>
      <c r="D9" s="487">
        <v>17598049000025</v>
      </c>
      <c r="E9" s="574" t="s">
        <v>2377</v>
      </c>
      <c r="F9" s="574" t="s">
        <v>2378</v>
      </c>
      <c r="G9" s="6">
        <v>13.533834586466167</v>
      </c>
      <c r="H9" s="809">
        <f t="shared" si="0"/>
        <v>1.1278195488721805</v>
      </c>
      <c r="I9" s="6">
        <f t="shared" si="1"/>
        <v>15.699248120300753</v>
      </c>
      <c r="J9" s="804">
        <f t="shared" si="2"/>
        <v>1.3082706766917294</v>
      </c>
      <c r="K9" s="77"/>
      <c r="L9" s="590">
        <f t="shared" si="3"/>
        <v>0</v>
      </c>
      <c r="M9" s="584"/>
      <c r="N9" s="584">
        <f t="shared" si="4"/>
        <v>0</v>
      </c>
      <c r="O9" s="584"/>
      <c r="P9" s="584">
        <f t="shared" si="5"/>
        <v>0</v>
      </c>
      <c r="Q9" s="584"/>
      <c r="R9" s="584">
        <f t="shared" si="6"/>
        <v>0</v>
      </c>
      <c r="S9" s="584"/>
      <c r="T9" s="584"/>
    </row>
    <row r="10" spans="2:20" hidden="1">
      <c r="B10" s="574"/>
      <c r="C10" s="574" t="s">
        <v>2379</v>
      </c>
      <c r="D10" s="487">
        <v>17598049000018</v>
      </c>
      <c r="E10" s="574" t="s">
        <v>2377</v>
      </c>
      <c r="F10" s="574" t="s">
        <v>2378</v>
      </c>
      <c r="G10" s="6">
        <v>22.556390977443613</v>
      </c>
      <c r="H10" s="809">
        <f t="shared" si="0"/>
        <v>1.879699248120301</v>
      </c>
      <c r="I10" s="6">
        <f t="shared" si="1"/>
        <v>26.165413533834588</v>
      </c>
      <c r="J10" s="804">
        <f t="shared" si="2"/>
        <v>2.1804511278195489</v>
      </c>
      <c r="K10" s="77"/>
      <c r="L10" s="590">
        <f t="shared" si="3"/>
        <v>0</v>
      </c>
      <c r="M10" s="584"/>
      <c r="N10" s="584">
        <f t="shared" si="4"/>
        <v>0</v>
      </c>
      <c r="O10" s="584"/>
      <c r="P10" s="584">
        <f t="shared" si="5"/>
        <v>0</v>
      </c>
      <c r="Q10" s="584"/>
      <c r="R10" s="584">
        <f t="shared" si="6"/>
        <v>0</v>
      </c>
      <c r="S10" s="584"/>
      <c r="T10" s="584"/>
    </row>
    <row r="11" spans="2:20" hidden="1">
      <c r="B11" s="574"/>
      <c r="C11" s="23" t="s">
        <v>2380</v>
      </c>
      <c r="D11" s="487"/>
      <c r="E11" s="574"/>
      <c r="F11" s="574"/>
      <c r="G11" s="6"/>
      <c r="H11" s="809"/>
      <c r="I11" s="6"/>
      <c r="J11" s="804"/>
      <c r="K11" s="77"/>
      <c r="L11" s="590">
        <f t="shared" si="3"/>
        <v>0</v>
      </c>
      <c r="M11" s="584"/>
      <c r="N11" s="584">
        <f t="shared" si="4"/>
        <v>0</v>
      </c>
      <c r="O11" s="584"/>
      <c r="P11" s="584">
        <f t="shared" si="5"/>
        <v>0</v>
      </c>
      <c r="Q11" s="584"/>
      <c r="R11" s="584">
        <f t="shared" si="6"/>
        <v>0</v>
      </c>
      <c r="S11" s="584"/>
      <c r="T11" s="584"/>
    </row>
    <row r="12" spans="2:20" hidden="1">
      <c r="B12" s="574" t="s">
        <v>2381</v>
      </c>
      <c r="C12" s="574" t="s">
        <v>2382</v>
      </c>
      <c r="D12" s="487">
        <v>7591542001011</v>
      </c>
      <c r="E12" s="574" t="s">
        <v>2383</v>
      </c>
      <c r="F12" s="574">
        <v>24</v>
      </c>
      <c r="G12" s="6">
        <v>2.5286991062562056</v>
      </c>
      <c r="H12" s="809">
        <f>G12/F12</f>
        <v>0.10536246276067524</v>
      </c>
      <c r="I12" s="6">
        <f t="shared" ref="I12:I16" si="7">G12*1.16</f>
        <v>2.9332909632571984</v>
      </c>
      <c r="J12" s="804">
        <f>I12/F12</f>
        <v>0.12222045680238326</v>
      </c>
      <c r="K12" s="77"/>
      <c r="L12" s="590">
        <f t="shared" si="3"/>
        <v>0</v>
      </c>
      <c r="M12" s="584"/>
      <c r="N12" s="584">
        <f t="shared" si="4"/>
        <v>0</v>
      </c>
      <c r="O12" s="584"/>
      <c r="P12" s="584">
        <f t="shared" si="5"/>
        <v>0</v>
      </c>
      <c r="Q12" s="584"/>
      <c r="R12" s="584">
        <f t="shared" si="6"/>
        <v>0</v>
      </c>
      <c r="S12" s="584"/>
      <c r="T12" s="584"/>
    </row>
    <row r="13" spans="2:20" hidden="1">
      <c r="B13" s="574" t="s">
        <v>2384</v>
      </c>
      <c r="C13" s="574" t="s">
        <v>2385</v>
      </c>
      <c r="D13" s="487">
        <v>7591542001028</v>
      </c>
      <c r="E13" s="574" t="s">
        <v>2383</v>
      </c>
      <c r="F13" s="574">
        <v>24</v>
      </c>
      <c r="G13" s="6">
        <v>2.9691360476663355</v>
      </c>
      <c r="H13" s="809">
        <f t="shared" ref="H13:H16" si="8">G13/F13</f>
        <v>0.12371400198609732</v>
      </c>
      <c r="I13" s="6">
        <f t="shared" si="7"/>
        <v>3.4441978152929491</v>
      </c>
      <c r="J13" s="804">
        <f t="shared" ref="J13:J16" si="9">I13/F13</f>
        <v>0.14350824230387288</v>
      </c>
      <c r="K13" s="77"/>
      <c r="L13" s="590">
        <f t="shared" si="3"/>
        <v>0</v>
      </c>
      <c r="M13" s="584"/>
      <c r="N13" s="584">
        <f t="shared" si="4"/>
        <v>0</v>
      </c>
      <c r="O13" s="584"/>
      <c r="P13" s="584">
        <f t="shared" si="5"/>
        <v>0</v>
      </c>
      <c r="Q13" s="584"/>
      <c r="R13" s="584">
        <f t="shared" si="6"/>
        <v>0</v>
      </c>
      <c r="S13" s="584"/>
      <c r="T13" s="584"/>
    </row>
    <row r="14" spans="2:20" hidden="1">
      <c r="B14" s="574" t="s">
        <v>2386</v>
      </c>
      <c r="C14" s="574" t="s">
        <v>2387</v>
      </c>
      <c r="D14" s="487">
        <v>7591542001035</v>
      </c>
      <c r="E14" s="574" t="s">
        <v>2383</v>
      </c>
      <c r="F14" s="574">
        <v>24</v>
      </c>
      <c r="G14" s="6">
        <v>7.5508242303872892</v>
      </c>
      <c r="H14" s="809">
        <f t="shared" si="8"/>
        <v>0.31461767626613707</v>
      </c>
      <c r="I14" s="6">
        <f t="shared" si="7"/>
        <v>8.7589561072492543</v>
      </c>
      <c r="J14" s="804">
        <f t="shared" si="9"/>
        <v>0.36495650446871891</v>
      </c>
      <c r="K14" s="77"/>
      <c r="L14" s="590">
        <f t="shared" si="3"/>
        <v>0</v>
      </c>
      <c r="M14" s="584"/>
      <c r="N14" s="584">
        <f t="shared" si="4"/>
        <v>0</v>
      </c>
      <c r="O14" s="584"/>
      <c r="P14" s="584">
        <f t="shared" si="5"/>
        <v>0</v>
      </c>
      <c r="Q14" s="584"/>
      <c r="R14" s="584">
        <f t="shared" si="6"/>
        <v>0</v>
      </c>
      <c r="S14" s="584"/>
      <c r="T14" s="584"/>
    </row>
    <row r="15" spans="2:20" hidden="1">
      <c r="B15" s="574" t="s">
        <v>2388</v>
      </c>
      <c r="C15" s="574" t="s">
        <v>2389</v>
      </c>
      <c r="D15" s="487">
        <v>7591542001042</v>
      </c>
      <c r="E15" s="574" t="s">
        <v>2390</v>
      </c>
      <c r="F15" s="574">
        <v>24</v>
      </c>
      <c r="G15" s="6">
        <v>8.3511420059582928</v>
      </c>
      <c r="H15" s="809">
        <f t="shared" si="8"/>
        <v>0.34796425024826222</v>
      </c>
      <c r="I15" s="6">
        <f t="shared" si="7"/>
        <v>9.6873247269116192</v>
      </c>
      <c r="J15" s="804">
        <f t="shared" si="9"/>
        <v>0.40363853028798413</v>
      </c>
      <c r="K15" s="77"/>
      <c r="L15" s="590">
        <f t="shared" si="3"/>
        <v>0</v>
      </c>
      <c r="M15" s="584"/>
      <c r="N15" s="584">
        <f t="shared" si="4"/>
        <v>0</v>
      </c>
      <c r="O15" s="584"/>
      <c r="P15" s="584">
        <f t="shared" si="5"/>
        <v>0</v>
      </c>
      <c r="Q15" s="584"/>
      <c r="R15" s="584">
        <f t="shared" si="6"/>
        <v>0</v>
      </c>
      <c r="S15" s="584"/>
      <c r="T15" s="584"/>
    </row>
    <row r="16" spans="2:20" hidden="1">
      <c r="B16" s="574" t="s">
        <v>2391</v>
      </c>
      <c r="C16" s="574" t="s">
        <v>2392</v>
      </c>
      <c r="D16" s="487">
        <v>7591542001059</v>
      </c>
      <c r="E16" s="574" t="s">
        <v>2393</v>
      </c>
      <c r="F16" s="574" t="s">
        <v>2373</v>
      </c>
      <c r="G16" s="6">
        <v>15.605958291956307</v>
      </c>
      <c r="H16" s="809">
        <f t="shared" si="8"/>
        <v>0.6502482621648461</v>
      </c>
      <c r="I16" s="6">
        <f t="shared" si="7"/>
        <v>18.102911618669314</v>
      </c>
      <c r="J16" s="804">
        <f t="shared" si="9"/>
        <v>0.75428798411122144</v>
      </c>
      <c r="K16" s="77"/>
      <c r="L16" s="590">
        <f t="shared" si="3"/>
        <v>0</v>
      </c>
      <c r="M16" s="584"/>
      <c r="N16" s="584">
        <f t="shared" si="4"/>
        <v>0</v>
      </c>
      <c r="O16" s="584"/>
      <c r="P16" s="584">
        <f t="shared" si="5"/>
        <v>0</v>
      </c>
      <c r="Q16" s="584"/>
      <c r="R16" s="584">
        <f t="shared" si="6"/>
        <v>0</v>
      </c>
      <c r="S16" s="584"/>
      <c r="T16" s="584"/>
    </row>
    <row r="17" spans="2:20" hidden="1">
      <c r="B17" s="574"/>
      <c r="C17" s="574" t="s">
        <v>2394</v>
      </c>
      <c r="D17" s="487"/>
      <c r="E17" s="574"/>
      <c r="F17" s="574"/>
      <c r="G17" s="6"/>
      <c r="H17" s="809"/>
      <c r="I17" s="6"/>
      <c r="J17" s="804"/>
      <c r="K17" s="77"/>
      <c r="L17" s="590">
        <f t="shared" si="3"/>
        <v>0</v>
      </c>
      <c r="M17" s="584"/>
      <c r="N17" s="584">
        <f t="shared" si="4"/>
        <v>0</v>
      </c>
      <c r="O17" s="584"/>
      <c r="P17" s="584">
        <f t="shared" si="5"/>
        <v>0</v>
      </c>
      <c r="Q17" s="584"/>
      <c r="R17" s="584">
        <f t="shared" si="6"/>
        <v>0</v>
      </c>
      <c r="S17" s="584"/>
      <c r="T17" s="584"/>
    </row>
    <row r="18" spans="2:20" hidden="1">
      <c r="B18" s="574" t="s">
        <v>2395</v>
      </c>
      <c r="C18" s="574" t="s">
        <v>2396</v>
      </c>
      <c r="D18" s="487">
        <v>7591540001103</v>
      </c>
      <c r="E18" s="574" t="s">
        <v>2393</v>
      </c>
      <c r="F18" s="574">
        <v>24</v>
      </c>
      <c r="G18" s="6">
        <v>12.452830188679247</v>
      </c>
      <c r="H18" s="809">
        <f t="shared" ref="H18" si="10">G18/F18</f>
        <v>0.51886792452830199</v>
      </c>
      <c r="I18" s="6">
        <f t="shared" ref="I18" si="11">G18*1.16</f>
        <v>14.445283018867926</v>
      </c>
      <c r="J18" s="804">
        <f t="shared" ref="J18" si="12">I18/F18</f>
        <v>0.60188679245283028</v>
      </c>
      <c r="K18" s="77"/>
      <c r="L18" s="590">
        <f t="shared" si="3"/>
        <v>0</v>
      </c>
      <c r="M18" s="584"/>
      <c r="N18" s="584">
        <f t="shared" si="4"/>
        <v>0</v>
      </c>
      <c r="O18" s="584"/>
      <c r="P18" s="584">
        <f t="shared" si="5"/>
        <v>0</v>
      </c>
      <c r="Q18" s="584"/>
      <c r="R18" s="584">
        <f t="shared" si="6"/>
        <v>0</v>
      </c>
      <c r="S18" s="584"/>
      <c r="T18" s="584"/>
    </row>
    <row r="19" spans="2:20" hidden="1">
      <c r="B19" s="574"/>
      <c r="C19" s="23" t="s">
        <v>1574</v>
      </c>
      <c r="D19" s="487"/>
      <c r="E19" s="574"/>
      <c r="F19" s="574"/>
      <c r="G19" s="6"/>
      <c r="H19" s="809"/>
      <c r="I19" s="6"/>
      <c r="J19" s="804"/>
      <c r="K19" s="77"/>
      <c r="L19" s="590">
        <f t="shared" si="3"/>
        <v>0</v>
      </c>
      <c r="M19" s="584"/>
      <c r="N19" s="584">
        <f t="shared" si="4"/>
        <v>0</v>
      </c>
      <c r="O19" s="584"/>
      <c r="P19" s="584">
        <f t="shared" si="5"/>
        <v>0</v>
      </c>
      <c r="Q19" s="584"/>
      <c r="R19" s="584">
        <f t="shared" si="6"/>
        <v>0</v>
      </c>
      <c r="S19" s="584"/>
      <c r="T19" s="584"/>
    </row>
    <row r="20" spans="2:20" hidden="1">
      <c r="B20" s="574" t="s">
        <v>2397</v>
      </c>
      <c r="C20" s="574" t="s">
        <v>2398</v>
      </c>
      <c r="D20" s="487"/>
      <c r="E20" s="574" t="s">
        <v>2399</v>
      </c>
      <c r="F20" s="574">
        <v>100</v>
      </c>
      <c r="G20" s="6">
        <v>59.880834160873881</v>
      </c>
      <c r="H20" s="809">
        <f t="shared" ref="H20" si="13">G20/F20</f>
        <v>0.59880834160873886</v>
      </c>
      <c r="I20" s="6">
        <f t="shared" ref="I20" si="14">G20*1.16</f>
        <v>69.461767626613693</v>
      </c>
      <c r="J20" s="804">
        <f t="shared" ref="J20" si="15">I20/F20</f>
        <v>0.69461767626613691</v>
      </c>
      <c r="K20" s="77"/>
      <c r="L20" s="590">
        <f t="shared" si="3"/>
        <v>0</v>
      </c>
      <c r="M20" s="584"/>
      <c r="N20" s="584">
        <f t="shared" si="4"/>
        <v>0</v>
      </c>
      <c r="O20" s="584"/>
      <c r="P20" s="584">
        <f t="shared" si="5"/>
        <v>0</v>
      </c>
      <c r="Q20" s="584"/>
      <c r="R20" s="584">
        <f t="shared" si="6"/>
        <v>0</v>
      </c>
      <c r="S20" s="584"/>
      <c r="T20" s="584"/>
    </row>
    <row r="21" spans="2:20" hidden="1">
      <c r="B21" s="574"/>
      <c r="C21" s="23" t="s">
        <v>2400</v>
      </c>
      <c r="D21" s="487"/>
      <c r="E21" s="574"/>
      <c r="F21" s="574"/>
      <c r="G21" s="6"/>
      <c r="H21" s="809"/>
      <c r="I21" s="6"/>
      <c r="J21" s="804"/>
      <c r="K21" s="77"/>
      <c r="L21" s="590">
        <f t="shared" si="3"/>
        <v>0</v>
      </c>
      <c r="M21" s="584"/>
      <c r="N21" s="584">
        <f t="shared" si="4"/>
        <v>0</v>
      </c>
      <c r="O21" s="584"/>
      <c r="P21" s="584">
        <f t="shared" si="5"/>
        <v>0</v>
      </c>
      <c r="Q21" s="584"/>
      <c r="R21" s="584">
        <f t="shared" si="6"/>
        <v>0</v>
      </c>
      <c r="S21" s="584"/>
      <c r="T21" s="584"/>
    </row>
    <row r="22" spans="2:20" hidden="1">
      <c r="B22" s="574" t="s">
        <v>2401</v>
      </c>
      <c r="C22" s="574" t="s">
        <v>2402</v>
      </c>
      <c r="D22" s="487">
        <v>7591542002018</v>
      </c>
      <c r="E22" s="574" t="s">
        <v>2403</v>
      </c>
      <c r="F22" s="574" t="s">
        <v>2378</v>
      </c>
      <c r="G22" s="6">
        <v>30.32581453634085</v>
      </c>
      <c r="H22" s="809">
        <f t="shared" ref="H22:H24" si="16">G22/F22</f>
        <v>2.5271512113617374</v>
      </c>
      <c r="I22" s="6">
        <f t="shared" ref="I22:I24" si="17">G22*1.16</f>
        <v>35.177944862155385</v>
      </c>
      <c r="J22" s="804">
        <f t="shared" ref="J22:J24" si="18">I22/F22</f>
        <v>2.9314954051796156</v>
      </c>
      <c r="K22" s="77"/>
      <c r="L22" s="590">
        <f t="shared" si="3"/>
        <v>0</v>
      </c>
      <c r="M22" s="584"/>
      <c r="N22" s="584">
        <f t="shared" si="4"/>
        <v>0</v>
      </c>
      <c r="O22" s="584"/>
      <c r="P22" s="584">
        <f t="shared" si="5"/>
        <v>0</v>
      </c>
      <c r="Q22" s="584"/>
      <c r="R22" s="584">
        <f t="shared" si="6"/>
        <v>0</v>
      </c>
      <c r="S22" s="584"/>
      <c r="T22" s="584"/>
    </row>
    <row r="23" spans="2:20" hidden="1">
      <c r="B23" s="574" t="s">
        <v>2404</v>
      </c>
      <c r="C23" s="574" t="s">
        <v>2405</v>
      </c>
      <c r="D23" s="487">
        <v>7591542002025</v>
      </c>
      <c r="E23" s="574" t="s">
        <v>2403</v>
      </c>
      <c r="F23" s="574" t="s">
        <v>2378</v>
      </c>
      <c r="G23" s="6">
        <v>30.32581453634085</v>
      </c>
      <c r="H23" s="809">
        <f t="shared" si="16"/>
        <v>2.5271512113617374</v>
      </c>
      <c r="I23" s="6">
        <f t="shared" si="17"/>
        <v>35.177944862155385</v>
      </c>
      <c r="J23" s="804">
        <f t="shared" si="18"/>
        <v>2.9314954051796156</v>
      </c>
      <c r="K23" s="77"/>
      <c r="L23" s="590">
        <f t="shared" si="3"/>
        <v>0</v>
      </c>
      <c r="M23" s="584"/>
      <c r="N23" s="584">
        <f t="shared" si="4"/>
        <v>0</v>
      </c>
      <c r="O23" s="584"/>
      <c r="P23" s="584">
        <f t="shared" si="5"/>
        <v>0</v>
      </c>
      <c r="Q23" s="584"/>
      <c r="R23" s="584">
        <f t="shared" si="6"/>
        <v>0</v>
      </c>
      <c r="S23" s="584"/>
      <c r="T23" s="584"/>
    </row>
    <row r="24" spans="2:20" hidden="1">
      <c r="B24" s="574" t="s">
        <v>2406</v>
      </c>
      <c r="C24" s="574" t="s">
        <v>2407</v>
      </c>
      <c r="D24" s="487">
        <v>7591542002032</v>
      </c>
      <c r="E24" s="574" t="s">
        <v>2403</v>
      </c>
      <c r="F24" s="574" t="s">
        <v>2378</v>
      </c>
      <c r="G24" s="6">
        <v>30.32581453634085</v>
      </c>
      <c r="H24" s="809">
        <f t="shared" si="16"/>
        <v>2.5271512113617374</v>
      </c>
      <c r="I24" s="6">
        <f t="shared" si="17"/>
        <v>35.177944862155385</v>
      </c>
      <c r="J24" s="804">
        <f t="shared" si="18"/>
        <v>2.9314954051796156</v>
      </c>
      <c r="K24" s="77"/>
      <c r="L24" s="590">
        <f t="shared" si="3"/>
        <v>0</v>
      </c>
      <c r="M24" s="584"/>
      <c r="N24" s="584">
        <f t="shared" si="4"/>
        <v>0</v>
      </c>
      <c r="O24" s="584"/>
      <c r="P24" s="584">
        <f t="shared" si="5"/>
        <v>0</v>
      </c>
      <c r="Q24" s="584"/>
      <c r="R24" s="584">
        <f t="shared" si="6"/>
        <v>0</v>
      </c>
      <c r="S24" s="584"/>
      <c r="T24" s="584"/>
    </row>
    <row r="25" spans="2:20" hidden="1">
      <c r="B25" s="574"/>
      <c r="C25" s="574" t="s">
        <v>2408</v>
      </c>
      <c r="D25" s="487"/>
      <c r="E25" s="574"/>
      <c r="F25" s="574"/>
      <c r="G25" s="6"/>
      <c r="H25" s="809"/>
      <c r="I25" s="6"/>
      <c r="J25" s="804"/>
      <c r="K25" s="77"/>
      <c r="L25" s="590">
        <f t="shared" si="3"/>
        <v>0</v>
      </c>
      <c r="M25" s="584"/>
      <c r="N25" s="584">
        <f t="shared" si="4"/>
        <v>0</v>
      </c>
      <c r="O25" s="584"/>
      <c r="P25" s="584">
        <f t="shared" si="5"/>
        <v>0</v>
      </c>
      <c r="Q25" s="584"/>
      <c r="R25" s="584">
        <f t="shared" si="6"/>
        <v>0</v>
      </c>
      <c r="S25" s="584"/>
      <c r="T25" s="584"/>
    </row>
    <row r="26" spans="2:20" hidden="1">
      <c r="B26" s="574" t="s">
        <v>2409</v>
      </c>
      <c r="C26" s="574" t="s">
        <v>2410</v>
      </c>
      <c r="D26" s="487">
        <v>7591542003039</v>
      </c>
      <c r="E26" s="574" t="s">
        <v>2411</v>
      </c>
      <c r="F26" s="574" t="s">
        <v>2412</v>
      </c>
      <c r="G26" s="6">
        <v>58.589870903674282</v>
      </c>
      <c r="H26" s="809">
        <f t="shared" ref="H26:H32" si="19">G26/F26</f>
        <v>0.97649784839457132</v>
      </c>
      <c r="I26" s="6">
        <f t="shared" ref="I26:I32" si="20">G26*1.16</f>
        <v>67.964250248262161</v>
      </c>
      <c r="J26" s="804">
        <f t="shared" ref="J26:J32" si="21">I26/F26</f>
        <v>1.1327375041377026</v>
      </c>
      <c r="K26" s="77"/>
      <c r="L26" s="590">
        <f t="shared" si="3"/>
        <v>0</v>
      </c>
      <c r="M26" s="584"/>
      <c r="N26" s="584">
        <f t="shared" si="4"/>
        <v>0</v>
      </c>
      <c r="O26" s="584"/>
      <c r="P26" s="584">
        <f t="shared" si="5"/>
        <v>0</v>
      </c>
      <c r="Q26" s="584"/>
      <c r="R26" s="584">
        <f t="shared" si="6"/>
        <v>0</v>
      </c>
      <c r="S26" s="584"/>
      <c r="T26" s="584"/>
    </row>
    <row r="27" spans="2:20" hidden="1">
      <c r="B27" s="574" t="s">
        <v>2413</v>
      </c>
      <c r="C27" s="574" t="s">
        <v>2414</v>
      </c>
      <c r="D27" s="487">
        <v>7591542003022</v>
      </c>
      <c r="E27" s="574" t="s">
        <v>2411</v>
      </c>
      <c r="F27" s="574" t="s">
        <v>2412</v>
      </c>
      <c r="G27" s="6">
        <v>75.471698113207552</v>
      </c>
      <c r="H27" s="809">
        <f t="shared" si="19"/>
        <v>1.257861635220126</v>
      </c>
      <c r="I27" s="6">
        <f t="shared" si="20"/>
        <v>87.547169811320757</v>
      </c>
      <c r="J27" s="804">
        <f t="shared" si="21"/>
        <v>1.459119496855346</v>
      </c>
      <c r="K27" s="77"/>
      <c r="L27" s="590">
        <f t="shared" si="3"/>
        <v>0</v>
      </c>
      <c r="M27" s="584"/>
      <c r="N27" s="584">
        <f t="shared" si="4"/>
        <v>0</v>
      </c>
      <c r="O27" s="584"/>
      <c r="P27" s="584">
        <f t="shared" si="5"/>
        <v>0</v>
      </c>
      <c r="Q27" s="584"/>
      <c r="R27" s="584">
        <f t="shared" si="6"/>
        <v>0</v>
      </c>
      <c r="S27" s="584"/>
      <c r="T27" s="584"/>
    </row>
    <row r="28" spans="2:20" hidden="1">
      <c r="B28" s="574" t="s">
        <v>2415</v>
      </c>
      <c r="C28" s="574" t="s">
        <v>2416</v>
      </c>
      <c r="D28" s="487">
        <v>7591542003046</v>
      </c>
      <c r="E28" s="574" t="s">
        <v>2411</v>
      </c>
      <c r="F28" s="574" t="s">
        <v>2412</v>
      </c>
      <c r="G28" s="6">
        <v>77.457795431976166</v>
      </c>
      <c r="H28" s="809">
        <f t="shared" si="19"/>
        <v>1.2909632571996028</v>
      </c>
      <c r="I28" s="6">
        <f t="shared" si="20"/>
        <v>89.851042701092339</v>
      </c>
      <c r="J28" s="804">
        <f t="shared" si="21"/>
        <v>1.497517378351539</v>
      </c>
      <c r="K28" s="77"/>
      <c r="L28" s="590">
        <f t="shared" si="3"/>
        <v>0</v>
      </c>
      <c r="M28" s="584"/>
      <c r="N28" s="584">
        <f t="shared" si="4"/>
        <v>0</v>
      </c>
      <c r="O28" s="584"/>
      <c r="P28" s="584">
        <f t="shared" si="5"/>
        <v>0</v>
      </c>
      <c r="Q28" s="584"/>
      <c r="R28" s="584">
        <f t="shared" si="6"/>
        <v>0</v>
      </c>
      <c r="S28" s="584"/>
      <c r="T28" s="584"/>
    </row>
    <row r="29" spans="2:20" hidden="1">
      <c r="B29" s="574"/>
      <c r="C29" s="23" t="s">
        <v>2417</v>
      </c>
      <c r="D29" s="487"/>
      <c r="E29" s="574"/>
      <c r="F29" s="574"/>
      <c r="G29" s="6"/>
      <c r="H29" s="809"/>
      <c r="I29" s="6"/>
      <c r="J29" s="804"/>
      <c r="K29" s="77"/>
      <c r="L29" s="590">
        <f t="shared" si="3"/>
        <v>0</v>
      </c>
      <c r="M29" s="584"/>
      <c r="N29" s="584">
        <f t="shared" si="4"/>
        <v>0</v>
      </c>
      <c r="O29" s="584"/>
      <c r="P29" s="584">
        <f t="shared" si="5"/>
        <v>0</v>
      </c>
      <c r="Q29" s="584"/>
      <c r="R29" s="584">
        <f t="shared" si="6"/>
        <v>0</v>
      </c>
      <c r="S29" s="584"/>
      <c r="T29" s="584"/>
    </row>
    <row r="30" spans="2:20" hidden="1">
      <c r="B30" s="574" t="s">
        <v>2418</v>
      </c>
      <c r="C30" s="574" t="s">
        <v>2419</v>
      </c>
      <c r="D30" s="487">
        <v>7591542003008</v>
      </c>
      <c r="E30" s="574" t="s">
        <v>2411</v>
      </c>
      <c r="F30" s="574" t="s">
        <v>2412</v>
      </c>
      <c r="G30" s="6">
        <v>31.777557100297912</v>
      </c>
      <c r="H30" s="809">
        <f t="shared" si="19"/>
        <v>0.52962595167163184</v>
      </c>
      <c r="I30" s="6">
        <f t="shared" si="20"/>
        <v>36.861966236345573</v>
      </c>
      <c r="J30" s="804">
        <f t="shared" si="21"/>
        <v>0.61436610393909286</v>
      </c>
      <c r="K30" s="77"/>
      <c r="L30" s="590">
        <f t="shared" si="3"/>
        <v>0</v>
      </c>
      <c r="M30" s="584"/>
      <c r="N30" s="584">
        <f t="shared" si="4"/>
        <v>0</v>
      </c>
      <c r="O30" s="584"/>
      <c r="P30" s="584">
        <f t="shared" si="5"/>
        <v>0</v>
      </c>
      <c r="Q30" s="584"/>
      <c r="R30" s="584">
        <f t="shared" si="6"/>
        <v>0</v>
      </c>
      <c r="S30" s="584"/>
      <c r="T30" s="584"/>
    </row>
    <row r="31" spans="2:20" hidden="1">
      <c r="B31" s="574" t="s">
        <v>2420</v>
      </c>
      <c r="C31" s="574" t="s">
        <v>2421</v>
      </c>
      <c r="D31" s="487">
        <v>7591542003084</v>
      </c>
      <c r="E31" s="574" t="s">
        <v>2411</v>
      </c>
      <c r="F31" s="574" t="s">
        <v>2412</v>
      </c>
      <c r="G31" s="6">
        <v>39.72194637537239</v>
      </c>
      <c r="H31" s="809">
        <f t="shared" si="19"/>
        <v>0.66203243958953983</v>
      </c>
      <c r="I31" s="6">
        <f t="shared" si="20"/>
        <v>46.077457795431968</v>
      </c>
      <c r="J31" s="804">
        <f t="shared" si="21"/>
        <v>0.76795762992386618</v>
      </c>
      <c r="K31" s="77"/>
      <c r="L31" s="590">
        <f t="shared" si="3"/>
        <v>0</v>
      </c>
      <c r="M31" s="584"/>
      <c r="N31" s="584">
        <f t="shared" si="4"/>
        <v>0</v>
      </c>
      <c r="O31" s="584"/>
      <c r="P31" s="584">
        <f t="shared" si="5"/>
        <v>0</v>
      </c>
      <c r="Q31" s="584"/>
      <c r="R31" s="584">
        <f t="shared" si="6"/>
        <v>0</v>
      </c>
      <c r="S31" s="584"/>
      <c r="T31" s="584"/>
    </row>
    <row r="32" spans="2:20" hidden="1">
      <c r="B32" s="574" t="s">
        <v>2422</v>
      </c>
      <c r="C32" s="574" t="s">
        <v>2423</v>
      </c>
      <c r="D32" s="487">
        <v>7591542003077</v>
      </c>
      <c r="E32" s="574" t="s">
        <v>2411</v>
      </c>
      <c r="F32" s="574" t="s">
        <v>2412</v>
      </c>
      <c r="G32" s="6">
        <v>45.680238331678254</v>
      </c>
      <c r="H32" s="809">
        <f t="shared" si="19"/>
        <v>0.76133730552797085</v>
      </c>
      <c r="I32" s="6">
        <f t="shared" si="20"/>
        <v>52.989076464746773</v>
      </c>
      <c r="J32" s="804">
        <f t="shared" si="21"/>
        <v>0.88315127441244623</v>
      </c>
      <c r="K32" s="77"/>
      <c r="L32" s="590">
        <f t="shared" si="3"/>
        <v>0</v>
      </c>
      <c r="M32" s="584"/>
      <c r="N32" s="584">
        <f t="shared" si="4"/>
        <v>0</v>
      </c>
      <c r="O32" s="584"/>
      <c r="P32" s="584">
        <f t="shared" si="5"/>
        <v>0</v>
      </c>
      <c r="Q32" s="584"/>
      <c r="R32" s="584">
        <f t="shared" si="6"/>
        <v>0</v>
      </c>
      <c r="S32" s="584"/>
      <c r="T32" s="584"/>
    </row>
    <row r="33" spans="2:21" hidden="1">
      <c r="B33" s="574"/>
      <c r="C33" s="23" t="s">
        <v>2424</v>
      </c>
      <c r="D33" s="487"/>
      <c r="E33" s="574"/>
      <c r="F33" s="574"/>
      <c r="G33" s="6"/>
      <c r="H33" s="809"/>
      <c r="I33" s="6"/>
      <c r="J33" s="804"/>
      <c r="K33" s="77"/>
      <c r="L33" s="590">
        <f t="shared" si="3"/>
        <v>0</v>
      </c>
      <c r="M33" s="584"/>
      <c r="N33" s="584">
        <f t="shared" si="4"/>
        <v>0</v>
      </c>
      <c r="O33" s="584"/>
      <c r="P33" s="584">
        <f t="shared" si="5"/>
        <v>0</v>
      </c>
      <c r="Q33" s="584"/>
      <c r="R33" s="584">
        <f t="shared" si="6"/>
        <v>0</v>
      </c>
      <c r="S33" s="584"/>
      <c r="T33" s="584"/>
    </row>
    <row r="34" spans="2:21" hidden="1">
      <c r="B34" s="574" t="s">
        <v>2425</v>
      </c>
      <c r="C34" s="574" t="s">
        <v>2426</v>
      </c>
      <c r="D34" s="487">
        <v>7591542000564</v>
      </c>
      <c r="E34" s="574" t="s">
        <v>2403</v>
      </c>
      <c r="F34" s="574" t="s">
        <v>2378</v>
      </c>
      <c r="G34" s="6">
        <v>47.964250248262161</v>
      </c>
      <c r="H34" s="809">
        <f t="shared" ref="H34:H35" si="22">G34/F34</f>
        <v>3.9970208540218466</v>
      </c>
      <c r="I34" s="6">
        <f t="shared" ref="I34:I35" si="23">G34*1.16</f>
        <v>55.638530287984103</v>
      </c>
      <c r="J34" s="804">
        <f t="shared" ref="J34:J35" si="24">I34/F34</f>
        <v>4.636544190665342</v>
      </c>
      <c r="K34" s="77"/>
      <c r="L34" s="590">
        <f t="shared" si="3"/>
        <v>0</v>
      </c>
      <c r="M34" s="584"/>
      <c r="N34" s="584">
        <f t="shared" si="4"/>
        <v>0</v>
      </c>
      <c r="O34" s="584"/>
      <c r="P34" s="584">
        <f t="shared" si="5"/>
        <v>0</v>
      </c>
      <c r="Q34" s="584"/>
      <c r="R34" s="584">
        <f t="shared" si="6"/>
        <v>0</v>
      </c>
      <c r="S34" s="584"/>
      <c r="T34" s="584"/>
    </row>
    <row r="35" spans="2:21" hidden="1">
      <c r="B35" s="574" t="s">
        <v>2427</v>
      </c>
      <c r="C35" s="574" t="s">
        <v>2428</v>
      </c>
      <c r="D35" s="487">
        <v>7591542000571</v>
      </c>
      <c r="E35" s="574" t="s">
        <v>2403</v>
      </c>
      <c r="F35" s="574" t="s">
        <v>2378</v>
      </c>
      <c r="G35" s="6">
        <v>51.936444885799403</v>
      </c>
      <c r="H35" s="809">
        <f t="shared" si="22"/>
        <v>4.328037073816617</v>
      </c>
      <c r="I35" s="6">
        <f t="shared" si="23"/>
        <v>60.246276067527305</v>
      </c>
      <c r="J35" s="804">
        <f t="shared" si="24"/>
        <v>5.0205230056272754</v>
      </c>
      <c r="K35" s="77"/>
      <c r="L35" s="590">
        <f t="shared" si="3"/>
        <v>0</v>
      </c>
      <c r="M35" s="584"/>
      <c r="N35" s="584">
        <f t="shared" si="4"/>
        <v>0</v>
      </c>
      <c r="O35" s="584"/>
      <c r="P35" s="584">
        <f t="shared" si="5"/>
        <v>0</v>
      </c>
      <c r="Q35" s="584"/>
      <c r="R35" s="584">
        <f t="shared" si="6"/>
        <v>0</v>
      </c>
      <c r="S35" s="584"/>
      <c r="T35" s="584"/>
    </row>
    <row r="36" spans="2:21" hidden="1">
      <c r="B36" s="574"/>
      <c r="C36" s="574" t="s">
        <v>2429</v>
      </c>
      <c r="D36" s="487"/>
      <c r="E36" s="574"/>
      <c r="F36" s="574"/>
      <c r="G36" s="6"/>
      <c r="H36" s="809"/>
      <c r="I36" s="6"/>
      <c r="J36" s="804"/>
      <c r="K36" s="77"/>
      <c r="L36" s="590">
        <f t="shared" si="3"/>
        <v>0</v>
      </c>
      <c r="M36" s="584"/>
      <c r="N36" s="584">
        <f t="shared" si="4"/>
        <v>0</v>
      </c>
      <c r="O36" s="584"/>
      <c r="P36" s="584">
        <f t="shared" si="5"/>
        <v>0</v>
      </c>
      <c r="Q36" s="584"/>
      <c r="R36" s="584">
        <f t="shared" si="6"/>
        <v>0</v>
      </c>
      <c r="S36" s="584"/>
      <c r="T36" s="584"/>
    </row>
    <row r="37" spans="2:21" hidden="1">
      <c r="B37" s="574" t="s">
        <v>2430</v>
      </c>
      <c r="C37" s="574" t="s">
        <v>2431</v>
      </c>
      <c r="D37" s="487">
        <v>7591542000588</v>
      </c>
      <c r="E37" s="574" t="s">
        <v>2403</v>
      </c>
      <c r="F37" s="574" t="s">
        <v>2378</v>
      </c>
      <c r="G37" s="6">
        <v>40.019860973187683</v>
      </c>
      <c r="H37" s="809">
        <f t="shared" ref="H37:H38" si="25">G37/F37</f>
        <v>3.3349884144323068</v>
      </c>
      <c r="I37" s="6">
        <f t="shared" ref="I37:I38" si="26">G37*1.16</f>
        <v>46.423038728897708</v>
      </c>
      <c r="J37" s="804">
        <f t="shared" ref="J37:J38" si="27">I37/F37</f>
        <v>3.8685865607414756</v>
      </c>
      <c r="K37" s="77"/>
      <c r="L37" s="590">
        <f t="shared" si="3"/>
        <v>0</v>
      </c>
      <c r="M37" s="584"/>
      <c r="N37" s="584">
        <f t="shared" si="4"/>
        <v>0</v>
      </c>
      <c r="O37" s="584"/>
      <c r="P37" s="584">
        <f t="shared" si="5"/>
        <v>0</v>
      </c>
      <c r="Q37" s="584"/>
      <c r="R37" s="584">
        <f t="shared" si="6"/>
        <v>0</v>
      </c>
      <c r="S37" s="584"/>
      <c r="T37" s="584"/>
    </row>
    <row r="38" spans="2:21" hidden="1">
      <c r="B38" s="574" t="s">
        <v>2432</v>
      </c>
      <c r="C38" s="574" t="s">
        <v>2433</v>
      </c>
      <c r="D38" s="487">
        <v>7591542000595</v>
      </c>
      <c r="E38" s="574" t="s">
        <v>2403</v>
      </c>
      <c r="F38" s="574" t="s">
        <v>2378</v>
      </c>
      <c r="G38" s="6">
        <v>43.992055610724918</v>
      </c>
      <c r="H38" s="809">
        <f t="shared" si="25"/>
        <v>3.6660046342270767</v>
      </c>
      <c r="I38" s="6">
        <f t="shared" si="26"/>
        <v>51.030784508440902</v>
      </c>
      <c r="J38" s="804">
        <f t="shared" si="27"/>
        <v>4.2525653757034085</v>
      </c>
      <c r="K38" s="77"/>
      <c r="L38" s="590">
        <f t="shared" si="3"/>
        <v>0</v>
      </c>
      <c r="M38" s="584"/>
      <c r="N38" s="584">
        <f t="shared" si="4"/>
        <v>0</v>
      </c>
      <c r="O38" s="584"/>
      <c r="P38" s="584">
        <f t="shared" si="5"/>
        <v>0</v>
      </c>
      <c r="Q38" s="584"/>
      <c r="R38" s="584">
        <f t="shared" si="6"/>
        <v>0</v>
      </c>
      <c r="S38" s="584"/>
      <c r="T38" s="584"/>
    </row>
    <row r="39" spans="2:21">
      <c r="B39" s="574"/>
      <c r="C39" s="23" t="s">
        <v>2434</v>
      </c>
      <c r="D39" s="487"/>
      <c r="E39" s="574"/>
      <c r="F39" s="574"/>
      <c r="G39" s="6"/>
      <c r="H39" s="809"/>
      <c r="I39" s="6"/>
      <c r="J39" s="804"/>
      <c r="K39" s="77"/>
      <c r="L39" s="590">
        <f t="shared" si="3"/>
        <v>0</v>
      </c>
      <c r="M39" s="584"/>
      <c r="N39" s="584">
        <f t="shared" si="4"/>
        <v>0</v>
      </c>
      <c r="O39" s="584"/>
      <c r="P39" s="584">
        <f t="shared" si="5"/>
        <v>0</v>
      </c>
      <c r="Q39" s="584"/>
      <c r="R39" s="584">
        <f t="shared" si="6"/>
        <v>0</v>
      </c>
      <c r="S39" s="584"/>
      <c r="T39" s="584"/>
    </row>
    <row r="40" spans="2:21" s="815" customFormat="1">
      <c r="B40" s="679" t="s">
        <v>2435</v>
      </c>
      <c r="C40" s="679" t="s">
        <v>2436</v>
      </c>
      <c r="D40" s="760">
        <v>7591542001165</v>
      </c>
      <c r="E40" s="679" t="s">
        <v>2403</v>
      </c>
      <c r="F40" s="679" t="s">
        <v>2378</v>
      </c>
      <c r="G40" s="805">
        <v>13.641509433962264</v>
      </c>
      <c r="H40" s="805">
        <f t="shared" ref="H40:H60" si="28">G40/F40</f>
        <v>1.1367924528301887</v>
      </c>
      <c r="I40" s="805">
        <f t="shared" ref="I40:I60" si="29">G40*1.16</f>
        <v>15.824150943396226</v>
      </c>
      <c r="J40" s="805">
        <f t="shared" ref="J40:J60" si="30">I40/F40</f>
        <v>1.3186792452830189</v>
      </c>
      <c r="K40" s="679">
        <v>10</v>
      </c>
      <c r="L40" s="805">
        <f t="shared" si="3"/>
        <v>158.24150943396228</v>
      </c>
      <c r="M40" s="679">
        <v>0</v>
      </c>
      <c r="N40" s="679">
        <f t="shared" si="4"/>
        <v>0</v>
      </c>
      <c r="O40" s="679"/>
      <c r="P40" s="679">
        <f t="shared" si="5"/>
        <v>0</v>
      </c>
      <c r="Q40" s="679"/>
      <c r="R40" s="679">
        <f t="shared" si="6"/>
        <v>0</v>
      </c>
      <c r="S40" s="679"/>
      <c r="T40" s="679"/>
      <c r="U40" s="815" t="s">
        <v>627</v>
      </c>
    </row>
    <row r="41" spans="2:21" s="815" customFormat="1" hidden="1">
      <c r="B41" s="679" t="s">
        <v>2437</v>
      </c>
      <c r="C41" s="679" t="s">
        <v>2438</v>
      </c>
      <c r="D41" s="760">
        <v>7591668100018</v>
      </c>
      <c r="E41" s="679" t="s">
        <v>2403</v>
      </c>
      <c r="F41" s="679">
        <v>12</v>
      </c>
      <c r="G41" s="805">
        <v>18.666666666666668</v>
      </c>
      <c r="H41" s="805">
        <f t="shared" si="28"/>
        <v>1.5555555555555556</v>
      </c>
      <c r="I41" s="805">
        <f t="shared" si="29"/>
        <v>21.653333333333332</v>
      </c>
      <c r="J41" s="805">
        <f t="shared" si="30"/>
        <v>1.8044444444444443</v>
      </c>
      <c r="K41" s="679">
        <v>0</v>
      </c>
      <c r="L41" s="805">
        <f t="shared" si="3"/>
        <v>0</v>
      </c>
      <c r="M41" s="679"/>
      <c r="N41" s="679">
        <f t="shared" si="4"/>
        <v>0</v>
      </c>
      <c r="O41" s="679"/>
      <c r="P41" s="679">
        <f t="shared" si="5"/>
        <v>0</v>
      </c>
      <c r="Q41" s="679"/>
      <c r="R41" s="679">
        <f t="shared" si="6"/>
        <v>0</v>
      </c>
      <c r="S41" s="679"/>
      <c r="T41" s="679"/>
    </row>
    <row r="42" spans="2:21" s="815" customFormat="1" hidden="1">
      <c r="B42" s="679" t="s">
        <v>2439</v>
      </c>
      <c r="C42" s="679" t="s">
        <v>2440</v>
      </c>
      <c r="D42" s="760">
        <v>7591668100049</v>
      </c>
      <c r="E42" s="679" t="s">
        <v>2403</v>
      </c>
      <c r="F42" s="679" t="s">
        <v>2378</v>
      </c>
      <c r="G42" s="805">
        <v>18.666666666666661</v>
      </c>
      <c r="H42" s="805">
        <f t="shared" si="28"/>
        <v>1.5555555555555551</v>
      </c>
      <c r="I42" s="805">
        <f t="shared" si="29"/>
        <v>21.653333333333325</v>
      </c>
      <c r="J42" s="805">
        <f t="shared" si="30"/>
        <v>1.8044444444444439</v>
      </c>
      <c r="K42" s="679"/>
      <c r="L42" s="805">
        <f t="shared" si="3"/>
        <v>0</v>
      </c>
      <c r="M42" s="679"/>
      <c r="N42" s="679">
        <f t="shared" si="4"/>
        <v>0</v>
      </c>
      <c r="O42" s="679"/>
      <c r="P42" s="679">
        <f t="shared" si="5"/>
        <v>0</v>
      </c>
      <c r="Q42" s="679"/>
      <c r="R42" s="679">
        <f t="shared" si="6"/>
        <v>0</v>
      </c>
      <c r="S42" s="679"/>
      <c r="T42" s="679"/>
    </row>
    <row r="43" spans="2:21" s="815" customFormat="1">
      <c r="B43" s="679" t="s">
        <v>2441</v>
      </c>
      <c r="C43" s="679" t="s">
        <v>2442</v>
      </c>
      <c r="D43" s="760">
        <v>7591668100056</v>
      </c>
      <c r="E43" s="679" t="s">
        <v>2403</v>
      </c>
      <c r="F43" s="679" t="s">
        <v>2378</v>
      </c>
      <c r="G43" s="805">
        <v>16.413793103448274</v>
      </c>
      <c r="H43" s="805">
        <f t="shared" si="28"/>
        <v>1.3678160919540228</v>
      </c>
      <c r="I43" s="805">
        <f t="shared" si="29"/>
        <v>19.039999999999996</v>
      </c>
      <c r="J43" s="805">
        <f t="shared" si="30"/>
        <v>1.5866666666666662</v>
      </c>
      <c r="K43" s="679">
        <v>10</v>
      </c>
      <c r="L43" s="805">
        <f t="shared" si="3"/>
        <v>190.39999999999995</v>
      </c>
      <c r="M43" s="679"/>
      <c r="N43" s="679">
        <f t="shared" si="4"/>
        <v>0</v>
      </c>
      <c r="O43" s="679"/>
      <c r="P43" s="679">
        <f t="shared" si="5"/>
        <v>0</v>
      </c>
      <c r="Q43" s="679"/>
      <c r="R43" s="679">
        <f t="shared" si="6"/>
        <v>0</v>
      </c>
      <c r="S43" s="679"/>
      <c r="T43" s="679"/>
      <c r="U43" s="815" t="s">
        <v>627</v>
      </c>
    </row>
    <row r="44" spans="2:21" s="815" customFormat="1" hidden="1">
      <c r="B44" s="679" t="s">
        <v>2443</v>
      </c>
      <c r="C44" s="679" t="s">
        <v>2444</v>
      </c>
      <c r="D44" s="760">
        <v>7591668100063</v>
      </c>
      <c r="E44" s="679" t="s">
        <v>2403</v>
      </c>
      <c r="F44" s="679" t="s">
        <v>2378</v>
      </c>
      <c r="G44" s="805">
        <v>15.448275862068963</v>
      </c>
      <c r="H44" s="805">
        <f t="shared" si="28"/>
        <v>1.2873563218390802</v>
      </c>
      <c r="I44" s="805">
        <f t="shared" si="29"/>
        <v>17.919999999999995</v>
      </c>
      <c r="J44" s="805">
        <f t="shared" si="30"/>
        <v>1.493333333333333</v>
      </c>
      <c r="K44" s="679"/>
      <c r="L44" s="805">
        <f t="shared" si="3"/>
        <v>0</v>
      </c>
      <c r="M44" s="679"/>
      <c r="N44" s="679">
        <f t="shared" si="4"/>
        <v>0</v>
      </c>
      <c r="O44" s="679"/>
      <c r="P44" s="679">
        <f t="shared" si="5"/>
        <v>0</v>
      </c>
      <c r="Q44" s="679"/>
      <c r="R44" s="679">
        <f t="shared" si="6"/>
        <v>0</v>
      </c>
      <c r="S44" s="679"/>
      <c r="T44" s="679"/>
    </row>
    <row r="45" spans="2:21" s="815" customFormat="1" hidden="1">
      <c r="B45" s="679" t="s">
        <v>2445</v>
      </c>
      <c r="C45" s="679" t="s">
        <v>2446</v>
      </c>
      <c r="D45" s="760">
        <v>7591668100087</v>
      </c>
      <c r="E45" s="679" t="s">
        <v>2403</v>
      </c>
      <c r="F45" s="679" t="s">
        <v>2378</v>
      </c>
      <c r="G45" s="805">
        <v>20.533333333333331</v>
      </c>
      <c r="H45" s="805">
        <f t="shared" si="28"/>
        <v>1.711111111111111</v>
      </c>
      <c r="I45" s="805">
        <f t="shared" si="29"/>
        <v>23.818666666666662</v>
      </c>
      <c r="J45" s="805">
        <f t="shared" si="30"/>
        <v>1.9848888888888885</v>
      </c>
      <c r="K45" s="679"/>
      <c r="L45" s="805">
        <f t="shared" si="3"/>
        <v>0</v>
      </c>
      <c r="M45" s="679"/>
      <c r="N45" s="679">
        <f t="shared" si="4"/>
        <v>0</v>
      </c>
      <c r="O45" s="679"/>
      <c r="P45" s="679">
        <f t="shared" si="5"/>
        <v>0</v>
      </c>
      <c r="Q45" s="679"/>
      <c r="R45" s="679">
        <f t="shared" si="6"/>
        <v>0</v>
      </c>
      <c r="S45" s="679"/>
      <c r="T45" s="679"/>
    </row>
    <row r="46" spans="2:21" s="815" customFormat="1" hidden="1">
      <c r="B46" s="679" t="s">
        <v>2447</v>
      </c>
      <c r="C46" s="679" t="s">
        <v>2448</v>
      </c>
      <c r="D46" s="760">
        <v>7591668100100</v>
      </c>
      <c r="E46" s="679" t="s">
        <v>2449</v>
      </c>
      <c r="F46" s="679" t="s">
        <v>2450</v>
      </c>
      <c r="G46" s="805">
        <v>11.666666666666666</v>
      </c>
      <c r="H46" s="805">
        <f t="shared" si="28"/>
        <v>1.9444444444444444</v>
      </c>
      <c r="I46" s="805">
        <f t="shared" si="29"/>
        <v>13.533333333333331</v>
      </c>
      <c r="J46" s="805">
        <f t="shared" si="30"/>
        <v>2.2555555555555551</v>
      </c>
      <c r="K46" s="679"/>
      <c r="L46" s="805">
        <f t="shared" si="3"/>
        <v>0</v>
      </c>
      <c r="M46" s="679"/>
      <c r="N46" s="679">
        <f t="shared" si="4"/>
        <v>0</v>
      </c>
      <c r="O46" s="679"/>
      <c r="P46" s="679">
        <f t="shared" si="5"/>
        <v>0</v>
      </c>
      <c r="Q46" s="679"/>
      <c r="R46" s="679">
        <f t="shared" si="6"/>
        <v>0</v>
      </c>
      <c r="S46" s="679"/>
      <c r="T46" s="679"/>
    </row>
    <row r="47" spans="2:21" s="815" customFormat="1" hidden="1">
      <c r="B47" s="679" t="s">
        <v>2451</v>
      </c>
      <c r="C47" s="679" t="s">
        <v>2452</v>
      </c>
      <c r="D47" s="760">
        <v>7591668100025</v>
      </c>
      <c r="E47" s="679" t="s">
        <v>2403</v>
      </c>
      <c r="F47" s="679" t="s">
        <v>2378</v>
      </c>
      <c r="G47" s="805">
        <v>20.075471698113205</v>
      </c>
      <c r="H47" s="805">
        <f t="shared" si="28"/>
        <v>1.6729559748427671</v>
      </c>
      <c r="I47" s="805">
        <f t="shared" si="29"/>
        <v>23.287547169811315</v>
      </c>
      <c r="J47" s="805">
        <f t="shared" si="30"/>
        <v>1.9406289308176097</v>
      </c>
      <c r="K47" s="679"/>
      <c r="L47" s="805">
        <f t="shared" si="3"/>
        <v>0</v>
      </c>
      <c r="M47" s="679"/>
      <c r="N47" s="679">
        <f t="shared" si="4"/>
        <v>0</v>
      </c>
      <c r="O47" s="679"/>
      <c r="P47" s="679">
        <f t="shared" si="5"/>
        <v>0</v>
      </c>
      <c r="Q47" s="679"/>
      <c r="R47" s="679">
        <f t="shared" si="6"/>
        <v>0</v>
      </c>
      <c r="S47" s="679"/>
      <c r="T47" s="679"/>
    </row>
    <row r="48" spans="2:21" s="815" customFormat="1" hidden="1">
      <c r="B48" s="679" t="s">
        <v>2453</v>
      </c>
      <c r="C48" s="679" t="s">
        <v>2454</v>
      </c>
      <c r="D48" s="760">
        <v>7591668130114</v>
      </c>
      <c r="E48" s="679" t="s">
        <v>2403</v>
      </c>
      <c r="F48" s="679" t="s">
        <v>2378</v>
      </c>
      <c r="G48" s="805">
        <v>20.533333333333331</v>
      </c>
      <c r="H48" s="805">
        <f t="shared" si="28"/>
        <v>1.711111111111111</v>
      </c>
      <c r="I48" s="805">
        <f t="shared" si="29"/>
        <v>23.818666666666662</v>
      </c>
      <c r="J48" s="805">
        <f t="shared" si="30"/>
        <v>1.9848888888888885</v>
      </c>
      <c r="K48" s="679"/>
      <c r="L48" s="805">
        <f t="shared" si="3"/>
        <v>0</v>
      </c>
      <c r="M48" s="679"/>
      <c r="N48" s="679">
        <f t="shared" si="4"/>
        <v>0</v>
      </c>
      <c r="O48" s="679"/>
      <c r="P48" s="679">
        <f t="shared" si="5"/>
        <v>0</v>
      </c>
      <c r="Q48" s="679"/>
      <c r="R48" s="679">
        <f t="shared" si="6"/>
        <v>0</v>
      </c>
      <c r="S48" s="679"/>
      <c r="T48" s="679"/>
    </row>
    <row r="49" spans="2:21" s="815" customFormat="1" hidden="1">
      <c r="B49" s="679" t="s">
        <v>2455</v>
      </c>
      <c r="C49" s="679" t="s">
        <v>2456</v>
      </c>
      <c r="D49" s="760">
        <v>7591668130121</v>
      </c>
      <c r="E49" s="679" t="s">
        <v>2403</v>
      </c>
      <c r="F49" s="679" t="s">
        <v>2378</v>
      </c>
      <c r="G49" s="805">
        <v>20.533333333333331</v>
      </c>
      <c r="H49" s="805">
        <f t="shared" si="28"/>
        <v>1.711111111111111</v>
      </c>
      <c r="I49" s="805">
        <f t="shared" si="29"/>
        <v>23.818666666666662</v>
      </c>
      <c r="J49" s="805">
        <f t="shared" si="30"/>
        <v>1.9848888888888885</v>
      </c>
      <c r="K49" s="679"/>
      <c r="L49" s="805">
        <f t="shared" si="3"/>
        <v>0</v>
      </c>
      <c r="M49" s="679"/>
      <c r="N49" s="679">
        <f t="shared" si="4"/>
        <v>0</v>
      </c>
      <c r="O49" s="679"/>
      <c r="P49" s="679">
        <f t="shared" si="5"/>
        <v>0</v>
      </c>
      <c r="Q49" s="679"/>
      <c r="R49" s="679">
        <f t="shared" si="6"/>
        <v>0</v>
      </c>
      <c r="S49" s="679"/>
      <c r="T49" s="679"/>
    </row>
    <row r="50" spans="2:21" s="815" customFormat="1" hidden="1">
      <c r="B50" s="679" t="s">
        <v>2457</v>
      </c>
      <c r="C50" s="679" t="s">
        <v>2458</v>
      </c>
      <c r="D50" s="760">
        <v>7591668100131</v>
      </c>
      <c r="E50" s="679" t="s">
        <v>2372</v>
      </c>
      <c r="F50" s="679" t="s">
        <v>2373</v>
      </c>
      <c r="G50" s="805">
        <v>33.599999999999994</v>
      </c>
      <c r="H50" s="805">
        <f t="shared" si="28"/>
        <v>1.3999999999999997</v>
      </c>
      <c r="I50" s="805">
        <f t="shared" si="29"/>
        <v>38.975999999999992</v>
      </c>
      <c r="J50" s="805">
        <f t="shared" si="30"/>
        <v>1.6239999999999997</v>
      </c>
      <c r="K50" s="679"/>
      <c r="L50" s="805">
        <f t="shared" si="3"/>
        <v>0</v>
      </c>
      <c r="M50" s="679"/>
      <c r="N50" s="679">
        <f t="shared" si="4"/>
        <v>0</v>
      </c>
      <c r="O50" s="679"/>
      <c r="P50" s="679">
        <f t="shared" si="5"/>
        <v>0</v>
      </c>
      <c r="Q50" s="679"/>
      <c r="R50" s="679">
        <f t="shared" si="6"/>
        <v>0</v>
      </c>
      <c r="S50" s="679"/>
      <c r="T50" s="679"/>
    </row>
    <row r="51" spans="2:21" s="815" customFormat="1" hidden="1">
      <c r="B51" s="679" t="s">
        <v>2459</v>
      </c>
      <c r="C51" s="679" t="s">
        <v>2460</v>
      </c>
      <c r="D51" s="760">
        <v>7591668100148</v>
      </c>
      <c r="E51" s="679" t="s">
        <v>2372</v>
      </c>
      <c r="F51" s="679" t="s">
        <v>2373</v>
      </c>
      <c r="G51" s="805">
        <v>33.599999999999994</v>
      </c>
      <c r="H51" s="805">
        <f t="shared" si="28"/>
        <v>1.3999999999999997</v>
      </c>
      <c r="I51" s="805">
        <f t="shared" si="29"/>
        <v>38.975999999999992</v>
      </c>
      <c r="J51" s="805">
        <f t="shared" si="30"/>
        <v>1.6239999999999997</v>
      </c>
      <c r="K51" s="679"/>
      <c r="L51" s="805">
        <f t="shared" si="3"/>
        <v>0</v>
      </c>
      <c r="M51" s="679"/>
      <c r="N51" s="679">
        <f t="shared" si="4"/>
        <v>0</v>
      </c>
      <c r="O51" s="679"/>
      <c r="P51" s="679">
        <f t="shared" si="5"/>
        <v>0</v>
      </c>
      <c r="Q51" s="679"/>
      <c r="R51" s="679">
        <f t="shared" si="6"/>
        <v>0</v>
      </c>
      <c r="S51" s="679"/>
      <c r="T51" s="679"/>
    </row>
    <row r="52" spans="2:21" s="815" customFormat="1" hidden="1">
      <c r="B52" s="679" t="s">
        <v>2461</v>
      </c>
      <c r="C52" s="679" t="s">
        <v>2462</v>
      </c>
      <c r="D52" s="760">
        <v>7591668100155</v>
      </c>
      <c r="E52" s="679" t="s">
        <v>2372</v>
      </c>
      <c r="F52" s="679" t="s">
        <v>2373</v>
      </c>
      <c r="G52" s="805">
        <v>29.866666666666664</v>
      </c>
      <c r="H52" s="805">
        <f t="shared" si="28"/>
        <v>1.2444444444444442</v>
      </c>
      <c r="I52" s="805">
        <f t="shared" si="29"/>
        <v>34.645333333333326</v>
      </c>
      <c r="J52" s="805">
        <f t="shared" si="30"/>
        <v>1.4435555555555553</v>
      </c>
      <c r="K52" s="679"/>
      <c r="L52" s="805">
        <f t="shared" si="3"/>
        <v>0</v>
      </c>
      <c r="M52" s="679"/>
      <c r="N52" s="679">
        <f t="shared" si="4"/>
        <v>0</v>
      </c>
      <c r="O52" s="679"/>
      <c r="P52" s="679">
        <f t="shared" si="5"/>
        <v>0</v>
      </c>
      <c r="Q52" s="679"/>
      <c r="R52" s="679">
        <f t="shared" si="6"/>
        <v>0</v>
      </c>
      <c r="S52" s="679"/>
      <c r="T52" s="679"/>
    </row>
    <row r="53" spans="2:21" s="815" customFormat="1" hidden="1">
      <c r="B53" s="679" t="s">
        <v>2463</v>
      </c>
      <c r="C53" s="679" t="s">
        <v>2464</v>
      </c>
      <c r="D53" s="760">
        <v>7591668130039</v>
      </c>
      <c r="E53" s="679" t="s">
        <v>2372</v>
      </c>
      <c r="F53" s="679" t="s">
        <v>2373</v>
      </c>
      <c r="G53" s="805">
        <v>78.399999999999991</v>
      </c>
      <c r="H53" s="805">
        <f t="shared" si="28"/>
        <v>3.2666666666666662</v>
      </c>
      <c r="I53" s="805">
        <f t="shared" si="29"/>
        <v>90.943999999999988</v>
      </c>
      <c r="J53" s="805">
        <f t="shared" si="30"/>
        <v>3.789333333333333</v>
      </c>
      <c r="K53" s="679"/>
      <c r="L53" s="805">
        <f t="shared" si="3"/>
        <v>0</v>
      </c>
      <c r="M53" s="679"/>
      <c r="N53" s="679">
        <f t="shared" si="4"/>
        <v>0</v>
      </c>
      <c r="O53" s="679"/>
      <c r="P53" s="679">
        <f t="shared" si="5"/>
        <v>0</v>
      </c>
      <c r="Q53" s="679"/>
      <c r="R53" s="679">
        <f t="shared" si="6"/>
        <v>0</v>
      </c>
      <c r="S53" s="679"/>
      <c r="T53" s="679"/>
    </row>
    <row r="54" spans="2:21" s="815" customFormat="1" hidden="1">
      <c r="B54" s="679" t="s">
        <v>2465</v>
      </c>
      <c r="C54" s="679" t="s">
        <v>2466</v>
      </c>
      <c r="D54" s="760">
        <v>7591668100179</v>
      </c>
      <c r="E54" s="679" t="s">
        <v>2467</v>
      </c>
      <c r="F54" s="679" t="s">
        <v>2468</v>
      </c>
      <c r="G54" s="805">
        <v>43.555555555555543</v>
      </c>
      <c r="H54" s="805">
        <f t="shared" si="28"/>
        <v>1.2098765432098761</v>
      </c>
      <c r="I54" s="805">
        <f t="shared" si="29"/>
        <v>50.524444444444427</v>
      </c>
      <c r="J54" s="805">
        <f t="shared" si="30"/>
        <v>1.4034567901234563</v>
      </c>
      <c r="K54" s="679"/>
      <c r="L54" s="805">
        <f t="shared" si="3"/>
        <v>0</v>
      </c>
      <c r="M54" s="679"/>
      <c r="N54" s="679">
        <f t="shared" si="4"/>
        <v>0</v>
      </c>
      <c r="O54" s="679"/>
      <c r="P54" s="679">
        <f t="shared" si="5"/>
        <v>0</v>
      </c>
      <c r="Q54" s="679"/>
      <c r="R54" s="679">
        <f t="shared" si="6"/>
        <v>0</v>
      </c>
      <c r="S54" s="679"/>
      <c r="T54" s="679"/>
    </row>
    <row r="55" spans="2:21" s="815" customFormat="1" hidden="1">
      <c r="B55" s="679" t="s">
        <v>2469</v>
      </c>
      <c r="C55" s="679" t="s">
        <v>2470</v>
      </c>
      <c r="D55" s="760">
        <v>7591668110048</v>
      </c>
      <c r="E55" s="679" t="s">
        <v>2372</v>
      </c>
      <c r="F55" s="679" t="s">
        <v>2373</v>
      </c>
      <c r="G55" s="805">
        <v>45.55932203389829</v>
      </c>
      <c r="H55" s="805">
        <f t="shared" si="28"/>
        <v>1.8983050847457621</v>
      </c>
      <c r="I55" s="805">
        <f t="shared" si="29"/>
        <v>52.848813559322011</v>
      </c>
      <c r="J55" s="805">
        <f t="shared" si="30"/>
        <v>2.2020338983050838</v>
      </c>
      <c r="K55" s="679"/>
      <c r="L55" s="805">
        <f t="shared" si="3"/>
        <v>0</v>
      </c>
      <c r="M55" s="679"/>
      <c r="N55" s="679">
        <f t="shared" si="4"/>
        <v>0</v>
      </c>
      <c r="O55" s="679"/>
      <c r="P55" s="679">
        <f t="shared" si="5"/>
        <v>0</v>
      </c>
      <c r="Q55" s="679"/>
      <c r="R55" s="679">
        <f t="shared" si="6"/>
        <v>0</v>
      </c>
      <c r="S55" s="679"/>
      <c r="T55" s="679"/>
    </row>
    <row r="56" spans="2:21" s="815" customFormat="1" hidden="1">
      <c r="B56" s="679" t="s">
        <v>2471</v>
      </c>
      <c r="C56" s="679" t="s">
        <v>2472</v>
      </c>
      <c r="D56" s="760">
        <v>7591668120016</v>
      </c>
      <c r="E56" s="679" t="s">
        <v>2372</v>
      </c>
      <c r="F56" s="679" t="s">
        <v>2373</v>
      </c>
      <c r="G56" s="805">
        <v>29.584905660377352</v>
      </c>
      <c r="H56" s="805">
        <f t="shared" si="28"/>
        <v>1.232704402515723</v>
      </c>
      <c r="I56" s="805">
        <f t="shared" si="29"/>
        <v>34.318490566037724</v>
      </c>
      <c r="J56" s="805">
        <f t="shared" si="30"/>
        <v>1.4299371069182385</v>
      </c>
      <c r="K56" s="679"/>
      <c r="L56" s="805">
        <f t="shared" si="3"/>
        <v>0</v>
      </c>
      <c r="M56" s="679"/>
      <c r="N56" s="679">
        <f t="shared" si="4"/>
        <v>0</v>
      </c>
      <c r="O56" s="679"/>
      <c r="P56" s="679">
        <f t="shared" si="5"/>
        <v>0</v>
      </c>
      <c r="Q56" s="679"/>
      <c r="R56" s="679">
        <f t="shared" si="6"/>
        <v>0</v>
      </c>
      <c r="S56" s="679"/>
      <c r="T56" s="679"/>
    </row>
    <row r="57" spans="2:21" s="815" customFormat="1" hidden="1">
      <c r="B57" s="679" t="s">
        <v>2473</v>
      </c>
      <c r="C57" s="679" t="s">
        <v>2474</v>
      </c>
      <c r="D57" s="760">
        <v>7591668120016</v>
      </c>
      <c r="E57" s="679" t="s">
        <v>2475</v>
      </c>
      <c r="F57" s="679" t="s">
        <v>2476</v>
      </c>
      <c r="G57" s="805">
        <v>104.53333333333332</v>
      </c>
      <c r="H57" s="805">
        <f t="shared" si="28"/>
        <v>2.1777777777777776</v>
      </c>
      <c r="I57" s="805">
        <f t="shared" si="29"/>
        <v>121.25866666666664</v>
      </c>
      <c r="J57" s="805">
        <f t="shared" si="30"/>
        <v>2.5262222222222217</v>
      </c>
      <c r="K57" s="679"/>
      <c r="L57" s="805">
        <f t="shared" si="3"/>
        <v>0</v>
      </c>
      <c r="M57" s="679"/>
      <c r="N57" s="679">
        <f t="shared" si="4"/>
        <v>0</v>
      </c>
      <c r="O57" s="679"/>
      <c r="P57" s="679">
        <f t="shared" si="5"/>
        <v>0</v>
      </c>
      <c r="Q57" s="679"/>
      <c r="R57" s="679">
        <f t="shared" si="6"/>
        <v>0</v>
      </c>
      <c r="S57" s="679"/>
      <c r="T57" s="679"/>
    </row>
    <row r="58" spans="2:21" s="815" customFormat="1" hidden="1">
      <c r="B58" s="679" t="s">
        <v>2477</v>
      </c>
      <c r="C58" s="679" t="s">
        <v>2478</v>
      </c>
      <c r="D58" s="760">
        <v>7591668130046</v>
      </c>
      <c r="E58" s="679" t="s">
        <v>2372</v>
      </c>
      <c r="F58" s="679" t="s">
        <v>2373</v>
      </c>
      <c r="G58" s="805">
        <v>22.4</v>
      </c>
      <c r="H58" s="805">
        <f t="shared" si="28"/>
        <v>0.93333333333333324</v>
      </c>
      <c r="I58" s="805">
        <f t="shared" si="29"/>
        <v>25.983999999999998</v>
      </c>
      <c r="J58" s="805">
        <f t="shared" si="30"/>
        <v>1.0826666666666667</v>
      </c>
      <c r="K58" s="679"/>
      <c r="L58" s="805">
        <f t="shared" si="3"/>
        <v>0</v>
      </c>
      <c r="M58" s="679"/>
      <c r="N58" s="679">
        <f t="shared" si="4"/>
        <v>0</v>
      </c>
      <c r="O58" s="679"/>
      <c r="P58" s="679">
        <f t="shared" si="5"/>
        <v>0</v>
      </c>
      <c r="Q58" s="679"/>
      <c r="R58" s="679">
        <f t="shared" si="6"/>
        <v>0</v>
      </c>
      <c r="S58" s="679"/>
      <c r="T58" s="679"/>
    </row>
    <row r="59" spans="2:21" s="815" customFormat="1" hidden="1">
      <c r="B59" s="679" t="s">
        <v>2479</v>
      </c>
      <c r="C59" s="679" t="s">
        <v>2480</v>
      </c>
      <c r="D59" s="760">
        <v>7591668130053</v>
      </c>
      <c r="E59" s="679" t="s">
        <v>2403</v>
      </c>
      <c r="F59" s="679" t="s">
        <v>2378</v>
      </c>
      <c r="G59" s="805">
        <v>19.911111111111111</v>
      </c>
      <c r="H59" s="805">
        <f t="shared" si="28"/>
        <v>1.6592592592592592</v>
      </c>
      <c r="I59" s="805">
        <f t="shared" si="29"/>
        <v>23.096888888888888</v>
      </c>
      <c r="J59" s="805">
        <f t="shared" si="30"/>
        <v>1.9247407407407406</v>
      </c>
      <c r="K59" s="679">
        <v>0</v>
      </c>
      <c r="L59" s="805">
        <f t="shared" si="3"/>
        <v>0</v>
      </c>
      <c r="M59" s="679"/>
      <c r="N59" s="679">
        <f t="shared" si="4"/>
        <v>0</v>
      </c>
      <c r="O59" s="679"/>
      <c r="P59" s="679">
        <f t="shared" si="5"/>
        <v>0</v>
      </c>
      <c r="Q59" s="679"/>
      <c r="R59" s="679">
        <f t="shared" si="6"/>
        <v>0</v>
      </c>
      <c r="S59" s="679"/>
      <c r="T59" s="679"/>
    </row>
    <row r="60" spans="2:21" s="815" customFormat="1">
      <c r="B60" s="679" t="s">
        <v>2481</v>
      </c>
      <c r="C60" s="679" t="s">
        <v>2482</v>
      </c>
      <c r="D60" s="760">
        <v>7591668140014</v>
      </c>
      <c r="E60" s="679" t="s">
        <v>2403</v>
      </c>
      <c r="F60" s="679" t="s">
        <v>2378</v>
      </c>
      <c r="G60" s="805">
        <v>6.9166666666666679</v>
      </c>
      <c r="H60" s="805">
        <f t="shared" si="28"/>
        <v>0.57638888888888895</v>
      </c>
      <c r="I60" s="805">
        <f t="shared" si="29"/>
        <v>8.0233333333333334</v>
      </c>
      <c r="J60" s="805">
        <f t="shared" si="30"/>
        <v>0.66861111111111116</v>
      </c>
      <c r="K60" s="679">
        <v>20</v>
      </c>
      <c r="L60" s="805">
        <f t="shared" si="3"/>
        <v>160.46666666666667</v>
      </c>
      <c r="M60" s="679"/>
      <c r="N60" s="679">
        <f t="shared" si="4"/>
        <v>0</v>
      </c>
      <c r="O60" s="679"/>
      <c r="P60" s="679">
        <f t="shared" si="5"/>
        <v>0</v>
      </c>
      <c r="Q60" s="679"/>
      <c r="R60" s="679">
        <f t="shared" si="6"/>
        <v>0</v>
      </c>
      <c r="S60" s="679"/>
      <c r="T60" s="679"/>
      <c r="U60" s="815" t="s">
        <v>627</v>
      </c>
    </row>
    <row r="61" spans="2:21" s="815" customFormat="1" ht="31.5" hidden="1" customHeight="1">
      <c r="B61" s="679"/>
      <c r="C61" s="679" t="s">
        <v>2483</v>
      </c>
      <c r="D61" s="760"/>
      <c r="E61" s="679"/>
      <c r="F61" s="679"/>
      <c r="G61" s="805"/>
      <c r="H61" s="805"/>
      <c r="I61" s="805"/>
      <c r="J61" s="805"/>
      <c r="K61" s="679"/>
      <c r="L61" s="805">
        <f t="shared" si="3"/>
        <v>0</v>
      </c>
      <c r="M61" s="679"/>
      <c r="N61" s="679">
        <f t="shared" si="4"/>
        <v>0</v>
      </c>
      <c r="O61" s="679"/>
      <c r="P61" s="679">
        <f t="shared" si="5"/>
        <v>0</v>
      </c>
      <c r="Q61" s="679"/>
      <c r="R61" s="679">
        <f t="shared" si="6"/>
        <v>0</v>
      </c>
      <c r="S61" s="679"/>
      <c r="T61" s="679"/>
    </row>
    <row r="62" spans="2:21" s="815" customFormat="1" hidden="1">
      <c r="B62" s="679" t="s">
        <v>2484</v>
      </c>
      <c r="C62" s="679" t="s">
        <v>2485</v>
      </c>
      <c r="D62" s="760">
        <v>7591542004012</v>
      </c>
      <c r="E62" s="679" t="s">
        <v>2486</v>
      </c>
      <c r="F62" s="679" t="s">
        <v>2487</v>
      </c>
      <c r="G62" s="805">
        <v>30.380988807440612</v>
      </c>
      <c r="H62" s="805">
        <f t="shared" ref="H62:H66" si="31">G62/F62</f>
        <v>0.60761977614881224</v>
      </c>
      <c r="I62" s="805">
        <f t="shared" ref="I62:I66" si="32">G62*1.16</f>
        <v>35.241947016631109</v>
      </c>
      <c r="J62" s="805">
        <f t="shared" ref="J62:J66" si="33">I62/F62</f>
        <v>0.70483894033262218</v>
      </c>
      <c r="K62" s="679">
        <v>0</v>
      </c>
      <c r="L62" s="805">
        <f t="shared" si="3"/>
        <v>0</v>
      </c>
      <c r="M62" s="679">
        <v>0</v>
      </c>
      <c r="N62" s="679">
        <f t="shared" si="4"/>
        <v>0</v>
      </c>
      <c r="O62" s="679">
        <v>0</v>
      </c>
      <c r="P62" s="679">
        <f t="shared" si="5"/>
        <v>0</v>
      </c>
      <c r="Q62" s="679"/>
      <c r="R62" s="679">
        <f t="shared" si="6"/>
        <v>0</v>
      </c>
      <c r="S62" s="679"/>
      <c r="T62" s="679"/>
    </row>
    <row r="63" spans="2:21" s="815" customFormat="1" ht="13.5" hidden="1" customHeight="1">
      <c r="B63" s="679" t="s">
        <v>2488</v>
      </c>
      <c r="C63" s="679" t="s">
        <v>2489</v>
      </c>
      <c r="D63" s="760">
        <v>7591542004029</v>
      </c>
      <c r="E63" s="679" t="s">
        <v>2486</v>
      </c>
      <c r="F63" s="679" t="s">
        <v>2487</v>
      </c>
      <c r="G63" s="805">
        <v>41.807312137373025</v>
      </c>
      <c r="H63" s="805">
        <f t="shared" si="31"/>
        <v>0.83614624274746052</v>
      </c>
      <c r="I63" s="805">
        <f t="shared" si="32"/>
        <v>48.496482079352702</v>
      </c>
      <c r="J63" s="805">
        <f t="shared" si="33"/>
        <v>0.96992964158705408</v>
      </c>
      <c r="K63" s="679">
        <v>0</v>
      </c>
      <c r="L63" s="805">
        <f t="shared" si="3"/>
        <v>0</v>
      </c>
      <c r="M63" s="679">
        <v>0</v>
      </c>
      <c r="N63" s="679">
        <f t="shared" si="4"/>
        <v>0</v>
      </c>
      <c r="O63" s="679">
        <v>0</v>
      </c>
      <c r="P63" s="679">
        <f t="shared" si="5"/>
        <v>0</v>
      </c>
      <c r="Q63" s="679">
        <v>0</v>
      </c>
      <c r="R63" s="679">
        <f t="shared" si="6"/>
        <v>0</v>
      </c>
      <c r="S63" s="679"/>
      <c r="T63" s="679"/>
    </row>
    <row r="64" spans="2:21" s="815" customFormat="1" ht="14.25" hidden="1" customHeight="1">
      <c r="B64" s="679" t="s">
        <v>2490</v>
      </c>
      <c r="C64" s="679" t="s">
        <v>2491</v>
      </c>
      <c r="D64" s="760">
        <v>7591542004029</v>
      </c>
      <c r="E64" s="679" t="s">
        <v>2486</v>
      </c>
      <c r="F64" s="679" t="s">
        <v>2487</v>
      </c>
      <c r="G64" s="805">
        <v>52.63422178442373</v>
      </c>
      <c r="H64" s="805">
        <f t="shared" si="31"/>
        <v>1.0526844356884746</v>
      </c>
      <c r="I64" s="805">
        <f t="shared" si="32"/>
        <v>61.055697269931521</v>
      </c>
      <c r="J64" s="805">
        <f t="shared" si="33"/>
        <v>1.2211139453986304</v>
      </c>
      <c r="K64" s="679">
        <v>0</v>
      </c>
      <c r="L64" s="805">
        <f t="shared" si="3"/>
        <v>0</v>
      </c>
      <c r="M64" s="679">
        <v>0</v>
      </c>
      <c r="N64" s="679">
        <f t="shared" si="4"/>
        <v>0</v>
      </c>
      <c r="O64" s="679">
        <v>0</v>
      </c>
      <c r="P64" s="679">
        <f t="shared" si="5"/>
        <v>0</v>
      </c>
      <c r="Q64" s="679">
        <v>0</v>
      </c>
      <c r="R64" s="679">
        <f t="shared" si="6"/>
        <v>0</v>
      </c>
      <c r="S64" s="679"/>
      <c r="T64" s="679"/>
    </row>
    <row r="65" spans="2:20" s="815" customFormat="1" hidden="1">
      <c r="B65" s="679" t="s">
        <v>2492</v>
      </c>
      <c r="C65" s="679" t="s">
        <v>2493</v>
      </c>
      <c r="D65" s="760">
        <v>7591542004029</v>
      </c>
      <c r="E65" s="679" t="s">
        <v>2486</v>
      </c>
      <c r="F65" s="679" t="s">
        <v>2487</v>
      </c>
      <c r="G65" s="805">
        <v>68.518684380788798</v>
      </c>
      <c r="H65" s="805">
        <f t="shared" si="31"/>
        <v>1.3703736876157759</v>
      </c>
      <c r="I65" s="805">
        <f t="shared" si="32"/>
        <v>79.481673881714997</v>
      </c>
      <c r="J65" s="805">
        <f t="shared" si="33"/>
        <v>1.5896334776343</v>
      </c>
      <c r="K65" s="679">
        <v>0</v>
      </c>
      <c r="L65" s="805">
        <f t="shared" si="3"/>
        <v>0</v>
      </c>
      <c r="M65" s="679">
        <v>0</v>
      </c>
      <c r="N65" s="679">
        <f t="shared" si="4"/>
        <v>0</v>
      </c>
      <c r="O65" s="679">
        <v>0</v>
      </c>
      <c r="P65" s="679">
        <f t="shared" si="5"/>
        <v>0</v>
      </c>
      <c r="Q65" s="679">
        <v>0</v>
      </c>
      <c r="R65" s="679">
        <f t="shared" si="6"/>
        <v>0</v>
      </c>
      <c r="S65" s="679"/>
      <c r="T65" s="679"/>
    </row>
    <row r="66" spans="2:20" s="815" customFormat="1" hidden="1">
      <c r="B66" s="679" t="s">
        <v>2494</v>
      </c>
      <c r="C66" s="679" t="s">
        <v>2495</v>
      </c>
      <c r="D66" s="760">
        <v>7591542004029</v>
      </c>
      <c r="E66" s="679" t="s">
        <v>2486</v>
      </c>
      <c r="F66" s="679" t="s">
        <v>2487</v>
      </c>
      <c r="G66" s="805">
        <v>87.025581839761259</v>
      </c>
      <c r="H66" s="805">
        <f t="shared" si="31"/>
        <v>1.7405116367952251</v>
      </c>
      <c r="I66" s="805">
        <f t="shared" si="32"/>
        <v>100.94967493412305</v>
      </c>
      <c r="J66" s="805">
        <f t="shared" si="33"/>
        <v>2.0189934986824611</v>
      </c>
      <c r="K66" s="679">
        <v>0</v>
      </c>
      <c r="L66" s="805">
        <f t="shared" si="3"/>
        <v>0</v>
      </c>
      <c r="M66" s="679">
        <v>0</v>
      </c>
      <c r="N66" s="679">
        <f t="shared" si="4"/>
        <v>0</v>
      </c>
      <c r="O66" s="679"/>
      <c r="P66" s="679">
        <f t="shared" si="5"/>
        <v>0</v>
      </c>
      <c r="Q66" s="679"/>
      <c r="R66" s="679">
        <f t="shared" si="6"/>
        <v>0</v>
      </c>
      <c r="S66" s="679"/>
      <c r="T66" s="679"/>
    </row>
    <row r="67" spans="2:20" s="815" customFormat="1" hidden="1">
      <c r="B67" s="679"/>
      <c r="C67" s="679" t="s">
        <v>2496</v>
      </c>
      <c r="D67" s="760"/>
      <c r="E67" s="679"/>
      <c r="F67" s="679"/>
      <c r="G67" s="805"/>
      <c r="H67" s="805"/>
      <c r="I67" s="805"/>
      <c r="J67" s="805"/>
      <c r="K67" s="679">
        <v>0</v>
      </c>
      <c r="L67" s="805">
        <f t="shared" si="3"/>
        <v>0</v>
      </c>
      <c r="M67" s="679">
        <v>0</v>
      </c>
      <c r="N67" s="679">
        <f t="shared" si="4"/>
        <v>0</v>
      </c>
      <c r="O67" s="679">
        <v>0</v>
      </c>
      <c r="P67" s="679">
        <f t="shared" si="5"/>
        <v>0</v>
      </c>
      <c r="Q67" s="679">
        <v>0</v>
      </c>
      <c r="R67" s="679">
        <f t="shared" si="6"/>
        <v>0</v>
      </c>
      <c r="S67" s="679"/>
      <c r="T67" s="679"/>
    </row>
    <row r="68" spans="2:20" s="815" customFormat="1" hidden="1">
      <c r="B68" s="679" t="s">
        <v>2497</v>
      </c>
      <c r="C68" s="679" t="s">
        <v>2498</v>
      </c>
      <c r="D68" s="760">
        <v>7591542000267</v>
      </c>
      <c r="E68" s="679" t="s">
        <v>2499</v>
      </c>
      <c r="F68" s="679">
        <v>50</v>
      </c>
      <c r="G68" s="805">
        <v>18.88544891640867</v>
      </c>
      <c r="H68" s="805">
        <f t="shared" ref="H68:H72" si="34">G68/F68</f>
        <v>0.37770897832817341</v>
      </c>
      <c r="I68" s="805">
        <f t="shared" ref="I68:I72" si="35">G68*1.16</f>
        <v>21.907120743034056</v>
      </c>
      <c r="J68" s="805">
        <f t="shared" ref="J68:J72" si="36">I68/F68</f>
        <v>0.43814241486068112</v>
      </c>
      <c r="K68" s="679">
        <v>0</v>
      </c>
      <c r="L68" s="805">
        <f t="shared" si="3"/>
        <v>0</v>
      </c>
      <c r="M68" s="679"/>
      <c r="N68" s="679">
        <f t="shared" si="4"/>
        <v>0</v>
      </c>
      <c r="O68" s="679"/>
      <c r="P68" s="679">
        <f t="shared" si="5"/>
        <v>0</v>
      </c>
      <c r="Q68" s="679"/>
      <c r="R68" s="679">
        <f t="shared" si="6"/>
        <v>0</v>
      </c>
      <c r="S68" s="679"/>
      <c r="T68" s="679"/>
    </row>
    <row r="69" spans="2:20" s="815" customFormat="1" hidden="1">
      <c r="B69" s="679" t="s">
        <v>2500</v>
      </c>
      <c r="C69" s="679" t="s">
        <v>2501</v>
      </c>
      <c r="D69" s="760">
        <v>7591542004517</v>
      </c>
      <c r="E69" s="679" t="s">
        <v>2499</v>
      </c>
      <c r="F69" s="679">
        <v>50</v>
      </c>
      <c r="G69" s="805">
        <v>25.077399380804955</v>
      </c>
      <c r="H69" s="805">
        <f t="shared" si="34"/>
        <v>0.50154798761609909</v>
      </c>
      <c r="I69" s="805">
        <f t="shared" si="35"/>
        <v>29.089783281733745</v>
      </c>
      <c r="J69" s="805">
        <f t="shared" si="36"/>
        <v>0.58179566563467489</v>
      </c>
      <c r="K69" s="679">
        <v>0</v>
      </c>
      <c r="L69" s="805">
        <f t="shared" si="3"/>
        <v>0</v>
      </c>
      <c r="M69" s="679">
        <v>0</v>
      </c>
      <c r="N69" s="679">
        <f t="shared" si="4"/>
        <v>0</v>
      </c>
      <c r="O69" s="679">
        <v>0</v>
      </c>
      <c r="P69" s="679">
        <f t="shared" si="5"/>
        <v>0</v>
      </c>
      <c r="Q69" s="679">
        <v>0</v>
      </c>
      <c r="R69" s="679">
        <f t="shared" si="6"/>
        <v>0</v>
      </c>
      <c r="S69" s="679"/>
      <c r="T69" s="679"/>
    </row>
    <row r="70" spans="2:20" s="815" customFormat="1" hidden="1">
      <c r="B70" s="679" t="s">
        <v>2502</v>
      </c>
      <c r="C70" s="679" t="s">
        <v>2503</v>
      </c>
      <c r="D70" s="760">
        <v>7591542004524</v>
      </c>
      <c r="E70" s="679" t="s">
        <v>2499</v>
      </c>
      <c r="F70" s="679">
        <v>50</v>
      </c>
      <c r="G70" s="805">
        <v>35.397316821465431</v>
      </c>
      <c r="H70" s="805">
        <f t="shared" si="34"/>
        <v>0.7079463364293086</v>
      </c>
      <c r="I70" s="805">
        <f t="shared" si="35"/>
        <v>41.060887512899896</v>
      </c>
      <c r="J70" s="805">
        <f t="shared" si="36"/>
        <v>0.82121775025799792</v>
      </c>
      <c r="K70" s="679">
        <v>0</v>
      </c>
      <c r="L70" s="805">
        <f t="shared" si="3"/>
        <v>0</v>
      </c>
      <c r="M70" s="679">
        <v>0</v>
      </c>
      <c r="N70" s="679">
        <f t="shared" si="4"/>
        <v>0</v>
      </c>
      <c r="O70" s="679">
        <v>0</v>
      </c>
      <c r="P70" s="679">
        <f t="shared" si="5"/>
        <v>0</v>
      </c>
      <c r="Q70" s="679">
        <v>0</v>
      </c>
      <c r="R70" s="679">
        <f t="shared" si="6"/>
        <v>0</v>
      </c>
      <c r="S70" s="679"/>
      <c r="T70" s="679"/>
    </row>
    <row r="71" spans="2:20" s="815" customFormat="1" hidden="1">
      <c r="B71" s="679" t="s">
        <v>2504</v>
      </c>
      <c r="C71" s="679" t="s">
        <v>2505</v>
      </c>
      <c r="D71" s="760">
        <v>7591542004531</v>
      </c>
      <c r="E71" s="679" t="s">
        <v>2499</v>
      </c>
      <c r="F71" s="679">
        <v>50</v>
      </c>
      <c r="G71" s="805">
        <v>41.589267285861716</v>
      </c>
      <c r="H71" s="805">
        <f t="shared" si="34"/>
        <v>0.83178534571723428</v>
      </c>
      <c r="I71" s="805">
        <f t="shared" si="35"/>
        <v>48.243550051599584</v>
      </c>
      <c r="J71" s="805">
        <f t="shared" si="36"/>
        <v>0.96487100103199164</v>
      </c>
      <c r="K71" s="679">
        <v>0</v>
      </c>
      <c r="L71" s="805">
        <f t="shared" si="3"/>
        <v>0</v>
      </c>
      <c r="M71" s="679">
        <v>0</v>
      </c>
      <c r="N71" s="679">
        <f t="shared" si="4"/>
        <v>0</v>
      </c>
      <c r="O71" s="679">
        <v>0</v>
      </c>
      <c r="P71" s="679">
        <f t="shared" si="5"/>
        <v>0</v>
      </c>
      <c r="Q71" s="679">
        <v>0</v>
      </c>
      <c r="R71" s="679">
        <f t="shared" si="6"/>
        <v>0</v>
      </c>
      <c r="S71" s="679"/>
      <c r="T71" s="679"/>
    </row>
    <row r="72" spans="2:20" s="815" customFormat="1" hidden="1">
      <c r="B72" s="679" t="s">
        <v>2506</v>
      </c>
      <c r="C72" s="679" t="s">
        <v>2507</v>
      </c>
      <c r="D72" s="760">
        <v>7591542004548</v>
      </c>
      <c r="E72" s="679" t="s">
        <v>2499</v>
      </c>
      <c r="F72" s="679">
        <v>50</v>
      </c>
      <c r="G72" s="805">
        <v>65.675954592363269</v>
      </c>
      <c r="H72" s="805">
        <f t="shared" si="34"/>
        <v>1.3135190918472655</v>
      </c>
      <c r="I72" s="805">
        <f t="shared" si="35"/>
        <v>76.18410732714139</v>
      </c>
      <c r="J72" s="805">
        <f t="shared" si="36"/>
        <v>1.5236821465428279</v>
      </c>
      <c r="K72" s="679">
        <v>0</v>
      </c>
      <c r="L72" s="805">
        <f t="shared" ref="L72:L92" si="37">I72*K72</f>
        <v>0</v>
      </c>
      <c r="M72" s="679"/>
      <c r="N72" s="679">
        <f t="shared" ref="N72:N92" si="38">I72*M72</f>
        <v>0</v>
      </c>
      <c r="O72" s="679"/>
      <c r="P72" s="679">
        <f t="shared" ref="P72:P92" si="39">I72*O72</f>
        <v>0</v>
      </c>
      <c r="Q72" s="679"/>
      <c r="R72" s="679">
        <f t="shared" ref="R72:R92" si="40">I72*Q72</f>
        <v>0</v>
      </c>
      <c r="S72" s="679"/>
      <c r="T72" s="679"/>
    </row>
    <row r="73" spans="2:20" s="815" customFormat="1" hidden="1">
      <c r="B73" s="679"/>
      <c r="C73" s="679" t="s">
        <v>2508</v>
      </c>
      <c r="D73" s="760"/>
      <c r="E73" s="679"/>
      <c r="F73" s="679"/>
      <c r="G73" s="805"/>
      <c r="H73" s="805"/>
      <c r="I73" s="805"/>
      <c r="J73" s="805"/>
      <c r="K73" s="679"/>
      <c r="L73" s="805">
        <f t="shared" si="37"/>
        <v>0</v>
      </c>
      <c r="M73" s="679"/>
      <c r="N73" s="679">
        <f t="shared" si="38"/>
        <v>0</v>
      </c>
      <c r="O73" s="679"/>
      <c r="P73" s="679">
        <f t="shared" si="39"/>
        <v>0</v>
      </c>
      <c r="Q73" s="679"/>
      <c r="R73" s="679">
        <f t="shared" si="40"/>
        <v>0</v>
      </c>
      <c r="S73" s="679"/>
      <c r="T73" s="679"/>
    </row>
    <row r="74" spans="2:20" s="815" customFormat="1" hidden="1">
      <c r="B74" s="679" t="s">
        <v>2509</v>
      </c>
      <c r="C74" s="679" t="s">
        <v>2510</v>
      </c>
      <c r="D74" s="760">
        <v>7591542000465</v>
      </c>
      <c r="E74" s="679" t="s">
        <v>2511</v>
      </c>
      <c r="F74" s="679" t="s">
        <v>2512</v>
      </c>
      <c r="G74" s="805">
        <v>24.57</v>
      </c>
      <c r="H74" s="805">
        <f t="shared" ref="H74" si="41">G74/F74</f>
        <v>1.2284999999999999</v>
      </c>
      <c r="I74" s="805">
        <f t="shared" ref="I74" si="42">G74*1.16</f>
        <v>28.501199999999997</v>
      </c>
      <c r="J74" s="805">
        <f t="shared" ref="J74" si="43">I74/F74</f>
        <v>1.4250599999999998</v>
      </c>
      <c r="K74" s="679">
        <v>0</v>
      </c>
      <c r="L74" s="805">
        <f t="shared" si="37"/>
        <v>0</v>
      </c>
      <c r="M74" s="679"/>
      <c r="N74" s="679">
        <f t="shared" si="38"/>
        <v>0</v>
      </c>
      <c r="O74" s="679"/>
      <c r="P74" s="679">
        <f t="shared" si="39"/>
        <v>0</v>
      </c>
      <c r="Q74" s="679"/>
      <c r="R74" s="679">
        <f t="shared" si="40"/>
        <v>0</v>
      </c>
      <c r="S74" s="679"/>
      <c r="T74" s="679"/>
    </row>
    <row r="75" spans="2:20" s="815" customFormat="1" hidden="1">
      <c r="B75" s="679"/>
      <c r="C75" s="679" t="s">
        <v>2513</v>
      </c>
      <c r="D75" s="760"/>
      <c r="E75" s="679"/>
      <c r="F75" s="679"/>
      <c r="G75" s="805"/>
      <c r="H75" s="805"/>
      <c r="I75" s="805"/>
      <c r="J75" s="805"/>
      <c r="K75" s="679"/>
      <c r="L75" s="805">
        <f t="shared" si="37"/>
        <v>0</v>
      </c>
      <c r="M75" s="679"/>
      <c r="N75" s="679">
        <f t="shared" si="38"/>
        <v>0</v>
      </c>
      <c r="O75" s="679"/>
      <c r="P75" s="679">
        <f t="shared" si="39"/>
        <v>0</v>
      </c>
      <c r="Q75" s="679"/>
      <c r="R75" s="679">
        <f t="shared" si="40"/>
        <v>0</v>
      </c>
      <c r="S75" s="679"/>
      <c r="T75" s="679"/>
    </row>
    <row r="76" spans="2:20" s="815" customFormat="1" hidden="1">
      <c r="B76" s="679" t="s">
        <v>2514</v>
      </c>
      <c r="C76" s="679" t="s">
        <v>2515</v>
      </c>
      <c r="D76" s="760">
        <v>7591542044513</v>
      </c>
      <c r="E76" s="679" t="s">
        <v>2516</v>
      </c>
      <c r="F76" s="679" t="s">
        <v>2487</v>
      </c>
      <c r="G76" s="805">
        <v>14.641148325358852</v>
      </c>
      <c r="H76" s="805">
        <f t="shared" ref="H76:H79" si="44">G76/F76</f>
        <v>0.29282296650717704</v>
      </c>
      <c r="I76" s="805">
        <f t="shared" ref="I76:I79" si="45">G76*1.16</f>
        <v>16.983732057416269</v>
      </c>
      <c r="J76" s="805">
        <f t="shared" ref="J76:J79" si="46">I76/F76</f>
        <v>0.33967464114832535</v>
      </c>
      <c r="K76" s="679">
        <v>0</v>
      </c>
      <c r="L76" s="805">
        <f t="shared" si="37"/>
        <v>0</v>
      </c>
      <c r="M76" s="679"/>
      <c r="N76" s="679">
        <f t="shared" si="38"/>
        <v>0</v>
      </c>
      <c r="O76" s="679"/>
      <c r="P76" s="679">
        <f t="shared" si="39"/>
        <v>0</v>
      </c>
      <c r="Q76" s="679"/>
      <c r="R76" s="679">
        <f t="shared" si="40"/>
        <v>0</v>
      </c>
      <c r="S76" s="679"/>
      <c r="T76" s="679"/>
    </row>
    <row r="77" spans="2:20" s="815" customFormat="1" hidden="1">
      <c r="B77" s="679" t="s">
        <v>2517</v>
      </c>
      <c r="C77" s="679" t="s">
        <v>2518</v>
      </c>
      <c r="D77" s="760">
        <v>7591542044520</v>
      </c>
      <c r="E77" s="679" t="s">
        <v>2519</v>
      </c>
      <c r="F77" s="679" t="s">
        <v>2520</v>
      </c>
      <c r="G77" s="805">
        <v>20.497607655502389</v>
      </c>
      <c r="H77" s="805">
        <f t="shared" si="44"/>
        <v>0.5124401913875597</v>
      </c>
      <c r="I77" s="805">
        <f t="shared" si="45"/>
        <v>23.777224880382768</v>
      </c>
      <c r="J77" s="805">
        <f t="shared" si="46"/>
        <v>0.5944306220095692</v>
      </c>
      <c r="K77" s="679">
        <v>0</v>
      </c>
      <c r="L77" s="805">
        <f t="shared" si="37"/>
        <v>0</v>
      </c>
      <c r="M77" s="679">
        <v>0</v>
      </c>
      <c r="N77" s="679">
        <f t="shared" si="38"/>
        <v>0</v>
      </c>
      <c r="O77" s="679">
        <v>0</v>
      </c>
      <c r="P77" s="679">
        <f t="shared" si="39"/>
        <v>0</v>
      </c>
      <c r="Q77" s="679">
        <v>0</v>
      </c>
      <c r="R77" s="679">
        <f t="shared" si="40"/>
        <v>0</v>
      </c>
      <c r="S77" s="679"/>
      <c r="T77" s="679"/>
    </row>
    <row r="78" spans="2:20" s="815" customFormat="1" hidden="1">
      <c r="B78" s="679" t="s">
        <v>2521</v>
      </c>
      <c r="C78" s="679" t="s">
        <v>2522</v>
      </c>
      <c r="D78" s="760">
        <v>7591542044537</v>
      </c>
      <c r="E78" s="679" t="s">
        <v>2519</v>
      </c>
      <c r="F78" s="679" t="s">
        <v>2520</v>
      </c>
      <c r="G78" s="805">
        <v>20.497607655502389</v>
      </c>
      <c r="H78" s="805">
        <f t="shared" si="44"/>
        <v>0.5124401913875597</v>
      </c>
      <c r="I78" s="805">
        <f t="shared" si="45"/>
        <v>23.777224880382768</v>
      </c>
      <c r="J78" s="805">
        <f t="shared" si="46"/>
        <v>0.5944306220095692</v>
      </c>
      <c r="K78" s="679">
        <v>0</v>
      </c>
      <c r="L78" s="805">
        <f t="shared" si="37"/>
        <v>0</v>
      </c>
      <c r="M78" s="679">
        <v>0</v>
      </c>
      <c r="N78" s="679">
        <f t="shared" si="38"/>
        <v>0</v>
      </c>
      <c r="O78" s="679">
        <v>0</v>
      </c>
      <c r="P78" s="679">
        <f t="shared" si="39"/>
        <v>0</v>
      </c>
      <c r="Q78" s="679">
        <v>0</v>
      </c>
      <c r="R78" s="679">
        <f t="shared" si="40"/>
        <v>0</v>
      </c>
      <c r="S78" s="679"/>
      <c r="T78" s="679"/>
    </row>
    <row r="79" spans="2:20" s="815" customFormat="1" hidden="1">
      <c r="B79" s="679" t="s">
        <v>2523</v>
      </c>
      <c r="C79" s="679" t="s">
        <v>2524</v>
      </c>
      <c r="D79" s="760">
        <v>7591542044544</v>
      </c>
      <c r="E79" s="679" t="s">
        <v>2519</v>
      </c>
      <c r="F79" s="679" t="s">
        <v>2520</v>
      </c>
      <c r="G79" s="805">
        <v>23.253588516746412</v>
      </c>
      <c r="H79" s="805">
        <f t="shared" si="44"/>
        <v>0.58133971291866027</v>
      </c>
      <c r="I79" s="805">
        <f t="shared" si="45"/>
        <v>26.974162679425834</v>
      </c>
      <c r="J79" s="805">
        <f t="shared" si="46"/>
        <v>0.67435406698564582</v>
      </c>
      <c r="K79" s="679">
        <v>0</v>
      </c>
      <c r="L79" s="805">
        <f t="shared" si="37"/>
        <v>0</v>
      </c>
      <c r="M79" s="679" t="s">
        <v>669</v>
      </c>
      <c r="N79" s="679" t="e">
        <f t="shared" si="38"/>
        <v>#VALUE!</v>
      </c>
      <c r="O79" s="679" t="s">
        <v>669</v>
      </c>
      <c r="P79" s="679" t="e">
        <f t="shared" si="39"/>
        <v>#VALUE!</v>
      </c>
      <c r="Q79" s="679" t="s">
        <v>669</v>
      </c>
      <c r="R79" s="679" t="e">
        <f t="shared" si="40"/>
        <v>#VALUE!</v>
      </c>
      <c r="S79" s="679"/>
      <c r="T79" s="679"/>
    </row>
    <row r="80" spans="2:20" s="815" customFormat="1" hidden="1">
      <c r="B80" s="679"/>
      <c r="C80" s="679" t="s">
        <v>2525</v>
      </c>
      <c r="D80" s="760"/>
      <c r="E80" s="679"/>
      <c r="F80" s="679"/>
      <c r="G80" s="805"/>
      <c r="H80" s="805"/>
      <c r="I80" s="805"/>
      <c r="J80" s="805"/>
      <c r="K80" s="679"/>
      <c r="L80" s="805">
        <f t="shared" si="37"/>
        <v>0</v>
      </c>
      <c r="M80" s="679"/>
      <c r="N80" s="679">
        <f t="shared" si="38"/>
        <v>0</v>
      </c>
      <c r="O80" s="679"/>
      <c r="P80" s="679">
        <f t="shared" si="39"/>
        <v>0</v>
      </c>
      <c r="Q80" s="679"/>
      <c r="R80" s="679">
        <f t="shared" si="40"/>
        <v>0</v>
      </c>
      <c r="S80" s="679"/>
      <c r="T80" s="679"/>
    </row>
    <row r="81" spans="2:20" s="815" customFormat="1" hidden="1">
      <c r="B81" s="679" t="s">
        <v>2526</v>
      </c>
      <c r="C81" s="679" t="s">
        <v>2527</v>
      </c>
      <c r="D81" s="760">
        <v>7591542004203</v>
      </c>
      <c r="E81" s="679" t="s">
        <v>2528</v>
      </c>
      <c r="F81" s="679">
        <v>40</v>
      </c>
      <c r="G81" s="805">
        <v>28.922542204568025</v>
      </c>
      <c r="H81" s="805">
        <f t="shared" ref="H81" si="47">G81/F81</f>
        <v>0.72306355511420062</v>
      </c>
      <c r="I81" s="805">
        <f t="shared" ref="I81" si="48">G81*1.16</f>
        <v>33.550148957298909</v>
      </c>
      <c r="J81" s="805">
        <f t="shared" ref="J81" si="49">I81/F81</f>
        <v>0.83875372393247272</v>
      </c>
      <c r="K81" s="679">
        <v>0</v>
      </c>
      <c r="L81" s="805">
        <f t="shared" si="37"/>
        <v>0</v>
      </c>
      <c r="M81" s="679"/>
      <c r="N81" s="679">
        <f t="shared" si="38"/>
        <v>0</v>
      </c>
      <c r="O81" s="679"/>
      <c r="P81" s="679">
        <f t="shared" si="39"/>
        <v>0</v>
      </c>
      <c r="Q81" s="679"/>
      <c r="R81" s="679">
        <f t="shared" si="40"/>
        <v>0</v>
      </c>
      <c r="S81" s="679"/>
      <c r="T81" s="679"/>
    </row>
    <row r="82" spans="2:20" s="815" customFormat="1" hidden="1">
      <c r="B82" s="679"/>
      <c r="C82" s="679" t="s">
        <v>2529</v>
      </c>
      <c r="D82" s="760"/>
      <c r="E82" s="679"/>
      <c r="F82" s="679"/>
      <c r="G82" s="805"/>
      <c r="H82" s="805"/>
      <c r="I82" s="805"/>
      <c r="J82" s="805"/>
      <c r="K82" s="679"/>
      <c r="L82" s="805">
        <f t="shared" si="37"/>
        <v>0</v>
      </c>
      <c r="M82" s="679"/>
      <c r="N82" s="679">
        <f t="shared" si="38"/>
        <v>0</v>
      </c>
      <c r="O82" s="679"/>
      <c r="P82" s="679">
        <f t="shared" si="39"/>
        <v>0</v>
      </c>
      <c r="Q82" s="679"/>
      <c r="R82" s="679">
        <f t="shared" si="40"/>
        <v>0</v>
      </c>
      <c r="S82" s="679"/>
      <c r="T82" s="679"/>
    </row>
    <row r="83" spans="2:20" s="815" customFormat="1" hidden="1">
      <c r="B83" s="679" t="s">
        <v>2530</v>
      </c>
      <c r="C83" s="679" t="s">
        <v>2531</v>
      </c>
      <c r="D83" s="760">
        <v>7591542000311</v>
      </c>
      <c r="E83" s="679" t="s">
        <v>2532</v>
      </c>
      <c r="F83" s="679">
        <v>18</v>
      </c>
      <c r="G83" s="805">
        <v>21.533267130089378</v>
      </c>
      <c r="H83" s="805">
        <f t="shared" ref="H83:H86" si="50">G83/F83</f>
        <v>1.1962926183382987</v>
      </c>
      <c r="I83" s="805">
        <f t="shared" ref="I83:I86" si="51">G83*1.16</f>
        <v>24.978589870903676</v>
      </c>
      <c r="J83" s="805">
        <f t="shared" ref="J83:J86" si="52">I83/F83</f>
        <v>1.3876994372724265</v>
      </c>
      <c r="K83" s="679">
        <v>0</v>
      </c>
      <c r="L83" s="805">
        <f t="shared" si="37"/>
        <v>0</v>
      </c>
      <c r="M83" s="679"/>
      <c r="N83" s="679">
        <f t="shared" si="38"/>
        <v>0</v>
      </c>
      <c r="O83" s="679"/>
      <c r="P83" s="679">
        <f t="shared" si="39"/>
        <v>0</v>
      </c>
      <c r="Q83" s="679"/>
      <c r="R83" s="679">
        <f t="shared" si="40"/>
        <v>0</v>
      </c>
      <c r="S83" s="679"/>
      <c r="T83" s="679"/>
    </row>
    <row r="84" spans="2:20" s="815" customFormat="1" hidden="1">
      <c r="B84" s="679" t="s">
        <v>2533</v>
      </c>
      <c r="C84" s="679" t="s">
        <v>2534</v>
      </c>
      <c r="D84" s="760">
        <v>7591542000328</v>
      </c>
      <c r="E84" s="679" t="s">
        <v>2532</v>
      </c>
      <c r="F84" s="679">
        <v>18</v>
      </c>
      <c r="G84" s="805">
        <v>22.953326713008938</v>
      </c>
      <c r="H84" s="805">
        <f t="shared" si="50"/>
        <v>1.2751848173893854</v>
      </c>
      <c r="I84" s="805">
        <f t="shared" si="51"/>
        <v>26.625858987090368</v>
      </c>
      <c r="J84" s="805">
        <f t="shared" si="52"/>
        <v>1.479214388171687</v>
      </c>
      <c r="K84" s="679">
        <v>0</v>
      </c>
      <c r="L84" s="805">
        <f t="shared" si="37"/>
        <v>0</v>
      </c>
      <c r="M84" s="679"/>
      <c r="N84" s="679">
        <f t="shared" si="38"/>
        <v>0</v>
      </c>
      <c r="O84" s="679"/>
      <c r="P84" s="679">
        <f t="shared" si="39"/>
        <v>0</v>
      </c>
      <c r="Q84" s="679"/>
      <c r="R84" s="679">
        <f t="shared" si="40"/>
        <v>0</v>
      </c>
      <c r="S84" s="679"/>
      <c r="T84" s="679"/>
    </row>
    <row r="85" spans="2:20" s="815" customFormat="1" hidden="1">
      <c r="B85" s="679" t="s">
        <v>2535</v>
      </c>
      <c r="C85" s="679" t="s">
        <v>2536</v>
      </c>
      <c r="D85" s="760">
        <v>7591542000298</v>
      </c>
      <c r="E85" s="679" t="s">
        <v>2537</v>
      </c>
      <c r="F85" s="679">
        <v>15</v>
      </c>
      <c r="G85" s="805">
        <v>25.662363455809334</v>
      </c>
      <c r="H85" s="805">
        <f t="shared" si="50"/>
        <v>1.7108242303872889</v>
      </c>
      <c r="I85" s="805">
        <f t="shared" si="51"/>
        <v>29.768341608738826</v>
      </c>
      <c r="J85" s="805">
        <f t="shared" si="52"/>
        <v>1.984556107249255</v>
      </c>
      <c r="K85" s="679">
        <v>0</v>
      </c>
      <c r="L85" s="805">
        <f t="shared" si="37"/>
        <v>0</v>
      </c>
      <c r="M85" s="679"/>
      <c r="N85" s="679">
        <f t="shared" si="38"/>
        <v>0</v>
      </c>
      <c r="O85" s="679"/>
      <c r="P85" s="679">
        <f t="shared" si="39"/>
        <v>0</v>
      </c>
      <c r="Q85" s="679"/>
      <c r="R85" s="679">
        <f t="shared" si="40"/>
        <v>0</v>
      </c>
      <c r="S85" s="679"/>
      <c r="T85" s="679"/>
    </row>
    <row r="86" spans="2:20" s="815" customFormat="1" hidden="1">
      <c r="B86" s="679" t="s">
        <v>2538</v>
      </c>
      <c r="C86" s="679" t="s">
        <v>2539</v>
      </c>
      <c r="D86" s="760">
        <v>7591542000304</v>
      </c>
      <c r="E86" s="679" t="s">
        <v>2537</v>
      </c>
      <c r="F86" s="679">
        <v>15</v>
      </c>
      <c r="G86" s="805">
        <v>29.791459781529301</v>
      </c>
      <c r="H86" s="805">
        <f t="shared" si="50"/>
        <v>1.9860973187686202</v>
      </c>
      <c r="I86" s="805">
        <f t="shared" si="51"/>
        <v>34.55809334657399</v>
      </c>
      <c r="J86" s="805">
        <f t="shared" si="52"/>
        <v>2.3038728897715992</v>
      </c>
      <c r="K86" s="679">
        <v>0</v>
      </c>
      <c r="L86" s="805">
        <f t="shared" si="37"/>
        <v>0</v>
      </c>
      <c r="M86" s="679"/>
      <c r="N86" s="679">
        <f t="shared" si="38"/>
        <v>0</v>
      </c>
      <c r="O86" s="679"/>
      <c r="P86" s="679">
        <f t="shared" si="39"/>
        <v>0</v>
      </c>
      <c r="Q86" s="679"/>
      <c r="R86" s="679">
        <f t="shared" si="40"/>
        <v>0</v>
      </c>
      <c r="S86" s="679"/>
      <c r="T86" s="679"/>
    </row>
    <row r="87" spans="2:20" s="815" customFormat="1" hidden="1">
      <c r="B87" s="679"/>
      <c r="C87" s="679" t="s">
        <v>2540</v>
      </c>
      <c r="D87" s="760"/>
      <c r="E87" s="679"/>
      <c r="F87" s="679"/>
      <c r="G87" s="805"/>
      <c r="H87" s="805"/>
      <c r="I87" s="805"/>
      <c r="J87" s="805"/>
      <c r="K87" s="679"/>
      <c r="L87" s="805">
        <f t="shared" si="37"/>
        <v>0</v>
      </c>
      <c r="M87" s="679"/>
      <c r="N87" s="679">
        <f t="shared" si="38"/>
        <v>0</v>
      </c>
      <c r="O87" s="679"/>
      <c r="P87" s="679">
        <f t="shared" si="39"/>
        <v>0</v>
      </c>
      <c r="Q87" s="679"/>
      <c r="R87" s="679">
        <f t="shared" si="40"/>
        <v>0</v>
      </c>
      <c r="S87" s="679"/>
      <c r="T87" s="679"/>
    </row>
    <row r="88" spans="2:20" s="815" customFormat="1" hidden="1">
      <c r="B88" s="679" t="s">
        <v>2541</v>
      </c>
      <c r="C88" s="679" t="s">
        <v>2542</v>
      </c>
      <c r="D88" s="760">
        <v>7591542350010</v>
      </c>
      <c r="E88" s="679" t="s">
        <v>2543</v>
      </c>
      <c r="F88" s="679">
        <v>24</v>
      </c>
      <c r="G88" s="805">
        <v>41.195630585898712</v>
      </c>
      <c r="H88" s="805">
        <f t="shared" ref="H88:H90" si="53">G88/F88</f>
        <v>1.7164846077457796</v>
      </c>
      <c r="I88" s="805">
        <f t="shared" ref="I88:I90" si="54">G88*1.16</f>
        <v>47.786931479642504</v>
      </c>
      <c r="J88" s="805">
        <f t="shared" ref="J88:J90" si="55">I88/F88</f>
        <v>1.9911221449851044</v>
      </c>
      <c r="K88" s="679">
        <v>6</v>
      </c>
      <c r="L88" s="805">
        <f t="shared" si="37"/>
        <v>286.72158887785503</v>
      </c>
      <c r="M88" s="679">
        <v>1</v>
      </c>
      <c r="N88" s="679">
        <f t="shared" si="38"/>
        <v>47.786931479642504</v>
      </c>
      <c r="O88" s="679">
        <v>1</v>
      </c>
      <c r="P88" s="679">
        <f t="shared" si="39"/>
        <v>47.786931479642504</v>
      </c>
      <c r="Q88" s="679">
        <v>1</v>
      </c>
      <c r="R88" s="679">
        <f t="shared" si="40"/>
        <v>47.786931479642504</v>
      </c>
      <c r="S88" s="679"/>
      <c r="T88" s="679"/>
    </row>
    <row r="89" spans="2:20" s="815" customFormat="1" hidden="1">
      <c r="B89" s="679" t="s">
        <v>2544</v>
      </c>
      <c r="C89" s="679" t="s">
        <v>2545</v>
      </c>
      <c r="D89" s="760">
        <v>7591542350027</v>
      </c>
      <c r="E89" s="679" t="s">
        <v>2546</v>
      </c>
      <c r="F89" s="679">
        <v>20</v>
      </c>
      <c r="G89" s="805">
        <v>43.118172790466737</v>
      </c>
      <c r="H89" s="805">
        <f t="shared" si="53"/>
        <v>2.1559086395233367</v>
      </c>
      <c r="I89" s="805">
        <f t="shared" si="54"/>
        <v>50.017080436941413</v>
      </c>
      <c r="J89" s="805">
        <f t="shared" si="55"/>
        <v>2.5008540218470707</v>
      </c>
      <c r="K89" s="679">
        <v>6</v>
      </c>
      <c r="L89" s="805">
        <f t="shared" si="37"/>
        <v>300.10248262164851</v>
      </c>
      <c r="M89" s="679">
        <v>1</v>
      </c>
      <c r="N89" s="679">
        <f t="shared" si="38"/>
        <v>50.017080436941413</v>
      </c>
      <c r="O89" s="679">
        <v>1</v>
      </c>
      <c r="P89" s="679">
        <f t="shared" si="39"/>
        <v>50.017080436941413</v>
      </c>
      <c r="Q89" s="679">
        <v>1</v>
      </c>
      <c r="R89" s="679">
        <f t="shared" si="40"/>
        <v>50.017080436941413</v>
      </c>
      <c r="S89" s="679"/>
      <c r="T89" s="679"/>
    </row>
    <row r="90" spans="2:20" s="815" customFormat="1" hidden="1">
      <c r="B90" s="679" t="s">
        <v>2547</v>
      </c>
      <c r="C90" s="679" t="s">
        <v>2548</v>
      </c>
      <c r="D90" s="760">
        <v>7591542350034</v>
      </c>
      <c r="E90" s="679" t="s">
        <v>2546</v>
      </c>
      <c r="F90" s="679">
        <v>20</v>
      </c>
      <c r="G90" s="805">
        <v>53.604766633565049</v>
      </c>
      <c r="H90" s="805">
        <f t="shared" si="53"/>
        <v>2.6802383316782525</v>
      </c>
      <c r="I90" s="805">
        <f t="shared" si="54"/>
        <v>62.181529294935451</v>
      </c>
      <c r="J90" s="805">
        <f t="shared" si="55"/>
        <v>3.1090764647467726</v>
      </c>
      <c r="K90" s="679">
        <v>6</v>
      </c>
      <c r="L90" s="805">
        <f t="shared" si="37"/>
        <v>373.08917576961272</v>
      </c>
      <c r="M90" s="679">
        <v>1</v>
      </c>
      <c r="N90" s="679">
        <f t="shared" si="38"/>
        <v>62.181529294935451</v>
      </c>
      <c r="O90" s="679">
        <v>1</v>
      </c>
      <c r="P90" s="679">
        <f t="shared" si="39"/>
        <v>62.181529294935451</v>
      </c>
      <c r="Q90" s="679">
        <v>1</v>
      </c>
      <c r="R90" s="679">
        <f t="shared" si="40"/>
        <v>62.181529294935451</v>
      </c>
      <c r="S90" s="679"/>
      <c r="T90" s="679"/>
    </row>
    <row r="91" spans="2:20" s="815" customFormat="1" hidden="1">
      <c r="B91" s="679"/>
      <c r="C91" s="679" t="s">
        <v>2549</v>
      </c>
      <c r="D91" s="760"/>
      <c r="E91" s="679"/>
      <c r="F91" s="679"/>
      <c r="G91" s="805"/>
      <c r="H91" s="805"/>
      <c r="I91" s="805"/>
      <c r="J91" s="805"/>
      <c r="K91" s="679"/>
      <c r="L91" s="805">
        <f t="shared" si="37"/>
        <v>0</v>
      </c>
      <c r="M91" s="679"/>
      <c r="N91" s="679">
        <f t="shared" si="38"/>
        <v>0</v>
      </c>
      <c r="O91" s="679"/>
      <c r="P91" s="679">
        <f t="shared" si="39"/>
        <v>0</v>
      </c>
      <c r="Q91" s="679"/>
      <c r="R91" s="679">
        <f t="shared" si="40"/>
        <v>0</v>
      </c>
      <c r="S91" s="679"/>
      <c r="T91" s="679"/>
    </row>
    <row r="92" spans="2:20" s="815" customFormat="1" hidden="1">
      <c r="B92" s="679" t="s">
        <v>2550</v>
      </c>
      <c r="C92" s="679" t="s">
        <v>2551</v>
      </c>
      <c r="D92" s="760">
        <v>7591542000380</v>
      </c>
      <c r="E92" s="679" t="s">
        <v>2403</v>
      </c>
      <c r="F92" s="679">
        <v>12</v>
      </c>
      <c r="G92" s="805">
        <v>18.584615384615383</v>
      </c>
      <c r="H92" s="805">
        <f t="shared" ref="H92" si="56">G92/F92</f>
        <v>1.5487179487179485</v>
      </c>
      <c r="I92" s="805">
        <f t="shared" ref="I92" si="57">G92*1.16</f>
        <v>21.558153846153843</v>
      </c>
      <c r="J92" s="805">
        <f t="shared" ref="J92" si="58">I92/F92</f>
        <v>1.7965128205128202</v>
      </c>
      <c r="K92" s="679">
        <v>0</v>
      </c>
      <c r="L92" s="805">
        <f t="shared" si="37"/>
        <v>0</v>
      </c>
      <c r="M92" s="679"/>
      <c r="N92" s="679">
        <f t="shared" si="38"/>
        <v>0</v>
      </c>
      <c r="O92" s="679"/>
      <c r="P92" s="679">
        <f t="shared" si="39"/>
        <v>0</v>
      </c>
      <c r="Q92" s="679"/>
      <c r="R92" s="679">
        <f t="shared" si="40"/>
        <v>0</v>
      </c>
      <c r="S92" s="679"/>
      <c r="T92" s="679"/>
    </row>
    <row r="93" spans="2:20" s="815" customFormat="1">
      <c r="B93" s="349"/>
      <c r="C93" s="349"/>
      <c r="D93" s="816"/>
      <c r="E93" s="349"/>
      <c r="F93" s="349"/>
      <c r="G93" s="349"/>
      <c r="H93" s="349"/>
      <c r="I93" s="349"/>
      <c r="J93" s="349"/>
      <c r="K93" s="349"/>
      <c r="L93" s="817">
        <f>L40+L41+L43+L44+L51+L59+L60+L61+L63+L64+L65+L67+L69+L70+L71+L77+L78</f>
        <v>509.10817610062895</v>
      </c>
      <c r="M93" s="349"/>
      <c r="N93" s="818">
        <f>+N40+N41+N43+N44+N51+N59+N60+N61+N63+N64+N65+N67+N69+N70+N71+N77+N78</f>
        <v>0</v>
      </c>
      <c r="O93" s="349"/>
      <c r="P93" s="349">
        <f>+P40+P41+P43+P44+P51+P59+P60+P61+P63+P64+P65+P67+P69+P70+P71+P77+P78</f>
        <v>0</v>
      </c>
      <c r="Q93" s="349"/>
      <c r="R93" s="349">
        <f>+R40+R41+R43+R44+R51+R59+R60+R61+R63+R64+R65+R67+R69+R70+R71+R77+R78</f>
        <v>0</v>
      </c>
      <c r="S93" s="349"/>
      <c r="T93" s="349"/>
    </row>
    <row r="94" spans="2:20" s="815" customFormat="1">
      <c r="B94" s="349"/>
      <c r="C94" s="349"/>
      <c r="D94" s="816"/>
      <c r="E94" s="349"/>
      <c r="F94" s="349"/>
      <c r="G94" s="349"/>
      <c r="H94" s="349"/>
      <c r="I94" s="349"/>
      <c r="J94" s="349"/>
      <c r="K94" s="349"/>
      <c r="L94" s="349"/>
      <c r="M94" s="349"/>
      <c r="O94" s="349"/>
      <c r="P94" s="349"/>
      <c r="Q94" s="349"/>
      <c r="R94" s="349"/>
      <c r="S94" s="349"/>
      <c r="T94" s="349"/>
    </row>
    <row r="97" spans="1:20">
      <c r="H97" s="885" t="s">
        <v>2829</v>
      </c>
      <c r="I97" s="886"/>
      <c r="J97" s="886"/>
      <c r="K97" s="887"/>
      <c r="L97" s="888" t="s">
        <v>3046</v>
      </c>
      <c r="M97" s="889"/>
      <c r="N97" s="889"/>
      <c r="O97" s="889"/>
      <c r="Q97" s="889" t="s">
        <v>3193</v>
      </c>
      <c r="R97" s="889"/>
      <c r="S97" s="889"/>
      <c r="T97" s="889"/>
    </row>
    <row r="98" spans="1:20" ht="30">
      <c r="C98" s="748" t="s">
        <v>3190</v>
      </c>
      <c r="D98" s="748" t="s">
        <v>1860</v>
      </c>
      <c r="E98" s="748" t="s">
        <v>620</v>
      </c>
      <c r="F98" s="748" t="s">
        <v>72</v>
      </c>
      <c r="G98" s="776" t="s">
        <v>1</v>
      </c>
      <c r="H98" s="811" t="s">
        <v>3192</v>
      </c>
      <c r="I98" s="811" t="s">
        <v>3183</v>
      </c>
      <c r="J98" s="808" t="s">
        <v>3191</v>
      </c>
      <c r="K98" s="808" t="s">
        <v>3184</v>
      </c>
      <c r="L98" s="117" t="s">
        <v>3192</v>
      </c>
      <c r="M98" s="117" t="s">
        <v>3183</v>
      </c>
      <c r="N98" s="484" t="s">
        <v>3191</v>
      </c>
      <c r="O98" s="484" t="s">
        <v>3184</v>
      </c>
      <c r="P98" s="776"/>
      <c r="Q98" s="813" t="s">
        <v>3192</v>
      </c>
      <c r="R98" s="813" t="s">
        <v>3183</v>
      </c>
      <c r="S98" s="814" t="s">
        <v>3191</v>
      </c>
      <c r="T98" s="814" t="s">
        <v>3184</v>
      </c>
    </row>
    <row r="99" spans="1:20">
      <c r="C99" s="748">
        <v>20688</v>
      </c>
      <c r="D99" s="748">
        <v>50</v>
      </c>
      <c r="E99" s="748">
        <v>0.84</v>
      </c>
      <c r="F99" s="748"/>
      <c r="G99" s="776" t="s">
        <v>3038</v>
      </c>
      <c r="H99" s="780">
        <v>2</v>
      </c>
      <c r="I99" s="776">
        <v>0</v>
      </c>
      <c r="J99" s="780">
        <v>48</v>
      </c>
      <c r="K99" s="776"/>
      <c r="L99" s="776"/>
      <c r="M99" s="776"/>
      <c r="N99" s="495"/>
      <c r="O99" s="776"/>
      <c r="P99" s="776"/>
      <c r="Q99" s="776"/>
      <c r="R99" s="776"/>
      <c r="S99" s="776"/>
      <c r="T99" s="776"/>
    </row>
    <row r="100" spans="1:20">
      <c r="C100" s="748">
        <v>20689</v>
      </c>
      <c r="D100" s="748">
        <v>50</v>
      </c>
      <c r="E100" s="748">
        <v>1.06</v>
      </c>
      <c r="F100" s="748"/>
      <c r="G100" s="776" t="s">
        <v>3039</v>
      </c>
      <c r="H100" s="780">
        <v>2</v>
      </c>
      <c r="I100" s="776">
        <v>0</v>
      </c>
      <c r="J100" s="780">
        <v>48</v>
      </c>
      <c r="K100" s="776"/>
      <c r="L100" s="776"/>
      <c r="M100" s="776"/>
      <c r="N100" s="495"/>
      <c r="O100" s="776"/>
      <c r="P100" s="776"/>
      <c r="Q100" s="776"/>
      <c r="R100" s="776"/>
      <c r="S100" s="776"/>
      <c r="T100" s="776"/>
    </row>
    <row r="101" spans="1:20">
      <c r="A101"/>
      <c r="C101" s="748">
        <v>20691</v>
      </c>
      <c r="D101" s="748">
        <v>50</v>
      </c>
      <c r="E101" s="748">
        <v>0.71</v>
      </c>
      <c r="F101" s="748"/>
      <c r="G101" s="776" t="s">
        <v>3040</v>
      </c>
      <c r="H101" s="780">
        <v>7</v>
      </c>
      <c r="I101" s="776">
        <v>0</v>
      </c>
      <c r="J101" s="780">
        <v>46</v>
      </c>
      <c r="K101" s="776"/>
      <c r="L101" s="776"/>
      <c r="M101" s="776"/>
      <c r="N101" s="495"/>
      <c r="O101" s="776"/>
      <c r="P101" s="776"/>
      <c r="Q101" s="776"/>
      <c r="R101" s="776"/>
      <c r="S101" s="776"/>
      <c r="T101" s="776"/>
    </row>
    <row r="102" spans="1:20" s="494" customFormat="1">
      <c r="B102" s="778"/>
      <c r="C102" s="24">
        <v>7591542004517</v>
      </c>
      <c r="D102" s="777">
        <v>50</v>
      </c>
      <c r="E102" s="776">
        <v>0.5</v>
      </c>
      <c r="F102" s="776"/>
      <c r="G102" s="777" t="s">
        <v>2501</v>
      </c>
      <c r="H102" s="780"/>
      <c r="I102" s="776">
        <v>0</v>
      </c>
      <c r="J102" s="780"/>
      <c r="K102" s="776"/>
      <c r="L102" s="776"/>
      <c r="M102" s="776"/>
      <c r="N102" s="495"/>
      <c r="O102" s="776"/>
      <c r="P102" s="776"/>
      <c r="Q102" s="776"/>
      <c r="R102" s="776"/>
      <c r="S102" s="776"/>
      <c r="T102" s="776"/>
    </row>
    <row r="103" spans="1:20" s="494" customFormat="1">
      <c r="B103" s="778"/>
      <c r="C103" s="24">
        <v>7591542004524</v>
      </c>
      <c r="D103" s="777">
        <v>50</v>
      </c>
      <c r="E103" s="776">
        <v>0.71</v>
      </c>
      <c r="F103" s="776"/>
      <c r="G103" s="777" t="s">
        <v>2503</v>
      </c>
      <c r="H103" s="780"/>
      <c r="I103" s="776">
        <v>0</v>
      </c>
      <c r="J103" s="780"/>
      <c r="K103" s="776"/>
      <c r="L103" s="776"/>
      <c r="M103" s="776"/>
      <c r="N103" s="495"/>
      <c r="O103" s="776"/>
      <c r="P103" s="776"/>
      <c r="Q103" s="776"/>
      <c r="R103" s="776"/>
      <c r="S103" s="776"/>
      <c r="T103" s="776"/>
    </row>
    <row r="104" spans="1:20" s="494" customFormat="1">
      <c r="B104" s="778"/>
      <c r="C104" s="24">
        <v>7591542004531</v>
      </c>
      <c r="D104" s="777">
        <v>50</v>
      </c>
      <c r="E104" s="776">
        <v>0.83</v>
      </c>
      <c r="F104" s="776"/>
      <c r="G104" s="777" t="s">
        <v>2505</v>
      </c>
      <c r="H104" s="780"/>
      <c r="I104" s="776">
        <v>0</v>
      </c>
      <c r="J104" s="780"/>
      <c r="K104" s="776"/>
      <c r="L104" s="776"/>
      <c r="M104" s="776"/>
      <c r="N104" s="495"/>
      <c r="O104" s="776"/>
      <c r="P104" s="776"/>
      <c r="Q104" s="776"/>
      <c r="R104" s="776"/>
      <c r="S104" s="776"/>
      <c r="T104" s="776"/>
    </row>
    <row r="105" spans="1:20">
      <c r="A105"/>
      <c r="C105" s="748">
        <v>20692</v>
      </c>
      <c r="D105" s="748">
        <v>40</v>
      </c>
      <c r="E105" s="748">
        <v>0.52</v>
      </c>
      <c r="F105" s="748"/>
      <c r="G105" s="776" t="s">
        <v>3041</v>
      </c>
      <c r="H105" s="780">
        <v>10</v>
      </c>
      <c r="I105" s="776">
        <v>0</v>
      </c>
      <c r="J105" s="780">
        <v>33</v>
      </c>
      <c r="K105" s="776"/>
      <c r="L105" s="776"/>
      <c r="M105" s="776"/>
      <c r="N105" s="495"/>
      <c r="O105" s="776"/>
      <c r="P105" s="776"/>
      <c r="Q105" s="776"/>
      <c r="R105" s="776"/>
      <c r="S105" s="776"/>
      <c r="T105" s="776"/>
    </row>
    <row r="106" spans="1:20">
      <c r="A106"/>
      <c r="C106" s="748">
        <v>20693</v>
      </c>
      <c r="D106" s="748">
        <v>40</v>
      </c>
      <c r="E106" s="748">
        <v>0.52</v>
      </c>
      <c r="F106" s="748"/>
      <c r="G106" s="776" t="s">
        <v>3042</v>
      </c>
      <c r="H106" s="780">
        <v>14</v>
      </c>
      <c r="I106" s="776">
        <v>0</v>
      </c>
      <c r="J106" s="780">
        <v>29</v>
      </c>
      <c r="K106" s="776"/>
      <c r="L106" s="776"/>
      <c r="M106" s="776"/>
      <c r="N106" s="495"/>
      <c r="O106" s="776"/>
      <c r="P106" s="776"/>
      <c r="Q106" s="776"/>
      <c r="R106" s="776"/>
      <c r="S106" s="776"/>
      <c r="T106" s="776"/>
    </row>
    <row r="107" spans="1:20">
      <c r="A107"/>
      <c r="C107" s="748">
        <v>20694</v>
      </c>
      <c r="D107" s="748">
        <v>24</v>
      </c>
      <c r="E107" s="748">
        <v>1.72</v>
      </c>
      <c r="F107" s="748"/>
      <c r="G107" s="776" t="s">
        <v>3043</v>
      </c>
      <c r="H107" s="780">
        <v>0</v>
      </c>
      <c r="I107" s="776">
        <v>0</v>
      </c>
      <c r="J107" s="780"/>
      <c r="K107" s="776"/>
      <c r="L107" s="776"/>
      <c r="M107" s="776"/>
      <c r="N107" s="495"/>
      <c r="O107" s="776"/>
      <c r="P107" s="776"/>
      <c r="Q107" s="776"/>
      <c r="R107" s="776"/>
      <c r="S107" s="776"/>
      <c r="T107" s="776"/>
    </row>
    <row r="108" spans="1:20">
      <c r="A108"/>
      <c r="C108" s="748">
        <v>20696</v>
      </c>
      <c r="D108" s="748">
        <v>24</v>
      </c>
      <c r="E108" s="748">
        <v>2.16</v>
      </c>
      <c r="F108" s="748"/>
      <c r="G108" s="776" t="s">
        <v>3044</v>
      </c>
      <c r="H108" s="780">
        <v>0</v>
      </c>
      <c r="I108" s="776">
        <v>0</v>
      </c>
      <c r="J108" s="780"/>
      <c r="K108" s="776"/>
      <c r="L108" s="776"/>
      <c r="M108" s="776"/>
      <c r="N108" s="495"/>
      <c r="O108" s="776"/>
      <c r="P108" s="776"/>
      <c r="Q108" s="776"/>
      <c r="R108" s="776"/>
      <c r="S108" s="776"/>
      <c r="T108" s="776"/>
    </row>
    <row r="109" spans="1:20">
      <c r="A109"/>
      <c r="C109" s="748">
        <v>20697</v>
      </c>
      <c r="D109" s="748">
        <v>24</v>
      </c>
      <c r="E109" s="748">
        <v>2.68</v>
      </c>
      <c r="F109" s="748"/>
      <c r="G109" s="776" t="s">
        <v>3045</v>
      </c>
      <c r="H109" s="780">
        <v>0</v>
      </c>
      <c r="I109" s="776">
        <v>0</v>
      </c>
      <c r="J109" s="780"/>
      <c r="K109" s="776"/>
      <c r="L109" s="776"/>
      <c r="M109" s="776"/>
      <c r="N109" s="495"/>
      <c r="O109" s="776"/>
      <c r="P109" s="776"/>
      <c r="Q109" s="776"/>
      <c r="R109" s="776"/>
      <c r="S109" s="776"/>
      <c r="T109" s="776"/>
    </row>
    <row r="110" spans="1:20">
      <c r="A110"/>
      <c r="C110" s="757">
        <v>7591668140014</v>
      </c>
      <c r="D110" s="487">
        <v>12</v>
      </c>
      <c r="E110" s="776">
        <v>0.57999999999999996</v>
      </c>
      <c r="F110" s="776"/>
      <c r="G110" s="16" t="s">
        <v>2482</v>
      </c>
      <c r="H110" s="780"/>
      <c r="I110" s="776"/>
      <c r="J110" s="780"/>
      <c r="K110" s="776"/>
      <c r="L110" s="776"/>
      <c r="M110" s="776"/>
      <c r="N110" s="495"/>
      <c r="O110" s="776"/>
      <c r="P110" s="776"/>
      <c r="Q110" s="776"/>
      <c r="R110" s="776"/>
      <c r="S110" s="776"/>
      <c r="T110" s="776"/>
    </row>
    <row r="111" spans="1:20">
      <c r="A111"/>
      <c r="B111"/>
      <c r="C111" s="757">
        <v>7591668100063</v>
      </c>
      <c r="D111" s="487">
        <v>12</v>
      </c>
      <c r="E111" s="776">
        <v>1.29</v>
      </c>
      <c r="F111" s="776"/>
      <c r="G111" s="16" t="s">
        <v>2444</v>
      </c>
      <c r="H111" s="780"/>
      <c r="I111" s="495"/>
      <c r="J111" s="495"/>
      <c r="K111" s="495"/>
      <c r="L111" s="495"/>
      <c r="M111" s="495"/>
      <c r="N111" s="495"/>
      <c r="O111" s="495"/>
      <c r="P111" s="495"/>
      <c r="Q111" s="495"/>
      <c r="R111" s="495"/>
      <c r="S111" s="495"/>
      <c r="T111" s="495"/>
    </row>
    <row r="112" spans="1:20">
      <c r="A112"/>
      <c r="B112"/>
      <c r="C112" s="757">
        <v>7591542001165</v>
      </c>
      <c r="D112" s="487">
        <v>12</v>
      </c>
      <c r="E112" s="809">
        <v>1.1399999999999999</v>
      </c>
      <c r="F112" s="776"/>
      <c r="G112" s="16" t="s">
        <v>2436</v>
      </c>
      <c r="H112" s="812" t="s">
        <v>72</v>
      </c>
      <c r="I112" s="495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  <c r="T112" s="495"/>
    </row>
    <row r="113" spans="1:20">
      <c r="A113"/>
      <c r="B113"/>
      <c r="C113" s="757">
        <v>7591668100148</v>
      </c>
      <c r="D113" s="16" t="s">
        <v>2373</v>
      </c>
      <c r="E113" s="809">
        <v>1.4</v>
      </c>
      <c r="F113" s="776"/>
      <c r="G113" s="16" t="s">
        <v>2460</v>
      </c>
      <c r="H113" s="780"/>
      <c r="I113" s="495"/>
      <c r="J113" s="495"/>
      <c r="K113" s="495"/>
      <c r="L113" s="495"/>
      <c r="M113" s="495"/>
      <c r="N113" s="495"/>
      <c r="O113" s="495"/>
      <c r="P113" s="495"/>
      <c r="Q113" s="495"/>
      <c r="R113" s="495"/>
      <c r="S113" s="495"/>
      <c r="T113" s="495"/>
    </row>
    <row r="114" spans="1:20">
      <c r="A114"/>
      <c r="B114"/>
      <c r="C114" s="757">
        <v>7591668130053</v>
      </c>
      <c r="D114" s="16" t="s">
        <v>2378</v>
      </c>
      <c r="E114" s="776">
        <v>1.66</v>
      </c>
      <c r="F114" s="776"/>
      <c r="G114" s="16" t="s">
        <v>2480</v>
      </c>
      <c r="H114" s="780"/>
      <c r="I114" s="495"/>
      <c r="J114" s="495"/>
      <c r="K114" s="495"/>
      <c r="L114" s="495"/>
      <c r="M114" s="495"/>
      <c r="N114" s="495"/>
      <c r="O114" s="495"/>
      <c r="P114" s="495"/>
      <c r="Q114" s="495"/>
      <c r="R114" s="495"/>
      <c r="S114" s="495"/>
      <c r="T114" s="495"/>
    </row>
    <row r="115" spans="1:20">
      <c r="A115"/>
      <c r="B115"/>
      <c r="C115" s="487">
        <v>7591668100018</v>
      </c>
      <c r="D115" s="487">
        <v>12</v>
      </c>
      <c r="E115" s="776">
        <v>1.56</v>
      </c>
      <c r="F115" s="776"/>
      <c r="G115" s="776" t="s">
        <v>2438</v>
      </c>
      <c r="H115" s="780"/>
      <c r="I115" s="495"/>
      <c r="J115" s="495"/>
      <c r="K115" s="495"/>
      <c r="L115" s="495"/>
      <c r="M115" s="495"/>
      <c r="N115" s="495"/>
      <c r="O115" s="495"/>
      <c r="P115" s="495"/>
      <c r="Q115" s="495"/>
      <c r="R115" s="495"/>
      <c r="S115" s="495"/>
      <c r="T115" s="495"/>
    </row>
    <row r="116" spans="1:20">
      <c r="A116"/>
      <c r="B116"/>
      <c r="C116" s="776">
        <v>1102</v>
      </c>
      <c r="D116" s="487"/>
      <c r="E116" s="776"/>
      <c r="F116" s="776"/>
      <c r="G116" s="810" t="s">
        <v>3189</v>
      </c>
      <c r="H116" s="780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5"/>
    </row>
    <row r="117" spans="1:20">
      <c r="H117" s="374"/>
    </row>
    <row r="118" spans="1:20">
      <c r="H118" s="374"/>
    </row>
    <row r="119" spans="1:20">
      <c r="H119" s="374"/>
    </row>
    <row r="120" spans="1:20">
      <c r="H120" s="374"/>
    </row>
    <row r="121" spans="1:20">
      <c r="H121" s="374"/>
    </row>
    <row r="122" spans="1:20">
      <c r="A122"/>
      <c r="B122"/>
      <c r="E122" s="777" t="s">
        <v>2499</v>
      </c>
      <c r="G122" s="56">
        <v>25.077399380804955</v>
      </c>
      <c r="H122" s="805">
        <f>G122/D102</f>
        <v>0.50154798761609909</v>
      </c>
      <c r="I122"/>
      <c r="J122"/>
      <c r="K122"/>
      <c r="L122"/>
      <c r="M122"/>
      <c r="O122"/>
      <c r="P122"/>
      <c r="Q122"/>
      <c r="R122"/>
      <c r="S122"/>
      <c r="T122"/>
    </row>
    <row r="123" spans="1:20">
      <c r="A123"/>
      <c r="B123"/>
      <c r="E123" s="777" t="s">
        <v>2499</v>
      </c>
      <c r="G123" s="56">
        <v>35.397316821465431</v>
      </c>
      <c r="H123" s="805">
        <f>G123/D103</f>
        <v>0.7079463364293086</v>
      </c>
      <c r="I123"/>
      <c r="J123"/>
      <c r="K123"/>
      <c r="L123"/>
      <c r="M123"/>
      <c r="O123"/>
      <c r="P123"/>
      <c r="Q123"/>
      <c r="R123"/>
      <c r="S123"/>
      <c r="T123"/>
    </row>
    <row r="124" spans="1:20">
      <c r="A124"/>
      <c r="B124"/>
      <c r="E124" s="777" t="s">
        <v>2499</v>
      </c>
      <c r="G124" s="56">
        <v>41.589267285861716</v>
      </c>
      <c r="H124" s="805">
        <f>G124/D104</f>
        <v>0.83178534571723428</v>
      </c>
      <c r="I124"/>
      <c r="J124"/>
      <c r="K124"/>
      <c r="L124"/>
      <c r="M124"/>
      <c r="O124"/>
      <c r="P124"/>
      <c r="Q124"/>
      <c r="R124"/>
      <c r="S124"/>
      <c r="T124"/>
    </row>
    <row r="125" spans="1:20">
      <c r="H125" s="374"/>
    </row>
    <row r="126" spans="1:20">
      <c r="H126" s="374"/>
    </row>
    <row r="127" spans="1:20">
      <c r="H127" s="374"/>
    </row>
    <row r="128" spans="1:20">
      <c r="H128" s="374"/>
    </row>
    <row r="129" spans="8:8">
      <c r="H129" s="374"/>
    </row>
    <row r="130" spans="8:8">
      <c r="H130" s="374"/>
    </row>
    <row r="131" spans="8:8">
      <c r="H131" s="374"/>
    </row>
    <row r="132" spans="8:8">
      <c r="H132" s="374"/>
    </row>
    <row r="133" spans="8:8">
      <c r="H133" s="374"/>
    </row>
  </sheetData>
  <mergeCells count="9">
    <mergeCell ref="H97:K97"/>
    <mergeCell ref="L97:O97"/>
    <mergeCell ref="Q97:T97"/>
    <mergeCell ref="S4:T4"/>
    <mergeCell ref="E1:N1"/>
    <mergeCell ref="M4:N4"/>
    <mergeCell ref="K4:L4"/>
    <mergeCell ref="O4:P4"/>
    <mergeCell ref="Q4:R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4:S421"/>
  <sheetViews>
    <sheetView topLeftCell="B356" workbookViewId="0">
      <selection activeCell="C322" sqref="C322"/>
    </sheetView>
  </sheetViews>
  <sheetFormatPr baseColWidth="10" defaultRowHeight="15"/>
  <cols>
    <col min="1" max="1" width="0" hidden="1" customWidth="1"/>
    <col min="2" max="2" width="6.140625" style="494" customWidth="1"/>
    <col min="4" max="4" width="46.42578125" customWidth="1"/>
    <col min="5" max="5" width="12" style="629" customWidth="1"/>
    <col min="6" max="7" width="11.42578125" style="629" customWidth="1"/>
    <col min="8" max="10" width="11.42578125" style="104" customWidth="1"/>
    <col min="11" max="11" width="11.42578125" style="104"/>
    <col min="14" max="14" width="43.42578125" customWidth="1"/>
    <col min="15" max="15" width="0" hidden="1" customWidth="1"/>
  </cols>
  <sheetData>
    <row r="4" spans="3:11">
      <c r="D4" s="104" t="s">
        <v>1060</v>
      </c>
    </row>
    <row r="5" spans="3:11">
      <c r="D5" s="259">
        <v>44445</v>
      </c>
      <c r="E5" s="258"/>
    </row>
    <row r="6" spans="3:11">
      <c r="D6" t="s">
        <v>1059</v>
      </c>
      <c r="J6" s="104" t="s">
        <v>1075</v>
      </c>
    </row>
    <row r="7" spans="3:11" ht="30">
      <c r="C7" s="120" t="s">
        <v>0</v>
      </c>
      <c r="D7" s="120" t="s">
        <v>1</v>
      </c>
      <c r="E7" s="632" t="s">
        <v>1074</v>
      </c>
      <c r="F7" s="633" t="s">
        <v>300</v>
      </c>
      <c r="G7" s="630" t="s">
        <v>75</v>
      </c>
      <c r="H7" s="95" t="s">
        <v>636</v>
      </c>
      <c r="I7" s="263" t="s">
        <v>1061</v>
      </c>
      <c r="J7" s="95" t="s">
        <v>300</v>
      </c>
      <c r="K7" s="263" t="s">
        <v>1076</v>
      </c>
    </row>
    <row r="8" spans="3:11">
      <c r="C8" s="120">
        <v>17887</v>
      </c>
      <c r="D8" s="120" t="s">
        <v>1062</v>
      </c>
      <c r="E8" s="633">
        <v>24</v>
      </c>
      <c r="F8" s="633">
        <v>480</v>
      </c>
      <c r="G8" s="630">
        <f>F8/24</f>
        <v>20</v>
      </c>
      <c r="H8" s="95">
        <v>0.76</v>
      </c>
      <c r="I8" s="369">
        <v>18.3</v>
      </c>
      <c r="J8" s="6">
        <f>I8/E8</f>
        <v>0.76250000000000007</v>
      </c>
      <c r="K8" s="262">
        <f>I8*G8</f>
        <v>366</v>
      </c>
    </row>
    <row r="9" spans="3:11">
      <c r="C9" s="120">
        <v>9755</v>
      </c>
      <c r="D9" s="120" t="s">
        <v>1063</v>
      </c>
      <c r="E9" s="633">
        <v>24</v>
      </c>
      <c r="F9" s="633">
        <v>480</v>
      </c>
      <c r="G9" s="630">
        <f>F9/24</f>
        <v>20</v>
      </c>
      <c r="H9" s="95">
        <v>0.56000000000000005</v>
      </c>
      <c r="I9" s="369">
        <v>13.4</v>
      </c>
      <c r="J9" s="6">
        <f t="shared" ref="J9:J23" si="0">I9/E9</f>
        <v>0.55833333333333335</v>
      </c>
      <c r="K9" s="262">
        <f t="shared" ref="K9:K23" si="1">I9*G9</f>
        <v>268</v>
      </c>
    </row>
    <row r="10" spans="3:11">
      <c r="C10" s="120">
        <v>10396</v>
      </c>
      <c r="D10" s="120" t="s">
        <v>1064</v>
      </c>
      <c r="E10" s="633">
        <v>12</v>
      </c>
      <c r="F10" s="633">
        <v>240</v>
      </c>
      <c r="G10" s="630">
        <f>F10/12</f>
        <v>20</v>
      </c>
      <c r="H10" s="95">
        <v>1.0900000000000001</v>
      </c>
      <c r="I10" s="369">
        <v>13.1</v>
      </c>
      <c r="J10" s="6">
        <f t="shared" si="0"/>
        <v>1.0916666666666666</v>
      </c>
      <c r="K10" s="262">
        <f t="shared" si="1"/>
        <v>262</v>
      </c>
    </row>
    <row r="11" spans="3:11">
      <c r="C11" s="120">
        <v>950</v>
      </c>
      <c r="D11" s="120" t="s">
        <v>1065</v>
      </c>
      <c r="E11" s="633">
        <v>100</v>
      </c>
      <c r="F11" s="633">
        <v>100</v>
      </c>
      <c r="G11" s="630">
        <f>F11/100</f>
        <v>1</v>
      </c>
      <c r="H11" s="95">
        <v>0.21</v>
      </c>
      <c r="I11" s="369">
        <v>21.1</v>
      </c>
      <c r="J11" s="6">
        <f t="shared" si="0"/>
        <v>0.21100000000000002</v>
      </c>
      <c r="K11" s="262">
        <f t="shared" si="1"/>
        <v>21.1</v>
      </c>
    </row>
    <row r="12" spans="3:11">
      <c r="C12" s="120">
        <v>8162</v>
      </c>
      <c r="D12" s="120" t="s">
        <v>1055</v>
      </c>
      <c r="E12" s="633">
        <v>1000</v>
      </c>
      <c r="F12" s="369">
        <v>20</v>
      </c>
      <c r="G12" s="630">
        <f>F12</f>
        <v>20</v>
      </c>
      <c r="H12" s="369">
        <v>6.1</v>
      </c>
      <c r="I12" s="369">
        <v>6.1</v>
      </c>
      <c r="J12" s="11">
        <f t="shared" si="0"/>
        <v>6.0999999999999995E-3</v>
      </c>
      <c r="K12" s="369">
        <f t="shared" si="1"/>
        <v>122</v>
      </c>
    </row>
    <row r="13" spans="3:11">
      <c r="C13" s="120">
        <v>17888</v>
      </c>
      <c r="D13" s="120" t="s">
        <v>1056</v>
      </c>
      <c r="E13" s="633">
        <v>1000</v>
      </c>
      <c r="F13" s="369">
        <v>10</v>
      </c>
      <c r="G13" s="630">
        <f>F13</f>
        <v>10</v>
      </c>
      <c r="H13" s="369">
        <v>8.6</v>
      </c>
      <c r="I13" s="369">
        <v>8.6</v>
      </c>
      <c r="J13" s="11">
        <f t="shared" si="0"/>
        <v>8.6E-3</v>
      </c>
      <c r="K13" s="369">
        <f t="shared" si="1"/>
        <v>86</v>
      </c>
    </row>
    <row r="14" spans="3:11">
      <c r="C14" s="120">
        <v>9579</v>
      </c>
      <c r="D14" s="120" t="s">
        <v>1057</v>
      </c>
      <c r="E14" s="633">
        <v>1000</v>
      </c>
      <c r="F14" s="633">
        <v>40</v>
      </c>
      <c r="G14" s="630">
        <f>F14</f>
        <v>40</v>
      </c>
      <c r="H14" s="369">
        <v>3.4</v>
      </c>
      <c r="I14" s="369">
        <v>3.4</v>
      </c>
      <c r="J14" s="11">
        <f t="shared" si="0"/>
        <v>3.3999999999999998E-3</v>
      </c>
      <c r="K14" s="369">
        <f t="shared" si="1"/>
        <v>136</v>
      </c>
    </row>
    <row r="15" spans="3:11">
      <c r="C15" s="120">
        <v>7960</v>
      </c>
      <c r="D15" s="120" t="s">
        <v>1058</v>
      </c>
      <c r="E15" s="633">
        <v>1000</v>
      </c>
      <c r="F15" s="633">
        <v>40</v>
      </c>
      <c r="G15" s="630">
        <f>F15</f>
        <v>40</v>
      </c>
      <c r="H15" s="95">
        <v>0.01</v>
      </c>
      <c r="I15" s="369">
        <v>8</v>
      </c>
      <c r="J15" s="11">
        <f t="shared" si="0"/>
        <v>8.0000000000000002E-3</v>
      </c>
      <c r="K15" s="369">
        <f t="shared" si="1"/>
        <v>320</v>
      </c>
    </row>
    <row r="16" spans="3:11">
      <c r="C16" s="120">
        <v>9500</v>
      </c>
      <c r="D16" s="120" t="s">
        <v>1066</v>
      </c>
      <c r="E16" s="633">
        <v>24</v>
      </c>
      <c r="F16" s="633">
        <v>360</v>
      </c>
      <c r="G16" s="630">
        <f>F16/24</f>
        <v>15</v>
      </c>
      <c r="H16" s="95">
        <v>0.65</v>
      </c>
      <c r="I16" s="369">
        <v>15.5</v>
      </c>
      <c r="J16" s="6">
        <f t="shared" si="0"/>
        <v>0.64583333333333337</v>
      </c>
      <c r="K16" s="369">
        <f t="shared" si="1"/>
        <v>232.5</v>
      </c>
    </row>
    <row r="17" spans="3:19" ht="30">
      <c r="C17" s="120">
        <v>15426</v>
      </c>
      <c r="D17" s="265" t="s">
        <v>1067</v>
      </c>
      <c r="E17" s="261">
        <v>12</v>
      </c>
      <c r="F17" s="261">
        <v>180</v>
      </c>
      <c r="G17" s="261">
        <f>F17/12</f>
        <v>15</v>
      </c>
      <c r="H17" s="261">
        <v>0.98</v>
      </c>
      <c r="I17" s="369">
        <v>11.7</v>
      </c>
      <c r="J17" s="266">
        <f t="shared" si="0"/>
        <v>0.97499999999999998</v>
      </c>
      <c r="K17" s="369">
        <f t="shared" si="1"/>
        <v>175.5</v>
      </c>
      <c r="N17" s="386" t="s">
        <v>1504</v>
      </c>
      <c r="O17" s="3" t="s">
        <v>1074</v>
      </c>
      <c r="P17" s="262" t="s">
        <v>75</v>
      </c>
      <c r="Q17" s="263" t="s">
        <v>1061</v>
      </c>
      <c r="R17" s="95" t="s">
        <v>636</v>
      </c>
      <c r="S17" s="263" t="s">
        <v>1076</v>
      </c>
    </row>
    <row r="18" spans="3:19" ht="30">
      <c r="C18" s="120">
        <v>15428</v>
      </c>
      <c r="D18" s="265" t="s">
        <v>1068</v>
      </c>
      <c r="E18" s="261">
        <v>12</v>
      </c>
      <c r="F18" s="261">
        <v>180</v>
      </c>
      <c r="G18" s="261">
        <f>F18/12</f>
        <v>15</v>
      </c>
      <c r="H18" s="261">
        <v>0.98</v>
      </c>
      <c r="I18" s="369">
        <v>11.7</v>
      </c>
      <c r="J18" s="266">
        <f t="shared" si="0"/>
        <v>0.97499999999999998</v>
      </c>
      <c r="K18" s="369">
        <f t="shared" si="1"/>
        <v>175.5</v>
      </c>
      <c r="N18" s="30" t="s">
        <v>1064</v>
      </c>
      <c r="O18" s="95">
        <v>12</v>
      </c>
      <c r="P18" s="95">
        <v>250</v>
      </c>
      <c r="Q18" s="16">
        <v>13.1</v>
      </c>
      <c r="R18" s="95"/>
      <c r="S18" s="95">
        <f t="shared" ref="S18:S19" si="2">P18*Q18</f>
        <v>3275</v>
      </c>
    </row>
    <row r="19" spans="3:19">
      <c r="C19" s="120">
        <v>15767</v>
      </c>
      <c r="D19" s="265" t="s">
        <v>1069</v>
      </c>
      <c r="E19" s="261">
        <v>24</v>
      </c>
      <c r="F19" s="261">
        <v>360</v>
      </c>
      <c r="G19" s="261">
        <f>F19/24</f>
        <v>15</v>
      </c>
      <c r="H19" s="261">
        <v>0.49</v>
      </c>
      <c r="I19" s="369">
        <v>11.7</v>
      </c>
      <c r="J19" s="266">
        <f t="shared" si="0"/>
        <v>0.48749999999999999</v>
      </c>
      <c r="K19" s="369">
        <f t="shared" si="1"/>
        <v>175.5</v>
      </c>
      <c r="N19" s="119" t="s">
        <v>1503</v>
      </c>
      <c r="O19" s="95">
        <v>24</v>
      </c>
      <c r="P19" s="95">
        <v>50</v>
      </c>
      <c r="Q19" s="95">
        <v>11.8</v>
      </c>
      <c r="R19" s="95"/>
      <c r="S19" s="95">
        <f t="shared" si="2"/>
        <v>590</v>
      </c>
    </row>
    <row r="20" spans="3:19">
      <c r="C20" s="120">
        <v>13577</v>
      </c>
      <c r="D20" s="120" t="s">
        <v>1070</v>
      </c>
      <c r="E20" s="633">
        <v>72</v>
      </c>
      <c r="F20" s="633">
        <v>72</v>
      </c>
      <c r="G20" s="630">
        <f>F20/72</f>
        <v>1</v>
      </c>
      <c r="H20" s="95">
        <v>0.2</v>
      </c>
      <c r="I20" s="369">
        <v>14.4</v>
      </c>
      <c r="J20" s="6">
        <f t="shared" si="0"/>
        <v>0.2</v>
      </c>
      <c r="K20" s="369">
        <f t="shared" si="1"/>
        <v>14.4</v>
      </c>
      <c r="S20">
        <f>SUM(S18:S19)</f>
        <v>3865</v>
      </c>
    </row>
    <row r="21" spans="3:19">
      <c r="C21" s="120">
        <v>2647</v>
      </c>
      <c r="D21" s="120" t="s">
        <v>1071</v>
      </c>
      <c r="E21" s="633">
        <v>252</v>
      </c>
      <c r="F21" s="633">
        <v>252</v>
      </c>
      <c r="G21" s="630">
        <f>F21/252</f>
        <v>1</v>
      </c>
      <c r="H21" s="95">
        <v>0.15</v>
      </c>
      <c r="I21" s="369">
        <v>37.200000000000003</v>
      </c>
      <c r="J21" s="6">
        <f t="shared" si="0"/>
        <v>0.14761904761904762</v>
      </c>
      <c r="K21" s="369">
        <f t="shared" si="1"/>
        <v>37.200000000000003</v>
      </c>
    </row>
    <row r="22" spans="3:19">
      <c r="C22" s="120">
        <v>14999</v>
      </c>
      <c r="D22" s="120" t="s">
        <v>1072</v>
      </c>
      <c r="E22" s="633">
        <v>100</v>
      </c>
      <c r="F22" s="633">
        <v>200</v>
      </c>
      <c r="G22" s="630">
        <f>F22/100</f>
        <v>2</v>
      </c>
      <c r="H22" s="95">
        <v>0.38</v>
      </c>
      <c r="I22" s="369">
        <v>37.5</v>
      </c>
      <c r="J22" s="6">
        <f t="shared" si="0"/>
        <v>0.375</v>
      </c>
      <c r="K22" s="369">
        <f t="shared" si="1"/>
        <v>75</v>
      </c>
    </row>
    <row r="23" spans="3:19">
      <c r="C23" s="120">
        <v>17889</v>
      </c>
      <c r="D23" s="120" t="s">
        <v>1073</v>
      </c>
      <c r="E23" s="633">
        <v>48</v>
      </c>
      <c r="F23" s="633">
        <v>1920</v>
      </c>
      <c r="G23" s="630">
        <f>F23/48</f>
        <v>40</v>
      </c>
      <c r="H23" s="95">
        <v>0.36</v>
      </c>
      <c r="I23" s="369">
        <v>17.5</v>
      </c>
      <c r="J23" s="6">
        <f t="shared" si="0"/>
        <v>0.36458333333333331</v>
      </c>
      <c r="K23" s="369">
        <f t="shared" si="1"/>
        <v>700</v>
      </c>
    </row>
    <row r="24" spans="3:19">
      <c r="C24" s="120"/>
      <c r="D24" s="120"/>
      <c r="E24" s="633"/>
      <c r="F24" s="633"/>
      <c r="G24" s="633"/>
      <c r="H24" s="95"/>
      <c r="I24" s="95"/>
      <c r="J24" s="260"/>
      <c r="K24" s="264">
        <f>SUM(K8:K23)</f>
        <v>3166.7</v>
      </c>
    </row>
    <row r="25" spans="3:19">
      <c r="E25" s="885" t="s">
        <v>1062</v>
      </c>
      <c r="F25" s="886"/>
      <c r="G25" s="886"/>
      <c r="H25" s="886"/>
      <c r="I25" s="104">
        <f>H8</f>
        <v>0.76</v>
      </c>
      <c r="J25" s="104">
        <v>2</v>
      </c>
      <c r="K25" s="104">
        <f>I25*J25</f>
        <v>1.52</v>
      </c>
    </row>
    <row r="26" spans="3:19">
      <c r="K26" s="370">
        <f>K24-K25</f>
        <v>3165.18</v>
      </c>
    </row>
    <row r="28" spans="3:19" ht="74.25" customHeight="1">
      <c r="D28" s="95" t="s">
        <v>1669</v>
      </c>
      <c r="E28" s="632" t="s">
        <v>1074</v>
      </c>
      <c r="F28" s="630" t="s">
        <v>75</v>
      </c>
      <c r="G28" s="263" t="s">
        <v>1061</v>
      </c>
      <c r="H28" s="95" t="s">
        <v>636</v>
      </c>
      <c r="I28" s="263" t="s">
        <v>1076</v>
      </c>
    </row>
    <row r="29" spans="3:19" hidden="1">
      <c r="D29" s="120" t="s">
        <v>1077</v>
      </c>
      <c r="E29" s="633">
        <v>20</v>
      </c>
      <c r="F29" s="633">
        <v>0</v>
      </c>
      <c r="G29" s="633">
        <v>34.799999999999997</v>
      </c>
      <c r="H29" s="6">
        <f>G29/E29</f>
        <v>1.7399999999999998</v>
      </c>
      <c r="I29" s="95">
        <f>F29*G29</f>
        <v>0</v>
      </c>
      <c r="J29" s="104" t="s">
        <v>627</v>
      </c>
    </row>
    <row r="30" spans="3:19" hidden="1">
      <c r="D30" s="120" t="s">
        <v>1078</v>
      </c>
      <c r="E30" s="633">
        <v>20</v>
      </c>
      <c r="F30" s="633">
        <v>0</v>
      </c>
      <c r="G30" s="633">
        <v>34.799999999999997</v>
      </c>
      <c r="H30" s="6">
        <f t="shared" ref="H30:H56" si="3">G30/E30</f>
        <v>1.7399999999999998</v>
      </c>
      <c r="I30" s="95">
        <f t="shared" ref="I30:I56" si="4">F30*G30</f>
        <v>0</v>
      </c>
      <c r="J30" s="386" t="s">
        <v>627</v>
      </c>
    </row>
    <row r="31" spans="3:19">
      <c r="D31" s="120" t="s">
        <v>1080</v>
      </c>
      <c r="E31" s="633">
        <v>10</v>
      </c>
      <c r="F31" s="16">
        <v>200</v>
      </c>
      <c r="G31" s="16">
        <v>8.6</v>
      </c>
      <c r="H31" s="6">
        <f t="shared" si="3"/>
        <v>0.86</v>
      </c>
      <c r="I31" s="95">
        <f t="shared" si="4"/>
        <v>1720</v>
      </c>
      <c r="J31" s="386" t="s">
        <v>627</v>
      </c>
    </row>
    <row r="32" spans="3:19">
      <c r="D32" s="120" t="s">
        <v>1081</v>
      </c>
      <c r="E32" s="633">
        <v>24</v>
      </c>
      <c r="F32" s="16">
        <v>20</v>
      </c>
      <c r="G32" s="16">
        <v>18.3</v>
      </c>
      <c r="H32" s="6">
        <f t="shared" si="3"/>
        <v>0.76250000000000007</v>
      </c>
      <c r="I32" s="95">
        <f t="shared" si="4"/>
        <v>366</v>
      </c>
      <c r="J32" s="386" t="s">
        <v>627</v>
      </c>
    </row>
    <row r="33" spans="2:19">
      <c r="D33" s="120" t="s">
        <v>1063</v>
      </c>
      <c r="E33" s="633">
        <v>24</v>
      </c>
      <c r="F33" s="16">
        <v>50</v>
      </c>
      <c r="G33" s="16">
        <v>13.1</v>
      </c>
      <c r="H33" s="6">
        <f t="shared" si="3"/>
        <v>0.54583333333333328</v>
      </c>
      <c r="I33" s="95">
        <f t="shared" si="4"/>
        <v>655</v>
      </c>
      <c r="J33" s="386" t="s">
        <v>627</v>
      </c>
    </row>
    <row r="34" spans="2:19" hidden="1">
      <c r="D34" s="120" t="s">
        <v>1064</v>
      </c>
      <c r="E34" s="633">
        <v>12</v>
      </c>
      <c r="F34" s="633">
        <v>0</v>
      </c>
      <c r="G34" s="16">
        <v>13.1</v>
      </c>
      <c r="H34" s="6">
        <f t="shared" si="3"/>
        <v>1.0916666666666666</v>
      </c>
      <c r="I34" s="95">
        <f t="shared" si="4"/>
        <v>0</v>
      </c>
      <c r="J34" s="386" t="s">
        <v>627</v>
      </c>
    </row>
    <row r="35" spans="2:19" s="119" customFormat="1">
      <c r="B35" s="494"/>
      <c r="D35" s="120" t="s">
        <v>1505</v>
      </c>
      <c r="E35" s="633">
        <v>15</v>
      </c>
      <c r="F35" s="16">
        <v>60</v>
      </c>
      <c r="G35" s="16">
        <v>13.5</v>
      </c>
      <c r="H35" s="6">
        <f t="shared" si="3"/>
        <v>0.9</v>
      </c>
      <c r="I35" s="95">
        <f t="shared" si="4"/>
        <v>810</v>
      </c>
      <c r="J35" s="386" t="s">
        <v>627</v>
      </c>
      <c r="K35" s="386"/>
    </row>
    <row r="36" spans="2:19" s="119" customFormat="1" hidden="1">
      <c r="B36" s="494"/>
      <c r="C36" s="120">
        <v>9579</v>
      </c>
      <c r="D36" s="120" t="s">
        <v>1057</v>
      </c>
      <c r="E36" s="633">
        <v>1000</v>
      </c>
      <c r="F36" s="631">
        <v>0</v>
      </c>
      <c r="G36" s="631">
        <v>3.4</v>
      </c>
      <c r="H36" s="6">
        <f t="shared" si="3"/>
        <v>3.3999999999999998E-3</v>
      </c>
      <c r="I36" s="95">
        <f t="shared" si="4"/>
        <v>0</v>
      </c>
      <c r="J36" s="386" t="s">
        <v>627</v>
      </c>
      <c r="K36" s="386"/>
      <c r="O36" s="9"/>
      <c r="P36" s="9"/>
      <c r="Q36" s="9"/>
      <c r="R36" s="9"/>
      <c r="S36" s="9"/>
    </row>
    <row r="37" spans="2:19" s="119" customFormat="1">
      <c r="B37" s="494"/>
      <c r="C37" s="113"/>
      <c r="D37" s="120" t="s">
        <v>1507</v>
      </c>
      <c r="E37" s="633">
        <v>24</v>
      </c>
      <c r="F37" s="16">
        <v>7</v>
      </c>
      <c r="G37" s="16">
        <v>19.7</v>
      </c>
      <c r="H37" s="6">
        <f t="shared" si="3"/>
        <v>0.8208333333333333</v>
      </c>
      <c r="I37" s="95">
        <f t="shared" si="4"/>
        <v>137.9</v>
      </c>
      <c r="J37" s="386" t="s">
        <v>627</v>
      </c>
      <c r="K37" s="386"/>
      <c r="O37" s="9"/>
      <c r="P37" s="9"/>
      <c r="Q37" s="9"/>
      <c r="R37" s="9"/>
      <c r="S37" s="9"/>
    </row>
    <row r="38" spans="2:19" s="119" customFormat="1">
      <c r="B38" s="494"/>
      <c r="C38" s="113"/>
      <c r="D38" s="120" t="s">
        <v>1072</v>
      </c>
      <c r="E38" s="633">
        <v>100</v>
      </c>
      <c r="F38" s="16">
        <v>3</v>
      </c>
      <c r="G38" s="16">
        <v>37.5</v>
      </c>
      <c r="H38" s="6">
        <f t="shared" si="3"/>
        <v>0.375</v>
      </c>
      <c r="I38" s="95">
        <f t="shared" si="4"/>
        <v>112.5</v>
      </c>
      <c r="J38" s="386" t="s">
        <v>627</v>
      </c>
      <c r="K38" s="386"/>
      <c r="O38" s="9"/>
      <c r="P38" s="9"/>
      <c r="Q38" s="9"/>
      <c r="R38" s="9"/>
      <c r="S38" s="9"/>
    </row>
    <row r="39" spans="2:19" s="119" customFormat="1">
      <c r="B39" s="494"/>
      <c r="D39" s="120" t="s">
        <v>1508</v>
      </c>
      <c r="E39" s="633">
        <v>24</v>
      </c>
      <c r="F39" s="16">
        <v>7</v>
      </c>
      <c r="G39" s="16">
        <v>19.7</v>
      </c>
      <c r="H39" s="6">
        <f t="shared" si="3"/>
        <v>0.8208333333333333</v>
      </c>
      <c r="I39" s="95">
        <f t="shared" si="4"/>
        <v>137.9</v>
      </c>
      <c r="J39" s="386" t="s">
        <v>627</v>
      </c>
      <c r="K39" s="386"/>
      <c r="O39" s="9"/>
      <c r="P39" s="9"/>
      <c r="Q39" s="9"/>
      <c r="R39" s="9"/>
      <c r="S39" s="9"/>
    </row>
    <row r="40" spans="2:19" hidden="1">
      <c r="D40" s="37" t="s">
        <v>1082</v>
      </c>
      <c r="E40" s="633">
        <v>96</v>
      </c>
      <c r="F40" s="633">
        <v>0</v>
      </c>
      <c r="G40" s="633">
        <v>51.2</v>
      </c>
      <c r="H40" s="6">
        <f t="shared" si="3"/>
        <v>0.53333333333333333</v>
      </c>
      <c r="I40" s="95">
        <f t="shared" si="4"/>
        <v>0</v>
      </c>
      <c r="J40" s="386" t="s">
        <v>627</v>
      </c>
      <c r="S40" t="s">
        <v>72</v>
      </c>
    </row>
    <row r="41" spans="2:19" hidden="1">
      <c r="D41" s="37" t="s">
        <v>1083</v>
      </c>
      <c r="E41" s="633">
        <v>96</v>
      </c>
      <c r="F41" s="633">
        <v>0</v>
      </c>
      <c r="G41" s="633">
        <v>51.2</v>
      </c>
      <c r="H41" s="6">
        <f t="shared" si="3"/>
        <v>0.53333333333333333</v>
      </c>
      <c r="I41" s="95">
        <f t="shared" si="4"/>
        <v>0</v>
      </c>
      <c r="J41" s="386" t="s">
        <v>627</v>
      </c>
    </row>
    <row r="42" spans="2:19">
      <c r="D42" s="37" t="s">
        <v>1084</v>
      </c>
      <c r="E42" s="633">
        <v>24</v>
      </c>
      <c r="F42" s="16">
        <v>20</v>
      </c>
      <c r="G42" s="16">
        <v>15.5</v>
      </c>
      <c r="H42" s="6">
        <f t="shared" si="3"/>
        <v>0.64583333333333337</v>
      </c>
      <c r="I42" s="95">
        <f t="shared" si="4"/>
        <v>310</v>
      </c>
      <c r="J42" s="386" t="s">
        <v>627</v>
      </c>
    </row>
    <row r="43" spans="2:19" hidden="1">
      <c r="D43" s="37" t="s">
        <v>1085</v>
      </c>
      <c r="E43" s="633">
        <v>12</v>
      </c>
      <c r="F43" s="633">
        <v>0</v>
      </c>
      <c r="G43" s="633">
        <v>15.5</v>
      </c>
      <c r="H43" s="6">
        <f t="shared" si="3"/>
        <v>1.2916666666666667</v>
      </c>
      <c r="I43" s="95">
        <f t="shared" si="4"/>
        <v>0</v>
      </c>
      <c r="J43" s="386" t="s">
        <v>627</v>
      </c>
    </row>
    <row r="44" spans="2:19" hidden="1">
      <c r="D44" s="37" t="s">
        <v>1086</v>
      </c>
      <c r="E44" s="633">
        <v>12</v>
      </c>
      <c r="F44" s="633">
        <v>0</v>
      </c>
      <c r="G44" s="633">
        <v>15.5</v>
      </c>
      <c r="H44" s="6">
        <f t="shared" si="3"/>
        <v>1.2916666666666667</v>
      </c>
      <c r="I44" s="95">
        <f t="shared" si="4"/>
        <v>0</v>
      </c>
      <c r="J44" s="386" t="s">
        <v>627</v>
      </c>
    </row>
    <row r="45" spans="2:19">
      <c r="D45" s="37" t="s">
        <v>1087</v>
      </c>
      <c r="E45" s="633">
        <v>12</v>
      </c>
      <c r="F45" s="16">
        <v>20</v>
      </c>
      <c r="G45" s="16">
        <v>7.7</v>
      </c>
      <c r="H45" s="6">
        <f t="shared" si="3"/>
        <v>0.64166666666666672</v>
      </c>
      <c r="I45" s="95">
        <f t="shared" si="4"/>
        <v>154</v>
      </c>
      <c r="J45" s="386" t="s">
        <v>627</v>
      </c>
    </row>
    <row r="46" spans="2:19">
      <c r="D46" s="37" t="s">
        <v>1088</v>
      </c>
      <c r="E46" s="633">
        <v>24</v>
      </c>
      <c r="F46" s="16">
        <v>20</v>
      </c>
      <c r="G46" s="16">
        <v>12</v>
      </c>
      <c r="H46" s="6">
        <f t="shared" si="3"/>
        <v>0.5</v>
      </c>
      <c r="I46" s="95">
        <f t="shared" si="4"/>
        <v>240</v>
      </c>
      <c r="J46" s="386" t="s">
        <v>627</v>
      </c>
    </row>
    <row r="47" spans="2:19">
      <c r="D47" s="37" t="s">
        <v>1089</v>
      </c>
      <c r="E47" s="633">
        <v>12</v>
      </c>
      <c r="F47" s="16">
        <v>20</v>
      </c>
      <c r="G47" s="16">
        <v>12</v>
      </c>
      <c r="H47" s="6">
        <f t="shared" si="3"/>
        <v>1</v>
      </c>
      <c r="I47" s="95">
        <f t="shared" si="4"/>
        <v>240</v>
      </c>
      <c r="J47" s="386" t="s">
        <v>627</v>
      </c>
    </row>
    <row r="48" spans="2:19">
      <c r="D48" s="37" t="s">
        <v>1090</v>
      </c>
      <c r="E48" s="633">
        <v>24</v>
      </c>
      <c r="F48" s="16">
        <v>20</v>
      </c>
      <c r="G48" s="16">
        <v>12</v>
      </c>
      <c r="H48" s="6">
        <f t="shared" si="3"/>
        <v>0.5</v>
      </c>
      <c r="I48" s="95">
        <f t="shared" si="4"/>
        <v>240</v>
      </c>
      <c r="J48" s="386" t="s">
        <v>627</v>
      </c>
    </row>
    <row r="49" spans="4:11">
      <c r="D49" s="37" t="s">
        <v>1091</v>
      </c>
      <c r="E49" s="633">
        <v>12</v>
      </c>
      <c r="F49" s="16">
        <v>20</v>
      </c>
      <c r="G49" s="16">
        <v>12</v>
      </c>
      <c r="H49" s="6">
        <f t="shared" si="3"/>
        <v>1</v>
      </c>
      <c r="I49" s="95">
        <f t="shared" si="4"/>
        <v>240</v>
      </c>
      <c r="J49" s="386" t="s">
        <v>627</v>
      </c>
    </row>
    <row r="50" spans="4:11">
      <c r="D50" s="120" t="s">
        <v>1092</v>
      </c>
      <c r="E50" s="633">
        <v>24</v>
      </c>
      <c r="F50" s="16">
        <v>20</v>
      </c>
      <c r="G50" s="16">
        <v>12</v>
      </c>
      <c r="H50" s="6">
        <f t="shared" si="3"/>
        <v>0.5</v>
      </c>
      <c r="I50" s="95">
        <f t="shared" si="4"/>
        <v>240</v>
      </c>
      <c r="J50" s="386" t="s">
        <v>627</v>
      </c>
    </row>
    <row r="51" spans="4:11">
      <c r="D51" s="120" t="s">
        <v>1093</v>
      </c>
      <c r="E51" s="633">
        <v>12</v>
      </c>
      <c r="F51" s="16">
        <v>20</v>
      </c>
      <c r="G51" s="16">
        <v>12</v>
      </c>
      <c r="H51" s="6">
        <f t="shared" si="3"/>
        <v>1</v>
      </c>
      <c r="I51" s="95">
        <f t="shared" si="4"/>
        <v>240</v>
      </c>
      <c r="J51" s="386" t="s">
        <v>627</v>
      </c>
    </row>
    <row r="52" spans="4:11">
      <c r="D52" s="120" t="s">
        <v>1094</v>
      </c>
      <c r="E52" s="633">
        <v>72</v>
      </c>
      <c r="F52" s="16">
        <v>2</v>
      </c>
      <c r="G52" s="16">
        <v>21.6</v>
      </c>
      <c r="H52" s="6">
        <f t="shared" si="3"/>
        <v>0.30000000000000004</v>
      </c>
      <c r="I52" s="95">
        <f t="shared" si="4"/>
        <v>43.2</v>
      </c>
      <c r="J52" s="888" t="s">
        <v>1506</v>
      </c>
      <c r="K52" s="891"/>
    </row>
    <row r="53" spans="4:11" hidden="1">
      <c r="D53" s="120" t="s">
        <v>1095</v>
      </c>
      <c r="E53" s="633">
        <v>72</v>
      </c>
      <c r="F53" s="633"/>
      <c r="G53" s="633">
        <v>12.5</v>
      </c>
      <c r="H53" s="6">
        <f t="shared" si="3"/>
        <v>0.1736111111111111</v>
      </c>
      <c r="I53" s="95">
        <f t="shared" si="4"/>
        <v>0</v>
      </c>
      <c r="J53" s="104" t="s">
        <v>72</v>
      </c>
    </row>
    <row r="54" spans="4:11">
      <c r="D54" s="120" t="s">
        <v>1096</v>
      </c>
      <c r="E54" s="633">
        <v>48</v>
      </c>
      <c r="F54" s="16">
        <v>30</v>
      </c>
      <c r="G54" s="16">
        <v>17.5</v>
      </c>
      <c r="H54" s="6">
        <f t="shared" si="3"/>
        <v>0.36458333333333331</v>
      </c>
      <c r="I54" s="95">
        <f t="shared" si="4"/>
        <v>525</v>
      </c>
      <c r="J54" s="104" t="s">
        <v>627</v>
      </c>
    </row>
    <row r="55" spans="4:11" hidden="1">
      <c r="D55" s="120" t="s">
        <v>1097</v>
      </c>
      <c r="E55" s="633">
        <v>48</v>
      </c>
      <c r="F55" s="633">
        <v>0</v>
      </c>
      <c r="G55" s="633">
        <v>17.5</v>
      </c>
      <c r="H55" s="6">
        <f t="shared" si="3"/>
        <v>0.36458333333333331</v>
      </c>
      <c r="I55" s="95">
        <f t="shared" si="4"/>
        <v>0</v>
      </c>
      <c r="J55" s="386" t="s">
        <v>627</v>
      </c>
    </row>
    <row r="56" spans="4:11">
      <c r="D56" s="120" t="s">
        <v>1098</v>
      </c>
      <c r="E56" s="633">
        <v>288</v>
      </c>
      <c r="F56" s="16">
        <v>3</v>
      </c>
      <c r="G56" s="16">
        <v>89</v>
      </c>
      <c r="H56" s="6">
        <f t="shared" si="3"/>
        <v>0.30902777777777779</v>
      </c>
      <c r="I56" s="95">
        <f t="shared" si="4"/>
        <v>267</v>
      </c>
      <c r="J56" s="386" t="s">
        <v>627</v>
      </c>
    </row>
    <row r="57" spans="4:11">
      <c r="D57" s="120"/>
      <c r="E57" s="633" t="s">
        <v>1099</v>
      </c>
      <c r="F57" s="633"/>
      <c r="G57" s="633"/>
      <c r="H57" s="95"/>
      <c r="I57" s="95">
        <f>SUM(I29:I56)</f>
        <v>6678.5</v>
      </c>
    </row>
    <row r="58" spans="4:11">
      <c r="D58" s="120" t="s">
        <v>1667</v>
      </c>
      <c r="E58" s="633"/>
      <c r="F58" s="633"/>
      <c r="G58" s="633"/>
      <c r="H58" s="95"/>
      <c r="I58" s="95"/>
    </row>
    <row r="59" spans="4:11">
      <c r="D59" s="120" t="s">
        <v>1507</v>
      </c>
      <c r="E59" s="633"/>
      <c r="F59" s="633"/>
      <c r="G59" s="633"/>
      <c r="H59" s="6">
        <f>H37</f>
        <v>0.8208333333333333</v>
      </c>
      <c r="I59" s="95">
        <f>H59*48</f>
        <v>39.4</v>
      </c>
      <c r="J59" s="104" t="s">
        <v>1668</v>
      </c>
    </row>
    <row r="60" spans="4:11">
      <c r="D60" s="120"/>
      <c r="E60" s="633"/>
      <c r="F60" s="633"/>
      <c r="G60" s="633"/>
      <c r="H60" s="95"/>
      <c r="I60" s="95">
        <f>I57-I59</f>
        <v>6639.1</v>
      </c>
    </row>
    <row r="61" spans="4:11">
      <c r="D61" s="120"/>
      <c r="E61" s="633"/>
      <c r="F61" s="633"/>
      <c r="G61" s="633"/>
      <c r="H61" s="95"/>
      <c r="I61" s="95"/>
    </row>
    <row r="62" spans="4:11">
      <c r="D62" s="120"/>
      <c r="E62" s="633"/>
      <c r="F62" s="633"/>
      <c r="G62" s="633"/>
      <c r="H62" s="95"/>
      <c r="I62" s="95"/>
    </row>
    <row r="63" spans="4:11">
      <c r="D63" s="120"/>
      <c r="E63" s="633"/>
      <c r="F63" s="633"/>
      <c r="G63" s="633"/>
      <c r="H63" s="95"/>
      <c r="I63" s="95"/>
    </row>
    <row r="64" spans="4:11">
      <c r="D64" s="120"/>
      <c r="E64" s="633"/>
      <c r="F64" s="633"/>
      <c r="G64" s="633"/>
      <c r="H64" s="95"/>
      <c r="I64" s="95"/>
    </row>
    <row r="65" spans="2:14">
      <c r="D65" s="120"/>
      <c r="E65" s="633"/>
      <c r="F65" s="633"/>
      <c r="G65" s="633"/>
      <c r="H65" s="95"/>
      <c r="I65" s="95"/>
    </row>
    <row r="66" spans="2:14" ht="50.25" customHeight="1">
      <c r="C66" s="412"/>
      <c r="D66" s="95" t="s">
        <v>1791</v>
      </c>
      <c r="E66" s="632" t="s">
        <v>1074</v>
      </c>
      <c r="F66" s="630" t="s">
        <v>75</v>
      </c>
      <c r="G66" s="263" t="s">
        <v>1061</v>
      </c>
      <c r="H66" s="95" t="s">
        <v>636</v>
      </c>
      <c r="I66" s="263" t="s">
        <v>1076</v>
      </c>
      <c r="J66" s="413"/>
      <c r="K66" s="413"/>
    </row>
    <row r="67" spans="2:14" hidden="1">
      <c r="C67" s="412"/>
      <c r="D67" s="411" t="s">
        <v>1077</v>
      </c>
      <c r="E67" s="633">
        <v>20</v>
      </c>
      <c r="F67" s="633">
        <v>0</v>
      </c>
      <c r="G67" s="633">
        <v>34.799999999999997</v>
      </c>
      <c r="H67" s="6">
        <f>G67/E67</f>
        <v>1.7399999999999998</v>
      </c>
      <c r="I67" s="95">
        <f>F67*G67</f>
        <v>0</v>
      </c>
      <c r="J67" s="413" t="s">
        <v>627</v>
      </c>
      <c r="K67" s="413"/>
      <c r="M67" s="411" t="s">
        <v>0</v>
      </c>
      <c r="N67" s="411" t="s">
        <v>1</v>
      </c>
    </row>
    <row r="68" spans="2:14" hidden="1">
      <c r="C68" s="412"/>
      <c r="D68" s="411" t="s">
        <v>1078</v>
      </c>
      <c r="E68" s="633">
        <v>20</v>
      </c>
      <c r="F68" s="633">
        <v>0</v>
      </c>
      <c r="G68" s="633">
        <v>34.799999999999997</v>
      </c>
      <c r="H68" s="6">
        <f t="shared" ref="H68:H96" si="5">G68/E68</f>
        <v>1.7399999999999998</v>
      </c>
      <c r="I68" s="95">
        <f t="shared" ref="I68:I96" si="6">F68*G68</f>
        <v>0</v>
      </c>
      <c r="J68" s="413" t="s">
        <v>627</v>
      </c>
      <c r="K68" s="413"/>
      <c r="M68" s="387">
        <v>8162</v>
      </c>
      <c r="N68" s="387" t="s">
        <v>1055</v>
      </c>
    </row>
    <row r="69" spans="2:14">
      <c r="C69" s="412"/>
      <c r="D69" s="95" t="s">
        <v>1080</v>
      </c>
      <c r="E69" s="633">
        <v>10</v>
      </c>
      <c r="F69" s="16">
        <v>0</v>
      </c>
      <c r="G69" s="16">
        <v>8.6</v>
      </c>
      <c r="H69" s="6">
        <f t="shared" si="5"/>
        <v>0.86</v>
      </c>
      <c r="I69" s="95">
        <f t="shared" si="6"/>
        <v>0</v>
      </c>
      <c r="J69" s="413" t="s">
        <v>627</v>
      </c>
      <c r="K69" s="413"/>
      <c r="M69" s="113"/>
      <c r="N69" s="113"/>
    </row>
    <row r="70" spans="2:14" hidden="1">
      <c r="C70" s="412"/>
      <c r="D70" s="95" t="s">
        <v>1081</v>
      </c>
      <c r="E70" s="633">
        <v>24</v>
      </c>
      <c r="F70" s="16">
        <v>0</v>
      </c>
      <c r="G70" s="16">
        <v>18.3</v>
      </c>
      <c r="H70" s="6">
        <f t="shared" si="5"/>
        <v>0.76250000000000007</v>
      </c>
      <c r="I70" s="95">
        <f t="shared" si="6"/>
        <v>0</v>
      </c>
      <c r="J70" s="413" t="s">
        <v>627</v>
      </c>
      <c r="K70" s="413"/>
      <c r="M70" s="113"/>
      <c r="N70" s="113"/>
    </row>
    <row r="71" spans="2:14" hidden="1">
      <c r="C71" s="412"/>
      <c r="D71" s="95" t="s">
        <v>1063</v>
      </c>
      <c r="E71" s="633">
        <v>24</v>
      </c>
      <c r="F71" s="16">
        <v>0</v>
      </c>
      <c r="G71" s="16">
        <v>13.1</v>
      </c>
      <c r="H71" s="6">
        <f t="shared" si="5"/>
        <v>0.54583333333333328</v>
      </c>
      <c r="I71" s="95">
        <f t="shared" si="6"/>
        <v>0</v>
      </c>
      <c r="J71" s="413" t="s">
        <v>627</v>
      </c>
      <c r="K71" s="413"/>
      <c r="M71" s="113"/>
      <c r="N71" s="113"/>
    </row>
    <row r="72" spans="2:14">
      <c r="C72" s="412"/>
      <c r="D72" s="95" t="s">
        <v>1064</v>
      </c>
      <c r="E72" s="633">
        <v>12</v>
      </c>
      <c r="F72" s="16">
        <v>0</v>
      </c>
      <c r="G72" s="16">
        <v>14</v>
      </c>
      <c r="H72" s="6">
        <f t="shared" si="5"/>
        <v>1.1666666666666667</v>
      </c>
      <c r="I72" s="95">
        <f t="shared" si="6"/>
        <v>0</v>
      </c>
      <c r="J72" s="413" t="s">
        <v>627</v>
      </c>
      <c r="K72" s="413"/>
      <c r="M72" s="113"/>
      <c r="N72" s="113"/>
    </row>
    <row r="73" spans="2:14" hidden="1">
      <c r="C73" s="411">
        <v>16237</v>
      </c>
      <c r="D73" s="95" t="s">
        <v>1505</v>
      </c>
      <c r="E73" s="633">
        <v>15</v>
      </c>
      <c r="F73" s="16">
        <v>0</v>
      </c>
      <c r="G73" s="16">
        <v>13.5</v>
      </c>
      <c r="H73" s="6">
        <f t="shared" si="5"/>
        <v>0.9</v>
      </c>
      <c r="I73" s="95">
        <f t="shared" si="6"/>
        <v>0</v>
      </c>
      <c r="J73" s="413" t="s">
        <v>627</v>
      </c>
      <c r="K73" s="413"/>
      <c r="M73" s="113"/>
      <c r="N73" s="113"/>
    </row>
    <row r="74" spans="2:14" s="412" customFormat="1">
      <c r="B74" s="494"/>
      <c r="D74" s="95" t="s">
        <v>1793</v>
      </c>
      <c r="E74" s="633">
        <v>120</v>
      </c>
      <c r="F74" s="16">
        <v>15</v>
      </c>
      <c r="G74" s="16">
        <v>8.3000000000000007</v>
      </c>
      <c r="H74" s="6">
        <f t="shared" si="5"/>
        <v>6.9166666666666668E-2</v>
      </c>
      <c r="I74" s="95">
        <f t="shared" si="6"/>
        <v>124.50000000000001</v>
      </c>
      <c r="J74" s="413" t="s">
        <v>627</v>
      </c>
      <c r="K74" s="413"/>
      <c r="M74" s="113"/>
      <c r="N74" s="113"/>
    </row>
    <row r="75" spans="2:14">
      <c r="C75" s="411">
        <v>9579</v>
      </c>
      <c r="D75" s="95" t="s">
        <v>1057</v>
      </c>
      <c r="E75" s="633">
        <v>1000</v>
      </c>
      <c r="F75" s="16">
        <v>0</v>
      </c>
      <c r="G75" s="631">
        <v>3.4</v>
      </c>
      <c r="H75" s="6">
        <f t="shared" si="5"/>
        <v>3.3999999999999998E-3</v>
      </c>
      <c r="I75" s="95">
        <f t="shared" si="6"/>
        <v>0</v>
      </c>
      <c r="J75" s="413" t="s">
        <v>627</v>
      </c>
      <c r="K75" s="413"/>
      <c r="M75" s="113"/>
      <c r="N75" s="113"/>
    </row>
    <row r="76" spans="2:14" hidden="1">
      <c r="C76" s="113"/>
      <c r="D76" s="95" t="s">
        <v>1507</v>
      </c>
      <c r="E76" s="633">
        <v>24</v>
      </c>
      <c r="F76" s="16">
        <v>0</v>
      </c>
      <c r="G76" s="16">
        <v>19.7</v>
      </c>
      <c r="H76" s="6">
        <f t="shared" si="5"/>
        <v>0.8208333333333333</v>
      </c>
      <c r="I76" s="95">
        <f t="shared" si="6"/>
        <v>0</v>
      </c>
      <c r="J76" s="413" t="s">
        <v>627</v>
      </c>
      <c r="K76" s="413"/>
      <c r="M76" s="113"/>
      <c r="N76" s="113"/>
    </row>
    <row r="77" spans="2:14" hidden="1">
      <c r="C77" s="113"/>
      <c r="D77" s="95" t="s">
        <v>1072</v>
      </c>
      <c r="E77" s="633">
        <v>100</v>
      </c>
      <c r="F77" s="16">
        <v>0</v>
      </c>
      <c r="G77" s="16">
        <v>37.5</v>
      </c>
      <c r="H77" s="6">
        <f t="shared" si="5"/>
        <v>0.375</v>
      </c>
      <c r="I77" s="95">
        <f t="shared" si="6"/>
        <v>0</v>
      </c>
      <c r="J77" s="413" t="s">
        <v>627</v>
      </c>
      <c r="K77" s="413"/>
      <c r="M77" s="113"/>
      <c r="N77" s="113"/>
    </row>
    <row r="78" spans="2:14" hidden="1">
      <c r="C78" s="412"/>
      <c r="D78" s="95" t="s">
        <v>1508</v>
      </c>
      <c r="E78" s="633">
        <v>24</v>
      </c>
      <c r="F78" s="16">
        <v>0</v>
      </c>
      <c r="G78" s="16">
        <v>19.7</v>
      </c>
      <c r="H78" s="6">
        <f t="shared" si="5"/>
        <v>0.8208333333333333</v>
      </c>
      <c r="I78" s="95">
        <f t="shared" si="6"/>
        <v>0</v>
      </c>
      <c r="J78" s="413" t="s">
        <v>627</v>
      </c>
      <c r="K78" s="413"/>
      <c r="M78" s="113"/>
      <c r="N78" s="113"/>
    </row>
    <row r="79" spans="2:14">
      <c r="C79" s="412"/>
      <c r="D79" s="351" t="s">
        <v>1082</v>
      </c>
      <c r="E79" s="633">
        <v>96</v>
      </c>
      <c r="F79" s="16">
        <v>10</v>
      </c>
      <c r="G79" s="633">
        <v>51.2</v>
      </c>
      <c r="H79" s="6">
        <f t="shared" si="5"/>
        <v>0.53333333333333333</v>
      </c>
      <c r="I79" s="95">
        <f t="shared" si="6"/>
        <v>512</v>
      </c>
      <c r="J79" s="413" t="s">
        <v>627</v>
      </c>
      <c r="K79" s="413"/>
      <c r="M79" s="113"/>
      <c r="N79" s="113"/>
    </row>
    <row r="80" spans="2:14">
      <c r="C80" s="412"/>
      <c r="D80" s="351" t="s">
        <v>1083</v>
      </c>
      <c r="E80" s="633">
        <v>96</v>
      </c>
      <c r="F80" s="16">
        <v>10</v>
      </c>
      <c r="G80" s="633">
        <v>51.2</v>
      </c>
      <c r="H80" s="6">
        <f t="shared" si="5"/>
        <v>0.53333333333333333</v>
      </c>
      <c r="I80" s="95">
        <f t="shared" si="6"/>
        <v>512</v>
      </c>
      <c r="J80" s="413" t="s">
        <v>627</v>
      </c>
      <c r="K80" s="413"/>
      <c r="M80" s="113"/>
      <c r="N80" s="113"/>
    </row>
    <row r="81" spans="2:14" s="412" customFormat="1" hidden="1">
      <c r="B81" s="494"/>
      <c r="D81" s="351"/>
      <c r="E81" s="633"/>
      <c r="F81" s="16"/>
      <c r="G81" s="633"/>
      <c r="H81" s="6"/>
      <c r="I81" s="95"/>
      <c r="J81" s="413"/>
      <c r="K81" s="413"/>
      <c r="M81" s="113"/>
      <c r="N81" s="113"/>
    </row>
    <row r="82" spans="2:14" s="412" customFormat="1" hidden="1">
      <c r="B82" s="494"/>
      <c r="C82" s="411">
        <v>2647</v>
      </c>
      <c r="D82" s="95" t="s">
        <v>1071</v>
      </c>
      <c r="E82" s="633">
        <v>252</v>
      </c>
      <c r="F82" s="16" t="s">
        <v>72</v>
      </c>
      <c r="G82" s="633"/>
      <c r="H82" s="6"/>
      <c r="I82" s="95"/>
      <c r="J82" s="413"/>
      <c r="K82" s="413"/>
      <c r="M82" s="113"/>
      <c r="N82" s="113"/>
    </row>
    <row r="83" spans="2:14" s="412" customFormat="1" hidden="1">
      <c r="B83" s="494"/>
      <c r="D83" s="95" t="s">
        <v>1792</v>
      </c>
      <c r="E83" s="633"/>
      <c r="F83" s="16"/>
      <c r="G83" s="633"/>
      <c r="H83" s="6"/>
      <c r="I83" s="95"/>
      <c r="J83" s="413"/>
      <c r="K83" s="413"/>
      <c r="M83" s="113"/>
      <c r="N83" s="113"/>
    </row>
    <row r="84" spans="2:14" s="412" customFormat="1" hidden="1">
      <c r="B84" s="494"/>
      <c r="C84" s="411">
        <v>950</v>
      </c>
      <c r="D84" s="95" t="s">
        <v>1794</v>
      </c>
      <c r="E84" s="633"/>
      <c r="F84" s="16"/>
      <c r="G84" s="633"/>
      <c r="H84" s="6"/>
      <c r="I84" s="95"/>
      <c r="J84" s="413"/>
      <c r="K84" s="413"/>
      <c r="M84" s="113"/>
      <c r="N84" s="113"/>
    </row>
    <row r="85" spans="2:14" s="412" customFormat="1" hidden="1">
      <c r="B85" s="494"/>
      <c r="D85" s="351"/>
      <c r="E85" s="633"/>
      <c r="F85" s="16"/>
      <c r="G85" s="633"/>
      <c r="H85" s="6"/>
      <c r="I85" s="95"/>
      <c r="J85" s="413"/>
      <c r="K85" s="413"/>
      <c r="M85" s="113"/>
      <c r="N85" s="113"/>
    </row>
    <row r="86" spans="2:14" hidden="1">
      <c r="C86" s="411">
        <v>9500</v>
      </c>
      <c r="D86" s="351" t="s">
        <v>1084</v>
      </c>
      <c r="E86" s="633">
        <v>24</v>
      </c>
      <c r="F86" s="16">
        <v>0</v>
      </c>
      <c r="G86" s="16">
        <v>15.5</v>
      </c>
      <c r="H86" s="6">
        <f t="shared" si="5"/>
        <v>0.64583333333333337</v>
      </c>
      <c r="I86" s="95">
        <f t="shared" si="6"/>
        <v>0</v>
      </c>
      <c r="J86" s="413" t="s">
        <v>627</v>
      </c>
      <c r="K86" s="413"/>
      <c r="M86" s="113"/>
      <c r="N86" s="113"/>
    </row>
    <row r="87" spans="2:14" hidden="1">
      <c r="C87" s="412"/>
      <c r="D87" s="351" t="s">
        <v>1085</v>
      </c>
      <c r="E87" s="633">
        <v>12</v>
      </c>
      <c r="F87" s="16">
        <v>0</v>
      </c>
      <c r="G87" s="633">
        <v>15.5</v>
      </c>
      <c r="H87" s="6">
        <f t="shared" si="5"/>
        <v>1.2916666666666667</v>
      </c>
      <c r="I87" s="95">
        <f t="shared" si="6"/>
        <v>0</v>
      </c>
      <c r="J87" s="413" t="s">
        <v>627</v>
      </c>
      <c r="K87" s="413"/>
      <c r="M87" s="113"/>
      <c r="N87" s="113"/>
    </row>
    <row r="88" spans="2:14" hidden="1">
      <c r="C88" s="412"/>
      <c r="D88" s="351" t="s">
        <v>1086</v>
      </c>
      <c r="E88" s="633">
        <v>12</v>
      </c>
      <c r="F88" s="16">
        <v>0</v>
      </c>
      <c r="G88" s="633">
        <v>15.5</v>
      </c>
      <c r="H88" s="6">
        <f t="shared" si="5"/>
        <v>1.2916666666666667</v>
      </c>
      <c r="I88" s="95">
        <f t="shared" si="6"/>
        <v>0</v>
      </c>
      <c r="J88" s="413" t="s">
        <v>627</v>
      </c>
      <c r="K88" s="413"/>
      <c r="M88" s="113"/>
      <c r="N88" s="113"/>
    </row>
    <row r="89" spans="2:14">
      <c r="C89" s="411">
        <v>18707</v>
      </c>
      <c r="D89" s="351" t="s">
        <v>1087</v>
      </c>
      <c r="E89" s="633">
        <v>12</v>
      </c>
      <c r="F89" s="16">
        <v>15</v>
      </c>
      <c r="G89" s="16">
        <v>7.7</v>
      </c>
      <c r="H89" s="6">
        <f t="shared" si="5"/>
        <v>0.64166666666666672</v>
      </c>
      <c r="I89" s="95">
        <f t="shared" si="6"/>
        <v>115.5</v>
      </c>
      <c r="J89" s="413" t="s">
        <v>627</v>
      </c>
      <c r="K89" s="413"/>
      <c r="M89" s="113"/>
      <c r="N89" s="113"/>
    </row>
    <row r="90" spans="2:14" hidden="1">
      <c r="C90" s="411">
        <v>18714</v>
      </c>
      <c r="D90" s="351" t="s">
        <v>1796</v>
      </c>
      <c r="E90" s="633">
        <v>24</v>
      </c>
      <c r="F90" s="16">
        <v>0</v>
      </c>
      <c r="G90" s="16">
        <v>12</v>
      </c>
      <c r="H90" s="6">
        <f t="shared" si="5"/>
        <v>0.5</v>
      </c>
      <c r="I90" s="95">
        <f t="shared" si="6"/>
        <v>0</v>
      </c>
      <c r="J90" s="413" t="s">
        <v>627</v>
      </c>
      <c r="K90" s="413"/>
      <c r="M90" s="113"/>
      <c r="N90" s="113"/>
    </row>
    <row r="91" spans="2:14">
      <c r="C91" s="411">
        <v>15430</v>
      </c>
      <c r="D91" s="351" t="s">
        <v>1797</v>
      </c>
      <c r="E91" s="633">
        <v>12</v>
      </c>
      <c r="F91" s="16">
        <v>15</v>
      </c>
      <c r="G91" s="16">
        <v>12</v>
      </c>
      <c r="H91" s="6">
        <f t="shared" si="5"/>
        <v>1</v>
      </c>
      <c r="I91" s="95">
        <f t="shared" si="6"/>
        <v>180</v>
      </c>
      <c r="J91" s="413" t="s">
        <v>627</v>
      </c>
      <c r="K91" s="413"/>
      <c r="M91" s="113"/>
      <c r="N91" s="113"/>
    </row>
    <row r="92" spans="2:14" hidden="1">
      <c r="C92" s="411">
        <v>15767</v>
      </c>
      <c r="D92" s="351" t="s">
        <v>1090</v>
      </c>
      <c r="E92" s="633">
        <v>24</v>
      </c>
      <c r="F92" s="16">
        <v>0</v>
      </c>
      <c r="G92" s="16">
        <v>12</v>
      </c>
      <c r="H92" s="6">
        <f t="shared" si="5"/>
        <v>0.5</v>
      </c>
      <c r="I92" s="95">
        <f t="shared" si="6"/>
        <v>0</v>
      </c>
      <c r="J92" s="413" t="s">
        <v>627</v>
      </c>
      <c r="K92" s="413"/>
      <c r="M92" s="312">
        <v>17889</v>
      </c>
      <c r="N92" s="312" t="s">
        <v>1795</v>
      </c>
    </row>
    <row r="93" spans="2:14">
      <c r="C93" s="411">
        <v>15428</v>
      </c>
      <c r="D93" s="351" t="s">
        <v>1091</v>
      </c>
      <c r="E93" s="633">
        <v>12</v>
      </c>
      <c r="F93" s="16">
        <v>15</v>
      </c>
      <c r="G93" s="16">
        <v>12</v>
      </c>
      <c r="H93" s="6">
        <f t="shared" si="5"/>
        <v>1</v>
      </c>
      <c r="I93" s="95">
        <f t="shared" si="6"/>
        <v>180</v>
      </c>
      <c r="J93" s="413" t="s">
        <v>627</v>
      </c>
      <c r="K93" s="413"/>
    </row>
    <row r="94" spans="2:14" hidden="1">
      <c r="C94" s="411">
        <v>16239</v>
      </c>
      <c r="D94" s="95" t="s">
        <v>1092</v>
      </c>
      <c r="E94" s="633">
        <v>24</v>
      </c>
      <c r="F94" s="16">
        <v>0</v>
      </c>
      <c r="G94" s="16">
        <v>12</v>
      </c>
      <c r="H94" s="6">
        <f t="shared" si="5"/>
        <v>0.5</v>
      </c>
      <c r="I94" s="95">
        <f t="shared" si="6"/>
        <v>0</v>
      </c>
      <c r="J94" s="413" t="s">
        <v>627</v>
      </c>
      <c r="K94" s="413"/>
    </row>
    <row r="95" spans="2:14">
      <c r="C95" s="411">
        <v>15426</v>
      </c>
      <c r="D95" s="95" t="s">
        <v>1093</v>
      </c>
      <c r="E95" s="633">
        <v>12</v>
      </c>
      <c r="F95" s="16">
        <v>15</v>
      </c>
      <c r="G95" s="16">
        <v>12</v>
      </c>
      <c r="H95" s="6">
        <f t="shared" si="5"/>
        <v>1</v>
      </c>
      <c r="I95" s="95">
        <f t="shared" si="6"/>
        <v>180</v>
      </c>
      <c r="J95" s="413" t="s">
        <v>627</v>
      </c>
      <c r="K95" s="413"/>
    </row>
    <row r="96" spans="2:14">
      <c r="C96" s="412"/>
      <c r="D96" s="95" t="s">
        <v>1798</v>
      </c>
      <c r="E96" s="633">
        <v>72</v>
      </c>
      <c r="F96" s="16">
        <v>20</v>
      </c>
      <c r="G96" s="16">
        <v>21.6</v>
      </c>
      <c r="H96" s="6">
        <f t="shared" si="5"/>
        <v>0.30000000000000004</v>
      </c>
      <c r="I96" s="95">
        <f t="shared" si="6"/>
        <v>432</v>
      </c>
      <c r="J96" s="413" t="s">
        <v>627</v>
      </c>
      <c r="K96" s="361"/>
    </row>
    <row r="97" spans="2:11" s="412" customFormat="1">
      <c r="B97" s="494"/>
      <c r="D97" s="9"/>
      <c r="E97" s="633"/>
      <c r="F97" s="631"/>
      <c r="G97" s="631"/>
      <c r="H97" s="430"/>
      <c r="I97" s="9"/>
      <c r="J97" s="422"/>
      <c r="K97" s="361"/>
    </row>
    <row r="98" spans="2:11">
      <c r="E98" s="895" t="s">
        <v>72</v>
      </c>
      <c r="F98" s="895"/>
      <c r="G98" s="631" t="s">
        <v>72</v>
      </c>
      <c r="H98" s="104" t="s">
        <v>78</v>
      </c>
      <c r="I98" s="104">
        <f>SUM(I67:I96)</f>
        <v>2236</v>
      </c>
    </row>
    <row r="99" spans="2:11" ht="15.75" thickBot="1">
      <c r="D99" s="431" t="s">
        <v>1668</v>
      </c>
      <c r="E99" s="894" t="s">
        <v>1793</v>
      </c>
      <c r="F99" s="894"/>
      <c r="G99" s="630">
        <v>8</v>
      </c>
      <c r="H99" s="429">
        <v>7.0000000000000007E-2</v>
      </c>
      <c r="I99" s="104">
        <f>G99*H99</f>
        <v>0.56000000000000005</v>
      </c>
    </row>
    <row r="100" spans="2:11" ht="30.75" thickBot="1">
      <c r="I100" s="432">
        <f>I98-I99</f>
        <v>2235.44</v>
      </c>
      <c r="J100" s="433" t="s">
        <v>81</v>
      </c>
    </row>
    <row r="104" spans="2:11" ht="30">
      <c r="E104" s="632" t="s">
        <v>1074</v>
      </c>
      <c r="F104" s="630" t="s">
        <v>75</v>
      </c>
      <c r="G104" s="263" t="s">
        <v>1061</v>
      </c>
      <c r="H104" s="95" t="s">
        <v>636</v>
      </c>
      <c r="I104" s="263" t="s">
        <v>1076</v>
      </c>
    </row>
    <row r="105" spans="2:11" hidden="1">
      <c r="C105" s="411">
        <v>9755</v>
      </c>
      <c r="D105" s="411" t="s">
        <v>1063</v>
      </c>
      <c r="E105" s="633">
        <v>24</v>
      </c>
      <c r="F105" s="633">
        <v>0</v>
      </c>
      <c r="G105" s="630">
        <v>14</v>
      </c>
      <c r="H105" s="95">
        <v>0.56000000000000005</v>
      </c>
      <c r="I105" s="369">
        <f>F105*G105</f>
        <v>0</v>
      </c>
      <c r="J105" s="422" t="s">
        <v>627</v>
      </c>
      <c r="K105" s="377"/>
    </row>
    <row r="106" spans="2:11">
      <c r="C106" s="411">
        <v>10396</v>
      </c>
      <c r="D106" s="95" t="s">
        <v>1064</v>
      </c>
      <c r="E106" s="633">
        <v>12</v>
      </c>
      <c r="F106" s="16">
        <v>150</v>
      </c>
      <c r="G106" s="16">
        <v>14</v>
      </c>
      <c r="H106" s="6">
        <f t="shared" ref="H106:H107" si="7">G106/E106</f>
        <v>1.1666666666666667</v>
      </c>
      <c r="I106" s="369">
        <f t="shared" ref="I106:I107" si="8">F106*G106</f>
        <v>2100</v>
      </c>
      <c r="J106" s="422" t="s">
        <v>627</v>
      </c>
    </row>
    <row r="107" spans="2:11">
      <c r="C107" s="411">
        <v>9579</v>
      </c>
      <c r="D107" s="95" t="s">
        <v>1057</v>
      </c>
      <c r="E107" s="633">
        <v>1000</v>
      </c>
      <c r="F107" s="16">
        <v>30</v>
      </c>
      <c r="G107" s="631">
        <v>3.4</v>
      </c>
      <c r="H107" s="6">
        <f t="shared" si="7"/>
        <v>3.3999999999999998E-3</v>
      </c>
      <c r="I107" s="369">
        <f t="shared" si="8"/>
        <v>102</v>
      </c>
      <c r="J107" s="422" t="s">
        <v>278</v>
      </c>
    </row>
    <row r="108" spans="2:11">
      <c r="H108" s="471" t="s">
        <v>78</v>
      </c>
      <c r="I108" s="104">
        <f>SUM(I105:I107)</f>
        <v>2202</v>
      </c>
    </row>
    <row r="109" spans="2:11" s="412" customFormat="1" ht="48.75" customHeight="1" thickBot="1">
      <c r="B109" s="494"/>
      <c r="D109" s="492" t="s">
        <v>1668</v>
      </c>
      <c r="E109" s="896" t="s">
        <v>1064</v>
      </c>
      <c r="F109" s="896"/>
      <c r="G109" s="633">
        <v>24</v>
      </c>
      <c r="H109" s="6">
        <v>1.17</v>
      </c>
      <c r="I109" s="478">
        <f>G109*H109</f>
        <v>28.08</v>
      </c>
      <c r="J109" s="471"/>
      <c r="K109" s="471"/>
    </row>
    <row r="110" spans="2:11" s="412" customFormat="1" ht="30.75" thickBot="1">
      <c r="B110" s="494"/>
      <c r="E110" s="629"/>
      <c r="F110" s="629"/>
      <c r="G110" s="629"/>
      <c r="H110" s="471"/>
      <c r="I110" s="491">
        <f>I108-I109</f>
        <v>2173.92</v>
      </c>
      <c r="J110" s="490" t="s">
        <v>81</v>
      </c>
      <c r="K110" s="471"/>
    </row>
    <row r="111" spans="2:11" s="412" customFormat="1">
      <c r="B111" s="494"/>
      <c r="E111" s="629"/>
      <c r="F111" s="629"/>
      <c r="G111" s="629"/>
      <c r="H111" s="471"/>
      <c r="I111" s="471"/>
      <c r="J111" s="471"/>
      <c r="K111" s="471"/>
    </row>
    <row r="112" spans="2:11" s="412" customFormat="1">
      <c r="B112" s="494"/>
      <c r="E112" s="629"/>
      <c r="F112" s="629"/>
      <c r="G112" s="629"/>
      <c r="H112" s="471"/>
      <c r="I112" s="471"/>
      <c r="J112" s="471"/>
      <c r="K112" s="471"/>
    </row>
    <row r="113" spans="2:11" s="412" customFormat="1">
      <c r="B113" s="494"/>
      <c r="E113" s="629"/>
      <c r="F113" s="629"/>
      <c r="G113" s="629"/>
      <c r="H113" s="471"/>
      <c r="I113" s="471"/>
      <c r="J113" s="471"/>
      <c r="K113" s="471"/>
    </row>
    <row r="114" spans="2:11" s="412" customFormat="1">
      <c r="B114" s="494"/>
      <c r="E114" s="629"/>
      <c r="F114" s="629"/>
      <c r="G114" s="629"/>
      <c r="H114" s="471"/>
      <c r="I114" s="471"/>
      <c r="J114" s="471"/>
      <c r="K114" s="471"/>
    </row>
    <row r="115" spans="2:11" s="412" customFormat="1">
      <c r="B115" s="494"/>
      <c r="E115" s="629"/>
      <c r="F115" s="629"/>
      <c r="G115" s="629"/>
      <c r="H115" s="471"/>
      <c r="I115" s="471"/>
      <c r="J115" s="471"/>
      <c r="K115" s="471"/>
    </row>
    <row r="116" spans="2:11" s="412" customFormat="1">
      <c r="B116" s="494"/>
      <c r="E116" s="629"/>
      <c r="F116" s="629"/>
      <c r="G116" s="629"/>
      <c r="H116" s="471"/>
      <c r="I116" s="471"/>
      <c r="J116" s="471"/>
      <c r="K116" s="471"/>
    </row>
    <row r="117" spans="2:11" s="412" customFormat="1">
      <c r="B117" s="494"/>
      <c r="E117" s="629"/>
      <c r="F117" s="629"/>
      <c r="G117" s="629"/>
      <c r="H117" s="471"/>
      <c r="I117" s="471"/>
      <c r="J117" s="471"/>
      <c r="K117" s="471"/>
    </row>
    <row r="120" spans="2:11" s="412" customFormat="1">
      <c r="B120" s="494"/>
      <c r="E120" s="629"/>
      <c r="F120" s="629"/>
      <c r="G120" s="629"/>
      <c r="H120" s="426"/>
      <c r="I120" s="426"/>
      <c r="J120" s="426"/>
      <c r="K120" s="426"/>
    </row>
    <row r="121" spans="2:11" ht="30">
      <c r="C121" s="412"/>
      <c r="D121" s="95" t="s">
        <v>1874</v>
      </c>
      <c r="E121" s="632" t="s">
        <v>1074</v>
      </c>
      <c r="F121" s="630" t="s">
        <v>75</v>
      </c>
      <c r="G121" s="263" t="s">
        <v>1061</v>
      </c>
      <c r="H121" s="95" t="s">
        <v>636</v>
      </c>
      <c r="I121" s="263" t="s">
        <v>1076</v>
      </c>
      <c r="J121" s="426"/>
    </row>
    <row r="122" spans="2:11">
      <c r="C122" s="412"/>
      <c r="D122" s="95" t="s">
        <v>1080</v>
      </c>
      <c r="E122" s="633">
        <v>10</v>
      </c>
      <c r="F122" s="16">
        <v>100</v>
      </c>
      <c r="G122" s="16">
        <v>8.6</v>
      </c>
      <c r="H122" s="6">
        <f t="shared" ref="H122" si="9">G122/E122</f>
        <v>0.86</v>
      </c>
      <c r="I122" s="95">
        <f t="shared" ref="I122" si="10">F122*G122</f>
        <v>860</v>
      </c>
      <c r="J122" s="426" t="s">
        <v>627</v>
      </c>
    </row>
    <row r="127" spans="2:11" ht="30">
      <c r="D127" s="517" t="s">
        <v>2239</v>
      </c>
      <c r="E127" s="632" t="s">
        <v>1074</v>
      </c>
      <c r="F127" s="630" t="s">
        <v>75</v>
      </c>
      <c r="G127" s="263" t="s">
        <v>1061</v>
      </c>
      <c r="H127" s="524" t="s">
        <v>636</v>
      </c>
      <c r="I127" s="263" t="s">
        <v>1076</v>
      </c>
    </row>
    <row r="128" spans="2:11" hidden="1">
      <c r="C128" s="495">
        <v>13926</v>
      </c>
      <c r="D128" s="495" t="s">
        <v>2240</v>
      </c>
      <c r="E128" s="633">
        <v>20</v>
      </c>
      <c r="F128" s="633">
        <v>0</v>
      </c>
      <c r="G128" s="633">
        <v>34.799999999999997</v>
      </c>
      <c r="H128" s="6">
        <f>G128/E128</f>
        <v>1.7399999999999998</v>
      </c>
      <c r="I128" s="524">
        <f>G128*F128</f>
        <v>0</v>
      </c>
    </row>
    <row r="129" spans="3:11">
      <c r="C129" s="576">
        <v>4030</v>
      </c>
      <c r="D129" s="576" t="s">
        <v>2241</v>
      </c>
      <c r="E129" s="369">
        <v>100</v>
      </c>
      <c r="F129" s="369">
        <v>30</v>
      </c>
      <c r="G129" s="369">
        <v>3.4</v>
      </c>
      <c r="H129" s="577">
        <f t="shared" ref="H129:H167" si="11">G129/E129</f>
        <v>3.4000000000000002E-2</v>
      </c>
      <c r="I129" s="369">
        <f t="shared" ref="I129:I167" si="12">G129*F129</f>
        <v>102</v>
      </c>
    </row>
    <row r="130" spans="3:11">
      <c r="C130" s="576">
        <v>950</v>
      </c>
      <c r="D130" s="576" t="s">
        <v>1794</v>
      </c>
      <c r="E130" s="369">
        <v>100</v>
      </c>
      <c r="F130" s="369">
        <v>4</v>
      </c>
      <c r="G130" s="369">
        <v>21.1</v>
      </c>
      <c r="H130" s="577">
        <f t="shared" si="11"/>
        <v>0.21100000000000002</v>
      </c>
      <c r="I130" s="369">
        <f t="shared" si="12"/>
        <v>84.4</v>
      </c>
    </row>
    <row r="131" spans="3:11" s="494" customFormat="1">
      <c r="C131" s="576"/>
      <c r="D131" s="576" t="s">
        <v>2268</v>
      </c>
      <c r="E131" s="369">
        <v>100</v>
      </c>
      <c r="F131" s="369">
        <v>4</v>
      </c>
      <c r="G131" s="369">
        <v>69.5</v>
      </c>
      <c r="H131" s="577">
        <f t="shared" si="11"/>
        <v>0.69499999999999995</v>
      </c>
      <c r="I131" s="369">
        <f t="shared" si="12"/>
        <v>278</v>
      </c>
      <c r="J131" s="514"/>
      <c r="K131" s="514"/>
    </row>
    <row r="132" spans="3:11">
      <c r="C132" s="576">
        <v>16237</v>
      </c>
      <c r="D132" s="576" t="s">
        <v>2242</v>
      </c>
      <c r="E132" s="369">
        <v>15</v>
      </c>
      <c r="F132" s="369">
        <v>40</v>
      </c>
      <c r="G132" s="369">
        <v>13.5</v>
      </c>
      <c r="H132" s="577">
        <f t="shared" si="11"/>
        <v>0.9</v>
      </c>
      <c r="I132" s="369">
        <f t="shared" si="12"/>
        <v>540</v>
      </c>
    </row>
    <row r="133" spans="3:11">
      <c r="C133" s="576">
        <v>9923</v>
      </c>
      <c r="D133" s="576" t="s">
        <v>2246</v>
      </c>
      <c r="E133" s="369">
        <v>72</v>
      </c>
      <c r="F133" s="369">
        <v>35</v>
      </c>
      <c r="G133" s="369">
        <v>21.6</v>
      </c>
      <c r="H133" s="577">
        <f t="shared" si="11"/>
        <v>0.30000000000000004</v>
      </c>
      <c r="I133" s="369">
        <f t="shared" si="12"/>
        <v>756</v>
      </c>
    </row>
    <row r="134" spans="3:11">
      <c r="C134" s="576">
        <v>9499</v>
      </c>
      <c r="D134" s="576" t="s">
        <v>2257</v>
      </c>
      <c r="E134" s="369">
        <v>12</v>
      </c>
      <c r="F134" s="369">
        <v>10</v>
      </c>
      <c r="G134" s="369">
        <v>16.7</v>
      </c>
      <c r="H134" s="577">
        <f t="shared" si="11"/>
        <v>1.3916666666666666</v>
      </c>
      <c r="I134" s="369">
        <f t="shared" si="12"/>
        <v>167</v>
      </c>
    </row>
    <row r="135" spans="3:11">
      <c r="C135" s="576">
        <v>9500</v>
      </c>
      <c r="D135" s="576" t="s">
        <v>2256</v>
      </c>
      <c r="E135" s="369">
        <v>24</v>
      </c>
      <c r="F135" s="369">
        <v>10</v>
      </c>
      <c r="G135" s="369">
        <v>17</v>
      </c>
      <c r="H135" s="577">
        <f t="shared" si="11"/>
        <v>0.70833333333333337</v>
      </c>
      <c r="I135" s="369">
        <f t="shared" si="12"/>
        <v>170</v>
      </c>
    </row>
    <row r="136" spans="3:11" s="494" customFormat="1">
      <c r="C136" s="576"/>
      <c r="D136" s="576" t="s">
        <v>2258</v>
      </c>
      <c r="E136" s="369">
        <v>12</v>
      </c>
      <c r="F136" s="369">
        <v>5</v>
      </c>
      <c r="G136" s="369">
        <v>16.7</v>
      </c>
      <c r="H136" s="577">
        <f t="shared" si="11"/>
        <v>1.3916666666666666</v>
      </c>
      <c r="I136" s="369">
        <f t="shared" si="12"/>
        <v>83.5</v>
      </c>
      <c r="J136" s="514"/>
      <c r="K136" s="514"/>
    </row>
    <row r="137" spans="3:11" s="494" customFormat="1">
      <c r="C137" s="576"/>
      <c r="D137" s="576" t="s">
        <v>2259</v>
      </c>
      <c r="E137" s="369">
        <v>24</v>
      </c>
      <c r="F137" s="369">
        <v>10</v>
      </c>
      <c r="G137" s="369">
        <v>17</v>
      </c>
      <c r="H137" s="577">
        <f t="shared" si="11"/>
        <v>0.70833333333333337</v>
      </c>
      <c r="I137" s="369">
        <f t="shared" si="12"/>
        <v>170</v>
      </c>
      <c r="J137" s="514"/>
      <c r="K137" s="514"/>
    </row>
    <row r="138" spans="3:11">
      <c r="C138" s="576">
        <v>15426</v>
      </c>
      <c r="D138" s="576" t="s">
        <v>2243</v>
      </c>
      <c r="E138" s="369">
        <v>12</v>
      </c>
      <c r="F138" s="369">
        <v>10</v>
      </c>
      <c r="G138" s="369">
        <v>12</v>
      </c>
      <c r="H138" s="577">
        <f t="shared" si="11"/>
        <v>1</v>
      </c>
      <c r="I138" s="369">
        <f t="shared" si="12"/>
        <v>120</v>
      </c>
    </row>
    <row r="139" spans="3:11" hidden="1">
      <c r="C139" s="495">
        <v>15428</v>
      </c>
      <c r="D139" s="495" t="s">
        <v>2244</v>
      </c>
      <c r="E139" s="633">
        <v>12</v>
      </c>
      <c r="F139" s="633">
        <v>0</v>
      </c>
      <c r="G139" s="633">
        <v>12</v>
      </c>
      <c r="H139" s="6">
        <f t="shared" si="11"/>
        <v>1</v>
      </c>
      <c r="I139" s="524">
        <f t="shared" si="12"/>
        <v>0</v>
      </c>
    </row>
    <row r="140" spans="3:11">
      <c r="C140" s="576">
        <v>15767</v>
      </c>
      <c r="D140" s="576" t="s">
        <v>2245</v>
      </c>
      <c r="E140" s="369">
        <v>24</v>
      </c>
      <c r="F140" s="369">
        <v>10</v>
      </c>
      <c r="G140" s="369">
        <v>12</v>
      </c>
      <c r="H140" s="577">
        <f t="shared" si="11"/>
        <v>0.5</v>
      </c>
      <c r="I140" s="369">
        <f t="shared" si="12"/>
        <v>120</v>
      </c>
    </row>
    <row r="141" spans="3:11" s="494" customFormat="1" hidden="1">
      <c r="C141" s="495">
        <v>16239</v>
      </c>
      <c r="D141" s="495" t="s">
        <v>2260</v>
      </c>
      <c r="E141" s="633">
        <v>24</v>
      </c>
      <c r="F141" s="633">
        <v>0</v>
      </c>
      <c r="G141" s="633">
        <v>12</v>
      </c>
      <c r="H141" s="6">
        <f t="shared" si="11"/>
        <v>0.5</v>
      </c>
      <c r="I141" s="524">
        <f t="shared" si="12"/>
        <v>0</v>
      </c>
      <c r="J141" s="514"/>
      <c r="K141" s="514"/>
    </row>
    <row r="142" spans="3:11">
      <c r="C142" s="576">
        <v>15430</v>
      </c>
      <c r="D142" s="576" t="s">
        <v>2263</v>
      </c>
      <c r="E142" s="369">
        <v>12</v>
      </c>
      <c r="F142" s="369">
        <v>10</v>
      </c>
      <c r="G142" s="369">
        <v>12</v>
      </c>
      <c r="H142" s="577">
        <f t="shared" si="11"/>
        <v>1</v>
      </c>
      <c r="I142" s="369">
        <f t="shared" si="12"/>
        <v>120</v>
      </c>
    </row>
    <row r="143" spans="3:11" s="494" customFormat="1">
      <c r="C143" s="576">
        <v>18714</v>
      </c>
      <c r="D143" s="576" t="s">
        <v>2261</v>
      </c>
      <c r="E143" s="369">
        <v>24</v>
      </c>
      <c r="F143" s="369">
        <v>10</v>
      </c>
      <c r="G143" s="369">
        <v>12</v>
      </c>
      <c r="H143" s="577">
        <f t="shared" si="11"/>
        <v>0.5</v>
      </c>
      <c r="I143" s="369">
        <f t="shared" si="12"/>
        <v>120</v>
      </c>
      <c r="J143" s="514"/>
      <c r="K143" s="514"/>
    </row>
    <row r="144" spans="3:11" s="494" customFormat="1">
      <c r="C144" s="576">
        <v>18707</v>
      </c>
      <c r="D144" s="576" t="s">
        <v>2262</v>
      </c>
      <c r="E144" s="369">
        <v>12</v>
      </c>
      <c r="F144" s="369">
        <v>10</v>
      </c>
      <c r="G144" s="369">
        <v>7.7</v>
      </c>
      <c r="H144" s="577">
        <f t="shared" si="11"/>
        <v>0.64166666666666672</v>
      </c>
      <c r="I144" s="369">
        <f t="shared" si="12"/>
        <v>77</v>
      </c>
      <c r="J144" s="514"/>
      <c r="K144" s="514"/>
    </row>
    <row r="145" spans="3:11" hidden="1">
      <c r="C145" s="495">
        <v>17887</v>
      </c>
      <c r="D145" s="495" t="s">
        <v>2247</v>
      </c>
      <c r="E145" s="633"/>
      <c r="F145" s="633"/>
      <c r="G145" s="633"/>
      <c r="H145" s="6"/>
      <c r="I145" s="524">
        <f t="shared" si="12"/>
        <v>0</v>
      </c>
    </row>
    <row r="146" spans="3:11" hidden="1">
      <c r="C146" s="495">
        <v>11384</v>
      </c>
      <c r="D146" s="495" t="s">
        <v>2248</v>
      </c>
      <c r="E146" s="633"/>
      <c r="F146" s="633"/>
      <c r="G146" s="633"/>
      <c r="H146" s="6"/>
      <c r="I146" s="524">
        <f t="shared" si="12"/>
        <v>0</v>
      </c>
    </row>
    <row r="147" spans="3:11" hidden="1">
      <c r="C147" s="495">
        <v>13718</v>
      </c>
      <c r="D147" s="495" t="s">
        <v>2249</v>
      </c>
      <c r="E147" s="633"/>
      <c r="F147" s="633"/>
      <c r="G147" s="633"/>
      <c r="H147" s="6"/>
      <c r="I147" s="524">
        <f t="shared" si="12"/>
        <v>0</v>
      </c>
    </row>
    <row r="148" spans="3:11" hidden="1">
      <c r="C148" s="495">
        <v>10228</v>
      </c>
      <c r="D148" s="495" t="s">
        <v>2250</v>
      </c>
      <c r="E148" s="633"/>
      <c r="F148" s="633"/>
      <c r="G148" s="633"/>
      <c r="H148" s="6"/>
      <c r="I148" s="524">
        <f t="shared" si="12"/>
        <v>0</v>
      </c>
    </row>
    <row r="149" spans="3:11" hidden="1">
      <c r="C149" s="495">
        <v>10238</v>
      </c>
      <c r="D149" s="495" t="s">
        <v>1776</v>
      </c>
      <c r="E149" s="633"/>
      <c r="F149" s="633"/>
      <c r="G149" s="633"/>
      <c r="H149" s="6" t="s">
        <v>72</v>
      </c>
      <c r="I149" s="524">
        <f t="shared" si="12"/>
        <v>0</v>
      </c>
    </row>
    <row r="150" spans="3:11">
      <c r="C150" s="576">
        <v>15750</v>
      </c>
      <c r="D150" s="576" t="s">
        <v>2264</v>
      </c>
      <c r="E150" s="369">
        <v>20</v>
      </c>
      <c r="F150" s="369">
        <v>30</v>
      </c>
      <c r="G150" s="369">
        <v>43</v>
      </c>
      <c r="H150" s="577">
        <f t="shared" si="11"/>
        <v>2.15</v>
      </c>
      <c r="I150" s="369">
        <f t="shared" si="12"/>
        <v>1290</v>
      </c>
    </row>
    <row r="151" spans="3:11" hidden="1">
      <c r="C151" s="495">
        <v>13719</v>
      </c>
      <c r="D151" s="495" t="s">
        <v>2251</v>
      </c>
      <c r="E151" s="633"/>
      <c r="F151" s="633"/>
      <c r="G151" s="633"/>
      <c r="H151" s="6" t="s">
        <v>72</v>
      </c>
      <c r="I151" s="524">
        <f t="shared" si="12"/>
        <v>0</v>
      </c>
    </row>
    <row r="152" spans="3:11" hidden="1">
      <c r="C152" s="495">
        <v>13720</v>
      </c>
      <c r="D152" s="495" t="s">
        <v>2252</v>
      </c>
      <c r="E152" s="633"/>
      <c r="F152" s="633"/>
      <c r="G152" s="633"/>
      <c r="H152" s="6" t="s">
        <v>72</v>
      </c>
      <c r="I152" s="524">
        <f t="shared" si="12"/>
        <v>0</v>
      </c>
    </row>
    <row r="153" spans="3:11">
      <c r="C153" s="576">
        <v>9755</v>
      </c>
      <c r="D153" s="576" t="s">
        <v>2253</v>
      </c>
      <c r="E153" s="369">
        <v>24</v>
      </c>
      <c r="F153" s="369">
        <v>20</v>
      </c>
      <c r="G153" s="369">
        <v>14</v>
      </c>
      <c r="H153" s="577">
        <f t="shared" si="11"/>
        <v>0.58333333333333337</v>
      </c>
      <c r="I153" s="369">
        <f t="shared" si="12"/>
        <v>280</v>
      </c>
    </row>
    <row r="154" spans="3:11" hidden="1">
      <c r="C154" s="495">
        <v>10396</v>
      </c>
      <c r="D154" s="495" t="s">
        <v>2254</v>
      </c>
      <c r="E154" s="633">
        <v>0</v>
      </c>
      <c r="F154" s="633">
        <v>0</v>
      </c>
      <c r="G154" s="633">
        <v>0</v>
      </c>
      <c r="H154" s="6" t="s">
        <v>72</v>
      </c>
      <c r="I154" s="524">
        <f t="shared" si="12"/>
        <v>0</v>
      </c>
    </row>
    <row r="155" spans="3:11">
      <c r="C155" s="576">
        <v>5864</v>
      </c>
      <c r="D155" s="576" t="s">
        <v>2265</v>
      </c>
      <c r="E155" s="369">
        <v>12</v>
      </c>
      <c r="F155" s="369">
        <v>40</v>
      </c>
      <c r="G155" s="369">
        <v>25.8</v>
      </c>
      <c r="H155" s="577">
        <f t="shared" si="11"/>
        <v>2.15</v>
      </c>
      <c r="I155" s="369">
        <f t="shared" si="12"/>
        <v>1032</v>
      </c>
    </row>
    <row r="156" spans="3:11">
      <c r="C156" s="576">
        <v>2647</v>
      </c>
      <c r="D156" s="576" t="s">
        <v>2255</v>
      </c>
      <c r="E156" s="369">
        <v>252</v>
      </c>
      <c r="F156" s="369">
        <v>2</v>
      </c>
      <c r="G156" s="369">
        <v>37.200000000000003</v>
      </c>
      <c r="H156" s="577">
        <f t="shared" si="11"/>
        <v>0.14761904761904762</v>
      </c>
      <c r="I156" s="369">
        <f t="shared" si="12"/>
        <v>74.400000000000006</v>
      </c>
    </row>
    <row r="157" spans="3:11" s="494" customFormat="1" hidden="1">
      <c r="C157" s="495"/>
      <c r="D157" s="495" t="s">
        <v>2266</v>
      </c>
      <c r="E157" s="633">
        <v>18</v>
      </c>
      <c r="F157" s="633">
        <v>0</v>
      </c>
      <c r="G157" s="633">
        <v>19</v>
      </c>
      <c r="H157" s="6">
        <f t="shared" si="11"/>
        <v>1.0555555555555556</v>
      </c>
      <c r="I157" s="524">
        <f t="shared" si="12"/>
        <v>0</v>
      </c>
      <c r="J157" s="514"/>
      <c r="K157" s="514"/>
    </row>
    <row r="158" spans="3:11" s="494" customFormat="1">
      <c r="C158" s="576"/>
      <c r="D158" s="576" t="s">
        <v>2267</v>
      </c>
      <c r="E158" s="369">
        <v>24</v>
      </c>
      <c r="F158" s="369">
        <v>80</v>
      </c>
      <c r="G158" s="369">
        <v>23</v>
      </c>
      <c r="H158" s="577">
        <f t="shared" si="11"/>
        <v>0.95833333333333337</v>
      </c>
      <c r="I158" s="369">
        <f t="shared" si="12"/>
        <v>1840</v>
      </c>
      <c r="J158" s="514"/>
      <c r="K158" s="514"/>
    </row>
    <row r="159" spans="3:11" s="494" customFormat="1">
      <c r="C159" s="576">
        <v>20013</v>
      </c>
      <c r="D159" s="576" t="s">
        <v>2269</v>
      </c>
      <c r="E159" s="369">
        <v>80</v>
      </c>
      <c r="F159" s="369">
        <v>3</v>
      </c>
      <c r="G159" s="369">
        <v>8</v>
      </c>
      <c r="H159" s="577">
        <f t="shared" si="11"/>
        <v>0.1</v>
      </c>
      <c r="I159" s="369">
        <f t="shared" si="12"/>
        <v>24</v>
      </c>
      <c r="J159" s="514"/>
      <c r="K159" s="514"/>
    </row>
    <row r="160" spans="3:11" s="494" customFormat="1">
      <c r="C160" s="576">
        <v>10427</v>
      </c>
      <c r="D160" s="576" t="s">
        <v>2270</v>
      </c>
      <c r="E160" s="369">
        <v>12</v>
      </c>
      <c r="F160" s="369">
        <v>10</v>
      </c>
      <c r="G160" s="369">
        <v>3.9</v>
      </c>
      <c r="H160" s="577">
        <f t="shared" si="11"/>
        <v>0.32500000000000001</v>
      </c>
      <c r="I160" s="369">
        <f t="shared" si="12"/>
        <v>39</v>
      </c>
      <c r="J160" s="514"/>
      <c r="K160" s="514"/>
    </row>
    <row r="161" spans="3:11" s="494" customFormat="1">
      <c r="C161" s="576">
        <v>20006</v>
      </c>
      <c r="D161" s="576" t="s">
        <v>2271</v>
      </c>
      <c r="E161" s="369">
        <v>40</v>
      </c>
      <c r="F161" s="369">
        <v>1</v>
      </c>
      <c r="G161" s="369">
        <v>33.4</v>
      </c>
      <c r="H161" s="577">
        <f t="shared" si="11"/>
        <v>0.83499999999999996</v>
      </c>
      <c r="I161" s="369">
        <f t="shared" si="12"/>
        <v>33.4</v>
      </c>
      <c r="J161" s="514"/>
      <c r="K161" s="514"/>
    </row>
    <row r="162" spans="3:11" s="494" customFormat="1">
      <c r="C162" s="576">
        <v>20009</v>
      </c>
      <c r="D162" s="576" t="s">
        <v>2272</v>
      </c>
      <c r="E162" s="369">
        <v>96</v>
      </c>
      <c r="F162" s="369">
        <v>1</v>
      </c>
      <c r="G162" s="369">
        <v>23.3</v>
      </c>
      <c r="H162" s="577">
        <f t="shared" si="11"/>
        <v>0.24270833333333333</v>
      </c>
      <c r="I162" s="369">
        <f t="shared" si="12"/>
        <v>23.3</v>
      </c>
      <c r="J162" s="514"/>
      <c r="K162" s="514"/>
    </row>
    <row r="163" spans="3:11" s="494" customFormat="1">
      <c r="C163" s="576">
        <v>20005</v>
      </c>
      <c r="D163" s="576" t="s">
        <v>2274</v>
      </c>
      <c r="E163" s="369">
        <v>48</v>
      </c>
      <c r="F163" s="369">
        <v>1</v>
      </c>
      <c r="G163" s="369">
        <v>27.7</v>
      </c>
      <c r="H163" s="577">
        <f t="shared" si="11"/>
        <v>0.57708333333333328</v>
      </c>
      <c r="I163" s="369">
        <f t="shared" si="12"/>
        <v>27.7</v>
      </c>
      <c r="J163" s="514"/>
      <c r="K163" s="514"/>
    </row>
    <row r="164" spans="3:11" s="494" customFormat="1">
      <c r="C164" s="576">
        <v>20008</v>
      </c>
      <c r="D164" s="576" t="s">
        <v>2273</v>
      </c>
      <c r="E164" s="369">
        <v>48</v>
      </c>
      <c r="F164" s="369">
        <v>1</v>
      </c>
      <c r="G164" s="369">
        <v>20.7</v>
      </c>
      <c r="H164" s="577">
        <f t="shared" si="11"/>
        <v>0.43124999999999997</v>
      </c>
      <c r="I164" s="369">
        <f t="shared" si="12"/>
        <v>20.7</v>
      </c>
      <c r="J164" s="514"/>
      <c r="K164" s="514"/>
    </row>
    <row r="165" spans="3:11" s="494" customFormat="1">
      <c r="C165" s="576">
        <v>20007</v>
      </c>
      <c r="D165" s="576" t="s">
        <v>2275</v>
      </c>
      <c r="E165" s="369">
        <v>30</v>
      </c>
      <c r="F165" s="369">
        <v>1</v>
      </c>
      <c r="G165" s="369">
        <v>18.5</v>
      </c>
      <c r="H165" s="577">
        <f t="shared" si="11"/>
        <v>0.6166666666666667</v>
      </c>
      <c r="I165" s="369">
        <f t="shared" si="12"/>
        <v>18.5</v>
      </c>
      <c r="J165" s="514"/>
      <c r="K165" s="514"/>
    </row>
    <row r="166" spans="3:11" s="494" customFormat="1">
      <c r="C166" s="576">
        <v>20011</v>
      </c>
      <c r="D166" s="576" t="s">
        <v>2276</v>
      </c>
      <c r="E166" s="369">
        <v>36</v>
      </c>
      <c r="F166" s="369">
        <v>1</v>
      </c>
      <c r="G166" s="369">
        <v>13.3</v>
      </c>
      <c r="H166" s="577">
        <f t="shared" si="11"/>
        <v>0.36944444444444446</v>
      </c>
      <c r="I166" s="369">
        <f t="shared" si="12"/>
        <v>13.3</v>
      </c>
      <c r="J166" s="514"/>
      <c r="K166" s="514"/>
    </row>
    <row r="167" spans="3:11" s="494" customFormat="1" ht="15.75" thickBot="1">
      <c r="D167" s="576" t="s">
        <v>2277</v>
      </c>
      <c r="E167" s="369">
        <v>12</v>
      </c>
      <c r="F167" s="369">
        <v>0</v>
      </c>
      <c r="G167" s="369">
        <v>13.5</v>
      </c>
      <c r="H167" s="582">
        <f t="shared" si="11"/>
        <v>1.125</v>
      </c>
      <c r="I167" s="582">
        <f t="shared" si="12"/>
        <v>0</v>
      </c>
      <c r="J167" s="514"/>
      <c r="K167" s="514"/>
    </row>
    <row r="168" spans="3:11" s="494" customFormat="1" ht="15.75" thickBot="1">
      <c r="C168" s="495"/>
      <c r="D168" s="495"/>
      <c r="E168" s="629"/>
      <c r="F168" s="629"/>
      <c r="G168" s="629"/>
      <c r="H168" s="580" t="s">
        <v>78</v>
      </c>
      <c r="I168" s="581">
        <f>I128+I129+I130+I131+I132+I133+I134+I135+I136+I137+I138+I139+I140+I141+I142+I143+I144+I150+I153+I155+I156+I157+I158+I159+I160+I161+I162+I163+I164+I165+I166+I167</f>
        <v>7624.1999999999989</v>
      </c>
      <c r="J168" s="514"/>
      <c r="K168" s="514"/>
    </row>
    <row r="169" spans="3:11" customFormat="1" ht="30">
      <c r="C169" s="494"/>
      <c r="D169" s="29" t="s">
        <v>1668</v>
      </c>
      <c r="E169" s="633"/>
      <c r="F169" s="575" t="s">
        <v>278</v>
      </c>
      <c r="G169" s="42" t="s">
        <v>2356</v>
      </c>
      <c r="H169" s="575" t="s">
        <v>2357</v>
      </c>
      <c r="I169" s="572"/>
      <c r="J169" s="104"/>
      <c r="K169" s="104"/>
    </row>
    <row r="170" spans="3:11" customFormat="1">
      <c r="C170" s="494"/>
      <c r="D170" s="578" t="s">
        <v>2258</v>
      </c>
      <c r="E170" s="633">
        <v>12</v>
      </c>
      <c r="F170" s="633">
        <v>5</v>
      </c>
      <c r="G170" s="633">
        <v>16.7</v>
      </c>
      <c r="H170" s="572">
        <f t="shared" ref="H170:H171" si="13">G170/E170</f>
        <v>1.3916666666666666</v>
      </c>
      <c r="I170" s="572">
        <f>F170*G170</f>
        <v>83.5</v>
      </c>
      <c r="J170" s="104" t="s">
        <v>72</v>
      </c>
      <c r="K170" s="104"/>
    </row>
    <row r="171" spans="3:11" customFormat="1" ht="15.75" thickBot="1">
      <c r="C171" s="494"/>
      <c r="D171" s="494" t="s">
        <v>2243</v>
      </c>
      <c r="E171" s="633">
        <v>12</v>
      </c>
      <c r="F171" s="633">
        <v>5</v>
      </c>
      <c r="G171" s="483">
        <v>12</v>
      </c>
      <c r="H171" s="483">
        <f t="shared" si="13"/>
        <v>1</v>
      </c>
      <c r="I171" s="483">
        <f>F171*G171</f>
        <v>60</v>
      </c>
      <c r="J171" s="104"/>
      <c r="K171" s="104"/>
    </row>
    <row r="172" spans="3:11" customFormat="1" ht="15.75" thickBot="1">
      <c r="C172" s="494"/>
      <c r="D172" s="494"/>
      <c r="E172" s="629"/>
      <c r="F172" s="629"/>
      <c r="G172" s="901" t="s">
        <v>1668</v>
      </c>
      <c r="H172" s="902"/>
      <c r="I172" s="579">
        <f>SUM(I170:I171)</f>
        <v>143.5</v>
      </c>
      <c r="J172" s="104"/>
      <c r="K172" s="104"/>
    </row>
    <row r="173" spans="3:11" customFormat="1" ht="15.75" thickBot="1">
      <c r="C173" s="494"/>
      <c r="D173" s="494"/>
      <c r="E173" s="629"/>
      <c r="F173" s="629"/>
      <c r="G173" s="899" t="s">
        <v>81</v>
      </c>
      <c r="H173" s="900"/>
      <c r="I173" s="581">
        <f>I168-I172</f>
        <v>7480.6999999999989</v>
      </c>
      <c r="J173" s="104"/>
      <c r="K173" s="104"/>
    </row>
    <row r="174" spans="3:11" customFormat="1">
      <c r="C174" s="494"/>
      <c r="D174" s="494"/>
      <c r="E174" s="629"/>
      <c r="F174" s="629"/>
      <c r="G174" s="629"/>
      <c r="H174" s="104"/>
      <c r="I174" s="104"/>
      <c r="J174" s="104"/>
      <c r="K174" s="104"/>
    </row>
    <row r="175" spans="3:11" customFormat="1">
      <c r="C175" s="494"/>
      <c r="D175" s="494"/>
      <c r="E175" s="629"/>
      <c r="F175" s="629"/>
      <c r="G175" s="629"/>
      <c r="H175" s="104"/>
      <c r="I175" s="104"/>
      <c r="J175" s="104"/>
      <c r="K175" s="104"/>
    </row>
    <row r="176" spans="3:11" customFormat="1" ht="30">
      <c r="C176" s="495"/>
      <c r="D176" s="495"/>
      <c r="E176" s="626" t="s">
        <v>1074</v>
      </c>
      <c r="F176" s="627" t="s">
        <v>75</v>
      </c>
      <c r="G176" s="626" t="s">
        <v>1061</v>
      </c>
      <c r="H176" s="627" t="s">
        <v>636</v>
      </c>
      <c r="I176" s="626" t="s">
        <v>1076</v>
      </c>
      <c r="J176" s="104"/>
      <c r="K176" s="104"/>
    </row>
    <row r="177" spans="2:11" hidden="1">
      <c r="B177"/>
      <c r="C177" s="113">
        <v>20003</v>
      </c>
      <c r="D177" s="113" t="s">
        <v>2689</v>
      </c>
      <c r="E177" s="633"/>
      <c r="F177" s="633"/>
      <c r="G177" s="633"/>
      <c r="H177" s="625"/>
      <c r="I177" s="625"/>
      <c r="J177"/>
      <c r="K177"/>
    </row>
    <row r="178" spans="2:11" s="494" customFormat="1">
      <c r="C178" s="664"/>
      <c r="D178" s="664" t="s">
        <v>2690</v>
      </c>
      <c r="E178" s="16">
        <v>20</v>
      </c>
      <c r="F178" s="16">
        <v>20</v>
      </c>
      <c r="G178" s="16">
        <v>35</v>
      </c>
      <c r="H178" s="11">
        <f>G178/E178</f>
        <v>1.75</v>
      </c>
      <c r="I178" s="16">
        <f>F178*G178</f>
        <v>700</v>
      </c>
      <c r="J178" s="494" t="s">
        <v>278</v>
      </c>
    </row>
    <row r="179" spans="2:11">
      <c r="B179"/>
      <c r="C179" s="414">
        <v>4030</v>
      </c>
      <c r="D179" s="414" t="s">
        <v>2241</v>
      </c>
      <c r="E179" s="16">
        <v>1000</v>
      </c>
      <c r="F179" s="16">
        <v>20</v>
      </c>
      <c r="G179" s="16">
        <v>3.4</v>
      </c>
      <c r="H179" s="11">
        <f t="shared" ref="H179:H235" si="14">G179/E179</f>
        <v>3.3999999999999998E-3</v>
      </c>
      <c r="I179" s="16">
        <f t="shared" ref="I179:I238" si="15">F179*G179</f>
        <v>68</v>
      </c>
      <c r="J179" s="494" t="s">
        <v>278</v>
      </c>
      <c r="K179"/>
    </row>
    <row r="180" spans="2:11" s="494" customFormat="1" hidden="1">
      <c r="C180" s="414">
        <v>8162</v>
      </c>
      <c r="D180" s="414" t="s">
        <v>1055</v>
      </c>
      <c r="E180" s="16"/>
      <c r="F180" s="16"/>
      <c r="G180" s="16"/>
      <c r="H180" s="11" t="e">
        <f t="shared" si="14"/>
        <v>#DIV/0!</v>
      </c>
      <c r="I180" s="16">
        <f t="shared" si="15"/>
        <v>0</v>
      </c>
      <c r="J180" s="494" t="s">
        <v>278</v>
      </c>
    </row>
    <row r="181" spans="2:11" hidden="1">
      <c r="B181"/>
      <c r="C181" s="414">
        <v>17888</v>
      </c>
      <c r="D181" s="414" t="s">
        <v>1056</v>
      </c>
      <c r="E181" s="16"/>
      <c r="F181" s="16"/>
      <c r="G181" s="16"/>
      <c r="H181" s="11" t="e">
        <f t="shared" si="14"/>
        <v>#DIV/0!</v>
      </c>
      <c r="I181" s="16">
        <f t="shared" si="15"/>
        <v>0</v>
      </c>
      <c r="J181" s="494" t="s">
        <v>278</v>
      </c>
      <c r="K181"/>
    </row>
    <row r="182" spans="2:11" hidden="1">
      <c r="B182"/>
      <c r="C182" s="414">
        <v>9579</v>
      </c>
      <c r="D182" s="414" t="s">
        <v>1057</v>
      </c>
      <c r="E182" s="16"/>
      <c r="F182" s="16"/>
      <c r="G182" s="16"/>
      <c r="H182" s="11" t="e">
        <f t="shared" si="14"/>
        <v>#DIV/0!</v>
      </c>
      <c r="I182" s="16">
        <f t="shared" si="15"/>
        <v>0</v>
      </c>
      <c r="J182" s="494" t="s">
        <v>278</v>
      </c>
      <c r="K182"/>
    </row>
    <row r="183" spans="2:11" hidden="1">
      <c r="B183"/>
      <c r="C183" s="414">
        <v>7960</v>
      </c>
      <c r="D183" s="414" t="s">
        <v>1058</v>
      </c>
      <c r="E183" s="16"/>
      <c r="F183" s="16"/>
      <c r="G183" s="16"/>
      <c r="H183" s="11" t="e">
        <f t="shared" si="14"/>
        <v>#DIV/0!</v>
      </c>
      <c r="I183" s="16">
        <f t="shared" si="15"/>
        <v>0</v>
      </c>
      <c r="J183" s="494" t="s">
        <v>278</v>
      </c>
      <c r="K183"/>
    </row>
    <row r="184" spans="2:11" hidden="1">
      <c r="B184"/>
      <c r="C184" s="414">
        <v>950</v>
      </c>
      <c r="D184" s="414" t="s">
        <v>1794</v>
      </c>
      <c r="E184" s="16">
        <v>100</v>
      </c>
      <c r="F184" s="16">
        <v>0</v>
      </c>
      <c r="G184" s="16">
        <v>21.1</v>
      </c>
      <c r="H184" s="11">
        <f t="shared" si="14"/>
        <v>0.21100000000000002</v>
      </c>
      <c r="I184" s="16">
        <f t="shared" si="15"/>
        <v>0</v>
      </c>
      <c r="J184" s="494" t="s">
        <v>278</v>
      </c>
      <c r="K184"/>
    </row>
    <row r="185" spans="2:11" hidden="1">
      <c r="B185"/>
      <c r="C185" s="414">
        <v>20010</v>
      </c>
      <c r="D185" s="414" t="s">
        <v>2677</v>
      </c>
      <c r="E185" s="16">
        <v>100</v>
      </c>
      <c r="F185" s="16">
        <v>0</v>
      </c>
      <c r="G185" s="16">
        <v>69.5</v>
      </c>
      <c r="H185" s="11">
        <f t="shared" si="14"/>
        <v>0.69499999999999995</v>
      </c>
      <c r="I185" s="16">
        <f t="shared" si="15"/>
        <v>0</v>
      </c>
      <c r="J185" s="494" t="s">
        <v>278</v>
      </c>
      <c r="K185"/>
    </row>
    <row r="186" spans="2:11">
      <c r="B186"/>
      <c r="C186" s="414">
        <v>16237</v>
      </c>
      <c r="D186" s="414" t="s">
        <v>2242</v>
      </c>
      <c r="E186" s="16">
        <v>15</v>
      </c>
      <c r="F186" s="16">
        <v>30</v>
      </c>
      <c r="G186" s="16">
        <v>13.5</v>
      </c>
      <c r="H186" s="11">
        <f t="shared" si="14"/>
        <v>0.9</v>
      </c>
      <c r="I186" s="16">
        <f t="shared" si="15"/>
        <v>405</v>
      </c>
      <c r="J186" s="494" t="s">
        <v>278</v>
      </c>
      <c r="K186"/>
    </row>
    <row r="187" spans="2:11" hidden="1">
      <c r="B187"/>
      <c r="C187" s="414">
        <v>10427</v>
      </c>
      <c r="D187" s="414" t="s">
        <v>2688</v>
      </c>
      <c r="E187" s="16">
        <v>12</v>
      </c>
      <c r="F187" s="16"/>
      <c r="G187" s="16">
        <v>3.9</v>
      </c>
      <c r="H187" s="11">
        <f t="shared" si="14"/>
        <v>0.32500000000000001</v>
      </c>
      <c r="I187" s="16">
        <f t="shared" si="15"/>
        <v>0</v>
      </c>
      <c r="J187" s="494" t="s">
        <v>278</v>
      </c>
      <c r="K187"/>
    </row>
    <row r="188" spans="2:11" hidden="1">
      <c r="B188"/>
      <c r="C188" s="414">
        <v>20006</v>
      </c>
      <c r="D188" s="414" t="s">
        <v>2680</v>
      </c>
      <c r="E188" s="16">
        <v>40</v>
      </c>
      <c r="F188" s="16"/>
      <c r="G188" s="16">
        <v>33.4</v>
      </c>
      <c r="H188" s="11">
        <f t="shared" si="14"/>
        <v>0.83499999999999996</v>
      </c>
      <c r="I188" s="16">
        <f t="shared" si="15"/>
        <v>0</v>
      </c>
      <c r="J188" s="494" t="s">
        <v>278</v>
      </c>
      <c r="K188"/>
    </row>
    <row r="189" spans="2:11" hidden="1">
      <c r="B189"/>
      <c r="C189" s="414">
        <v>8117</v>
      </c>
      <c r="D189" s="414" t="s">
        <v>2675</v>
      </c>
      <c r="E189" s="16">
        <v>96</v>
      </c>
      <c r="F189" s="16"/>
      <c r="G189" s="16">
        <v>51.2</v>
      </c>
      <c r="H189" s="11">
        <f t="shared" si="14"/>
        <v>0.53333333333333333</v>
      </c>
      <c r="I189" s="16">
        <f t="shared" si="15"/>
        <v>0</v>
      </c>
      <c r="J189" s="494" t="s">
        <v>278</v>
      </c>
      <c r="K189"/>
    </row>
    <row r="190" spans="2:11" hidden="1">
      <c r="B190"/>
      <c r="C190" s="414">
        <v>8017</v>
      </c>
      <c r="D190" s="414" t="s">
        <v>2674</v>
      </c>
      <c r="E190" s="16">
        <v>96</v>
      </c>
      <c r="F190" s="16"/>
      <c r="G190" s="16">
        <v>51.2</v>
      </c>
      <c r="H190" s="11">
        <f t="shared" si="14"/>
        <v>0.53333333333333333</v>
      </c>
      <c r="I190" s="16">
        <f t="shared" si="15"/>
        <v>0</v>
      </c>
      <c r="J190" s="494" t="s">
        <v>278</v>
      </c>
      <c r="K190"/>
    </row>
    <row r="191" spans="2:11" hidden="1">
      <c r="B191"/>
      <c r="C191" s="93"/>
      <c r="D191" s="665" t="s">
        <v>2698</v>
      </c>
      <c r="E191" s="16">
        <v>12</v>
      </c>
      <c r="F191" s="16"/>
      <c r="G191" s="16">
        <v>13.5</v>
      </c>
      <c r="H191" s="11">
        <f t="shared" si="14"/>
        <v>1.125</v>
      </c>
      <c r="I191" s="16">
        <f t="shared" si="15"/>
        <v>0</v>
      </c>
      <c r="J191" s="494" t="s">
        <v>278</v>
      </c>
      <c r="K191"/>
    </row>
    <row r="192" spans="2:11" hidden="1">
      <c r="B192"/>
      <c r="C192" s="414">
        <v>9499</v>
      </c>
      <c r="D192" s="414" t="s">
        <v>2257</v>
      </c>
      <c r="E192" s="16"/>
      <c r="F192" s="16"/>
      <c r="G192" s="16"/>
      <c r="H192" s="11" t="e">
        <f t="shared" si="14"/>
        <v>#DIV/0!</v>
      </c>
      <c r="I192" s="16">
        <f t="shared" si="15"/>
        <v>0</v>
      </c>
      <c r="J192" s="494" t="s">
        <v>278</v>
      </c>
      <c r="K192"/>
    </row>
    <row r="193" spans="2:11" s="494" customFormat="1">
      <c r="C193" s="414">
        <v>10416</v>
      </c>
      <c r="D193" s="414" t="s">
        <v>2767</v>
      </c>
      <c r="E193" s="16">
        <v>24</v>
      </c>
      <c r="F193" s="16">
        <v>20</v>
      </c>
      <c r="G193" s="16">
        <v>17</v>
      </c>
      <c r="H193" s="11">
        <f t="shared" si="14"/>
        <v>0.70833333333333337</v>
      </c>
      <c r="I193" s="16">
        <f t="shared" si="15"/>
        <v>340</v>
      </c>
      <c r="J193" s="494" t="s">
        <v>278</v>
      </c>
    </row>
    <row r="194" spans="2:11" s="494" customFormat="1" hidden="1">
      <c r="C194" s="495">
        <v>9500</v>
      </c>
      <c r="D194" s="402" t="s">
        <v>2665</v>
      </c>
      <c r="E194" s="633">
        <v>24</v>
      </c>
      <c r="F194" s="633">
        <v>0</v>
      </c>
      <c r="G194" s="633">
        <v>17</v>
      </c>
      <c r="H194" s="6">
        <f t="shared" si="14"/>
        <v>0.70833333333333337</v>
      </c>
      <c r="I194" s="633">
        <f t="shared" si="15"/>
        <v>0</v>
      </c>
      <c r="J194" s="494" t="s">
        <v>278</v>
      </c>
    </row>
    <row r="195" spans="2:11">
      <c r="B195"/>
      <c r="C195" s="414">
        <v>20012</v>
      </c>
      <c r="D195" s="414" t="s">
        <v>2678</v>
      </c>
      <c r="E195" s="16">
        <v>24</v>
      </c>
      <c r="F195" s="16">
        <v>10</v>
      </c>
      <c r="G195" s="16">
        <v>17</v>
      </c>
      <c r="H195" s="11">
        <f t="shared" si="14"/>
        <v>0.70833333333333337</v>
      </c>
      <c r="I195" s="16">
        <f t="shared" si="15"/>
        <v>170</v>
      </c>
      <c r="J195" s="494" t="s">
        <v>278</v>
      </c>
      <c r="K195"/>
    </row>
    <row r="196" spans="2:11">
      <c r="B196"/>
      <c r="C196" s="414">
        <v>18707</v>
      </c>
      <c r="D196" s="414" t="s">
        <v>2669</v>
      </c>
      <c r="E196" s="16">
        <v>12</v>
      </c>
      <c r="F196" s="16">
        <v>10</v>
      </c>
      <c r="G196" s="16">
        <v>7.7</v>
      </c>
      <c r="H196" s="11">
        <f t="shared" si="14"/>
        <v>0.64166666666666672</v>
      </c>
      <c r="I196" s="16">
        <f t="shared" si="15"/>
        <v>77</v>
      </c>
      <c r="J196" s="494" t="s">
        <v>278</v>
      </c>
      <c r="K196"/>
    </row>
    <row r="197" spans="2:11" hidden="1">
      <c r="B197"/>
      <c r="D197" s="148"/>
      <c r="E197" s="633"/>
      <c r="F197" s="633"/>
      <c r="G197" s="633"/>
      <c r="H197" s="6" t="e">
        <f t="shared" si="14"/>
        <v>#DIV/0!</v>
      </c>
      <c r="I197" s="633">
        <f t="shared" si="15"/>
        <v>0</v>
      </c>
      <c r="J197" s="494" t="s">
        <v>278</v>
      </c>
      <c r="K197"/>
    </row>
    <row r="198" spans="2:11">
      <c r="B198"/>
      <c r="C198" s="414">
        <v>15430</v>
      </c>
      <c r="D198" s="414" t="s">
        <v>2671</v>
      </c>
      <c r="E198" s="16">
        <v>12</v>
      </c>
      <c r="F198" s="16">
        <v>7</v>
      </c>
      <c r="G198" s="16">
        <v>12</v>
      </c>
      <c r="H198" s="11">
        <f t="shared" si="14"/>
        <v>1</v>
      </c>
      <c r="I198" s="16">
        <f t="shared" si="15"/>
        <v>84</v>
      </c>
      <c r="J198" s="494" t="s">
        <v>278</v>
      </c>
      <c r="K198"/>
    </row>
    <row r="199" spans="2:11" s="494" customFormat="1" hidden="1">
      <c r="C199" s="495">
        <v>18714</v>
      </c>
      <c r="D199" s="402" t="s">
        <v>2670</v>
      </c>
      <c r="E199" s="633">
        <v>24</v>
      </c>
      <c r="F199" s="633">
        <v>0</v>
      </c>
      <c r="G199" s="633">
        <v>12</v>
      </c>
      <c r="H199" s="6">
        <f t="shared" si="14"/>
        <v>0.5</v>
      </c>
      <c r="I199" s="633">
        <f t="shared" si="15"/>
        <v>0</v>
      </c>
      <c r="J199" s="494" t="s">
        <v>278</v>
      </c>
    </row>
    <row r="200" spans="2:11" s="494" customFormat="1">
      <c r="C200" s="414">
        <v>16239</v>
      </c>
      <c r="D200" s="414" t="s">
        <v>2672</v>
      </c>
      <c r="E200" s="16">
        <v>24</v>
      </c>
      <c r="F200" s="16">
        <v>10</v>
      </c>
      <c r="G200" s="16">
        <v>12</v>
      </c>
      <c r="H200" s="11">
        <f>G200/E200</f>
        <v>0.5</v>
      </c>
      <c r="I200" s="16">
        <f t="shared" si="15"/>
        <v>120</v>
      </c>
      <c r="J200" s="494" t="s">
        <v>278</v>
      </c>
    </row>
    <row r="201" spans="2:11" hidden="1">
      <c r="B201"/>
      <c r="C201" s="495">
        <v>15428</v>
      </c>
      <c r="D201" s="402" t="s">
        <v>2244</v>
      </c>
      <c r="E201" s="633">
        <v>12</v>
      </c>
      <c r="F201" s="633">
        <v>0</v>
      </c>
      <c r="G201" s="633">
        <v>12</v>
      </c>
      <c r="H201" s="6">
        <f t="shared" si="14"/>
        <v>1</v>
      </c>
      <c r="I201" s="633">
        <f t="shared" si="15"/>
        <v>0</v>
      </c>
      <c r="J201" s="494" t="s">
        <v>278</v>
      </c>
      <c r="K201"/>
    </row>
    <row r="202" spans="2:11" hidden="1">
      <c r="B202"/>
      <c r="D202" s="634" t="s">
        <v>2691</v>
      </c>
      <c r="E202" s="633">
        <v>24</v>
      </c>
      <c r="F202" s="633"/>
      <c r="G202" s="633">
        <v>12.2</v>
      </c>
      <c r="H202" s="6">
        <f t="shared" si="14"/>
        <v>0.5083333333333333</v>
      </c>
      <c r="I202" s="633">
        <f t="shared" si="15"/>
        <v>0</v>
      </c>
      <c r="J202" s="494" t="s">
        <v>278</v>
      </c>
      <c r="K202"/>
    </row>
    <row r="203" spans="2:11" hidden="1">
      <c r="B203"/>
      <c r="C203" s="495">
        <v>15426</v>
      </c>
      <c r="D203" s="402" t="s">
        <v>2243</v>
      </c>
      <c r="E203" s="633">
        <v>12</v>
      </c>
      <c r="F203" s="633">
        <v>0</v>
      </c>
      <c r="G203" s="633">
        <v>12</v>
      </c>
      <c r="H203" s="6">
        <f t="shared" si="14"/>
        <v>1</v>
      </c>
      <c r="I203" s="633">
        <f t="shared" si="15"/>
        <v>0</v>
      </c>
      <c r="J203" s="494" t="s">
        <v>278</v>
      </c>
      <c r="K203"/>
    </row>
    <row r="204" spans="2:11">
      <c r="B204"/>
      <c r="C204" s="414">
        <v>15767</v>
      </c>
      <c r="D204" s="414" t="s">
        <v>2245</v>
      </c>
      <c r="E204" s="16">
        <v>24</v>
      </c>
      <c r="F204" s="16">
        <v>10</v>
      </c>
      <c r="G204" s="16">
        <v>12</v>
      </c>
      <c r="H204" s="11">
        <f t="shared" si="14"/>
        <v>0.5</v>
      </c>
      <c r="I204" s="16">
        <f t="shared" si="15"/>
        <v>120</v>
      </c>
      <c r="J204" s="494" t="s">
        <v>278</v>
      </c>
      <c r="K204"/>
    </row>
    <row r="205" spans="2:11" s="494" customFormat="1" hidden="1">
      <c r="C205" s="495"/>
      <c r="D205" s="402" t="s">
        <v>2692</v>
      </c>
      <c r="E205" s="633">
        <v>40</v>
      </c>
      <c r="F205" s="633"/>
      <c r="G205" s="633">
        <v>26.6</v>
      </c>
      <c r="H205" s="6">
        <f t="shared" si="14"/>
        <v>0.66500000000000004</v>
      </c>
      <c r="I205" s="633">
        <f t="shared" si="15"/>
        <v>0</v>
      </c>
      <c r="J205" s="494" t="s">
        <v>278</v>
      </c>
    </row>
    <row r="206" spans="2:11" hidden="1">
      <c r="B206"/>
      <c r="C206" s="495">
        <v>9252</v>
      </c>
      <c r="D206" s="402" t="s">
        <v>2676</v>
      </c>
      <c r="E206" s="633">
        <v>120</v>
      </c>
      <c r="F206" s="633"/>
      <c r="G206" s="633">
        <v>8.3000000000000007</v>
      </c>
      <c r="H206" s="6">
        <f t="shared" si="14"/>
        <v>6.9166666666666668E-2</v>
      </c>
      <c r="I206" s="633">
        <f t="shared" si="15"/>
        <v>0</v>
      </c>
      <c r="J206" s="494" t="s">
        <v>278</v>
      </c>
      <c r="K206"/>
    </row>
    <row r="207" spans="2:11" hidden="1">
      <c r="B207"/>
      <c r="C207" s="495">
        <v>13577</v>
      </c>
      <c r="D207" s="402" t="s">
        <v>2666</v>
      </c>
      <c r="E207" s="633"/>
      <c r="F207" s="633"/>
      <c r="G207" s="633"/>
      <c r="H207" s="6" t="e">
        <f t="shared" si="14"/>
        <v>#DIV/0!</v>
      </c>
      <c r="I207" s="633">
        <f t="shared" si="15"/>
        <v>0</v>
      </c>
      <c r="J207" s="494" t="s">
        <v>278</v>
      </c>
      <c r="K207"/>
    </row>
    <row r="208" spans="2:11" hidden="1">
      <c r="B208"/>
      <c r="C208" s="495">
        <v>6901</v>
      </c>
      <c r="D208" s="402" t="s">
        <v>1645</v>
      </c>
      <c r="E208" s="633"/>
      <c r="F208" s="633"/>
      <c r="G208" s="633"/>
      <c r="H208" s="6" t="e">
        <f t="shared" si="14"/>
        <v>#DIV/0!</v>
      </c>
      <c r="I208" s="633">
        <f t="shared" si="15"/>
        <v>0</v>
      </c>
      <c r="J208" s="494" t="s">
        <v>278</v>
      </c>
      <c r="K208"/>
    </row>
    <row r="209" spans="2:11" hidden="1">
      <c r="B209"/>
      <c r="D209" s="148"/>
      <c r="E209" s="633"/>
      <c r="F209" s="633"/>
      <c r="G209" s="633"/>
      <c r="H209" s="6" t="e">
        <f t="shared" si="14"/>
        <v>#DIV/0!</v>
      </c>
      <c r="I209" s="633">
        <f t="shared" si="15"/>
        <v>0</v>
      </c>
      <c r="J209" s="494" t="s">
        <v>278</v>
      </c>
      <c r="K209"/>
    </row>
    <row r="210" spans="2:11" hidden="1">
      <c r="B210"/>
      <c r="C210" s="495">
        <v>9923</v>
      </c>
      <c r="D210" s="402" t="s">
        <v>2246</v>
      </c>
      <c r="E210" s="633"/>
      <c r="F210" s="633"/>
      <c r="G210" s="633"/>
      <c r="H210" s="6" t="e">
        <f t="shared" si="14"/>
        <v>#DIV/0!</v>
      </c>
      <c r="I210" s="633">
        <f t="shared" si="15"/>
        <v>0</v>
      </c>
      <c r="J210" s="494" t="s">
        <v>278</v>
      </c>
      <c r="K210"/>
    </row>
    <row r="211" spans="2:11" hidden="1">
      <c r="B211"/>
      <c r="C211" s="495">
        <v>17887</v>
      </c>
      <c r="D211" s="402" t="s">
        <v>2247</v>
      </c>
      <c r="E211" s="633"/>
      <c r="F211" s="633"/>
      <c r="G211" s="633"/>
      <c r="H211" s="6" t="e">
        <f t="shared" si="14"/>
        <v>#DIV/0!</v>
      </c>
      <c r="I211" s="633">
        <f t="shared" si="15"/>
        <v>0</v>
      </c>
      <c r="J211" s="494" t="s">
        <v>278</v>
      </c>
      <c r="K211"/>
    </row>
    <row r="212" spans="2:11" hidden="1">
      <c r="B212"/>
      <c r="C212" s="495">
        <v>11384</v>
      </c>
      <c r="D212" s="402" t="s">
        <v>2248</v>
      </c>
      <c r="E212" s="633"/>
      <c r="F212" s="633"/>
      <c r="G212" s="633"/>
      <c r="H212" s="6" t="e">
        <f t="shared" si="14"/>
        <v>#DIV/0!</v>
      </c>
      <c r="I212" s="633">
        <f t="shared" si="15"/>
        <v>0</v>
      </c>
      <c r="J212" s="494" t="s">
        <v>278</v>
      </c>
      <c r="K212"/>
    </row>
    <row r="213" spans="2:11" hidden="1">
      <c r="B213"/>
      <c r="C213" s="495">
        <v>13718</v>
      </c>
      <c r="D213" s="402" t="s">
        <v>2249</v>
      </c>
      <c r="E213" s="633"/>
      <c r="F213" s="633"/>
      <c r="G213" s="633"/>
      <c r="H213" s="6" t="e">
        <f t="shared" si="14"/>
        <v>#DIV/0!</v>
      </c>
      <c r="I213" s="633">
        <f t="shared" si="15"/>
        <v>0</v>
      </c>
      <c r="J213" s="494" t="s">
        <v>278</v>
      </c>
      <c r="K213"/>
    </row>
    <row r="214" spans="2:11" hidden="1">
      <c r="B214"/>
      <c r="C214" s="495">
        <v>10228</v>
      </c>
      <c r="D214" s="402" t="s">
        <v>2250</v>
      </c>
      <c r="E214" s="633"/>
      <c r="F214" s="633"/>
      <c r="G214" s="633"/>
      <c r="H214" s="6" t="e">
        <f t="shared" si="14"/>
        <v>#DIV/0!</v>
      </c>
      <c r="I214" s="633">
        <f t="shared" si="15"/>
        <v>0</v>
      </c>
      <c r="J214" s="494" t="s">
        <v>278</v>
      </c>
      <c r="K214"/>
    </row>
    <row r="215" spans="2:11" hidden="1">
      <c r="B215"/>
      <c r="C215" s="495">
        <v>10238</v>
      </c>
      <c r="D215" s="402" t="s">
        <v>1776</v>
      </c>
      <c r="E215" s="633"/>
      <c r="F215" s="633"/>
      <c r="G215" s="633"/>
      <c r="H215" s="6" t="e">
        <f t="shared" si="14"/>
        <v>#DIV/0!</v>
      </c>
      <c r="I215" s="633">
        <f t="shared" si="15"/>
        <v>0</v>
      </c>
      <c r="J215" s="494" t="s">
        <v>278</v>
      </c>
      <c r="K215"/>
    </row>
    <row r="216" spans="2:11" hidden="1">
      <c r="B216"/>
      <c r="C216" s="576">
        <v>15750</v>
      </c>
      <c r="D216" s="402" t="s">
        <v>2264</v>
      </c>
      <c r="E216" s="633"/>
      <c r="F216" s="633"/>
      <c r="G216" s="633"/>
      <c r="H216" s="6" t="e">
        <f t="shared" si="14"/>
        <v>#DIV/0!</v>
      </c>
      <c r="I216" s="633">
        <f t="shared" si="15"/>
        <v>0</v>
      </c>
      <c r="J216" s="494" t="s">
        <v>278</v>
      </c>
      <c r="K216"/>
    </row>
    <row r="217" spans="2:11" hidden="1">
      <c r="B217"/>
      <c r="C217" s="495">
        <v>20014</v>
      </c>
      <c r="D217" s="402" t="s">
        <v>2686</v>
      </c>
      <c r="E217" s="633"/>
      <c r="F217" s="633"/>
      <c r="G217" s="633"/>
      <c r="H217" s="6" t="e">
        <f t="shared" si="14"/>
        <v>#DIV/0!</v>
      </c>
      <c r="I217" s="633">
        <f t="shared" si="15"/>
        <v>0</v>
      </c>
      <c r="J217" s="494" t="s">
        <v>278</v>
      </c>
      <c r="K217"/>
    </row>
    <row r="218" spans="2:11" hidden="1">
      <c r="B218"/>
      <c r="C218" s="495">
        <v>13719</v>
      </c>
      <c r="D218" s="402" t="s">
        <v>2251</v>
      </c>
      <c r="E218" s="633"/>
      <c r="F218" s="633"/>
      <c r="G218" s="633"/>
      <c r="H218" s="6" t="e">
        <f t="shared" si="14"/>
        <v>#DIV/0!</v>
      </c>
      <c r="I218" s="633">
        <f t="shared" si="15"/>
        <v>0</v>
      </c>
      <c r="J218" s="494" t="s">
        <v>278</v>
      </c>
      <c r="K218"/>
    </row>
    <row r="219" spans="2:11" hidden="1">
      <c r="B219"/>
      <c r="C219" s="495">
        <v>13720</v>
      </c>
      <c r="D219" s="402" t="s">
        <v>2252</v>
      </c>
      <c r="E219" s="633"/>
      <c r="F219" s="633"/>
      <c r="G219" s="633"/>
      <c r="H219" s="6" t="e">
        <f t="shared" si="14"/>
        <v>#DIV/0!</v>
      </c>
      <c r="I219" s="633">
        <f t="shared" si="15"/>
        <v>0</v>
      </c>
      <c r="J219" s="494" t="s">
        <v>278</v>
      </c>
      <c r="K219"/>
    </row>
    <row r="220" spans="2:11" hidden="1">
      <c r="B220"/>
      <c r="C220" s="495">
        <v>9755</v>
      </c>
      <c r="D220" s="402" t="s">
        <v>2253</v>
      </c>
      <c r="E220" s="633">
        <v>24</v>
      </c>
      <c r="F220" s="633">
        <v>0</v>
      </c>
      <c r="G220" s="633">
        <v>14</v>
      </c>
      <c r="H220" s="6">
        <f t="shared" si="14"/>
        <v>0.58333333333333337</v>
      </c>
      <c r="I220" s="633">
        <f t="shared" si="15"/>
        <v>0</v>
      </c>
      <c r="J220" s="494" t="s">
        <v>278</v>
      </c>
      <c r="K220"/>
    </row>
    <row r="221" spans="2:11" hidden="1">
      <c r="B221"/>
      <c r="C221" s="495">
        <v>10396</v>
      </c>
      <c r="D221" s="402" t="s">
        <v>2254</v>
      </c>
      <c r="E221" s="633"/>
      <c r="F221" s="633"/>
      <c r="G221" s="633"/>
      <c r="H221" s="6" t="e">
        <f t="shared" si="14"/>
        <v>#DIV/0!</v>
      </c>
      <c r="I221" s="633">
        <f t="shared" si="15"/>
        <v>0</v>
      </c>
      <c r="J221" s="494" t="s">
        <v>278</v>
      </c>
      <c r="K221"/>
    </row>
    <row r="222" spans="2:11" hidden="1">
      <c r="B222"/>
      <c r="C222" s="495">
        <v>5864</v>
      </c>
      <c r="D222" s="402" t="s">
        <v>2687</v>
      </c>
      <c r="E222" s="633">
        <v>12</v>
      </c>
      <c r="F222" s="633"/>
      <c r="G222" s="633">
        <v>25.8</v>
      </c>
      <c r="H222" s="6">
        <f t="shared" si="14"/>
        <v>2.15</v>
      </c>
      <c r="I222" s="633">
        <f t="shared" si="15"/>
        <v>0</v>
      </c>
      <c r="J222" s="494" t="s">
        <v>278</v>
      </c>
      <c r="K222"/>
    </row>
    <row r="223" spans="2:11" hidden="1">
      <c r="B223"/>
      <c r="C223" s="495">
        <v>13578</v>
      </c>
      <c r="D223" s="402" t="s">
        <v>2673</v>
      </c>
      <c r="E223" s="633"/>
      <c r="F223" s="633"/>
      <c r="G223" s="633"/>
      <c r="H223" s="6" t="e">
        <f t="shared" si="14"/>
        <v>#DIV/0!</v>
      </c>
      <c r="I223" s="633">
        <f t="shared" si="15"/>
        <v>0</v>
      </c>
      <c r="J223" s="494" t="s">
        <v>278</v>
      </c>
      <c r="K223"/>
    </row>
    <row r="224" spans="2:11" hidden="1">
      <c r="B224"/>
      <c r="C224" s="495">
        <v>2647</v>
      </c>
      <c r="D224" s="402" t="s">
        <v>2255</v>
      </c>
      <c r="E224" s="633"/>
      <c r="F224" s="633"/>
      <c r="G224" s="633"/>
      <c r="H224" s="6" t="e">
        <f t="shared" si="14"/>
        <v>#DIV/0!</v>
      </c>
      <c r="I224" s="633">
        <f t="shared" si="15"/>
        <v>0</v>
      </c>
      <c r="J224" s="494" t="s">
        <v>278</v>
      </c>
      <c r="K224"/>
    </row>
    <row r="225" spans="2:11" hidden="1">
      <c r="B225"/>
      <c r="C225" s="495">
        <v>20007</v>
      </c>
      <c r="D225" s="402" t="s">
        <v>2684</v>
      </c>
      <c r="E225" s="633">
        <v>30</v>
      </c>
      <c r="F225" s="633"/>
      <c r="G225" s="633">
        <v>18.5</v>
      </c>
      <c r="H225" s="6">
        <f t="shared" si="14"/>
        <v>0.6166666666666667</v>
      </c>
      <c r="I225" s="633">
        <f t="shared" si="15"/>
        <v>0</v>
      </c>
      <c r="J225" s="494" t="s">
        <v>278</v>
      </c>
      <c r="K225"/>
    </row>
    <row r="226" spans="2:11" hidden="1">
      <c r="B226"/>
      <c r="C226" s="495">
        <v>20011</v>
      </c>
      <c r="D226" s="402" t="s">
        <v>2685</v>
      </c>
      <c r="E226" s="633">
        <v>36</v>
      </c>
      <c r="F226" s="633"/>
      <c r="G226" s="633">
        <v>13.3</v>
      </c>
      <c r="H226" s="6">
        <f t="shared" si="14"/>
        <v>0.36944444444444446</v>
      </c>
      <c r="I226" s="633">
        <f t="shared" si="15"/>
        <v>0</v>
      </c>
      <c r="J226" s="494" t="s">
        <v>278</v>
      </c>
      <c r="K226"/>
    </row>
    <row r="227" spans="2:11" hidden="1">
      <c r="B227"/>
      <c r="C227" s="495">
        <v>14403</v>
      </c>
      <c r="D227" s="402" t="s">
        <v>2668</v>
      </c>
      <c r="E227" s="633"/>
      <c r="F227" s="633"/>
      <c r="G227" s="633"/>
      <c r="H227" s="6" t="e">
        <f t="shared" si="14"/>
        <v>#DIV/0!</v>
      </c>
      <c r="I227" s="633">
        <f t="shared" si="15"/>
        <v>0</v>
      </c>
      <c r="J227" s="494" t="s">
        <v>278</v>
      </c>
      <c r="K227"/>
    </row>
    <row r="228" spans="2:11" hidden="1">
      <c r="B228"/>
      <c r="C228" s="495">
        <v>20005</v>
      </c>
      <c r="D228" s="402" t="s">
        <v>2682</v>
      </c>
      <c r="E228" s="633">
        <v>48</v>
      </c>
      <c r="F228" s="633"/>
      <c r="G228" s="633">
        <v>27.7</v>
      </c>
      <c r="H228" s="6">
        <f t="shared" si="14"/>
        <v>0.57708333333333328</v>
      </c>
      <c r="I228" s="633">
        <f t="shared" si="15"/>
        <v>0</v>
      </c>
      <c r="J228" s="494" t="s">
        <v>278</v>
      </c>
      <c r="K228"/>
    </row>
    <row r="229" spans="2:11" hidden="1">
      <c r="B229"/>
      <c r="C229" s="495">
        <v>20008</v>
      </c>
      <c r="D229" s="402" t="s">
        <v>2683</v>
      </c>
      <c r="E229" s="633">
        <v>48</v>
      </c>
      <c r="F229" s="633"/>
      <c r="G229" s="633">
        <v>20.7</v>
      </c>
      <c r="H229" s="6">
        <f t="shared" si="14"/>
        <v>0.43124999999999997</v>
      </c>
      <c r="I229" s="633">
        <f t="shared" si="15"/>
        <v>0</v>
      </c>
      <c r="J229" s="494" t="s">
        <v>278</v>
      </c>
      <c r="K229"/>
    </row>
    <row r="230" spans="2:11" hidden="1">
      <c r="B230"/>
      <c r="C230" s="495">
        <v>20009</v>
      </c>
      <c r="D230" s="402" t="s">
        <v>2681</v>
      </c>
      <c r="E230" s="633">
        <v>96</v>
      </c>
      <c r="F230" s="633"/>
      <c r="G230" s="633">
        <v>23.3</v>
      </c>
      <c r="H230" s="6">
        <f t="shared" si="14"/>
        <v>0.24270833333333333</v>
      </c>
      <c r="I230" s="633">
        <f t="shared" si="15"/>
        <v>0</v>
      </c>
      <c r="J230" s="494" t="s">
        <v>278</v>
      </c>
      <c r="K230"/>
    </row>
    <row r="231" spans="2:11" hidden="1">
      <c r="B231"/>
      <c r="C231" s="495">
        <v>14999</v>
      </c>
      <c r="D231" s="402" t="s">
        <v>2667</v>
      </c>
      <c r="E231" s="633"/>
      <c r="F231" s="633"/>
      <c r="G231" s="633"/>
      <c r="H231" s="6" t="e">
        <f t="shared" si="14"/>
        <v>#DIV/0!</v>
      </c>
      <c r="I231" s="633">
        <f t="shared" si="15"/>
        <v>0</v>
      </c>
      <c r="J231" s="494" t="s">
        <v>278</v>
      </c>
      <c r="K231"/>
    </row>
    <row r="232" spans="2:11" ht="15.75" thickBot="1">
      <c r="B232"/>
      <c r="C232" s="414">
        <v>17889</v>
      </c>
      <c r="D232" s="414" t="s">
        <v>1795</v>
      </c>
      <c r="E232" s="16">
        <v>48</v>
      </c>
      <c r="F232" s="16">
        <v>30</v>
      </c>
      <c r="G232" s="16">
        <v>17.5</v>
      </c>
      <c r="H232" s="11">
        <f t="shared" si="14"/>
        <v>0.36458333333333331</v>
      </c>
      <c r="I232" s="16">
        <f t="shared" si="15"/>
        <v>525</v>
      </c>
      <c r="J232" s="494" t="s">
        <v>278</v>
      </c>
      <c r="K232"/>
    </row>
    <row r="233" spans="2:11" s="494" customFormat="1" ht="15.75" hidden="1" thickBot="1">
      <c r="C233" s="495"/>
      <c r="D233" s="454" t="s">
        <v>2693</v>
      </c>
      <c r="E233" s="633">
        <v>48</v>
      </c>
      <c r="F233" s="633"/>
      <c r="G233" s="633">
        <v>19.5</v>
      </c>
      <c r="H233" s="625">
        <f t="shared" si="14"/>
        <v>0.40625</v>
      </c>
      <c r="I233" s="633">
        <f t="shared" si="15"/>
        <v>0</v>
      </c>
      <c r="J233" s="494" t="s">
        <v>278</v>
      </c>
    </row>
    <row r="234" spans="2:11" s="494" customFormat="1" ht="15.75" hidden="1" thickBot="1">
      <c r="C234" s="495"/>
      <c r="D234" s="454" t="s">
        <v>2694</v>
      </c>
      <c r="E234" s="633">
        <v>48</v>
      </c>
      <c r="F234" s="633"/>
      <c r="G234" s="633">
        <v>19.5</v>
      </c>
      <c r="H234" s="625">
        <f t="shared" si="14"/>
        <v>0.40625</v>
      </c>
      <c r="I234" s="633">
        <f t="shared" si="15"/>
        <v>0</v>
      </c>
      <c r="J234" s="494" t="s">
        <v>278</v>
      </c>
    </row>
    <row r="235" spans="2:11" ht="15.75" hidden="1" thickBot="1">
      <c r="B235"/>
      <c r="C235" s="495">
        <v>20013</v>
      </c>
      <c r="D235" s="454" t="s">
        <v>2679</v>
      </c>
      <c r="E235" s="633">
        <v>80</v>
      </c>
      <c r="F235" s="633"/>
      <c r="G235" s="633">
        <v>8</v>
      </c>
      <c r="H235" s="625">
        <f t="shared" si="14"/>
        <v>0.1</v>
      </c>
      <c r="I235" s="633">
        <f t="shared" si="15"/>
        <v>0</v>
      </c>
      <c r="J235" s="494" t="s">
        <v>278</v>
      </c>
      <c r="K235"/>
    </row>
    <row r="236" spans="2:11" ht="15.75" hidden="1" thickBot="1">
      <c r="B236"/>
      <c r="D236" s="628" t="s">
        <v>2695</v>
      </c>
      <c r="E236" s="629">
        <v>288</v>
      </c>
      <c r="G236" s="629">
        <v>80</v>
      </c>
      <c r="I236" s="633">
        <f t="shared" si="15"/>
        <v>0</v>
      </c>
      <c r="J236" s="494" t="s">
        <v>278</v>
      </c>
      <c r="K236"/>
    </row>
    <row r="237" spans="2:11" ht="15.75" hidden="1" thickBot="1">
      <c r="B237"/>
      <c r="D237" s="628" t="s">
        <v>2696</v>
      </c>
      <c r="E237" s="174">
        <v>288</v>
      </c>
      <c r="G237" s="174">
        <v>80</v>
      </c>
      <c r="H237"/>
      <c r="I237" s="633">
        <f t="shared" si="15"/>
        <v>0</v>
      </c>
      <c r="J237" s="494" t="s">
        <v>278</v>
      </c>
      <c r="K237"/>
    </row>
    <row r="238" spans="2:11" ht="15.75" hidden="1" thickBot="1">
      <c r="B238"/>
      <c r="D238" s="628" t="s">
        <v>1098</v>
      </c>
      <c r="E238" s="174">
        <v>288</v>
      </c>
      <c r="G238" s="174">
        <v>80</v>
      </c>
      <c r="H238"/>
      <c r="I238" s="483">
        <f t="shared" si="15"/>
        <v>0</v>
      </c>
      <c r="J238" s="494" t="s">
        <v>278</v>
      </c>
      <c r="K238"/>
    </row>
    <row r="239" spans="2:11" ht="15.75" thickBot="1">
      <c r="B239"/>
      <c r="G239" s="899" t="s">
        <v>81</v>
      </c>
      <c r="H239" s="900"/>
      <c r="I239" s="666">
        <f>SUM(I178:I238)</f>
        <v>2609</v>
      </c>
      <c r="J239"/>
      <c r="K239"/>
    </row>
    <row r="240" spans="2:11">
      <c r="B240"/>
      <c r="H240"/>
      <c r="I240"/>
      <c r="J240"/>
      <c r="K240"/>
    </row>
    <row r="241" spans="2:11" ht="9.75" customHeight="1">
      <c r="B241"/>
      <c r="H241"/>
      <c r="I241"/>
      <c r="J241"/>
      <c r="K241"/>
    </row>
    <row r="242" spans="2:11" ht="39" customHeight="1">
      <c r="B242"/>
      <c r="C242" s="495" t="s">
        <v>0</v>
      </c>
      <c r="D242" s="28" t="s">
        <v>72</v>
      </c>
      <c r="E242" s="626" t="s">
        <v>1074</v>
      </c>
      <c r="F242" s="627" t="s">
        <v>75</v>
      </c>
      <c r="G242" s="626" t="s">
        <v>1061</v>
      </c>
      <c r="H242" s="627" t="s">
        <v>636</v>
      </c>
      <c r="I242" s="626" t="s">
        <v>1076</v>
      </c>
      <c r="J242"/>
      <c r="K242"/>
    </row>
    <row r="243" spans="2:11">
      <c r="B243"/>
      <c r="C243" s="495">
        <v>9734</v>
      </c>
      <c r="D243" s="28" t="s">
        <v>2966</v>
      </c>
      <c r="E243" s="685">
        <v>20</v>
      </c>
      <c r="F243" s="685">
        <v>0</v>
      </c>
      <c r="G243" s="685">
        <v>33.799999999999997</v>
      </c>
      <c r="H243" s="6">
        <f>G243/E243</f>
        <v>1.69</v>
      </c>
      <c r="I243" s="685">
        <f>G243*F243</f>
        <v>0</v>
      </c>
      <c r="J243" s="494" t="s">
        <v>278</v>
      </c>
      <c r="K243"/>
    </row>
    <row r="244" spans="2:11">
      <c r="B244"/>
      <c r="C244" s="495">
        <v>9579</v>
      </c>
      <c r="D244" s="28" t="s">
        <v>1057</v>
      </c>
      <c r="E244" s="685">
        <v>1000</v>
      </c>
      <c r="F244" s="685">
        <v>0</v>
      </c>
      <c r="G244" s="685">
        <v>3.4</v>
      </c>
      <c r="H244" s="6">
        <f t="shared" ref="H244:H302" si="16">G244/E244</f>
        <v>3.3999999999999998E-3</v>
      </c>
      <c r="I244" s="685">
        <f t="shared" ref="I244:I302" si="17">G244*F244</f>
        <v>0</v>
      </c>
      <c r="J244" s="494" t="s">
        <v>278</v>
      </c>
      <c r="K244"/>
    </row>
    <row r="245" spans="2:11" hidden="1">
      <c r="B245"/>
      <c r="C245" s="495">
        <v>7960</v>
      </c>
      <c r="D245" s="28" t="s">
        <v>1058</v>
      </c>
      <c r="E245" s="685"/>
      <c r="F245" s="685"/>
      <c r="G245" s="685"/>
      <c r="H245" s="6" t="e">
        <f t="shared" si="16"/>
        <v>#DIV/0!</v>
      </c>
      <c r="I245" s="685">
        <f t="shared" si="17"/>
        <v>0</v>
      </c>
      <c r="J245" s="494" t="s">
        <v>278</v>
      </c>
      <c r="K245"/>
    </row>
    <row r="246" spans="2:11" s="745" customFormat="1">
      <c r="C246" s="69">
        <v>950</v>
      </c>
      <c r="D246" s="746" t="s">
        <v>1794</v>
      </c>
      <c r="E246" s="66">
        <v>100</v>
      </c>
      <c r="F246" s="66">
        <v>4</v>
      </c>
      <c r="G246" s="66">
        <v>21.1</v>
      </c>
      <c r="H246" s="747">
        <f t="shared" si="16"/>
        <v>0.21100000000000002</v>
      </c>
      <c r="I246" s="66">
        <f t="shared" si="17"/>
        <v>84.4</v>
      </c>
      <c r="J246" s="745" t="s">
        <v>278</v>
      </c>
    </row>
    <row r="247" spans="2:11" s="745" customFormat="1">
      <c r="C247" s="69">
        <v>8117</v>
      </c>
      <c r="D247" s="746" t="s">
        <v>2675</v>
      </c>
      <c r="E247" s="66">
        <v>96</v>
      </c>
      <c r="F247" s="66">
        <v>10</v>
      </c>
      <c r="G247" s="66">
        <v>51.2</v>
      </c>
      <c r="H247" s="747">
        <f t="shared" si="16"/>
        <v>0.53333333333333333</v>
      </c>
      <c r="I247" s="66">
        <f t="shared" si="17"/>
        <v>512</v>
      </c>
      <c r="J247" s="745" t="s">
        <v>278</v>
      </c>
    </row>
    <row r="248" spans="2:11" s="745" customFormat="1">
      <c r="C248" s="69">
        <v>8017</v>
      </c>
      <c r="D248" s="746" t="s">
        <v>2674</v>
      </c>
      <c r="E248" s="66">
        <v>96</v>
      </c>
      <c r="F248" s="66">
        <v>10</v>
      </c>
      <c r="G248" s="66">
        <v>51.2</v>
      </c>
      <c r="H248" s="747">
        <f t="shared" si="16"/>
        <v>0.53333333333333333</v>
      </c>
      <c r="I248" s="66">
        <f t="shared" si="17"/>
        <v>512</v>
      </c>
      <c r="J248" s="745" t="s">
        <v>278</v>
      </c>
    </row>
    <row r="249" spans="2:11" s="745" customFormat="1">
      <c r="C249" s="69"/>
      <c r="D249" s="746" t="s">
        <v>2967</v>
      </c>
      <c r="E249" s="66">
        <v>144</v>
      </c>
      <c r="F249" s="66">
        <v>3</v>
      </c>
      <c r="G249" s="66">
        <v>87.5</v>
      </c>
      <c r="H249" s="747">
        <f t="shared" si="16"/>
        <v>0.60763888888888884</v>
      </c>
      <c r="I249" s="66">
        <f t="shared" si="17"/>
        <v>262.5</v>
      </c>
      <c r="J249" s="745" t="s">
        <v>278</v>
      </c>
    </row>
    <row r="250" spans="2:11" s="745" customFormat="1">
      <c r="C250" s="69"/>
      <c r="D250" s="746" t="s">
        <v>2968</v>
      </c>
      <c r="E250" s="66">
        <v>72</v>
      </c>
      <c r="F250" s="66">
        <v>3</v>
      </c>
      <c r="G250" s="66">
        <v>26.3</v>
      </c>
      <c r="H250" s="747">
        <f t="shared" si="16"/>
        <v>0.36527777777777781</v>
      </c>
      <c r="I250" s="66">
        <f t="shared" si="17"/>
        <v>78.900000000000006</v>
      </c>
      <c r="J250" s="745" t="s">
        <v>278</v>
      </c>
    </row>
    <row r="251" spans="2:11" s="494" customFormat="1">
      <c r="C251" s="495"/>
      <c r="D251" s="28" t="s">
        <v>2969</v>
      </c>
      <c r="E251" s="685">
        <v>72</v>
      </c>
      <c r="F251" s="685">
        <v>0</v>
      </c>
      <c r="G251" s="685">
        <v>26.3</v>
      </c>
      <c r="H251" s="6">
        <f t="shared" si="16"/>
        <v>0.36527777777777781</v>
      </c>
      <c r="I251" s="685">
        <f t="shared" si="17"/>
        <v>0</v>
      </c>
      <c r="J251" s="494" t="s">
        <v>278</v>
      </c>
    </row>
    <row r="252" spans="2:11" s="745" customFormat="1">
      <c r="C252" s="69"/>
      <c r="D252" s="746" t="s">
        <v>2970</v>
      </c>
      <c r="E252" s="66">
        <v>72</v>
      </c>
      <c r="F252" s="66">
        <v>3</v>
      </c>
      <c r="G252" s="66">
        <v>26.3</v>
      </c>
      <c r="H252" s="747">
        <f t="shared" si="16"/>
        <v>0.36527777777777781</v>
      </c>
      <c r="I252" s="66">
        <f t="shared" si="17"/>
        <v>78.900000000000006</v>
      </c>
      <c r="J252" s="745" t="s">
        <v>278</v>
      </c>
    </row>
    <row r="253" spans="2:11" s="494" customFormat="1">
      <c r="C253" s="495"/>
      <c r="D253" s="28" t="s">
        <v>2971</v>
      </c>
      <c r="E253" s="685">
        <v>72</v>
      </c>
      <c r="F253" s="685">
        <v>0</v>
      </c>
      <c r="G253" s="685">
        <v>26.3</v>
      </c>
      <c r="H253" s="6">
        <f t="shared" si="16"/>
        <v>0.36527777777777781</v>
      </c>
      <c r="I253" s="685">
        <f t="shared" si="17"/>
        <v>0</v>
      </c>
      <c r="J253" s="494" t="s">
        <v>278</v>
      </c>
    </row>
    <row r="254" spans="2:11" s="745" customFormat="1">
      <c r="C254" s="69"/>
      <c r="D254" s="746" t="s">
        <v>2974</v>
      </c>
      <c r="E254" s="66">
        <v>6</v>
      </c>
      <c r="F254" s="66">
        <v>20</v>
      </c>
      <c r="G254" s="66">
        <v>7.5</v>
      </c>
      <c r="H254" s="747">
        <f t="shared" si="16"/>
        <v>1.25</v>
      </c>
      <c r="I254" s="66">
        <f t="shared" si="17"/>
        <v>150</v>
      </c>
      <c r="J254" s="745" t="s">
        <v>278</v>
      </c>
    </row>
    <row r="255" spans="2:11" hidden="1">
      <c r="B255"/>
      <c r="C255" s="495">
        <v>13836</v>
      </c>
      <c r="D255" s="28" t="s">
        <v>2832</v>
      </c>
      <c r="E255" s="685" t="s">
        <v>72</v>
      </c>
      <c r="F255" s="685"/>
      <c r="G255" s="685" t="s">
        <v>72</v>
      </c>
      <c r="H255" s="6" t="e">
        <f t="shared" si="16"/>
        <v>#VALUE!</v>
      </c>
      <c r="I255" s="685" t="e">
        <f t="shared" si="17"/>
        <v>#VALUE!</v>
      </c>
      <c r="J255" s="494" t="s">
        <v>278</v>
      </c>
      <c r="K255"/>
    </row>
    <row r="256" spans="2:11" hidden="1">
      <c r="B256"/>
      <c r="C256" s="495">
        <v>14401</v>
      </c>
      <c r="D256" s="28" t="s">
        <v>2833</v>
      </c>
      <c r="E256" s="685"/>
      <c r="F256" s="685"/>
      <c r="G256" s="685"/>
      <c r="H256" s="6" t="e">
        <f t="shared" si="16"/>
        <v>#DIV/0!</v>
      </c>
      <c r="I256" s="685">
        <f t="shared" si="17"/>
        <v>0</v>
      </c>
      <c r="J256" s="494" t="s">
        <v>278</v>
      </c>
      <c r="K256"/>
    </row>
    <row r="257" spans="2:11" hidden="1">
      <c r="B257"/>
      <c r="C257" s="495">
        <v>14399</v>
      </c>
      <c r="D257" s="28" t="s">
        <v>2834</v>
      </c>
      <c r="E257" s="685"/>
      <c r="F257" s="685"/>
      <c r="G257" s="685"/>
      <c r="H257" s="6" t="e">
        <f t="shared" si="16"/>
        <v>#DIV/0!</v>
      </c>
      <c r="I257" s="685">
        <f t="shared" si="17"/>
        <v>0</v>
      </c>
      <c r="J257" s="494" t="s">
        <v>278</v>
      </c>
      <c r="K257"/>
    </row>
    <row r="258" spans="2:11" hidden="1">
      <c r="B258"/>
      <c r="C258" s="495">
        <v>14400</v>
      </c>
      <c r="D258" s="28" t="s">
        <v>2835</v>
      </c>
      <c r="E258" s="685"/>
      <c r="F258" s="685"/>
      <c r="G258" s="685"/>
      <c r="H258" s="6" t="e">
        <f t="shared" si="16"/>
        <v>#DIV/0!</v>
      </c>
      <c r="I258" s="685">
        <f t="shared" si="17"/>
        <v>0</v>
      </c>
      <c r="J258" s="494" t="s">
        <v>278</v>
      </c>
      <c r="K258"/>
    </row>
    <row r="259" spans="2:11" hidden="1">
      <c r="B259"/>
      <c r="C259" s="495">
        <v>13581</v>
      </c>
      <c r="D259" s="28" t="s">
        <v>2836</v>
      </c>
      <c r="E259" s="685"/>
      <c r="F259" s="685"/>
      <c r="G259" s="685"/>
      <c r="H259" s="6" t="e">
        <f t="shared" si="16"/>
        <v>#DIV/0!</v>
      </c>
      <c r="I259" s="685">
        <f t="shared" si="17"/>
        <v>0</v>
      </c>
      <c r="J259" s="494" t="s">
        <v>278</v>
      </c>
      <c r="K259"/>
    </row>
    <row r="260" spans="2:11" s="745" customFormat="1">
      <c r="C260" s="69">
        <v>18714</v>
      </c>
      <c r="D260" s="746" t="s">
        <v>2670</v>
      </c>
      <c r="E260" s="66">
        <v>24</v>
      </c>
      <c r="F260" s="66">
        <v>25</v>
      </c>
      <c r="G260" s="66">
        <v>12</v>
      </c>
      <c r="H260" s="747">
        <f t="shared" si="16"/>
        <v>0.5</v>
      </c>
      <c r="I260" s="66">
        <f t="shared" si="17"/>
        <v>300</v>
      </c>
      <c r="J260" s="745" t="s">
        <v>278</v>
      </c>
    </row>
    <row r="261" spans="2:11" hidden="1">
      <c r="B261"/>
      <c r="C261" s="495">
        <v>20012</v>
      </c>
      <c r="D261" s="28" t="s">
        <v>2678</v>
      </c>
      <c r="E261" s="685"/>
      <c r="F261" s="685"/>
      <c r="G261" s="685"/>
      <c r="H261" s="6" t="e">
        <f t="shared" si="16"/>
        <v>#DIV/0!</v>
      </c>
      <c r="I261" s="685">
        <f t="shared" si="17"/>
        <v>0</v>
      </c>
      <c r="J261" s="494" t="s">
        <v>278</v>
      </c>
      <c r="K261"/>
    </row>
    <row r="262" spans="2:11" s="745" customFormat="1">
      <c r="C262" s="69">
        <v>18707</v>
      </c>
      <c r="D262" s="746" t="s">
        <v>2669</v>
      </c>
      <c r="E262" s="66">
        <v>12</v>
      </c>
      <c r="F262" s="66">
        <v>25</v>
      </c>
      <c r="G262" s="66">
        <v>7.7</v>
      </c>
      <c r="H262" s="747">
        <f t="shared" si="16"/>
        <v>0.64166666666666672</v>
      </c>
      <c r="I262" s="66">
        <f t="shared" si="17"/>
        <v>192.5</v>
      </c>
      <c r="J262" s="745" t="s">
        <v>278</v>
      </c>
    </row>
    <row r="263" spans="2:11" hidden="1">
      <c r="B263"/>
      <c r="C263" s="495">
        <v>15426</v>
      </c>
      <c r="D263" s="28" t="s">
        <v>2243</v>
      </c>
      <c r="E263" s="685"/>
      <c r="F263" s="685"/>
      <c r="G263" s="685"/>
      <c r="H263" s="6" t="e">
        <f t="shared" si="16"/>
        <v>#DIV/0!</v>
      </c>
      <c r="I263" s="685">
        <f t="shared" si="17"/>
        <v>0</v>
      </c>
      <c r="J263" s="494" t="s">
        <v>278</v>
      </c>
      <c r="K263"/>
    </row>
    <row r="264" spans="2:11" hidden="1">
      <c r="B264"/>
      <c r="C264" s="495">
        <v>15430</v>
      </c>
      <c r="D264" s="28" t="s">
        <v>2671</v>
      </c>
      <c r="E264" s="685"/>
      <c r="F264" s="685"/>
      <c r="G264" s="685"/>
      <c r="H264" s="6" t="e">
        <f t="shared" si="16"/>
        <v>#DIV/0!</v>
      </c>
      <c r="I264" s="685">
        <f t="shared" si="17"/>
        <v>0</v>
      </c>
      <c r="J264" s="494" t="s">
        <v>278</v>
      </c>
      <c r="K264"/>
    </row>
    <row r="265" spans="2:11" hidden="1">
      <c r="B265"/>
      <c r="C265" s="495">
        <v>15428</v>
      </c>
      <c r="D265" s="28" t="s">
        <v>2244</v>
      </c>
      <c r="E265" s="685"/>
      <c r="F265" s="685"/>
      <c r="G265" s="685"/>
      <c r="H265" s="6" t="e">
        <f t="shared" si="16"/>
        <v>#DIV/0!</v>
      </c>
      <c r="I265" s="685">
        <f t="shared" si="17"/>
        <v>0</v>
      </c>
      <c r="J265" s="494" t="s">
        <v>278</v>
      </c>
      <c r="K265"/>
    </row>
    <row r="266" spans="2:11" hidden="1">
      <c r="B266"/>
      <c r="C266" s="495">
        <v>10416</v>
      </c>
      <c r="D266" s="28" t="s">
        <v>2837</v>
      </c>
      <c r="E266" s="685"/>
      <c r="F266" s="685"/>
      <c r="G266" s="685"/>
      <c r="H266" s="6" t="e">
        <f t="shared" si="16"/>
        <v>#DIV/0!</v>
      </c>
      <c r="I266" s="685">
        <f t="shared" si="17"/>
        <v>0</v>
      </c>
      <c r="J266" s="494" t="s">
        <v>278</v>
      </c>
      <c r="K266"/>
    </row>
    <row r="267" spans="2:11" s="745" customFormat="1">
      <c r="C267" s="69">
        <v>9500</v>
      </c>
      <c r="D267" s="746" t="s">
        <v>2665</v>
      </c>
      <c r="E267" s="66">
        <v>24</v>
      </c>
      <c r="F267" s="66">
        <v>25</v>
      </c>
      <c r="G267" s="66">
        <v>17</v>
      </c>
      <c r="H267" s="747">
        <f t="shared" si="16"/>
        <v>0.70833333333333337</v>
      </c>
      <c r="I267" s="66">
        <f t="shared" si="17"/>
        <v>425</v>
      </c>
      <c r="J267" s="745" t="s">
        <v>278</v>
      </c>
    </row>
    <row r="268" spans="2:11" s="745" customFormat="1">
      <c r="C268" s="69">
        <v>15767</v>
      </c>
      <c r="D268" s="746" t="s">
        <v>2245</v>
      </c>
      <c r="E268" s="66">
        <v>24</v>
      </c>
      <c r="F268" s="66">
        <v>10</v>
      </c>
      <c r="G268" s="66">
        <v>12</v>
      </c>
      <c r="H268" s="747">
        <f t="shared" si="16"/>
        <v>0.5</v>
      </c>
      <c r="I268" s="66">
        <f t="shared" si="17"/>
        <v>120</v>
      </c>
      <c r="J268" s="745" t="s">
        <v>278</v>
      </c>
    </row>
    <row r="269" spans="2:11" s="494" customFormat="1">
      <c r="C269" s="495">
        <v>16239</v>
      </c>
      <c r="D269" s="28" t="s">
        <v>2260</v>
      </c>
      <c r="E269" s="685">
        <v>24</v>
      </c>
      <c r="F269" s="685">
        <v>0</v>
      </c>
      <c r="G269" s="685">
        <v>12</v>
      </c>
      <c r="H269" s="6">
        <f t="shared" si="16"/>
        <v>0.5</v>
      </c>
      <c r="I269" s="685">
        <f t="shared" si="17"/>
        <v>0</v>
      </c>
      <c r="J269" s="494" t="s">
        <v>278</v>
      </c>
    </row>
    <row r="270" spans="2:11" s="745" customFormat="1">
      <c r="C270" s="69">
        <v>9252</v>
      </c>
      <c r="D270" s="746" t="s">
        <v>2676</v>
      </c>
      <c r="E270" s="66">
        <v>120</v>
      </c>
      <c r="F270" s="66">
        <v>1</v>
      </c>
      <c r="G270" s="66">
        <v>8.3000000000000007</v>
      </c>
      <c r="H270" s="747">
        <f t="shared" si="16"/>
        <v>6.9166666666666668E-2</v>
      </c>
      <c r="I270" s="66">
        <f t="shared" si="17"/>
        <v>8.3000000000000007</v>
      </c>
      <c r="J270" s="745" t="s">
        <v>278</v>
      </c>
    </row>
    <row r="271" spans="2:11" hidden="1">
      <c r="B271"/>
      <c r="C271" s="495">
        <v>13577</v>
      </c>
      <c r="D271" s="28" t="s">
        <v>2666</v>
      </c>
      <c r="E271" s="685"/>
      <c r="F271" s="685"/>
      <c r="G271" s="685"/>
      <c r="H271" s="6" t="e">
        <f t="shared" si="16"/>
        <v>#DIV/0!</v>
      </c>
      <c r="I271" s="685">
        <f t="shared" si="17"/>
        <v>0</v>
      </c>
      <c r="J271" s="494" t="s">
        <v>278</v>
      </c>
      <c r="K271"/>
    </row>
    <row r="272" spans="2:11" hidden="1">
      <c r="B272"/>
      <c r="C272" s="495">
        <v>6901</v>
      </c>
      <c r="D272" s="28" t="s">
        <v>1645</v>
      </c>
      <c r="E272" s="685">
        <v>10</v>
      </c>
      <c r="F272" s="685">
        <v>200</v>
      </c>
      <c r="G272" s="685">
        <v>8.4</v>
      </c>
      <c r="H272" s="6">
        <f t="shared" si="16"/>
        <v>0.84000000000000008</v>
      </c>
      <c r="I272" s="685">
        <f t="shared" si="17"/>
        <v>1680</v>
      </c>
      <c r="J272" s="494" t="s">
        <v>278</v>
      </c>
      <c r="K272"/>
    </row>
    <row r="273" spans="2:11" hidden="1">
      <c r="B273"/>
      <c r="E273" s="685"/>
      <c r="F273" s="685"/>
      <c r="G273" s="685"/>
      <c r="H273" s="6" t="e">
        <f t="shared" si="16"/>
        <v>#DIV/0!</v>
      </c>
      <c r="I273" s="685">
        <f t="shared" si="17"/>
        <v>0</v>
      </c>
      <c r="J273" s="494" t="s">
        <v>278</v>
      </c>
      <c r="K273"/>
    </row>
    <row r="274" spans="2:11" hidden="1">
      <c r="B274"/>
      <c r="C274" s="495">
        <v>9923</v>
      </c>
      <c r="D274" s="28" t="s">
        <v>2246</v>
      </c>
      <c r="E274" s="685"/>
      <c r="F274" s="685"/>
      <c r="G274" s="685"/>
      <c r="H274" s="6" t="e">
        <f t="shared" si="16"/>
        <v>#DIV/0!</v>
      </c>
      <c r="I274" s="685">
        <f t="shared" si="17"/>
        <v>0</v>
      </c>
      <c r="J274" s="494" t="s">
        <v>278</v>
      </c>
      <c r="K274"/>
    </row>
    <row r="275" spans="2:11" hidden="1">
      <c r="B275"/>
      <c r="C275" s="495">
        <v>17887</v>
      </c>
      <c r="D275" s="28" t="s">
        <v>2247</v>
      </c>
      <c r="E275" s="685"/>
      <c r="F275" s="685"/>
      <c r="G275" s="685"/>
      <c r="H275" s="6" t="e">
        <f t="shared" si="16"/>
        <v>#DIV/0!</v>
      </c>
      <c r="I275" s="685">
        <f t="shared" si="17"/>
        <v>0</v>
      </c>
      <c r="J275" s="494" t="s">
        <v>278</v>
      </c>
      <c r="K275"/>
    </row>
    <row r="276" spans="2:11" hidden="1">
      <c r="B276"/>
      <c r="C276" s="495">
        <v>11384</v>
      </c>
      <c r="D276" s="28" t="s">
        <v>2248</v>
      </c>
      <c r="E276" s="685"/>
      <c r="F276" s="685"/>
      <c r="G276" s="685"/>
      <c r="H276" s="6" t="e">
        <f t="shared" si="16"/>
        <v>#DIV/0!</v>
      </c>
      <c r="I276" s="685">
        <f t="shared" si="17"/>
        <v>0</v>
      </c>
      <c r="J276" s="494" t="s">
        <v>278</v>
      </c>
      <c r="K276"/>
    </row>
    <row r="277" spans="2:11" hidden="1">
      <c r="B277"/>
      <c r="C277" s="495">
        <v>10228</v>
      </c>
      <c r="D277" s="28" t="s">
        <v>2250</v>
      </c>
      <c r="E277" s="685"/>
      <c r="F277" s="685"/>
      <c r="G277" s="685"/>
      <c r="H277" s="6" t="e">
        <f t="shared" si="16"/>
        <v>#DIV/0!</v>
      </c>
      <c r="I277" s="685">
        <f t="shared" si="17"/>
        <v>0</v>
      </c>
      <c r="J277" s="494" t="s">
        <v>278</v>
      </c>
      <c r="K277"/>
    </row>
    <row r="278" spans="2:11" hidden="1">
      <c r="B278"/>
      <c r="C278" s="495">
        <v>15750</v>
      </c>
      <c r="D278" s="28" t="s">
        <v>2838</v>
      </c>
      <c r="E278" s="685"/>
      <c r="F278" s="685"/>
      <c r="G278" s="685"/>
      <c r="H278" s="6" t="e">
        <f t="shared" si="16"/>
        <v>#DIV/0!</v>
      </c>
      <c r="I278" s="685">
        <f t="shared" si="17"/>
        <v>0</v>
      </c>
      <c r="J278" s="494" t="s">
        <v>278</v>
      </c>
      <c r="K278"/>
    </row>
    <row r="279" spans="2:11" hidden="1">
      <c r="B279"/>
      <c r="C279" s="495">
        <v>8000</v>
      </c>
      <c r="D279" s="28" t="s">
        <v>2839</v>
      </c>
      <c r="E279" s="685"/>
      <c r="F279" s="685"/>
      <c r="G279" s="685"/>
      <c r="H279" s="6" t="e">
        <f t="shared" si="16"/>
        <v>#DIV/0!</v>
      </c>
      <c r="I279" s="685">
        <f t="shared" si="17"/>
        <v>0</v>
      </c>
      <c r="J279" s="494" t="s">
        <v>278</v>
      </c>
      <c r="K279"/>
    </row>
    <row r="280" spans="2:11" hidden="1">
      <c r="B280"/>
      <c r="C280" s="495">
        <v>20014</v>
      </c>
      <c r="D280" s="28" t="s">
        <v>2686</v>
      </c>
      <c r="E280" s="685"/>
      <c r="F280" s="685"/>
      <c r="G280" s="685"/>
      <c r="H280" s="6" t="e">
        <f t="shared" si="16"/>
        <v>#DIV/0!</v>
      </c>
      <c r="I280" s="685">
        <f t="shared" si="17"/>
        <v>0</v>
      </c>
      <c r="J280" s="494" t="s">
        <v>278</v>
      </c>
      <c r="K280"/>
    </row>
    <row r="281" spans="2:11" s="745" customFormat="1">
      <c r="C281" s="69">
        <v>9755</v>
      </c>
      <c r="D281" s="746" t="s">
        <v>2253</v>
      </c>
      <c r="E281" s="66">
        <v>24</v>
      </c>
      <c r="F281" s="66">
        <v>100</v>
      </c>
      <c r="G281" s="66">
        <v>14</v>
      </c>
      <c r="H281" s="747">
        <f t="shared" si="16"/>
        <v>0.58333333333333337</v>
      </c>
      <c r="I281" s="66">
        <f t="shared" si="17"/>
        <v>1400</v>
      </c>
      <c r="J281" s="745" t="s">
        <v>278</v>
      </c>
    </row>
    <row r="282" spans="2:11" hidden="1">
      <c r="B282"/>
      <c r="C282" s="495">
        <v>10396</v>
      </c>
      <c r="D282" s="28" t="s">
        <v>2254</v>
      </c>
      <c r="E282" s="685"/>
      <c r="F282" s="685">
        <v>2</v>
      </c>
      <c r="G282" s="685"/>
      <c r="H282" s="6" t="e">
        <f t="shared" si="16"/>
        <v>#DIV/0!</v>
      </c>
      <c r="I282" s="685">
        <f t="shared" si="17"/>
        <v>0</v>
      </c>
      <c r="J282" s="494" t="s">
        <v>278</v>
      </c>
      <c r="K282"/>
    </row>
    <row r="283" spans="2:11" hidden="1">
      <c r="B283"/>
      <c r="C283" s="495">
        <v>5864</v>
      </c>
      <c r="D283" s="28" t="s">
        <v>2687</v>
      </c>
      <c r="E283" s="685"/>
      <c r="F283" s="685"/>
      <c r="G283" s="685"/>
      <c r="H283" s="6" t="e">
        <f t="shared" si="16"/>
        <v>#DIV/0!</v>
      </c>
      <c r="I283" s="685">
        <f t="shared" si="17"/>
        <v>0</v>
      </c>
      <c r="J283" s="494" t="s">
        <v>278</v>
      </c>
      <c r="K283"/>
    </row>
    <row r="284" spans="2:11" hidden="1">
      <c r="B284"/>
      <c r="C284" s="495">
        <v>13578</v>
      </c>
      <c r="D284" s="28" t="s">
        <v>2673</v>
      </c>
      <c r="E284" s="685"/>
      <c r="F284" s="685"/>
      <c r="G284" s="685"/>
      <c r="H284" s="6" t="e">
        <f t="shared" si="16"/>
        <v>#DIV/0!</v>
      </c>
      <c r="I284" s="685">
        <f t="shared" si="17"/>
        <v>0</v>
      </c>
      <c r="J284" s="494" t="s">
        <v>278</v>
      </c>
      <c r="K284"/>
    </row>
    <row r="285" spans="2:11" hidden="1">
      <c r="B285"/>
      <c r="C285" s="495">
        <v>2647</v>
      </c>
      <c r="D285" s="28" t="s">
        <v>2255</v>
      </c>
      <c r="E285" s="685" t="s">
        <v>72</v>
      </c>
      <c r="F285" s="685" t="s">
        <v>72</v>
      </c>
      <c r="G285" s="685" t="s">
        <v>72</v>
      </c>
      <c r="H285" s="6" t="e">
        <f t="shared" si="16"/>
        <v>#VALUE!</v>
      </c>
      <c r="I285" s="685" t="e">
        <f t="shared" si="17"/>
        <v>#VALUE!</v>
      </c>
      <c r="J285" s="494" t="s">
        <v>278</v>
      </c>
      <c r="K285"/>
    </row>
    <row r="286" spans="2:11" hidden="1">
      <c r="B286"/>
      <c r="C286" s="495">
        <v>20007</v>
      </c>
      <c r="D286" s="28" t="s">
        <v>2684</v>
      </c>
      <c r="E286" s="685"/>
      <c r="F286" s="685"/>
      <c r="G286" s="685"/>
      <c r="H286" s="6" t="e">
        <f t="shared" si="16"/>
        <v>#DIV/0!</v>
      </c>
      <c r="I286" s="685">
        <f t="shared" si="17"/>
        <v>0</v>
      </c>
      <c r="J286" s="494" t="s">
        <v>278</v>
      </c>
      <c r="K286"/>
    </row>
    <row r="287" spans="2:11" hidden="1">
      <c r="B287"/>
      <c r="C287" s="495">
        <v>20011</v>
      </c>
      <c r="D287" s="28" t="s">
        <v>2685</v>
      </c>
      <c r="E287" s="685"/>
      <c r="F287" s="685"/>
      <c r="G287" s="685"/>
      <c r="H287" s="6" t="e">
        <f t="shared" si="16"/>
        <v>#DIV/0!</v>
      </c>
      <c r="I287" s="685">
        <f t="shared" si="17"/>
        <v>0</v>
      </c>
      <c r="J287" s="494" t="s">
        <v>278</v>
      </c>
      <c r="K287"/>
    </row>
    <row r="288" spans="2:11" hidden="1">
      <c r="B288"/>
      <c r="C288" s="495">
        <v>14403</v>
      </c>
      <c r="D288" s="28" t="s">
        <v>2668</v>
      </c>
      <c r="E288" s="685"/>
      <c r="F288" s="685"/>
      <c r="G288" s="685"/>
      <c r="H288" s="6" t="e">
        <f t="shared" si="16"/>
        <v>#DIV/0!</v>
      </c>
      <c r="I288" s="685">
        <f t="shared" si="17"/>
        <v>0</v>
      </c>
      <c r="J288" s="494" t="s">
        <v>278</v>
      </c>
      <c r="K288"/>
    </row>
    <row r="289" spans="2:11" hidden="1">
      <c r="B289"/>
      <c r="C289" s="495">
        <v>20005</v>
      </c>
      <c r="D289" s="28" t="s">
        <v>2682</v>
      </c>
      <c r="E289" s="685"/>
      <c r="F289" s="685"/>
      <c r="G289" s="685"/>
      <c r="H289" s="6" t="e">
        <f t="shared" si="16"/>
        <v>#DIV/0!</v>
      </c>
      <c r="I289" s="685">
        <f t="shared" si="17"/>
        <v>0</v>
      </c>
      <c r="J289" s="494" t="s">
        <v>278</v>
      </c>
      <c r="K289"/>
    </row>
    <row r="290" spans="2:11" hidden="1">
      <c r="B290"/>
      <c r="C290" s="495">
        <v>20008</v>
      </c>
      <c r="D290" s="28" t="s">
        <v>2683</v>
      </c>
      <c r="E290" s="685"/>
      <c r="F290" s="685"/>
      <c r="G290" s="685"/>
      <c r="H290" s="6" t="e">
        <f t="shared" si="16"/>
        <v>#DIV/0!</v>
      </c>
      <c r="I290" s="685">
        <f t="shared" si="17"/>
        <v>0</v>
      </c>
      <c r="J290" s="494" t="s">
        <v>278</v>
      </c>
      <c r="K290"/>
    </row>
    <row r="291" spans="2:11" hidden="1">
      <c r="B291"/>
      <c r="C291" s="495">
        <v>20009</v>
      </c>
      <c r="D291" s="28" t="s">
        <v>2681</v>
      </c>
      <c r="E291" s="685"/>
      <c r="F291" s="685"/>
      <c r="G291" s="685"/>
      <c r="H291" s="6" t="e">
        <f t="shared" si="16"/>
        <v>#DIV/0!</v>
      </c>
      <c r="I291" s="685">
        <f t="shared" si="17"/>
        <v>0</v>
      </c>
      <c r="J291" s="494" t="s">
        <v>278</v>
      </c>
      <c r="K291"/>
    </row>
    <row r="292" spans="2:11">
      <c r="B292"/>
      <c r="C292" s="495">
        <v>13579</v>
      </c>
      <c r="D292" s="28" t="s">
        <v>2840</v>
      </c>
      <c r="E292" s="685">
        <v>48</v>
      </c>
      <c r="F292" s="685">
        <v>0</v>
      </c>
      <c r="G292" s="685">
        <v>17.5</v>
      </c>
      <c r="H292" s="6">
        <f t="shared" si="16"/>
        <v>0.36458333333333331</v>
      </c>
      <c r="I292" s="685">
        <f t="shared" si="17"/>
        <v>0</v>
      </c>
      <c r="J292" s="494" t="s">
        <v>278</v>
      </c>
      <c r="K292"/>
    </row>
    <row r="293" spans="2:11" hidden="1">
      <c r="B293"/>
      <c r="C293" s="495">
        <v>14481</v>
      </c>
      <c r="D293" s="28" t="s">
        <v>2841</v>
      </c>
      <c r="E293" s="685"/>
      <c r="F293" s="685"/>
      <c r="G293" s="685"/>
      <c r="H293" s="6" t="e">
        <f t="shared" si="16"/>
        <v>#DIV/0!</v>
      </c>
      <c r="I293" s="685">
        <f t="shared" si="17"/>
        <v>0</v>
      </c>
      <c r="J293" s="494" t="s">
        <v>278</v>
      </c>
      <c r="K293"/>
    </row>
    <row r="294" spans="2:11" hidden="1">
      <c r="B294"/>
      <c r="C294" s="495">
        <v>13964</v>
      </c>
      <c r="D294" s="28" t="s">
        <v>2842</v>
      </c>
      <c r="E294" s="685"/>
      <c r="F294" s="685"/>
      <c r="G294" s="685"/>
      <c r="H294" s="6" t="e">
        <f t="shared" si="16"/>
        <v>#DIV/0!</v>
      </c>
      <c r="I294" s="685">
        <f t="shared" si="17"/>
        <v>0</v>
      </c>
      <c r="J294" s="494" t="s">
        <v>278</v>
      </c>
      <c r="K294"/>
    </row>
    <row r="295" spans="2:11" hidden="1">
      <c r="B295"/>
      <c r="C295" s="495">
        <v>15000</v>
      </c>
      <c r="D295" s="28" t="s">
        <v>2843</v>
      </c>
      <c r="E295" s="685"/>
      <c r="F295" s="685"/>
      <c r="G295" s="685"/>
      <c r="H295" s="6" t="e">
        <f t="shared" si="16"/>
        <v>#DIV/0!</v>
      </c>
      <c r="I295" s="685">
        <f t="shared" si="17"/>
        <v>0</v>
      </c>
      <c r="J295" s="494" t="s">
        <v>278</v>
      </c>
      <c r="K295"/>
    </row>
    <row r="296" spans="2:11" hidden="1">
      <c r="B296"/>
      <c r="C296" s="495">
        <v>14999</v>
      </c>
      <c r="D296" s="28" t="s">
        <v>2667</v>
      </c>
      <c r="E296" s="685"/>
      <c r="F296" s="685"/>
      <c r="G296" s="685"/>
      <c r="H296" s="6" t="e">
        <f t="shared" si="16"/>
        <v>#DIV/0!</v>
      </c>
      <c r="I296" s="685">
        <f t="shared" si="17"/>
        <v>0</v>
      </c>
      <c r="J296" s="494" t="s">
        <v>278</v>
      </c>
      <c r="K296"/>
    </row>
    <row r="297" spans="2:11" hidden="1">
      <c r="B297"/>
      <c r="C297" s="495">
        <v>17889</v>
      </c>
      <c r="D297" s="28" t="s">
        <v>1795</v>
      </c>
      <c r="E297" s="685"/>
      <c r="F297" s="685"/>
      <c r="G297" s="685"/>
      <c r="H297" s="6" t="e">
        <f t="shared" si="16"/>
        <v>#DIV/0!</v>
      </c>
      <c r="I297" s="685">
        <f t="shared" si="17"/>
        <v>0</v>
      </c>
      <c r="J297" s="494" t="s">
        <v>278</v>
      </c>
      <c r="K297"/>
    </row>
    <row r="298" spans="2:11" hidden="1">
      <c r="B298"/>
      <c r="C298" s="495">
        <v>9771</v>
      </c>
      <c r="D298" s="28" t="s">
        <v>2972</v>
      </c>
      <c r="E298" s="685" t="s">
        <v>72</v>
      </c>
      <c r="F298" s="685" t="s">
        <v>72</v>
      </c>
      <c r="G298" s="685" t="s">
        <v>72</v>
      </c>
      <c r="H298" s="6" t="e">
        <f t="shared" si="16"/>
        <v>#VALUE!</v>
      </c>
      <c r="I298" s="685" t="e">
        <f t="shared" si="17"/>
        <v>#VALUE!</v>
      </c>
      <c r="J298" s="494" t="s">
        <v>278</v>
      </c>
      <c r="K298"/>
    </row>
    <row r="299" spans="2:11" s="745" customFormat="1">
      <c r="C299" s="69">
        <v>13331</v>
      </c>
      <c r="D299" s="746" t="s">
        <v>2844</v>
      </c>
      <c r="E299" s="66">
        <v>288</v>
      </c>
      <c r="F299" s="66">
        <v>1</v>
      </c>
      <c r="G299" s="66">
        <v>80</v>
      </c>
      <c r="H299" s="747">
        <f t="shared" si="16"/>
        <v>0.27777777777777779</v>
      </c>
      <c r="I299" s="66">
        <f t="shared" si="17"/>
        <v>80</v>
      </c>
      <c r="J299" s="745" t="s">
        <v>278</v>
      </c>
    </row>
    <row r="300" spans="2:11" s="745" customFormat="1">
      <c r="C300" s="69">
        <v>13329</v>
      </c>
      <c r="D300" s="746" t="s">
        <v>2845</v>
      </c>
      <c r="E300" s="66">
        <v>288</v>
      </c>
      <c r="F300" s="66">
        <v>1</v>
      </c>
      <c r="G300" s="66">
        <v>80</v>
      </c>
      <c r="H300" s="747">
        <f t="shared" si="16"/>
        <v>0.27777777777777779</v>
      </c>
      <c r="I300" s="66">
        <f t="shared" si="17"/>
        <v>80</v>
      </c>
      <c r="J300" s="745" t="s">
        <v>278</v>
      </c>
    </row>
    <row r="301" spans="2:11">
      <c r="B301"/>
      <c r="C301" s="495">
        <v>13330</v>
      </c>
      <c r="D301" s="28" t="s">
        <v>2973</v>
      </c>
      <c r="E301" s="685">
        <v>288</v>
      </c>
      <c r="F301" s="685">
        <v>0</v>
      </c>
      <c r="G301" s="685">
        <v>80</v>
      </c>
      <c r="H301" s="6">
        <f t="shared" si="16"/>
        <v>0.27777777777777779</v>
      </c>
      <c r="I301" s="685">
        <f t="shared" si="17"/>
        <v>0</v>
      </c>
      <c r="J301" s="494" t="s">
        <v>278</v>
      </c>
      <c r="K301"/>
    </row>
    <row r="302" spans="2:11" s="745" customFormat="1">
      <c r="C302" s="69">
        <v>20013</v>
      </c>
      <c r="D302" s="746" t="s">
        <v>2679</v>
      </c>
      <c r="E302" s="66">
        <v>65</v>
      </c>
      <c r="F302" s="66">
        <v>8</v>
      </c>
      <c r="G302" s="66">
        <v>36.9</v>
      </c>
      <c r="H302" s="747">
        <f t="shared" si="16"/>
        <v>0.56769230769230772</v>
      </c>
      <c r="I302" s="66">
        <f t="shared" si="17"/>
        <v>295.2</v>
      </c>
      <c r="J302" s="745" t="s">
        <v>278</v>
      </c>
    </row>
    <row r="303" spans="2:11" ht="15.75" customHeight="1" thickBot="1">
      <c r="B303"/>
      <c r="C303" s="495">
        <v>13721</v>
      </c>
      <c r="D303" s="28" t="s">
        <v>2846</v>
      </c>
      <c r="E303" s="685">
        <v>0</v>
      </c>
      <c r="F303" s="685">
        <v>0</v>
      </c>
      <c r="G303" s="483">
        <v>0</v>
      </c>
      <c r="H303" s="387">
        <v>0</v>
      </c>
      <c r="I303" s="387">
        <v>0</v>
      </c>
      <c r="K303"/>
    </row>
    <row r="304" spans="2:11" ht="15.75" thickBot="1">
      <c r="B304"/>
      <c r="C304" s="494"/>
      <c r="D304" s="494"/>
      <c r="G304" s="899" t="s">
        <v>81</v>
      </c>
      <c r="H304" s="900"/>
      <c r="I304" s="666">
        <f>I243+I244+I246+I247+I248+I249+I250+I251+I252+I253+I254+I260+I262+I267+I268+I269+I270+I281+I292+I299+I300+I301+I302</f>
        <v>4579.7</v>
      </c>
      <c r="K304"/>
    </row>
    <row r="305" spans="2:11">
      <c r="B305"/>
      <c r="C305" s="494"/>
      <c r="D305" s="494"/>
      <c r="H305"/>
      <c r="I305"/>
      <c r="K305"/>
    </row>
    <row r="306" spans="2:11">
      <c r="B306"/>
      <c r="C306" s="494"/>
      <c r="D306" s="494"/>
      <c r="H306"/>
      <c r="I306"/>
      <c r="K306"/>
    </row>
    <row r="307" spans="2:11">
      <c r="B307"/>
      <c r="C307" s="494"/>
      <c r="D307" s="494"/>
      <c r="H307"/>
      <c r="I307"/>
      <c r="K307"/>
    </row>
    <row r="309" spans="2:11" ht="37.5" customHeight="1">
      <c r="C309" s="495" t="s">
        <v>0</v>
      </c>
      <c r="D309" s="28" t="s">
        <v>72</v>
      </c>
      <c r="E309" s="626" t="s">
        <v>1074</v>
      </c>
      <c r="F309" s="627" t="s">
        <v>75</v>
      </c>
      <c r="G309" s="626" t="s">
        <v>1061</v>
      </c>
      <c r="H309" s="627" t="s">
        <v>636</v>
      </c>
      <c r="I309" s="626" t="s">
        <v>1076</v>
      </c>
    </row>
    <row r="310" spans="2:11" s="494" customFormat="1" ht="17.25" hidden="1" customHeight="1">
      <c r="C310" s="495"/>
      <c r="D310" s="28" t="s">
        <v>3088</v>
      </c>
      <c r="E310" s="356">
        <v>24</v>
      </c>
      <c r="F310" s="679">
        <v>0</v>
      </c>
      <c r="G310" s="356">
        <v>33.4</v>
      </c>
      <c r="H310" s="679">
        <f t="shared" ref="H310:H319" si="18">G310/E310</f>
        <v>1.3916666666666666</v>
      </c>
      <c r="I310" s="356">
        <f>F310*G310</f>
        <v>0</v>
      </c>
      <c r="J310" s="754"/>
      <c r="K310" s="754"/>
    </row>
    <row r="311" spans="2:11" s="494" customFormat="1" ht="17.25" hidden="1" customHeight="1">
      <c r="C311" s="495"/>
      <c r="D311" s="28"/>
      <c r="E311" s="356"/>
      <c r="F311" s="679"/>
      <c r="G311" s="356"/>
      <c r="H311" s="679" t="e">
        <f t="shared" si="18"/>
        <v>#DIV/0!</v>
      </c>
      <c r="I311" s="356">
        <f t="shared" ref="I311:I374" si="19">F311*G311</f>
        <v>0</v>
      </c>
      <c r="J311" s="754"/>
      <c r="K311" s="754"/>
    </row>
    <row r="312" spans="2:11" hidden="1">
      <c r="C312" s="495">
        <v>10427</v>
      </c>
      <c r="D312" s="495" t="s">
        <v>3080</v>
      </c>
      <c r="E312" s="755"/>
      <c r="F312" s="755"/>
      <c r="G312" s="755"/>
      <c r="H312" s="755" t="e">
        <f t="shared" si="18"/>
        <v>#DIV/0!</v>
      </c>
      <c r="I312" s="356">
        <f t="shared" si="19"/>
        <v>0</v>
      </c>
    </row>
    <row r="313" spans="2:11" hidden="1">
      <c r="C313" s="495">
        <v>20006</v>
      </c>
      <c r="D313" s="495" t="s">
        <v>3081</v>
      </c>
      <c r="E313" s="755">
        <v>40</v>
      </c>
      <c r="F313" s="755">
        <v>0</v>
      </c>
      <c r="G313" s="755">
        <v>33.4</v>
      </c>
      <c r="H313" s="755">
        <f t="shared" si="18"/>
        <v>0.83499999999999996</v>
      </c>
      <c r="I313" s="356">
        <f t="shared" si="19"/>
        <v>0</v>
      </c>
    </row>
    <row r="314" spans="2:11" hidden="1">
      <c r="C314" s="495">
        <v>20007</v>
      </c>
      <c r="D314" s="495" t="s">
        <v>3082</v>
      </c>
      <c r="E314" s="755"/>
      <c r="F314" s="755"/>
      <c r="G314" s="755"/>
      <c r="H314" s="755" t="e">
        <f t="shared" si="18"/>
        <v>#DIV/0!</v>
      </c>
      <c r="I314" s="356">
        <f t="shared" si="19"/>
        <v>0</v>
      </c>
    </row>
    <row r="315" spans="2:11" hidden="1">
      <c r="C315" s="495">
        <v>20011</v>
      </c>
      <c r="D315" s="495" t="s">
        <v>3083</v>
      </c>
      <c r="E315" s="755"/>
      <c r="F315" s="755"/>
      <c r="G315" s="755"/>
      <c r="H315" s="755" t="e">
        <f t="shared" si="18"/>
        <v>#DIV/0!</v>
      </c>
      <c r="I315" s="356">
        <f t="shared" si="19"/>
        <v>0</v>
      </c>
    </row>
    <row r="316" spans="2:11" hidden="1">
      <c r="C316" s="495">
        <v>14308</v>
      </c>
      <c r="D316" s="495" t="s">
        <v>3084</v>
      </c>
      <c r="E316" s="755">
        <v>50</v>
      </c>
      <c r="F316" s="755"/>
      <c r="G316" s="755">
        <v>2.4</v>
      </c>
      <c r="H316" s="755">
        <f t="shared" si="18"/>
        <v>4.8000000000000001E-2</v>
      </c>
      <c r="I316" s="356">
        <f t="shared" si="19"/>
        <v>0</v>
      </c>
    </row>
    <row r="317" spans="2:11" hidden="1">
      <c r="C317" s="495">
        <v>20005</v>
      </c>
      <c r="D317" s="495" t="s">
        <v>3085</v>
      </c>
      <c r="E317" s="755">
        <v>48</v>
      </c>
      <c r="F317" s="755"/>
      <c r="G317" s="755">
        <v>27.7</v>
      </c>
      <c r="H317" s="755">
        <f t="shared" si="18"/>
        <v>0.57708333333333328</v>
      </c>
      <c r="I317" s="356">
        <f t="shared" si="19"/>
        <v>0</v>
      </c>
    </row>
    <row r="318" spans="2:11" hidden="1">
      <c r="C318" s="495">
        <v>20008</v>
      </c>
      <c r="D318" s="495" t="s">
        <v>3086</v>
      </c>
      <c r="E318" s="755"/>
      <c r="F318" s="755"/>
      <c r="G318" s="755"/>
      <c r="H318" s="755" t="e">
        <f t="shared" si="18"/>
        <v>#DIV/0!</v>
      </c>
      <c r="I318" s="356">
        <f t="shared" si="19"/>
        <v>0</v>
      </c>
    </row>
    <row r="319" spans="2:11" hidden="1">
      <c r="C319" s="495">
        <v>20009</v>
      </c>
      <c r="D319" s="495" t="s">
        <v>3087</v>
      </c>
      <c r="E319" s="755">
        <v>96</v>
      </c>
      <c r="F319" s="755"/>
      <c r="G319" s="755">
        <v>23.3</v>
      </c>
      <c r="H319" s="755">
        <f t="shared" si="18"/>
        <v>0.24270833333333333</v>
      </c>
      <c r="I319" s="356">
        <f t="shared" si="19"/>
        <v>0</v>
      </c>
    </row>
    <row r="320" spans="2:11" hidden="1">
      <c r="C320" s="495">
        <v>13926</v>
      </c>
      <c r="D320" s="495" t="s">
        <v>2240</v>
      </c>
      <c r="E320" s="755"/>
      <c r="F320" s="755"/>
      <c r="G320" s="755"/>
      <c r="H320" s="755" t="e">
        <f t="shared" ref="H320:H322" si="20">G320/E320</f>
        <v>#DIV/0!</v>
      </c>
      <c r="I320" s="356">
        <f t="shared" si="19"/>
        <v>0</v>
      </c>
    </row>
    <row r="321" spans="3:11" hidden="1">
      <c r="C321" s="495">
        <v>9756</v>
      </c>
      <c r="D321" s="495" t="s">
        <v>3075</v>
      </c>
      <c r="E321" s="755"/>
      <c r="F321" s="755"/>
      <c r="G321" s="755"/>
      <c r="H321" s="755" t="e">
        <f t="shared" si="20"/>
        <v>#DIV/0!</v>
      </c>
      <c r="I321" s="356">
        <f t="shared" si="19"/>
        <v>0</v>
      </c>
    </row>
    <row r="322" spans="3:11" s="771" customFormat="1">
      <c r="C322" s="118">
        <v>15807</v>
      </c>
      <c r="D322" s="118" t="s">
        <v>2966</v>
      </c>
      <c r="E322" s="484">
        <v>20</v>
      </c>
      <c r="F322" s="484">
        <v>30</v>
      </c>
      <c r="G322" s="484">
        <v>33.799999999999997</v>
      </c>
      <c r="H322" s="549">
        <f t="shared" si="20"/>
        <v>1.69</v>
      </c>
      <c r="I322" s="116">
        <f t="shared" si="19"/>
        <v>1013.9999999999999</v>
      </c>
      <c r="J322" s="772" t="s">
        <v>278</v>
      </c>
      <c r="K322" s="772"/>
    </row>
    <row r="323" spans="3:11" hidden="1">
      <c r="C323" s="495">
        <v>20003</v>
      </c>
      <c r="D323" s="495" t="s">
        <v>2689</v>
      </c>
      <c r="E323" s="755"/>
      <c r="F323" s="755"/>
      <c r="G323" s="755"/>
      <c r="H323" s="6" t="e">
        <f t="shared" ref="H323:H354" si="21">G323/E323</f>
        <v>#DIV/0!</v>
      </c>
      <c r="I323" s="356">
        <f t="shared" si="19"/>
        <v>0</v>
      </c>
      <c r="J323" s="754" t="s">
        <v>278</v>
      </c>
    </row>
    <row r="324" spans="3:11" hidden="1">
      <c r="C324" s="495">
        <v>4030</v>
      </c>
      <c r="D324" s="495" t="s">
        <v>2241</v>
      </c>
      <c r="E324" s="755"/>
      <c r="F324" s="755"/>
      <c r="G324" s="755"/>
      <c r="H324" s="6" t="e">
        <f t="shared" si="21"/>
        <v>#DIV/0!</v>
      </c>
      <c r="I324" s="356">
        <f t="shared" si="19"/>
        <v>0</v>
      </c>
      <c r="J324" s="754" t="s">
        <v>278</v>
      </c>
    </row>
    <row r="325" spans="3:11" hidden="1">
      <c r="C325" s="495">
        <v>5047</v>
      </c>
      <c r="D325" s="495" t="s">
        <v>3074</v>
      </c>
      <c r="E325" s="755"/>
      <c r="F325" s="755"/>
      <c r="G325" s="755"/>
      <c r="H325" s="6" t="e">
        <f t="shared" si="21"/>
        <v>#DIV/0!</v>
      </c>
      <c r="I325" s="356">
        <f t="shared" si="19"/>
        <v>0</v>
      </c>
      <c r="J325" s="754" t="s">
        <v>278</v>
      </c>
    </row>
    <row r="326" spans="3:11" hidden="1">
      <c r="C326" s="495">
        <v>10529</v>
      </c>
      <c r="D326" s="495" t="s">
        <v>3073</v>
      </c>
      <c r="E326" s="755"/>
      <c r="F326" s="755"/>
      <c r="G326" s="755"/>
      <c r="H326" s="6" t="e">
        <f t="shared" si="21"/>
        <v>#DIV/0!</v>
      </c>
      <c r="I326" s="356">
        <f t="shared" si="19"/>
        <v>0</v>
      </c>
      <c r="J326" s="754" t="s">
        <v>278</v>
      </c>
    </row>
    <row r="327" spans="3:11" hidden="1">
      <c r="C327" s="495">
        <v>8036</v>
      </c>
      <c r="D327" s="495" t="s">
        <v>3072</v>
      </c>
      <c r="E327" s="755"/>
      <c r="F327" s="755"/>
      <c r="G327" s="755"/>
      <c r="H327" s="6" t="e">
        <f t="shared" si="21"/>
        <v>#DIV/0!</v>
      </c>
      <c r="I327" s="356">
        <f t="shared" si="19"/>
        <v>0</v>
      </c>
      <c r="J327" s="754" t="s">
        <v>278</v>
      </c>
    </row>
    <row r="328" spans="3:11" hidden="1">
      <c r="C328" s="495">
        <v>8162</v>
      </c>
      <c r="D328" s="495" t="s">
        <v>1055</v>
      </c>
      <c r="E328" s="755"/>
      <c r="F328" s="755"/>
      <c r="G328" s="755"/>
      <c r="H328" s="6" t="e">
        <f t="shared" si="21"/>
        <v>#DIV/0!</v>
      </c>
      <c r="I328" s="356">
        <f t="shared" si="19"/>
        <v>0</v>
      </c>
      <c r="J328" s="754" t="s">
        <v>278</v>
      </c>
    </row>
    <row r="329" spans="3:11" hidden="1">
      <c r="C329" s="495">
        <v>17888</v>
      </c>
      <c r="D329" s="495" t="s">
        <v>1056</v>
      </c>
      <c r="E329" s="755"/>
      <c r="F329" s="755"/>
      <c r="G329" s="755"/>
      <c r="H329" s="6" t="e">
        <f t="shared" si="21"/>
        <v>#DIV/0!</v>
      </c>
      <c r="I329" s="356">
        <f t="shared" si="19"/>
        <v>0</v>
      </c>
      <c r="J329" s="754" t="s">
        <v>278</v>
      </c>
    </row>
    <row r="330" spans="3:11" hidden="1">
      <c r="C330" s="495">
        <v>9579</v>
      </c>
      <c r="D330" s="495" t="s">
        <v>1057</v>
      </c>
      <c r="E330" s="755"/>
      <c r="F330" s="755"/>
      <c r="G330" s="755"/>
      <c r="H330" s="6" t="e">
        <f t="shared" si="21"/>
        <v>#DIV/0!</v>
      </c>
      <c r="I330" s="356">
        <f t="shared" si="19"/>
        <v>0</v>
      </c>
      <c r="J330" s="754" t="s">
        <v>278</v>
      </c>
    </row>
    <row r="331" spans="3:11" hidden="1">
      <c r="C331" s="495">
        <v>7960</v>
      </c>
      <c r="D331" s="495" t="s">
        <v>1058</v>
      </c>
      <c r="E331" s="755"/>
      <c r="F331" s="755"/>
      <c r="G331" s="755"/>
      <c r="H331" s="6" t="e">
        <f t="shared" si="21"/>
        <v>#DIV/0!</v>
      </c>
      <c r="I331" s="356">
        <f t="shared" si="19"/>
        <v>0</v>
      </c>
      <c r="J331" s="754" t="s">
        <v>278</v>
      </c>
    </row>
    <row r="332" spans="3:11" hidden="1">
      <c r="C332" s="495">
        <v>950</v>
      </c>
      <c r="D332" s="495" t="s">
        <v>1794</v>
      </c>
      <c r="E332" s="755">
        <v>100</v>
      </c>
      <c r="F332" s="755"/>
      <c r="G332" s="755">
        <v>21.1</v>
      </c>
      <c r="H332" s="6">
        <f t="shared" si="21"/>
        <v>0.21100000000000002</v>
      </c>
      <c r="I332" s="356">
        <f t="shared" si="19"/>
        <v>0</v>
      </c>
      <c r="J332" s="754" t="s">
        <v>278</v>
      </c>
    </row>
    <row r="333" spans="3:11" hidden="1">
      <c r="C333" s="495">
        <v>20010</v>
      </c>
      <c r="D333" s="495" t="s">
        <v>2677</v>
      </c>
      <c r="E333" s="755">
        <v>100</v>
      </c>
      <c r="F333" s="755"/>
      <c r="G333" s="755">
        <v>69.5</v>
      </c>
      <c r="H333" s="6">
        <f t="shared" si="21"/>
        <v>0.69499999999999995</v>
      </c>
      <c r="I333" s="356">
        <f t="shared" si="19"/>
        <v>0</v>
      </c>
      <c r="J333" s="754" t="s">
        <v>278</v>
      </c>
    </row>
    <row r="334" spans="3:11" s="771" customFormat="1">
      <c r="C334" s="118">
        <v>16237</v>
      </c>
      <c r="D334" s="118" t="s">
        <v>2242</v>
      </c>
      <c r="E334" s="484">
        <v>15</v>
      </c>
      <c r="F334" s="484">
        <v>40</v>
      </c>
      <c r="G334" s="484">
        <v>13.5</v>
      </c>
      <c r="H334" s="549">
        <f t="shared" si="21"/>
        <v>0.9</v>
      </c>
      <c r="I334" s="116">
        <f t="shared" si="19"/>
        <v>540</v>
      </c>
      <c r="J334" s="772" t="s">
        <v>278</v>
      </c>
      <c r="K334" s="772"/>
    </row>
    <row r="335" spans="3:11" hidden="1">
      <c r="C335" s="495">
        <v>13717</v>
      </c>
      <c r="D335" s="495" t="s">
        <v>3071</v>
      </c>
      <c r="E335" s="755"/>
      <c r="F335" s="755"/>
      <c r="G335" s="755"/>
      <c r="H335" s="6" t="e">
        <f t="shared" si="21"/>
        <v>#DIV/0!</v>
      </c>
      <c r="I335" s="356">
        <f t="shared" si="19"/>
        <v>0</v>
      </c>
      <c r="J335" s="754" t="s">
        <v>278</v>
      </c>
    </row>
    <row r="336" spans="3:11" hidden="1">
      <c r="C336" s="495">
        <v>13716</v>
      </c>
      <c r="D336" s="495" t="s">
        <v>3070</v>
      </c>
      <c r="E336" s="755"/>
      <c r="F336" s="755"/>
      <c r="G336" s="755"/>
      <c r="H336" s="6" t="e">
        <f t="shared" si="21"/>
        <v>#DIV/0!</v>
      </c>
      <c r="I336" s="356">
        <f t="shared" si="19"/>
        <v>0</v>
      </c>
      <c r="J336" s="754" t="s">
        <v>278</v>
      </c>
    </row>
    <row r="337" spans="3:10" hidden="1">
      <c r="C337" s="495">
        <v>14998</v>
      </c>
      <c r="D337" s="495" t="s">
        <v>3069</v>
      </c>
      <c r="E337" s="755"/>
      <c r="F337" s="755"/>
      <c r="G337" s="755"/>
      <c r="H337" s="6" t="e">
        <f t="shared" si="21"/>
        <v>#DIV/0!</v>
      </c>
      <c r="I337" s="356">
        <f t="shared" si="19"/>
        <v>0</v>
      </c>
      <c r="J337" s="754" t="s">
        <v>278</v>
      </c>
    </row>
    <row r="338" spans="3:10" hidden="1">
      <c r="C338" s="495">
        <v>8256</v>
      </c>
      <c r="D338" s="495" t="s">
        <v>3068</v>
      </c>
      <c r="E338" s="755"/>
      <c r="F338" s="755"/>
      <c r="G338" s="755"/>
      <c r="H338" s="6" t="e">
        <f t="shared" si="21"/>
        <v>#DIV/0!</v>
      </c>
      <c r="I338" s="356">
        <f t="shared" si="19"/>
        <v>0</v>
      </c>
      <c r="J338" s="754" t="s">
        <v>278</v>
      </c>
    </row>
    <row r="339" spans="3:10" hidden="1">
      <c r="C339" s="495">
        <v>20764</v>
      </c>
      <c r="D339" s="495" t="s">
        <v>3067</v>
      </c>
      <c r="E339" s="755"/>
      <c r="F339" s="755"/>
      <c r="G339" s="755"/>
      <c r="H339" s="6" t="e">
        <f t="shared" si="21"/>
        <v>#DIV/0!</v>
      </c>
      <c r="I339" s="356">
        <f t="shared" si="19"/>
        <v>0</v>
      </c>
      <c r="J339" s="754" t="s">
        <v>278</v>
      </c>
    </row>
    <row r="340" spans="3:10" hidden="1">
      <c r="C340" s="495">
        <v>13570</v>
      </c>
      <c r="D340" s="495" t="s">
        <v>3066</v>
      </c>
      <c r="E340" s="755"/>
      <c r="F340" s="755"/>
      <c r="G340" s="755"/>
      <c r="H340" s="6" t="e">
        <f t="shared" si="21"/>
        <v>#DIV/0!</v>
      </c>
      <c r="I340" s="356">
        <f t="shared" si="19"/>
        <v>0</v>
      </c>
      <c r="J340" s="754" t="s">
        <v>278</v>
      </c>
    </row>
    <row r="341" spans="3:10" hidden="1">
      <c r="C341" s="495">
        <v>12392</v>
      </c>
      <c r="D341" s="495" t="s">
        <v>3065</v>
      </c>
      <c r="E341" s="755"/>
      <c r="F341" s="755"/>
      <c r="G341" s="755"/>
      <c r="H341" s="6" t="e">
        <f t="shared" si="21"/>
        <v>#DIV/0!</v>
      </c>
      <c r="I341" s="356">
        <f t="shared" si="19"/>
        <v>0</v>
      </c>
      <c r="J341" s="754" t="s">
        <v>278</v>
      </c>
    </row>
    <row r="342" spans="3:10" hidden="1">
      <c r="C342" s="495">
        <v>6706</v>
      </c>
      <c r="D342" s="495" t="s">
        <v>3064</v>
      </c>
      <c r="E342" s="755"/>
      <c r="F342" s="755"/>
      <c r="G342" s="755"/>
      <c r="H342" s="6" t="e">
        <f t="shared" si="21"/>
        <v>#DIV/0!</v>
      </c>
      <c r="I342" s="356">
        <f t="shared" si="19"/>
        <v>0</v>
      </c>
      <c r="J342" s="754" t="s">
        <v>278</v>
      </c>
    </row>
    <row r="343" spans="3:10" hidden="1">
      <c r="C343" s="495">
        <v>8016</v>
      </c>
      <c r="D343" s="495" t="s">
        <v>2864</v>
      </c>
      <c r="E343" s="755">
        <v>144</v>
      </c>
      <c r="F343" s="755">
        <v>0</v>
      </c>
      <c r="G343" s="755">
        <v>87.5</v>
      </c>
      <c r="H343" s="6">
        <f t="shared" si="21"/>
        <v>0.60763888888888884</v>
      </c>
      <c r="I343" s="356">
        <f t="shared" si="19"/>
        <v>0</v>
      </c>
      <c r="J343" s="754" t="s">
        <v>278</v>
      </c>
    </row>
    <row r="344" spans="3:10" hidden="1">
      <c r="C344" s="495">
        <v>8117</v>
      </c>
      <c r="D344" s="495" t="s">
        <v>2675</v>
      </c>
      <c r="E344" s="755">
        <v>96</v>
      </c>
      <c r="F344" s="755"/>
      <c r="G344" s="755">
        <v>51.2</v>
      </c>
      <c r="H344" s="6">
        <f t="shared" si="21"/>
        <v>0.53333333333333333</v>
      </c>
      <c r="I344" s="356">
        <f t="shared" si="19"/>
        <v>0</v>
      </c>
      <c r="J344" s="754" t="s">
        <v>278</v>
      </c>
    </row>
    <row r="345" spans="3:10" hidden="1">
      <c r="C345" s="495">
        <v>8017</v>
      </c>
      <c r="D345" s="495" t="s">
        <v>2674</v>
      </c>
      <c r="E345" s="755"/>
      <c r="F345" s="755"/>
      <c r="G345" s="755"/>
      <c r="H345" s="6" t="e">
        <f t="shared" si="21"/>
        <v>#DIV/0!</v>
      </c>
      <c r="I345" s="356">
        <f t="shared" si="19"/>
        <v>0</v>
      </c>
      <c r="J345" s="754" t="s">
        <v>278</v>
      </c>
    </row>
    <row r="346" spans="3:10" hidden="1">
      <c r="C346" s="495">
        <v>2026</v>
      </c>
      <c r="D346" s="495" t="s">
        <v>494</v>
      </c>
      <c r="E346" s="755"/>
      <c r="F346" s="755"/>
      <c r="G346" s="755"/>
      <c r="H346" s="6" t="e">
        <f t="shared" si="21"/>
        <v>#DIV/0!</v>
      </c>
      <c r="I346" s="356">
        <f t="shared" si="19"/>
        <v>0</v>
      </c>
      <c r="J346" s="754" t="s">
        <v>278</v>
      </c>
    </row>
    <row r="347" spans="3:10" hidden="1">
      <c r="C347" s="495">
        <v>13836</v>
      </c>
      <c r="D347" s="495" t="s">
        <v>2832</v>
      </c>
      <c r="E347" s="755"/>
      <c r="F347" s="755"/>
      <c r="G347" s="755"/>
      <c r="H347" s="6" t="e">
        <f t="shared" si="21"/>
        <v>#DIV/0!</v>
      </c>
      <c r="I347" s="356">
        <f t="shared" si="19"/>
        <v>0</v>
      </c>
      <c r="J347" s="754" t="s">
        <v>278</v>
      </c>
    </row>
    <row r="348" spans="3:10" hidden="1">
      <c r="C348" s="495">
        <v>14401</v>
      </c>
      <c r="D348" s="495" t="s">
        <v>2833</v>
      </c>
      <c r="E348" s="755"/>
      <c r="F348" s="755"/>
      <c r="G348" s="755"/>
      <c r="H348" s="6" t="e">
        <f t="shared" si="21"/>
        <v>#DIV/0!</v>
      </c>
      <c r="I348" s="356">
        <f t="shared" si="19"/>
        <v>0</v>
      </c>
      <c r="J348" s="754" t="s">
        <v>278</v>
      </c>
    </row>
    <row r="349" spans="3:10" hidden="1">
      <c r="C349" s="495">
        <v>14399</v>
      </c>
      <c r="D349" s="495" t="s">
        <v>2834</v>
      </c>
      <c r="E349" s="755"/>
      <c r="F349" s="755"/>
      <c r="G349" s="755"/>
      <c r="H349" s="6" t="e">
        <f t="shared" si="21"/>
        <v>#DIV/0!</v>
      </c>
      <c r="I349" s="356">
        <f t="shared" si="19"/>
        <v>0</v>
      </c>
      <c r="J349" s="754" t="s">
        <v>278</v>
      </c>
    </row>
    <row r="350" spans="3:10" hidden="1">
      <c r="C350" s="495">
        <v>14400</v>
      </c>
      <c r="D350" s="495" t="s">
        <v>2835</v>
      </c>
      <c r="E350" s="755"/>
      <c r="F350" s="755"/>
      <c r="G350" s="755"/>
      <c r="H350" s="6" t="e">
        <f t="shared" si="21"/>
        <v>#DIV/0!</v>
      </c>
      <c r="I350" s="356">
        <f t="shared" si="19"/>
        <v>0</v>
      </c>
      <c r="J350" s="754" t="s">
        <v>278</v>
      </c>
    </row>
    <row r="351" spans="3:10" hidden="1">
      <c r="C351" s="495">
        <v>13582</v>
      </c>
      <c r="D351" s="495" t="s">
        <v>3063</v>
      </c>
      <c r="E351" s="755"/>
      <c r="F351" s="755"/>
      <c r="G351" s="755"/>
      <c r="H351" s="6" t="e">
        <f t="shared" si="21"/>
        <v>#DIV/0!</v>
      </c>
      <c r="I351" s="356">
        <f t="shared" si="19"/>
        <v>0</v>
      </c>
      <c r="J351" s="754" t="s">
        <v>278</v>
      </c>
    </row>
    <row r="352" spans="3:10" hidden="1">
      <c r="C352" s="495">
        <v>13583</v>
      </c>
      <c r="D352" s="495" t="s">
        <v>3062</v>
      </c>
      <c r="E352" s="755"/>
      <c r="F352" s="755"/>
      <c r="G352" s="755"/>
      <c r="H352" s="6" t="e">
        <f t="shared" si="21"/>
        <v>#DIV/0!</v>
      </c>
      <c r="I352" s="356">
        <f t="shared" si="19"/>
        <v>0</v>
      </c>
      <c r="J352" s="754" t="s">
        <v>278</v>
      </c>
    </row>
    <row r="353" spans="3:11" hidden="1">
      <c r="C353" s="495">
        <v>13585</v>
      </c>
      <c r="D353" s="495" t="s">
        <v>3061</v>
      </c>
      <c r="E353" s="755"/>
      <c r="F353" s="755"/>
      <c r="G353" s="755"/>
      <c r="H353" s="6" t="e">
        <f t="shared" si="21"/>
        <v>#DIV/0!</v>
      </c>
      <c r="I353" s="356">
        <f t="shared" si="19"/>
        <v>0</v>
      </c>
      <c r="J353" s="754" t="s">
        <v>278</v>
      </c>
    </row>
    <row r="354" spans="3:11" s="494" customFormat="1" hidden="1">
      <c r="C354" s="495">
        <v>13584</v>
      </c>
      <c r="D354" s="495" t="s">
        <v>3060</v>
      </c>
      <c r="E354" s="755"/>
      <c r="F354" s="755"/>
      <c r="G354" s="755"/>
      <c r="H354" s="6" t="e">
        <f t="shared" si="21"/>
        <v>#DIV/0!</v>
      </c>
      <c r="I354" s="356">
        <f t="shared" si="19"/>
        <v>0</v>
      </c>
      <c r="J354" s="754" t="s">
        <v>278</v>
      </c>
      <c r="K354" s="754"/>
    </row>
    <row r="355" spans="3:11" hidden="1">
      <c r="C355" s="495">
        <v>13581</v>
      </c>
      <c r="D355" s="495" t="s">
        <v>2836</v>
      </c>
      <c r="E355" s="755"/>
      <c r="F355" s="755"/>
      <c r="G355" s="755"/>
      <c r="H355" s="6" t="e">
        <f t="shared" ref="H355:H386" si="22">G355/E355</f>
        <v>#DIV/0!</v>
      </c>
      <c r="I355" s="356">
        <f t="shared" si="19"/>
        <v>0</v>
      </c>
      <c r="J355" s="754" t="s">
        <v>278</v>
      </c>
    </row>
    <row r="356" spans="3:11" s="771" customFormat="1">
      <c r="C356" s="118">
        <v>18714</v>
      </c>
      <c r="D356" s="118" t="s">
        <v>2670</v>
      </c>
      <c r="E356" s="484">
        <v>24</v>
      </c>
      <c r="F356" s="484">
        <v>23</v>
      </c>
      <c r="G356" s="484">
        <v>12</v>
      </c>
      <c r="H356" s="549">
        <f t="shared" si="22"/>
        <v>0.5</v>
      </c>
      <c r="I356" s="116">
        <f t="shared" si="19"/>
        <v>276</v>
      </c>
      <c r="J356" s="772" t="s">
        <v>278</v>
      </c>
      <c r="K356" s="772"/>
    </row>
    <row r="357" spans="3:11" s="771" customFormat="1">
      <c r="C357" s="118"/>
      <c r="D357" s="118" t="s">
        <v>2691</v>
      </c>
      <c r="E357" s="484">
        <v>24</v>
      </c>
      <c r="F357" s="484">
        <v>20</v>
      </c>
      <c r="G357" s="484">
        <v>12.2</v>
      </c>
      <c r="H357" s="549">
        <f t="shared" si="22"/>
        <v>0.5083333333333333</v>
      </c>
      <c r="I357" s="116">
        <f t="shared" si="19"/>
        <v>244</v>
      </c>
      <c r="J357" s="772" t="s">
        <v>278</v>
      </c>
      <c r="K357" s="772"/>
    </row>
    <row r="358" spans="3:11" hidden="1">
      <c r="C358" s="495">
        <v>9499</v>
      </c>
      <c r="D358" s="495" t="s">
        <v>3059</v>
      </c>
      <c r="E358" s="755"/>
      <c r="F358" s="755"/>
      <c r="G358" s="755"/>
      <c r="H358" s="6" t="e">
        <f t="shared" si="22"/>
        <v>#DIV/0!</v>
      </c>
      <c r="I358" s="356">
        <f t="shared" si="19"/>
        <v>0</v>
      </c>
      <c r="J358" s="754" t="s">
        <v>278</v>
      </c>
    </row>
    <row r="359" spans="3:11" hidden="1">
      <c r="C359" s="495">
        <v>20012</v>
      </c>
      <c r="D359" s="495" t="s">
        <v>2678</v>
      </c>
      <c r="E359" s="755"/>
      <c r="F359" s="755"/>
      <c r="G359" s="755"/>
      <c r="H359" s="6" t="e">
        <f t="shared" si="22"/>
        <v>#DIV/0!</v>
      </c>
      <c r="I359" s="356">
        <f t="shared" si="19"/>
        <v>0</v>
      </c>
      <c r="J359" s="754" t="s">
        <v>278</v>
      </c>
    </row>
    <row r="360" spans="3:11" s="771" customFormat="1">
      <c r="C360" s="118">
        <v>18707</v>
      </c>
      <c r="D360" s="118" t="s">
        <v>2669</v>
      </c>
      <c r="E360" s="484">
        <v>12</v>
      </c>
      <c r="F360" s="484">
        <v>10</v>
      </c>
      <c r="G360" s="484">
        <v>7.7</v>
      </c>
      <c r="H360" s="549">
        <f t="shared" si="22"/>
        <v>0.64166666666666672</v>
      </c>
      <c r="I360" s="116">
        <f t="shared" si="19"/>
        <v>77</v>
      </c>
      <c r="J360" s="772" t="s">
        <v>278</v>
      </c>
      <c r="K360" s="772"/>
    </row>
    <row r="361" spans="3:11" hidden="1">
      <c r="C361" s="495">
        <v>15426</v>
      </c>
      <c r="D361" s="495" t="s">
        <v>2243</v>
      </c>
      <c r="E361" s="755"/>
      <c r="F361" s="755"/>
      <c r="G361" s="755"/>
      <c r="H361" s="6" t="e">
        <f t="shared" si="22"/>
        <v>#DIV/0!</v>
      </c>
      <c r="I361" s="356">
        <f t="shared" si="19"/>
        <v>0</v>
      </c>
      <c r="J361" s="754" t="s">
        <v>278</v>
      </c>
    </row>
    <row r="362" spans="3:11" hidden="1">
      <c r="C362" s="495">
        <v>15430</v>
      </c>
      <c r="D362" s="495" t="s">
        <v>2671</v>
      </c>
      <c r="E362" s="755"/>
      <c r="F362" s="755"/>
      <c r="G362" s="755"/>
      <c r="H362" s="6" t="e">
        <f t="shared" si="22"/>
        <v>#DIV/0!</v>
      </c>
      <c r="I362" s="356">
        <f t="shared" si="19"/>
        <v>0</v>
      </c>
      <c r="J362" s="754" t="s">
        <v>278</v>
      </c>
    </row>
    <row r="363" spans="3:11" hidden="1">
      <c r="C363" s="495">
        <v>15428</v>
      </c>
      <c r="D363" s="495" t="s">
        <v>2244</v>
      </c>
      <c r="E363" s="755"/>
      <c r="F363" s="755"/>
      <c r="G363" s="755"/>
      <c r="H363" s="6" t="e">
        <f t="shared" si="22"/>
        <v>#DIV/0!</v>
      </c>
      <c r="I363" s="356">
        <f t="shared" si="19"/>
        <v>0</v>
      </c>
      <c r="J363" s="754" t="s">
        <v>278</v>
      </c>
    </row>
    <row r="364" spans="3:11" hidden="1">
      <c r="C364" s="495">
        <v>10416</v>
      </c>
      <c r="D364" s="495" t="s">
        <v>2837</v>
      </c>
      <c r="E364" s="755"/>
      <c r="F364" s="755"/>
      <c r="G364" s="755"/>
      <c r="H364" s="6" t="e">
        <f t="shared" si="22"/>
        <v>#DIV/0!</v>
      </c>
      <c r="I364" s="356">
        <f t="shared" si="19"/>
        <v>0</v>
      </c>
      <c r="J364" s="754" t="s">
        <v>278</v>
      </c>
    </row>
    <row r="365" spans="3:11" s="771" customFormat="1" ht="19.5" customHeight="1">
      <c r="C365" s="118">
        <v>9500</v>
      </c>
      <c r="D365" s="118" t="s">
        <v>2665</v>
      </c>
      <c r="E365" s="484">
        <v>24</v>
      </c>
      <c r="F365" s="484">
        <v>25</v>
      </c>
      <c r="G365" s="484">
        <v>17</v>
      </c>
      <c r="H365" s="549">
        <f t="shared" si="22"/>
        <v>0.70833333333333337</v>
      </c>
      <c r="I365" s="116">
        <f t="shared" si="19"/>
        <v>425</v>
      </c>
      <c r="J365" s="772" t="s">
        <v>278</v>
      </c>
      <c r="K365" s="772"/>
    </row>
    <row r="366" spans="3:11" hidden="1">
      <c r="C366" s="495">
        <v>15767</v>
      </c>
      <c r="D366" s="495" t="s">
        <v>2245</v>
      </c>
      <c r="E366" s="755">
        <v>24</v>
      </c>
      <c r="F366" s="755">
        <v>0</v>
      </c>
      <c r="G366" s="755">
        <v>12</v>
      </c>
      <c r="H366" s="6">
        <f t="shared" si="22"/>
        <v>0.5</v>
      </c>
      <c r="I366" s="356">
        <f t="shared" si="19"/>
        <v>0</v>
      </c>
      <c r="J366" s="754" t="s">
        <v>278</v>
      </c>
    </row>
    <row r="367" spans="3:11" s="771" customFormat="1">
      <c r="C367" s="118">
        <v>9252</v>
      </c>
      <c r="D367" s="118" t="s">
        <v>2676</v>
      </c>
      <c r="E367" s="484">
        <v>120</v>
      </c>
      <c r="F367" s="484">
        <v>3</v>
      </c>
      <c r="G367" s="484">
        <v>8.3000000000000007</v>
      </c>
      <c r="H367" s="549">
        <f t="shared" si="22"/>
        <v>6.9166666666666668E-2</v>
      </c>
      <c r="I367" s="116">
        <f t="shared" si="19"/>
        <v>24.900000000000002</v>
      </c>
      <c r="J367" s="772" t="s">
        <v>278</v>
      </c>
      <c r="K367" s="772"/>
    </row>
    <row r="368" spans="3:11" s="494" customFormat="1" hidden="1">
      <c r="C368" s="495">
        <v>13577</v>
      </c>
      <c r="D368" s="495" t="s">
        <v>2666</v>
      </c>
      <c r="E368" s="755"/>
      <c r="F368" s="755"/>
      <c r="G368" s="755"/>
      <c r="H368" s="6" t="e">
        <f t="shared" si="22"/>
        <v>#DIV/0!</v>
      </c>
      <c r="I368" s="356">
        <f t="shared" si="19"/>
        <v>0</v>
      </c>
      <c r="J368" s="754" t="s">
        <v>278</v>
      </c>
      <c r="K368" s="754"/>
    </row>
    <row r="369" spans="3:11" hidden="1">
      <c r="C369" s="495">
        <v>6901</v>
      </c>
      <c r="D369" s="495" t="s">
        <v>1645</v>
      </c>
      <c r="E369" s="755"/>
      <c r="F369" s="755"/>
      <c r="G369" s="755"/>
      <c r="H369" s="6" t="e">
        <f t="shared" si="22"/>
        <v>#DIV/0!</v>
      </c>
      <c r="I369" s="356">
        <f t="shared" si="19"/>
        <v>0</v>
      </c>
      <c r="J369" s="754" t="s">
        <v>278</v>
      </c>
    </row>
    <row r="370" spans="3:11" hidden="1">
      <c r="C370" s="495">
        <v>8309</v>
      </c>
      <c r="D370" s="495" t="s">
        <v>3058</v>
      </c>
      <c r="E370" s="755"/>
      <c r="F370" s="755"/>
      <c r="G370" s="755"/>
      <c r="H370" s="6" t="e">
        <f t="shared" si="22"/>
        <v>#DIV/0!</v>
      </c>
      <c r="I370" s="356">
        <f t="shared" si="19"/>
        <v>0</v>
      </c>
      <c r="J370" s="754" t="s">
        <v>278</v>
      </c>
    </row>
    <row r="371" spans="3:11" s="771" customFormat="1">
      <c r="C371" s="118">
        <v>16239</v>
      </c>
      <c r="D371" s="118" t="s">
        <v>2672</v>
      </c>
      <c r="E371" s="484">
        <v>24</v>
      </c>
      <c r="F371" s="484">
        <v>25</v>
      </c>
      <c r="G371" s="484">
        <v>12</v>
      </c>
      <c r="H371" s="549">
        <f t="shared" si="22"/>
        <v>0.5</v>
      </c>
      <c r="I371" s="116">
        <f t="shared" si="19"/>
        <v>300</v>
      </c>
      <c r="J371" s="772" t="s">
        <v>278</v>
      </c>
      <c r="K371" s="772"/>
    </row>
    <row r="372" spans="3:11" hidden="1">
      <c r="C372" s="495">
        <v>9923</v>
      </c>
      <c r="D372" s="495" t="s">
        <v>2246</v>
      </c>
      <c r="E372" s="755">
        <v>72</v>
      </c>
      <c r="F372" s="755"/>
      <c r="G372" s="755">
        <v>21.6</v>
      </c>
      <c r="H372" s="6">
        <f t="shared" si="22"/>
        <v>0.30000000000000004</v>
      </c>
      <c r="I372" s="356">
        <f t="shared" si="19"/>
        <v>0</v>
      </c>
      <c r="J372" s="754" t="s">
        <v>278</v>
      </c>
    </row>
    <row r="373" spans="3:11" hidden="1">
      <c r="C373" s="495">
        <v>13568</v>
      </c>
      <c r="D373" s="495" t="s">
        <v>3057</v>
      </c>
      <c r="E373" s="755"/>
      <c r="F373" s="755"/>
      <c r="G373" s="755"/>
      <c r="H373" s="6" t="e">
        <f t="shared" si="22"/>
        <v>#DIV/0!</v>
      </c>
      <c r="I373" s="356">
        <f t="shared" si="19"/>
        <v>0</v>
      </c>
      <c r="J373" s="754" t="s">
        <v>278</v>
      </c>
    </row>
    <row r="374" spans="3:11" hidden="1">
      <c r="C374" s="495">
        <v>17887</v>
      </c>
      <c r="D374" s="495" t="s">
        <v>2247</v>
      </c>
      <c r="E374" s="755"/>
      <c r="F374" s="755"/>
      <c r="G374" s="755"/>
      <c r="H374" s="6" t="e">
        <f t="shared" si="22"/>
        <v>#DIV/0!</v>
      </c>
      <c r="I374" s="356">
        <f t="shared" si="19"/>
        <v>0</v>
      </c>
      <c r="J374" s="754" t="s">
        <v>278</v>
      </c>
    </row>
    <row r="375" spans="3:11" hidden="1">
      <c r="C375" s="495">
        <v>11384</v>
      </c>
      <c r="D375" s="495" t="s">
        <v>2248</v>
      </c>
      <c r="E375" s="755"/>
      <c r="F375" s="755"/>
      <c r="G375" s="755"/>
      <c r="H375" s="6" t="e">
        <f t="shared" si="22"/>
        <v>#DIV/0!</v>
      </c>
      <c r="I375" s="356">
        <f t="shared" ref="I375:I420" si="23">F375*G375</f>
        <v>0</v>
      </c>
      <c r="J375" s="754" t="s">
        <v>278</v>
      </c>
    </row>
    <row r="376" spans="3:11" hidden="1">
      <c r="C376" s="495">
        <v>13718</v>
      </c>
      <c r="D376" s="495" t="s">
        <v>2249</v>
      </c>
      <c r="E376" s="755"/>
      <c r="F376" s="755"/>
      <c r="G376" s="755"/>
      <c r="H376" s="6" t="e">
        <f t="shared" si="22"/>
        <v>#DIV/0!</v>
      </c>
      <c r="I376" s="356">
        <f t="shared" si="23"/>
        <v>0</v>
      </c>
      <c r="J376" s="754" t="s">
        <v>278</v>
      </c>
    </row>
    <row r="377" spans="3:11" hidden="1">
      <c r="C377" s="495">
        <v>10228</v>
      </c>
      <c r="D377" s="495" t="s">
        <v>2250</v>
      </c>
      <c r="E377" s="755"/>
      <c r="F377" s="755"/>
      <c r="G377" s="755"/>
      <c r="H377" s="6" t="e">
        <f t="shared" si="22"/>
        <v>#DIV/0!</v>
      </c>
      <c r="I377" s="356">
        <f t="shared" si="23"/>
        <v>0</v>
      </c>
      <c r="J377" s="754" t="s">
        <v>278</v>
      </c>
    </row>
    <row r="378" spans="3:11" hidden="1">
      <c r="C378" s="495">
        <v>10238</v>
      </c>
      <c r="D378" s="495" t="s">
        <v>1776</v>
      </c>
      <c r="E378" s="755"/>
      <c r="F378" s="755"/>
      <c r="G378" s="755"/>
      <c r="H378" s="6" t="e">
        <f t="shared" si="22"/>
        <v>#DIV/0!</v>
      </c>
      <c r="I378" s="356">
        <f t="shared" si="23"/>
        <v>0</v>
      </c>
      <c r="J378" s="754" t="s">
        <v>278</v>
      </c>
    </row>
    <row r="379" spans="3:11" hidden="1">
      <c r="C379" s="495">
        <v>15750</v>
      </c>
      <c r="D379" s="495" t="s">
        <v>2838</v>
      </c>
      <c r="E379" s="755"/>
      <c r="F379" s="755"/>
      <c r="G379" s="755"/>
      <c r="H379" s="6" t="e">
        <f t="shared" si="22"/>
        <v>#DIV/0!</v>
      </c>
      <c r="I379" s="356">
        <f t="shared" si="23"/>
        <v>0</v>
      </c>
      <c r="J379" s="754" t="s">
        <v>278</v>
      </c>
    </row>
    <row r="380" spans="3:11" hidden="1">
      <c r="C380" s="495">
        <v>8000</v>
      </c>
      <c r="D380" s="495" t="s">
        <v>2839</v>
      </c>
      <c r="E380" s="755"/>
      <c r="F380" s="755"/>
      <c r="G380" s="755"/>
      <c r="H380" s="6" t="e">
        <f t="shared" si="22"/>
        <v>#DIV/0!</v>
      </c>
      <c r="I380" s="356">
        <f t="shared" si="23"/>
        <v>0</v>
      </c>
      <c r="J380" s="754" t="s">
        <v>278</v>
      </c>
    </row>
    <row r="381" spans="3:11" s="771" customFormat="1">
      <c r="C381" s="118">
        <v>20014</v>
      </c>
      <c r="D381" s="118" t="s">
        <v>3076</v>
      </c>
      <c r="E381" s="484">
        <v>20</v>
      </c>
      <c r="F381" s="484">
        <v>5</v>
      </c>
      <c r="G381" s="484">
        <v>43</v>
      </c>
      <c r="H381" s="549">
        <f t="shared" si="22"/>
        <v>2.15</v>
      </c>
      <c r="I381" s="116">
        <f t="shared" si="23"/>
        <v>215</v>
      </c>
      <c r="J381" s="772" t="s">
        <v>278</v>
      </c>
      <c r="K381" s="772"/>
    </row>
    <row r="382" spans="3:11" hidden="1">
      <c r="C382" s="495">
        <v>13719</v>
      </c>
      <c r="D382" s="495" t="s">
        <v>2251</v>
      </c>
      <c r="E382" s="755"/>
      <c r="F382" s="755"/>
      <c r="G382" s="755"/>
      <c r="H382" s="6" t="e">
        <f t="shared" si="22"/>
        <v>#DIV/0!</v>
      </c>
      <c r="I382" s="356">
        <f t="shared" si="23"/>
        <v>0</v>
      </c>
      <c r="J382" s="754" t="s">
        <v>278</v>
      </c>
    </row>
    <row r="383" spans="3:11" s="494" customFormat="1" hidden="1">
      <c r="C383" s="495">
        <v>13720</v>
      </c>
      <c r="D383" s="495" t="s">
        <v>2252</v>
      </c>
      <c r="E383" s="755"/>
      <c r="F383" s="755"/>
      <c r="G383" s="755"/>
      <c r="H383" s="6" t="e">
        <f t="shared" si="22"/>
        <v>#DIV/0!</v>
      </c>
      <c r="I383" s="356">
        <f t="shared" si="23"/>
        <v>0</v>
      </c>
      <c r="J383" s="754" t="s">
        <v>278</v>
      </c>
      <c r="K383" s="754"/>
    </row>
    <row r="384" spans="3:11" hidden="1">
      <c r="C384" s="495">
        <v>9755</v>
      </c>
      <c r="D384" s="495" t="s">
        <v>2253</v>
      </c>
      <c r="E384" s="755">
        <v>24</v>
      </c>
      <c r="F384" s="755"/>
      <c r="G384" s="755">
        <v>13.5</v>
      </c>
      <c r="H384" s="6">
        <f t="shared" si="22"/>
        <v>0.5625</v>
      </c>
      <c r="I384" s="356">
        <f t="shared" si="23"/>
        <v>0</v>
      </c>
      <c r="J384" s="754" t="s">
        <v>278</v>
      </c>
    </row>
    <row r="385" spans="3:11" ht="15" hidden="1" customHeight="1">
      <c r="C385" s="495">
        <v>10396</v>
      </c>
      <c r="D385" s="495" t="s">
        <v>2254</v>
      </c>
      <c r="E385" s="755">
        <v>12</v>
      </c>
      <c r="F385" s="755">
        <v>0</v>
      </c>
      <c r="G385" s="755">
        <v>13.5</v>
      </c>
      <c r="H385" s="6">
        <f t="shared" si="22"/>
        <v>1.125</v>
      </c>
      <c r="I385" s="356">
        <f t="shared" si="23"/>
        <v>0</v>
      </c>
      <c r="J385" s="754" t="s">
        <v>278</v>
      </c>
    </row>
    <row r="386" spans="3:11" hidden="1">
      <c r="C386" s="495">
        <v>13580</v>
      </c>
      <c r="D386" s="495" t="s">
        <v>2912</v>
      </c>
      <c r="E386" s="755"/>
      <c r="F386" s="755"/>
      <c r="G386" s="755"/>
      <c r="H386" s="6" t="e">
        <f t="shared" si="22"/>
        <v>#DIV/0!</v>
      </c>
      <c r="I386" s="356">
        <f t="shared" si="23"/>
        <v>0</v>
      </c>
      <c r="J386" s="754" t="s">
        <v>278</v>
      </c>
    </row>
    <row r="387" spans="3:11" s="771" customFormat="1">
      <c r="C387" s="118"/>
      <c r="D387" s="118" t="s">
        <v>3090</v>
      </c>
      <c r="E387" s="484">
        <v>50</v>
      </c>
      <c r="F387" s="484">
        <v>10</v>
      </c>
      <c r="G387" s="484">
        <v>2.4</v>
      </c>
      <c r="H387" s="549">
        <f t="shared" ref="H387:H392" si="24">G387/E387</f>
        <v>4.8000000000000001E-2</v>
      </c>
      <c r="I387" s="116">
        <f t="shared" si="23"/>
        <v>24</v>
      </c>
      <c r="J387" s="772" t="s">
        <v>278</v>
      </c>
      <c r="K387" s="772"/>
    </row>
    <row r="388" spans="3:11" s="771" customFormat="1">
      <c r="C388" s="118"/>
      <c r="D388" s="118" t="s">
        <v>3091</v>
      </c>
      <c r="E388" s="484">
        <v>25</v>
      </c>
      <c r="F388" s="484">
        <v>2</v>
      </c>
      <c r="G388" s="484">
        <v>25.6</v>
      </c>
      <c r="H388" s="549">
        <f t="shared" si="24"/>
        <v>1.024</v>
      </c>
      <c r="I388" s="116">
        <f t="shared" si="23"/>
        <v>51.2</v>
      </c>
      <c r="J388" s="772" t="s">
        <v>278</v>
      </c>
      <c r="K388" s="772"/>
    </row>
    <row r="389" spans="3:11" s="771" customFormat="1">
      <c r="C389" s="118"/>
      <c r="D389" s="118" t="s">
        <v>3093</v>
      </c>
      <c r="E389" s="484">
        <v>20</v>
      </c>
      <c r="F389" s="484">
        <v>2</v>
      </c>
      <c r="G389" s="484">
        <v>22.5</v>
      </c>
      <c r="H389" s="549">
        <f t="shared" si="24"/>
        <v>1.125</v>
      </c>
      <c r="I389" s="116">
        <f t="shared" si="23"/>
        <v>45</v>
      </c>
      <c r="J389" s="772" t="s">
        <v>278</v>
      </c>
      <c r="K389" s="772"/>
    </row>
    <row r="390" spans="3:11" s="771" customFormat="1" hidden="1">
      <c r="C390" s="118"/>
      <c r="D390" s="118" t="s">
        <v>3092</v>
      </c>
      <c r="E390" s="484">
        <v>25</v>
      </c>
      <c r="F390" s="484">
        <v>0</v>
      </c>
      <c r="G390" s="484">
        <v>29.7</v>
      </c>
      <c r="H390" s="549">
        <f t="shared" si="24"/>
        <v>1.1879999999999999</v>
      </c>
      <c r="I390" s="116">
        <f t="shared" si="23"/>
        <v>0</v>
      </c>
      <c r="J390" s="772" t="s">
        <v>278</v>
      </c>
      <c r="K390" s="772"/>
    </row>
    <row r="391" spans="3:11" s="771" customFormat="1">
      <c r="C391" s="118"/>
      <c r="D391" s="118" t="s">
        <v>3094</v>
      </c>
      <c r="E391" s="484">
        <v>20</v>
      </c>
      <c r="F391" s="484">
        <v>2</v>
      </c>
      <c r="G391" s="484">
        <v>29.2</v>
      </c>
      <c r="H391" s="549">
        <f t="shared" si="24"/>
        <v>1.46</v>
      </c>
      <c r="I391" s="116">
        <f t="shared" si="23"/>
        <v>58.4</v>
      </c>
      <c r="J391" s="772" t="s">
        <v>278</v>
      </c>
      <c r="K391" s="772"/>
    </row>
    <row r="392" spans="3:11" s="494" customFormat="1" hidden="1">
      <c r="C392" s="495"/>
      <c r="D392" s="495"/>
      <c r="E392" s="755"/>
      <c r="F392" s="755"/>
      <c r="G392" s="755"/>
      <c r="H392" s="6" t="e">
        <f t="shared" si="24"/>
        <v>#DIV/0!</v>
      </c>
      <c r="I392" s="356">
        <f t="shared" si="23"/>
        <v>0</v>
      </c>
      <c r="J392" s="754" t="s">
        <v>278</v>
      </c>
      <c r="K392" s="754"/>
    </row>
    <row r="393" spans="3:11" hidden="1">
      <c r="C393" s="495">
        <v>5864</v>
      </c>
      <c r="D393" s="495" t="s">
        <v>2687</v>
      </c>
      <c r="E393" s="755"/>
      <c r="F393" s="755"/>
      <c r="G393" s="755"/>
      <c r="H393" s="6" t="e">
        <f t="shared" ref="H393:H417" si="25">G393/E393</f>
        <v>#DIV/0!</v>
      </c>
      <c r="I393" s="356">
        <f t="shared" si="23"/>
        <v>0</v>
      </c>
      <c r="J393" s="754" t="s">
        <v>278</v>
      </c>
    </row>
    <row r="394" spans="3:11" hidden="1">
      <c r="C394" s="495">
        <v>13569</v>
      </c>
      <c r="D394" s="495" t="s">
        <v>3056</v>
      </c>
      <c r="E394" s="755"/>
      <c r="F394" s="755"/>
      <c r="G394" s="755"/>
      <c r="H394" s="6" t="e">
        <f t="shared" si="25"/>
        <v>#DIV/0!</v>
      </c>
      <c r="I394" s="356">
        <f t="shared" si="23"/>
        <v>0</v>
      </c>
      <c r="J394" s="754" t="s">
        <v>278</v>
      </c>
    </row>
    <row r="395" spans="3:11" hidden="1">
      <c r="C395" s="495">
        <v>13578</v>
      </c>
      <c r="D395" s="495" t="s">
        <v>2673</v>
      </c>
      <c r="E395" s="755"/>
      <c r="F395" s="755"/>
      <c r="G395" s="755"/>
      <c r="H395" s="6" t="e">
        <f t="shared" si="25"/>
        <v>#DIV/0!</v>
      </c>
      <c r="I395" s="356">
        <f t="shared" si="23"/>
        <v>0</v>
      </c>
      <c r="J395" s="754" t="s">
        <v>278</v>
      </c>
    </row>
    <row r="396" spans="3:11" s="771" customFormat="1" ht="13.5" customHeight="1">
      <c r="C396" s="118"/>
      <c r="D396" s="118" t="s">
        <v>3077</v>
      </c>
      <c r="E396" s="484">
        <v>12</v>
      </c>
      <c r="F396" s="484">
        <v>10</v>
      </c>
      <c r="G396" s="484">
        <v>8.6</v>
      </c>
      <c r="H396" s="549">
        <f t="shared" si="25"/>
        <v>0.71666666666666667</v>
      </c>
      <c r="I396" s="116">
        <f t="shared" si="23"/>
        <v>86</v>
      </c>
      <c r="J396" s="772" t="s">
        <v>278</v>
      </c>
      <c r="K396" s="772"/>
    </row>
    <row r="397" spans="3:11" s="771" customFormat="1">
      <c r="C397" s="118"/>
      <c r="D397" s="118" t="s">
        <v>3078</v>
      </c>
      <c r="E397" s="484">
        <v>12</v>
      </c>
      <c r="F397" s="484">
        <v>10</v>
      </c>
      <c r="G397" s="484">
        <v>9.35</v>
      </c>
      <c r="H397" s="549">
        <f t="shared" si="25"/>
        <v>0.77916666666666667</v>
      </c>
      <c r="I397" s="116">
        <f t="shared" si="23"/>
        <v>93.5</v>
      </c>
      <c r="J397" s="772" t="s">
        <v>278</v>
      </c>
      <c r="K397" s="772"/>
    </row>
    <row r="398" spans="3:11" hidden="1">
      <c r="C398" s="495">
        <v>2647</v>
      </c>
      <c r="D398" s="495" t="s">
        <v>2255</v>
      </c>
      <c r="E398" s="755">
        <v>252</v>
      </c>
      <c r="F398" s="755">
        <v>0</v>
      </c>
      <c r="G398" s="755">
        <v>37.200000000000003</v>
      </c>
      <c r="H398" s="6">
        <f t="shared" si="25"/>
        <v>0.14761904761904762</v>
      </c>
      <c r="I398" s="356">
        <f t="shared" si="23"/>
        <v>0</v>
      </c>
      <c r="J398" s="754" t="s">
        <v>278</v>
      </c>
    </row>
    <row r="399" spans="3:11" s="771" customFormat="1">
      <c r="C399" s="118">
        <v>7644</v>
      </c>
      <c r="D399" s="118" t="s">
        <v>3055</v>
      </c>
      <c r="E399" s="484">
        <v>72</v>
      </c>
      <c r="F399" s="484">
        <v>4</v>
      </c>
      <c r="G399" s="484">
        <v>31.7</v>
      </c>
      <c r="H399" s="549">
        <f t="shared" si="25"/>
        <v>0.44027777777777777</v>
      </c>
      <c r="I399" s="116">
        <f t="shared" si="23"/>
        <v>126.8</v>
      </c>
      <c r="J399" s="772" t="s">
        <v>278</v>
      </c>
      <c r="K399" s="772"/>
    </row>
    <row r="400" spans="3:11" hidden="1">
      <c r="C400" s="495">
        <v>14402</v>
      </c>
      <c r="D400" s="495" t="s">
        <v>3054</v>
      </c>
      <c r="E400" s="755"/>
      <c r="F400" s="755"/>
      <c r="G400" s="755"/>
      <c r="H400" s="6" t="e">
        <f t="shared" si="25"/>
        <v>#DIV/0!</v>
      </c>
      <c r="I400" s="356">
        <f t="shared" si="23"/>
        <v>0</v>
      </c>
      <c r="J400" s="754" t="s">
        <v>278</v>
      </c>
    </row>
    <row r="401" spans="3:11" hidden="1">
      <c r="C401" s="495">
        <v>14403</v>
      </c>
      <c r="D401" s="495" t="s">
        <v>2668</v>
      </c>
      <c r="E401" s="755"/>
      <c r="F401" s="755"/>
      <c r="G401" s="755"/>
      <c r="H401" s="6" t="e">
        <f t="shared" si="25"/>
        <v>#DIV/0!</v>
      </c>
      <c r="I401" s="356">
        <f t="shared" si="23"/>
        <v>0</v>
      </c>
      <c r="J401" s="754" t="s">
        <v>278</v>
      </c>
    </row>
    <row r="402" spans="3:11" hidden="1">
      <c r="C402" s="495">
        <v>13579</v>
      </c>
      <c r="D402" s="495" t="s">
        <v>2840</v>
      </c>
      <c r="E402" s="755"/>
      <c r="F402" s="755"/>
      <c r="G402" s="755"/>
      <c r="H402" s="6" t="e">
        <f t="shared" si="25"/>
        <v>#DIV/0!</v>
      </c>
      <c r="I402" s="356">
        <f t="shared" si="23"/>
        <v>0</v>
      </c>
      <c r="J402" s="754" t="s">
        <v>278</v>
      </c>
    </row>
    <row r="403" spans="3:11" hidden="1">
      <c r="C403" s="495">
        <v>14481</v>
      </c>
      <c r="D403" s="495" t="s">
        <v>2841</v>
      </c>
      <c r="E403" s="755"/>
      <c r="F403" s="755"/>
      <c r="G403" s="755"/>
      <c r="H403" s="6" t="e">
        <f t="shared" si="25"/>
        <v>#DIV/0!</v>
      </c>
      <c r="I403" s="356">
        <f t="shared" si="23"/>
        <v>0</v>
      </c>
      <c r="J403" s="754" t="s">
        <v>278</v>
      </c>
    </row>
    <row r="404" spans="3:11" hidden="1">
      <c r="C404" s="495">
        <v>13964</v>
      </c>
      <c r="D404" s="495" t="s">
        <v>2842</v>
      </c>
      <c r="E404" s="755"/>
      <c r="F404" s="755"/>
      <c r="G404" s="755"/>
      <c r="H404" s="6" t="e">
        <f t="shared" si="25"/>
        <v>#DIV/0!</v>
      </c>
      <c r="I404" s="356">
        <f t="shared" si="23"/>
        <v>0</v>
      </c>
      <c r="J404" s="754" t="s">
        <v>278</v>
      </c>
    </row>
    <row r="405" spans="3:11" hidden="1">
      <c r="C405" s="495">
        <v>14479</v>
      </c>
      <c r="D405" s="495" t="s">
        <v>3053</v>
      </c>
      <c r="E405" s="755"/>
      <c r="F405" s="755"/>
      <c r="G405" s="755"/>
      <c r="H405" s="6" t="e">
        <f t="shared" si="25"/>
        <v>#DIV/0!</v>
      </c>
      <c r="I405" s="356">
        <f t="shared" si="23"/>
        <v>0</v>
      </c>
      <c r="J405" s="754" t="s">
        <v>278</v>
      </c>
    </row>
    <row r="406" spans="3:11" hidden="1">
      <c r="C406" s="495">
        <v>15000</v>
      </c>
      <c r="D406" s="495" t="s">
        <v>2843</v>
      </c>
      <c r="E406" s="755"/>
      <c r="F406" s="755"/>
      <c r="G406" s="755"/>
      <c r="H406" s="6" t="e">
        <f t="shared" si="25"/>
        <v>#DIV/0!</v>
      </c>
      <c r="I406" s="356">
        <f t="shared" si="23"/>
        <v>0</v>
      </c>
      <c r="J406" s="754" t="s">
        <v>278</v>
      </c>
    </row>
    <row r="407" spans="3:11" hidden="1">
      <c r="C407" s="495">
        <v>14999</v>
      </c>
      <c r="D407" s="495" t="s">
        <v>2667</v>
      </c>
      <c r="E407" s="755"/>
      <c r="F407" s="755"/>
      <c r="G407" s="755"/>
      <c r="H407" s="6" t="e">
        <f t="shared" si="25"/>
        <v>#DIV/0!</v>
      </c>
      <c r="I407" s="356">
        <f t="shared" si="23"/>
        <v>0</v>
      </c>
      <c r="J407" s="754" t="s">
        <v>278</v>
      </c>
    </row>
    <row r="408" spans="3:11" s="494" customFormat="1" hidden="1">
      <c r="C408" s="495">
        <v>14480</v>
      </c>
      <c r="D408" s="495" t="s">
        <v>3052</v>
      </c>
      <c r="E408" s="755"/>
      <c r="F408" s="755"/>
      <c r="G408" s="755"/>
      <c r="H408" s="6" t="e">
        <f t="shared" si="25"/>
        <v>#DIV/0!</v>
      </c>
      <c r="I408" s="356">
        <f t="shared" si="23"/>
        <v>0</v>
      </c>
      <c r="J408" s="754" t="s">
        <v>278</v>
      </c>
      <c r="K408" s="754"/>
    </row>
    <row r="409" spans="3:11" hidden="1">
      <c r="C409" s="495">
        <v>17889</v>
      </c>
      <c r="D409" s="495" t="s">
        <v>1795</v>
      </c>
      <c r="E409" s="755"/>
      <c r="F409" s="755"/>
      <c r="G409" s="755"/>
      <c r="H409" s="6" t="e">
        <f t="shared" si="25"/>
        <v>#DIV/0!</v>
      </c>
      <c r="I409" s="356">
        <f t="shared" si="23"/>
        <v>0</v>
      </c>
      <c r="J409" s="754" t="s">
        <v>278</v>
      </c>
    </row>
    <row r="410" spans="3:11" hidden="1">
      <c r="C410" s="495">
        <v>7101</v>
      </c>
      <c r="D410" s="495" t="s">
        <v>3051</v>
      </c>
      <c r="E410" s="755"/>
      <c r="F410" s="755"/>
      <c r="G410" s="755"/>
      <c r="H410" s="6" t="e">
        <f t="shared" si="25"/>
        <v>#DIV/0!</v>
      </c>
      <c r="I410" s="356">
        <f t="shared" si="23"/>
        <v>0</v>
      </c>
      <c r="J410" s="754" t="s">
        <v>278</v>
      </c>
    </row>
    <row r="411" spans="3:11" hidden="1">
      <c r="C411" s="495">
        <v>9771</v>
      </c>
      <c r="D411" s="495" t="s">
        <v>3050</v>
      </c>
      <c r="E411" s="755"/>
      <c r="F411" s="755"/>
      <c r="G411" s="755"/>
      <c r="H411" s="6" t="e">
        <f t="shared" si="25"/>
        <v>#DIV/0!</v>
      </c>
      <c r="I411" s="356">
        <f t="shared" si="23"/>
        <v>0</v>
      </c>
      <c r="J411" s="754" t="s">
        <v>278</v>
      </c>
    </row>
    <row r="412" spans="3:11" hidden="1">
      <c r="C412" s="495">
        <v>9772</v>
      </c>
      <c r="D412" s="495" t="s">
        <v>3049</v>
      </c>
      <c r="E412" s="755"/>
      <c r="F412" s="755"/>
      <c r="G412" s="755"/>
      <c r="H412" s="6" t="e">
        <f t="shared" si="25"/>
        <v>#DIV/0!</v>
      </c>
      <c r="I412" s="356">
        <f t="shared" si="23"/>
        <v>0</v>
      </c>
      <c r="J412" s="754" t="s">
        <v>278</v>
      </c>
    </row>
    <row r="413" spans="3:11" hidden="1">
      <c r="C413" s="495">
        <v>13331</v>
      </c>
      <c r="D413" s="495" t="s">
        <v>2844</v>
      </c>
      <c r="E413" s="755"/>
      <c r="F413" s="755"/>
      <c r="G413" s="755"/>
      <c r="H413" s="6" t="e">
        <f t="shared" si="25"/>
        <v>#DIV/0!</v>
      </c>
      <c r="I413" s="356">
        <f t="shared" si="23"/>
        <v>0</v>
      </c>
      <c r="J413" s="754" t="s">
        <v>278</v>
      </c>
    </row>
    <row r="414" spans="3:11" hidden="1">
      <c r="C414" s="495">
        <v>13329</v>
      </c>
      <c r="D414" s="495" t="s">
        <v>2845</v>
      </c>
      <c r="E414" s="755"/>
      <c r="F414" s="755"/>
      <c r="G414" s="755"/>
      <c r="H414" s="6" t="e">
        <f t="shared" si="25"/>
        <v>#DIV/0!</v>
      </c>
      <c r="I414" s="356">
        <f t="shared" si="23"/>
        <v>0</v>
      </c>
      <c r="J414" s="754" t="s">
        <v>278</v>
      </c>
    </row>
    <row r="415" spans="3:11" hidden="1">
      <c r="C415" s="495">
        <v>13330</v>
      </c>
      <c r="D415" s="495" t="s">
        <v>3048</v>
      </c>
      <c r="E415" s="755"/>
      <c r="F415" s="755"/>
      <c r="G415" s="755"/>
      <c r="H415" s="6" t="e">
        <f t="shared" si="25"/>
        <v>#DIV/0!</v>
      </c>
      <c r="I415" s="356">
        <f t="shared" si="23"/>
        <v>0</v>
      </c>
      <c r="J415" s="754" t="s">
        <v>278</v>
      </c>
    </row>
    <row r="416" spans="3:11" s="771" customFormat="1">
      <c r="C416" s="118">
        <v>20013</v>
      </c>
      <c r="D416" s="118" t="s">
        <v>3079</v>
      </c>
      <c r="E416" s="484">
        <v>80</v>
      </c>
      <c r="F416" s="484">
        <v>10</v>
      </c>
      <c r="G416" s="484">
        <v>36.9</v>
      </c>
      <c r="H416" s="549">
        <f t="shared" si="25"/>
        <v>0.46124999999999999</v>
      </c>
      <c r="I416" s="116">
        <f t="shared" si="23"/>
        <v>369</v>
      </c>
      <c r="J416" s="772" t="s">
        <v>278</v>
      </c>
      <c r="K416" s="772"/>
    </row>
    <row r="417" spans="3:11" hidden="1">
      <c r="C417" s="495">
        <v>13721</v>
      </c>
      <c r="D417" s="495" t="s">
        <v>2846</v>
      </c>
      <c r="E417" s="755"/>
      <c r="F417" s="755"/>
      <c r="G417" s="755"/>
      <c r="H417" s="6" t="e">
        <f t="shared" si="25"/>
        <v>#DIV/0!</v>
      </c>
      <c r="I417" s="356">
        <f t="shared" si="23"/>
        <v>0</v>
      </c>
      <c r="J417" s="754" t="s">
        <v>278</v>
      </c>
    </row>
    <row r="418" spans="3:11" hidden="1">
      <c r="C418" s="495"/>
      <c r="D418" s="495" t="s">
        <v>3089</v>
      </c>
      <c r="E418" s="755"/>
      <c r="F418" s="755"/>
      <c r="G418" s="755"/>
      <c r="H418" s="6" t="e">
        <f t="shared" ref="H418:H420" si="26">G418/E418</f>
        <v>#DIV/0!</v>
      </c>
      <c r="I418" s="356">
        <f t="shared" si="23"/>
        <v>0</v>
      </c>
      <c r="J418" s="754" t="s">
        <v>278</v>
      </c>
    </row>
    <row r="419" spans="3:11" s="771" customFormat="1">
      <c r="C419" s="118"/>
      <c r="D419" s="118" t="s">
        <v>2694</v>
      </c>
      <c r="E419" s="484">
        <v>48</v>
      </c>
      <c r="F419" s="484">
        <v>5</v>
      </c>
      <c r="G419" s="484">
        <v>19.5</v>
      </c>
      <c r="H419" s="549">
        <f t="shared" si="26"/>
        <v>0.40625</v>
      </c>
      <c r="I419" s="116">
        <f t="shared" si="23"/>
        <v>97.5</v>
      </c>
      <c r="J419" s="772" t="s">
        <v>278</v>
      </c>
      <c r="K419" s="772"/>
    </row>
    <row r="420" spans="3:11" s="771" customFormat="1">
      <c r="C420" s="118"/>
      <c r="D420" s="118" t="s">
        <v>2693</v>
      </c>
      <c r="E420" s="484">
        <v>48</v>
      </c>
      <c r="F420" s="484">
        <v>5</v>
      </c>
      <c r="G420" s="484">
        <v>19.5</v>
      </c>
      <c r="H420" s="549">
        <f t="shared" si="26"/>
        <v>0.40625</v>
      </c>
      <c r="I420" s="116">
        <f t="shared" si="23"/>
        <v>97.5</v>
      </c>
      <c r="J420" s="772" t="s">
        <v>278</v>
      </c>
      <c r="K420" s="772"/>
    </row>
    <row r="421" spans="3:11" ht="15.75" thickBot="1">
      <c r="D421" s="14" t="s">
        <v>72</v>
      </c>
      <c r="G421" s="897" t="s">
        <v>81</v>
      </c>
      <c r="H421" s="898"/>
      <c r="I421" s="761">
        <f>SUM(I310:I420)</f>
        <v>4164.8</v>
      </c>
    </row>
  </sheetData>
  <sortState ref="C310:I411">
    <sortCondition ref="D310:D411"/>
  </sortState>
  <mergeCells count="10">
    <mergeCell ref="G421:H421"/>
    <mergeCell ref="G304:H304"/>
    <mergeCell ref="G239:H239"/>
    <mergeCell ref="G172:H172"/>
    <mergeCell ref="G173:H173"/>
    <mergeCell ref="E25:H25"/>
    <mergeCell ref="J52:K52"/>
    <mergeCell ref="E99:F99"/>
    <mergeCell ref="E98:F98"/>
    <mergeCell ref="E109:F109"/>
  </mergeCells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workbookViewId="0">
      <selection activeCell="E17" sqref="E17"/>
    </sheetView>
  </sheetViews>
  <sheetFormatPr baseColWidth="10" defaultRowHeight="15"/>
  <cols>
    <col min="5" max="5" width="39.7109375" customWidth="1"/>
  </cols>
  <sheetData>
    <row r="2" spans="2:7">
      <c r="E2" t="s">
        <v>2704</v>
      </c>
    </row>
    <row r="5" spans="2:7">
      <c r="B5" s="635" t="s">
        <v>0</v>
      </c>
      <c r="C5" s="312" t="s">
        <v>159</v>
      </c>
      <c r="D5" s="312" t="s">
        <v>620</v>
      </c>
      <c r="E5" s="636" t="s">
        <v>1</v>
      </c>
      <c r="F5" s="312" t="s">
        <v>2702</v>
      </c>
      <c r="G5" s="312" t="s">
        <v>2703</v>
      </c>
    </row>
    <row r="6" spans="2:7">
      <c r="B6" s="36">
        <v>20649</v>
      </c>
      <c r="C6" s="495">
        <v>696</v>
      </c>
      <c r="D6" s="495">
        <v>0.26</v>
      </c>
      <c r="E6" s="403" t="s">
        <v>2699</v>
      </c>
      <c r="F6" s="495">
        <v>12</v>
      </c>
      <c r="G6" s="495">
        <v>584</v>
      </c>
    </row>
    <row r="7" spans="2:7">
      <c r="B7" s="36">
        <v>20648</v>
      </c>
      <c r="C7" s="495">
        <v>288</v>
      </c>
      <c r="D7" s="495">
        <v>0.44</v>
      </c>
      <c r="E7" s="403" t="s">
        <v>2700</v>
      </c>
      <c r="F7" s="495">
        <v>3</v>
      </c>
      <c r="G7" s="495">
        <v>285</v>
      </c>
    </row>
    <row r="8" spans="2:7">
      <c r="B8" s="637">
        <v>20647</v>
      </c>
      <c r="C8" s="387">
        <v>180</v>
      </c>
      <c r="D8" s="387">
        <v>1.38</v>
      </c>
      <c r="E8" s="403" t="s">
        <v>2701</v>
      </c>
      <c r="F8" s="495">
        <v>27</v>
      </c>
      <c r="G8" s="495">
        <v>153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4:G16"/>
  <sheetViews>
    <sheetView workbookViewId="0">
      <selection activeCell="C18" sqref="C18"/>
    </sheetView>
  </sheetViews>
  <sheetFormatPr baseColWidth="10" defaultRowHeight="15"/>
  <cols>
    <col min="1" max="1" width="7.5703125" customWidth="1"/>
    <col min="3" max="3" width="56.28515625" customWidth="1"/>
    <col min="4" max="4" width="16.28515625" customWidth="1"/>
    <col min="5" max="5" width="13.7109375" customWidth="1"/>
  </cols>
  <sheetData>
    <row r="4" spans="2:7" ht="45">
      <c r="B4" s="541" t="s">
        <v>0</v>
      </c>
      <c r="C4" s="541" t="s">
        <v>2285</v>
      </c>
      <c r="D4" s="540" t="s">
        <v>24</v>
      </c>
      <c r="E4" s="540" t="s">
        <v>25</v>
      </c>
      <c r="F4" s="540" t="s">
        <v>26</v>
      </c>
      <c r="G4" s="18" t="s">
        <v>29</v>
      </c>
    </row>
    <row r="5" spans="2:7">
      <c r="B5" s="541">
        <v>12972</v>
      </c>
      <c r="C5" s="15" t="s">
        <v>1563</v>
      </c>
      <c r="D5" s="541" t="s">
        <v>72</v>
      </c>
      <c r="E5" s="541" t="s">
        <v>669</v>
      </c>
      <c r="F5" s="541" t="s">
        <v>669</v>
      </c>
      <c r="G5" s="495"/>
    </row>
    <row r="6" spans="2:7">
      <c r="B6" s="541">
        <v>16330</v>
      </c>
      <c r="C6" s="15" t="s">
        <v>1564</v>
      </c>
      <c r="D6" s="541" t="s">
        <v>634</v>
      </c>
      <c r="E6" s="541" t="s">
        <v>628</v>
      </c>
      <c r="F6" s="541" t="s">
        <v>619</v>
      </c>
      <c r="G6" s="495" t="s">
        <v>628</v>
      </c>
    </row>
    <row r="7" spans="2:7">
      <c r="B7" s="541">
        <v>16329</v>
      </c>
      <c r="C7" s="15" t="s">
        <v>1565</v>
      </c>
      <c r="D7" s="541" t="s">
        <v>669</v>
      </c>
      <c r="E7" s="541" t="s">
        <v>669</v>
      </c>
      <c r="F7" s="541" t="s">
        <v>763</v>
      </c>
      <c r="G7" s="495" t="s">
        <v>763</v>
      </c>
    </row>
    <row r="8" spans="2:7">
      <c r="B8" s="541">
        <v>9707</v>
      </c>
      <c r="C8" s="15" t="s">
        <v>1566</v>
      </c>
      <c r="D8" s="541" t="s">
        <v>2301</v>
      </c>
      <c r="E8" s="541" t="s">
        <v>669</v>
      </c>
      <c r="F8" s="541" t="s">
        <v>763</v>
      </c>
      <c r="G8" s="495" t="s">
        <v>763</v>
      </c>
    </row>
    <row r="9" spans="2:7">
      <c r="B9" s="541">
        <v>6602</v>
      </c>
      <c r="C9" s="15" t="s">
        <v>1567</v>
      </c>
      <c r="D9" s="541" t="s">
        <v>2301</v>
      </c>
      <c r="E9" s="541" t="s">
        <v>763</v>
      </c>
      <c r="F9" s="541" t="s">
        <v>763</v>
      </c>
      <c r="G9" s="495" t="s">
        <v>763</v>
      </c>
    </row>
    <row r="10" spans="2:7">
      <c r="B10" s="541">
        <v>6920</v>
      </c>
      <c r="C10" s="15" t="s">
        <v>1568</v>
      </c>
      <c r="D10" s="541" t="s">
        <v>2301</v>
      </c>
      <c r="E10" s="541" t="s">
        <v>669</v>
      </c>
      <c r="F10" s="541" t="s">
        <v>669</v>
      </c>
      <c r="G10" s="495" t="s">
        <v>763</v>
      </c>
    </row>
    <row r="11" spans="2:7">
      <c r="B11" s="541">
        <v>6601</v>
      </c>
      <c r="C11" s="15" t="s">
        <v>1569</v>
      </c>
      <c r="D11" s="541" t="s">
        <v>1291</v>
      </c>
      <c r="E11" s="541" t="s">
        <v>634</v>
      </c>
      <c r="F11" s="541" t="s">
        <v>634</v>
      </c>
      <c r="G11" s="495" t="s">
        <v>634</v>
      </c>
    </row>
    <row r="12" spans="2:7" hidden="1">
      <c r="B12" s="495">
        <v>10583</v>
      </c>
      <c r="C12" s="495" t="s">
        <v>1570</v>
      </c>
      <c r="D12" s="541"/>
      <c r="E12" s="541"/>
      <c r="F12" s="541"/>
    </row>
    <row r="13" spans="2:7" hidden="1">
      <c r="B13" s="495">
        <v>10230</v>
      </c>
      <c r="C13" s="495" t="s">
        <v>1571</v>
      </c>
      <c r="D13" s="541"/>
      <c r="E13" s="541"/>
      <c r="F13" s="541"/>
    </row>
    <row r="14" spans="2:7" hidden="1">
      <c r="B14" s="495">
        <v>10824</v>
      </c>
      <c r="C14" s="495" t="s">
        <v>1572</v>
      </c>
      <c r="D14" s="541"/>
      <c r="E14" s="541"/>
      <c r="F14" s="541"/>
    </row>
    <row r="15" spans="2:7" hidden="1">
      <c r="B15" s="495">
        <v>12197</v>
      </c>
      <c r="C15" s="495" t="s">
        <v>1573</v>
      </c>
      <c r="D15" s="541"/>
      <c r="E15" s="541"/>
      <c r="F15" s="541"/>
    </row>
    <row r="16" spans="2:7">
      <c r="D16" s="539"/>
      <c r="E16" s="539"/>
      <c r="F16" s="539"/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3:L12"/>
  <sheetViews>
    <sheetView topLeftCell="F1" workbookViewId="0">
      <selection activeCell="F4" sqref="F4"/>
    </sheetView>
  </sheetViews>
  <sheetFormatPr baseColWidth="10" defaultRowHeight="15"/>
  <cols>
    <col min="1" max="1" width="9.42578125" customWidth="1"/>
    <col min="2" max="2" width="11.42578125" style="835"/>
    <col min="4" max="4" width="11.42578125" style="412"/>
    <col min="6" max="6" width="47.42578125" customWidth="1"/>
    <col min="7" max="7" width="15.7109375" customWidth="1"/>
  </cols>
  <sheetData>
    <row r="3" spans="2:12" ht="45"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3" t="s">
        <v>29</v>
      </c>
    </row>
    <row r="4" spans="2:12" ht="30">
      <c r="B4" s="842" t="s">
        <v>0</v>
      </c>
      <c r="C4" s="3" t="s">
        <v>1860</v>
      </c>
      <c r="D4" s="95" t="s">
        <v>1859</v>
      </c>
      <c r="E4" s="95" t="s">
        <v>1858</v>
      </c>
      <c r="F4" s="120" t="s">
        <v>1</v>
      </c>
      <c r="G4" s="842"/>
    </row>
    <row r="5" spans="2:12">
      <c r="B5" s="842">
        <v>13163</v>
      </c>
      <c r="C5" s="95">
        <v>24</v>
      </c>
      <c r="D5" s="95">
        <v>18.96</v>
      </c>
      <c r="E5" s="6">
        <f t="shared" ref="E5:E11" si="0">D5/C5</f>
        <v>0.79</v>
      </c>
      <c r="F5" s="120" t="s">
        <v>1551</v>
      </c>
      <c r="G5" s="842" t="s">
        <v>759</v>
      </c>
      <c r="I5" t="s">
        <v>72</v>
      </c>
    </row>
    <row r="6" spans="2:12">
      <c r="B6" s="842">
        <v>13164</v>
      </c>
      <c r="C6" s="95">
        <v>24</v>
      </c>
      <c r="D6" s="95">
        <v>19.920000000000002</v>
      </c>
      <c r="E6" s="6">
        <f t="shared" si="0"/>
        <v>0.83000000000000007</v>
      </c>
      <c r="F6" s="120" t="s">
        <v>1552</v>
      </c>
      <c r="G6" s="842" t="s">
        <v>759</v>
      </c>
      <c r="I6">
        <v>1</v>
      </c>
    </row>
    <row r="7" spans="2:12">
      <c r="B7" s="842">
        <v>13165</v>
      </c>
      <c r="C7" s="95">
        <v>24</v>
      </c>
      <c r="D7" s="95">
        <v>22.08</v>
      </c>
      <c r="E7" s="6">
        <f t="shared" si="0"/>
        <v>0.91999999999999993</v>
      </c>
      <c r="F7" s="120" t="s">
        <v>1553</v>
      </c>
      <c r="G7" s="842" t="s">
        <v>668</v>
      </c>
    </row>
    <row r="8" spans="2:12">
      <c r="B8" s="842">
        <v>13166</v>
      </c>
      <c r="C8" s="95">
        <v>12</v>
      </c>
      <c r="D8" s="95">
        <v>11.83</v>
      </c>
      <c r="E8" s="6">
        <f t="shared" si="0"/>
        <v>0.98583333333333334</v>
      </c>
      <c r="F8" s="120" t="s">
        <v>1554</v>
      </c>
      <c r="G8" s="842" t="s">
        <v>632</v>
      </c>
    </row>
    <row r="9" spans="2:12">
      <c r="B9" s="842">
        <v>13167</v>
      </c>
      <c r="C9" s="95">
        <v>12</v>
      </c>
      <c r="D9" s="95">
        <v>13.08</v>
      </c>
      <c r="E9" s="6">
        <f t="shared" si="0"/>
        <v>1.0900000000000001</v>
      </c>
      <c r="F9" s="120" t="s">
        <v>1555</v>
      </c>
      <c r="G9" s="842" t="s">
        <v>632</v>
      </c>
    </row>
    <row r="10" spans="2:12">
      <c r="B10" s="842">
        <v>13168</v>
      </c>
      <c r="C10" s="95">
        <v>12</v>
      </c>
      <c r="D10" s="95">
        <v>4.8</v>
      </c>
      <c r="E10" s="6">
        <f t="shared" si="0"/>
        <v>0.39999999999999997</v>
      </c>
      <c r="F10" s="120" t="s">
        <v>1556</v>
      </c>
      <c r="G10" s="842" t="s">
        <v>1861</v>
      </c>
    </row>
    <row r="11" spans="2:12">
      <c r="B11" s="842">
        <v>13169</v>
      </c>
      <c r="C11" s="95">
        <v>12</v>
      </c>
      <c r="D11" s="95">
        <v>8.77</v>
      </c>
      <c r="E11" s="6">
        <f t="shared" si="0"/>
        <v>0.73083333333333333</v>
      </c>
      <c r="F11" s="120" t="s">
        <v>1557</v>
      </c>
      <c r="G11" s="842" t="s">
        <v>633</v>
      </c>
    </row>
    <row r="12" spans="2:12">
      <c r="G12" s="83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2:J48"/>
  <sheetViews>
    <sheetView topLeftCell="A42" workbookViewId="0">
      <selection activeCell="B61" sqref="B61"/>
    </sheetView>
  </sheetViews>
  <sheetFormatPr baseColWidth="10" defaultRowHeight="15"/>
  <cols>
    <col min="1" max="1" width="7" customWidth="1"/>
    <col min="2" max="2" width="23.140625" style="499" customWidth="1"/>
    <col min="3" max="3" width="18.28515625" style="499" customWidth="1"/>
    <col min="4" max="4" width="42.42578125" style="63" customWidth="1"/>
    <col min="5" max="8" width="11.42578125" style="586"/>
    <col min="9" max="10" width="11.42578125" style="385"/>
  </cols>
  <sheetData>
    <row r="2" spans="2:10" ht="15.75" thickBot="1">
      <c r="B2" s="499" t="s">
        <v>2555</v>
      </c>
      <c r="D2" s="63" t="s">
        <v>2597</v>
      </c>
    </row>
    <row r="3" spans="2:10">
      <c r="E3" s="586" t="s">
        <v>2556</v>
      </c>
      <c r="G3" s="586" t="s">
        <v>2557</v>
      </c>
      <c r="J3" s="602" t="s">
        <v>1662</v>
      </c>
    </row>
    <row r="4" spans="2:10" ht="15.75" thickBot="1">
      <c r="B4" s="24" t="s">
        <v>123</v>
      </c>
      <c r="C4" s="24" t="s">
        <v>2558</v>
      </c>
      <c r="D4" s="592" t="s">
        <v>113</v>
      </c>
      <c r="E4" s="591" t="s">
        <v>2559</v>
      </c>
      <c r="F4" s="591" t="s">
        <v>2559</v>
      </c>
      <c r="G4" s="591" t="s">
        <v>2559</v>
      </c>
      <c r="H4" s="591" t="s">
        <v>2559</v>
      </c>
      <c r="I4" s="6"/>
      <c r="J4" s="851">
        <v>4.16</v>
      </c>
    </row>
    <row r="5" spans="2:10" ht="45">
      <c r="B5" s="24" t="s">
        <v>2560</v>
      </c>
      <c r="C5" s="24" t="s">
        <v>2561</v>
      </c>
      <c r="D5" s="592"/>
      <c r="E5" s="591" t="s">
        <v>2562</v>
      </c>
      <c r="F5" s="591" t="s">
        <v>2563</v>
      </c>
      <c r="G5" s="591" t="s">
        <v>2562</v>
      </c>
      <c r="H5" s="438" t="s">
        <v>2563</v>
      </c>
      <c r="I5" s="598" t="s">
        <v>2610</v>
      </c>
      <c r="J5" s="603" t="s">
        <v>2609</v>
      </c>
    </row>
    <row r="6" spans="2:10">
      <c r="B6" s="24" t="s">
        <v>2564</v>
      </c>
      <c r="C6" s="24"/>
      <c r="D6" s="592"/>
      <c r="E6" s="591"/>
      <c r="F6" s="591"/>
      <c r="G6" s="591"/>
      <c r="H6" s="438"/>
      <c r="I6" s="6"/>
      <c r="J6" s="6"/>
    </row>
    <row r="7" spans="2:10">
      <c r="B7" s="24">
        <v>75900118918710</v>
      </c>
      <c r="C7" s="24">
        <v>7590011891863</v>
      </c>
      <c r="D7" s="592" t="s">
        <v>2565</v>
      </c>
      <c r="E7" s="591">
        <v>1.21</v>
      </c>
      <c r="F7" s="591">
        <v>1.4</v>
      </c>
      <c r="G7" s="591">
        <v>86.9</v>
      </c>
      <c r="H7" s="438">
        <v>100.8</v>
      </c>
      <c r="I7" s="6">
        <f>E7/J$4</f>
        <v>0.29086538461538458</v>
      </c>
      <c r="J7" s="6">
        <f>G7/J$4</f>
        <v>20.889423076923077</v>
      </c>
    </row>
    <row r="8" spans="2:10">
      <c r="B8" s="24">
        <v>76222011416200</v>
      </c>
      <c r="C8" s="24">
        <v>7590011891962</v>
      </c>
      <c r="D8" s="592" t="s">
        <v>2566</v>
      </c>
      <c r="E8" s="591">
        <v>1.21</v>
      </c>
      <c r="F8" s="591">
        <v>1.4</v>
      </c>
      <c r="G8" s="591">
        <v>86.9</v>
      </c>
      <c r="H8" s="438">
        <v>100.8</v>
      </c>
      <c r="I8" s="6">
        <f t="shared" ref="I8:I38" si="0">E8/J$4</f>
        <v>0.29086538461538458</v>
      </c>
      <c r="J8" s="6">
        <f t="shared" ref="J8:J38" si="1">G8/J$4</f>
        <v>20.889423076923077</v>
      </c>
    </row>
    <row r="9" spans="2:10">
      <c r="B9" s="24">
        <v>76222011416400</v>
      </c>
      <c r="C9" s="24">
        <v>7590011892525</v>
      </c>
      <c r="D9" s="592" t="s">
        <v>2567</v>
      </c>
      <c r="E9" s="591">
        <v>1.21</v>
      </c>
      <c r="F9" s="591">
        <v>1.4</v>
      </c>
      <c r="G9" s="591">
        <v>86.9</v>
      </c>
      <c r="H9" s="438">
        <v>100.8</v>
      </c>
      <c r="I9" s="6">
        <f t="shared" si="0"/>
        <v>0.29086538461538458</v>
      </c>
      <c r="J9" s="6">
        <f t="shared" si="1"/>
        <v>20.889423076923077</v>
      </c>
    </row>
    <row r="10" spans="2:10">
      <c r="B10" s="24">
        <v>75900118919910</v>
      </c>
      <c r="C10" s="24">
        <v>7590011891986</v>
      </c>
      <c r="D10" s="592" t="s">
        <v>2568</v>
      </c>
      <c r="E10" s="591">
        <v>1.21</v>
      </c>
      <c r="F10" s="591">
        <v>1.4</v>
      </c>
      <c r="G10" s="591">
        <v>86.9</v>
      </c>
      <c r="H10" s="438">
        <v>100.8</v>
      </c>
      <c r="I10" s="6">
        <f t="shared" si="0"/>
        <v>0.29086538461538458</v>
      </c>
      <c r="J10" s="6">
        <f t="shared" si="1"/>
        <v>20.889423076923077</v>
      </c>
    </row>
    <row r="11" spans="2:10">
      <c r="B11" s="24">
        <v>75900118918910</v>
      </c>
      <c r="C11" s="24">
        <v>7590011891887</v>
      </c>
      <c r="D11" s="592" t="s">
        <v>2569</v>
      </c>
      <c r="E11" s="591">
        <v>1.21</v>
      </c>
      <c r="F11" s="591">
        <v>1.4</v>
      </c>
      <c r="G11" s="591">
        <v>86.9</v>
      </c>
      <c r="H11" s="438">
        <v>100.8</v>
      </c>
      <c r="I11" s="6">
        <f t="shared" si="0"/>
        <v>0.29086538461538458</v>
      </c>
      <c r="J11" s="6">
        <f t="shared" si="1"/>
        <v>20.889423076923077</v>
      </c>
    </row>
    <row r="12" spans="2:10">
      <c r="B12" s="24" t="s">
        <v>2570</v>
      </c>
      <c r="C12" s="24"/>
      <c r="D12" s="592"/>
      <c r="E12" s="591"/>
      <c r="F12" s="591"/>
      <c r="G12" s="591"/>
      <c r="H12" s="438"/>
      <c r="I12" s="6">
        <f t="shared" si="0"/>
        <v>0</v>
      </c>
      <c r="J12" s="6">
        <f t="shared" si="1"/>
        <v>0</v>
      </c>
    </row>
    <row r="13" spans="2:10">
      <c r="B13" s="24">
        <v>76222106113300</v>
      </c>
      <c r="C13" s="24">
        <v>7591114001739</v>
      </c>
      <c r="D13" s="592" t="s">
        <v>2571</v>
      </c>
      <c r="E13" s="591">
        <v>3.06</v>
      </c>
      <c r="F13" s="591">
        <v>3.55</v>
      </c>
      <c r="G13" s="591">
        <v>61.2</v>
      </c>
      <c r="H13" s="438">
        <v>70.989999999999995</v>
      </c>
      <c r="I13" s="6">
        <f t="shared" si="0"/>
        <v>0.73557692307692302</v>
      </c>
      <c r="J13" s="6">
        <f t="shared" si="1"/>
        <v>14.711538461538462</v>
      </c>
    </row>
    <row r="14" spans="2:10">
      <c r="B14" s="24">
        <v>76222011231501</v>
      </c>
      <c r="C14" s="24">
        <v>7590011205158</v>
      </c>
      <c r="D14" s="592" t="s">
        <v>2572</v>
      </c>
      <c r="E14" s="591">
        <v>3.37</v>
      </c>
      <c r="F14" s="591">
        <v>3.9</v>
      </c>
      <c r="G14" s="591">
        <v>67.31</v>
      </c>
      <c r="H14" s="438">
        <v>78.08</v>
      </c>
      <c r="I14" s="6">
        <f t="shared" si="0"/>
        <v>0.81009615384615385</v>
      </c>
      <c r="J14" s="6">
        <f t="shared" si="1"/>
        <v>16.18028846153846</v>
      </c>
    </row>
    <row r="15" spans="2:10">
      <c r="B15" s="24" t="s">
        <v>2573</v>
      </c>
      <c r="C15" s="24"/>
      <c r="D15" s="592"/>
      <c r="E15" s="591"/>
      <c r="F15" s="591"/>
      <c r="G15" s="591"/>
      <c r="H15" s="438"/>
      <c r="I15" s="6">
        <f t="shared" si="0"/>
        <v>0</v>
      </c>
      <c r="J15" s="6">
        <f t="shared" si="1"/>
        <v>0</v>
      </c>
    </row>
    <row r="16" spans="2:10">
      <c r="B16" s="24">
        <v>76222011324800</v>
      </c>
      <c r="C16" s="24">
        <v>7590011890866</v>
      </c>
      <c r="D16" s="592" t="s">
        <v>2574</v>
      </c>
      <c r="E16" s="591">
        <v>5.81</v>
      </c>
      <c r="F16" s="591">
        <v>6.75</v>
      </c>
      <c r="G16" s="591">
        <v>81.41</v>
      </c>
      <c r="H16" s="438">
        <v>94.43</v>
      </c>
      <c r="I16" s="6">
        <f t="shared" si="0"/>
        <v>1.3966346153846152</v>
      </c>
      <c r="J16" s="6">
        <f t="shared" si="1"/>
        <v>19.569711538461537</v>
      </c>
    </row>
    <row r="17" spans="2:10">
      <c r="B17" s="24">
        <v>76222017670600</v>
      </c>
      <c r="C17" s="24">
        <v>7590011890903</v>
      </c>
      <c r="D17" s="592" t="s">
        <v>2575</v>
      </c>
      <c r="E17" s="591">
        <v>5.81</v>
      </c>
      <c r="F17" s="591">
        <v>6.75</v>
      </c>
      <c r="G17" s="591">
        <v>81.41</v>
      </c>
      <c r="H17" s="438">
        <v>94.43</v>
      </c>
      <c r="I17" s="6">
        <f t="shared" si="0"/>
        <v>1.3966346153846152</v>
      </c>
      <c r="J17" s="6">
        <f t="shared" si="1"/>
        <v>19.569711538461537</v>
      </c>
    </row>
    <row r="18" spans="2:10">
      <c r="B18" s="24" t="s">
        <v>2576</v>
      </c>
      <c r="C18" s="24"/>
      <c r="D18" s="592"/>
      <c r="E18" s="591"/>
      <c r="F18" s="591"/>
      <c r="G18" s="591"/>
      <c r="H18" s="438"/>
      <c r="I18" s="6" t="s">
        <v>72</v>
      </c>
      <c r="J18" s="6" t="s">
        <v>72</v>
      </c>
    </row>
    <row r="19" spans="2:10">
      <c r="B19" s="24">
        <v>76222011294600</v>
      </c>
      <c r="C19" s="24">
        <v>7622210711069</v>
      </c>
      <c r="D19" s="592" t="s">
        <v>2577</v>
      </c>
      <c r="E19" s="591">
        <v>2.63</v>
      </c>
      <c r="F19" s="591">
        <v>3.06</v>
      </c>
      <c r="G19" s="591">
        <v>47.41</v>
      </c>
      <c r="H19" s="438">
        <v>55</v>
      </c>
      <c r="I19" s="6">
        <f t="shared" si="0"/>
        <v>0.63221153846153844</v>
      </c>
      <c r="J19" s="6">
        <f t="shared" si="1"/>
        <v>11.396634615384615</v>
      </c>
    </row>
    <row r="20" spans="2:10">
      <c r="B20" s="24" t="s">
        <v>2578</v>
      </c>
      <c r="C20" s="24"/>
      <c r="D20" s="592"/>
      <c r="E20" s="591"/>
      <c r="F20" s="591"/>
      <c r="G20" s="591"/>
      <c r="H20" s="438"/>
      <c r="I20" s="6" t="s">
        <v>72</v>
      </c>
      <c r="J20" s="6" t="s">
        <v>72</v>
      </c>
    </row>
    <row r="21" spans="2:10">
      <c r="B21" s="24">
        <v>76222106152600</v>
      </c>
      <c r="C21" s="24">
        <v>7622210615183</v>
      </c>
      <c r="D21" s="592" t="s">
        <v>2579</v>
      </c>
      <c r="E21" s="591">
        <v>5.25</v>
      </c>
      <c r="F21" s="591">
        <v>6.09</v>
      </c>
      <c r="G21" s="591">
        <v>126</v>
      </c>
      <c r="H21" s="438">
        <v>146.16</v>
      </c>
      <c r="I21" s="6">
        <f t="shared" si="0"/>
        <v>1.2620192307692306</v>
      </c>
      <c r="J21" s="6">
        <f t="shared" si="1"/>
        <v>30.288461538461537</v>
      </c>
    </row>
    <row r="22" spans="2:10">
      <c r="B22" s="24">
        <v>75900111166311</v>
      </c>
      <c r="C22" s="24">
        <v>7590011116607</v>
      </c>
      <c r="D22" s="592" t="s">
        <v>2580</v>
      </c>
      <c r="E22" s="591">
        <v>3.02</v>
      </c>
      <c r="F22" s="591">
        <v>3.5</v>
      </c>
      <c r="G22" s="591">
        <v>144.82</v>
      </c>
      <c r="H22" s="438">
        <v>167.99</v>
      </c>
      <c r="I22" s="6">
        <f t="shared" si="0"/>
        <v>0.72596153846153844</v>
      </c>
      <c r="J22" s="6">
        <f t="shared" si="1"/>
        <v>34.8125</v>
      </c>
    </row>
    <row r="23" spans="2:10">
      <c r="B23" s="24">
        <v>76222106151500</v>
      </c>
      <c r="C23" s="24">
        <v>7622210613226</v>
      </c>
      <c r="D23" s="592" t="s">
        <v>2581</v>
      </c>
      <c r="E23" s="591">
        <v>5.25</v>
      </c>
      <c r="F23" s="591">
        <v>6.09</v>
      </c>
      <c r="G23" s="591">
        <v>126</v>
      </c>
      <c r="H23" s="438">
        <v>146.16</v>
      </c>
      <c r="I23" s="6">
        <f t="shared" si="0"/>
        <v>1.2620192307692306</v>
      </c>
      <c r="J23" s="6">
        <f t="shared" si="1"/>
        <v>30.288461538461537</v>
      </c>
    </row>
    <row r="24" spans="2:10">
      <c r="B24" s="24">
        <v>75900111176511</v>
      </c>
      <c r="C24" s="24">
        <v>7590011117604</v>
      </c>
      <c r="D24" s="592" t="s">
        <v>2582</v>
      </c>
      <c r="E24" s="591">
        <v>3.02</v>
      </c>
      <c r="F24" s="591">
        <v>3.5</v>
      </c>
      <c r="G24" s="591">
        <v>144.82</v>
      </c>
      <c r="H24" s="438">
        <v>167.99</v>
      </c>
      <c r="I24" s="6">
        <f t="shared" si="0"/>
        <v>0.72596153846153844</v>
      </c>
      <c r="J24" s="6">
        <f t="shared" si="1"/>
        <v>34.8125</v>
      </c>
    </row>
    <row r="25" spans="2:10">
      <c r="B25" s="24">
        <v>76222106153000</v>
      </c>
      <c r="C25" s="24">
        <v>7622210615190</v>
      </c>
      <c r="D25" s="592" t="s">
        <v>2583</v>
      </c>
      <c r="E25" s="591">
        <v>5.25</v>
      </c>
      <c r="F25" s="591">
        <v>6.09</v>
      </c>
      <c r="G25" s="591">
        <v>126</v>
      </c>
      <c r="H25" s="438">
        <v>146.16</v>
      </c>
      <c r="I25" s="6">
        <f t="shared" si="0"/>
        <v>1.2620192307692306</v>
      </c>
      <c r="J25" s="6">
        <f t="shared" si="1"/>
        <v>30.288461538461537</v>
      </c>
    </row>
    <row r="26" spans="2:10">
      <c r="B26" s="24">
        <v>75900111517311</v>
      </c>
      <c r="C26" s="24">
        <v>7590011151615</v>
      </c>
      <c r="D26" s="592" t="s">
        <v>2584</v>
      </c>
      <c r="E26" s="591">
        <v>3.02</v>
      </c>
      <c r="F26" s="591">
        <v>3.5</v>
      </c>
      <c r="G26" s="591">
        <v>144.82</v>
      </c>
      <c r="H26" s="438">
        <v>167.99</v>
      </c>
      <c r="I26" s="6">
        <f t="shared" si="0"/>
        <v>0.72596153846153844</v>
      </c>
      <c r="J26" s="6">
        <f t="shared" si="1"/>
        <v>34.8125</v>
      </c>
    </row>
    <row r="27" spans="2:10">
      <c r="B27" s="24">
        <v>76222106156900</v>
      </c>
      <c r="C27" s="24">
        <v>7622210615589</v>
      </c>
      <c r="D27" s="592" t="s">
        <v>2585</v>
      </c>
      <c r="E27" s="591">
        <v>5.25</v>
      </c>
      <c r="F27" s="591">
        <v>6.09</v>
      </c>
      <c r="G27" s="591">
        <v>126</v>
      </c>
      <c r="H27" s="438">
        <v>146.16</v>
      </c>
      <c r="I27" s="6">
        <f t="shared" si="0"/>
        <v>1.2620192307692306</v>
      </c>
      <c r="J27" s="6">
        <f t="shared" si="1"/>
        <v>30.288461538461537</v>
      </c>
    </row>
    <row r="28" spans="2:10">
      <c r="B28" s="24">
        <v>76222107722900</v>
      </c>
      <c r="C28" s="24">
        <v>7622210772510</v>
      </c>
      <c r="D28" s="592" t="s">
        <v>2586</v>
      </c>
      <c r="E28" s="591">
        <v>3.02</v>
      </c>
      <c r="F28" s="591">
        <v>3.5</v>
      </c>
      <c r="G28" s="591">
        <v>144.82</v>
      </c>
      <c r="H28" s="438">
        <v>167.99</v>
      </c>
      <c r="I28" s="6">
        <f t="shared" si="0"/>
        <v>0.72596153846153844</v>
      </c>
      <c r="J28" s="6">
        <f t="shared" si="1"/>
        <v>34.8125</v>
      </c>
    </row>
    <row r="29" spans="2:10">
      <c r="B29" s="24">
        <v>76222106545800</v>
      </c>
      <c r="C29" s="24">
        <v>7622210652959</v>
      </c>
      <c r="D29" s="592" t="s">
        <v>2587</v>
      </c>
      <c r="E29" s="591">
        <v>5.25</v>
      </c>
      <c r="F29" s="591">
        <v>6.09</v>
      </c>
      <c r="G29" s="591">
        <v>126</v>
      </c>
      <c r="H29" s="438">
        <v>146.16</v>
      </c>
      <c r="I29" s="6">
        <f t="shared" si="0"/>
        <v>1.2620192307692306</v>
      </c>
      <c r="J29" s="6">
        <f t="shared" si="1"/>
        <v>30.288461538461537</v>
      </c>
    </row>
    <row r="30" spans="2:10">
      <c r="B30" s="24">
        <v>76222106498600</v>
      </c>
      <c r="C30" s="24">
        <v>7622210649546</v>
      </c>
      <c r="D30" s="592" t="s">
        <v>2588</v>
      </c>
      <c r="E30" s="591">
        <v>3.02</v>
      </c>
      <c r="F30" s="591">
        <v>3.5</v>
      </c>
      <c r="G30" s="591">
        <v>144.82</v>
      </c>
      <c r="H30" s="438">
        <v>167.99</v>
      </c>
      <c r="I30" s="6">
        <f t="shared" si="0"/>
        <v>0.72596153846153844</v>
      </c>
      <c r="J30" s="6">
        <f t="shared" si="1"/>
        <v>34.8125</v>
      </c>
    </row>
    <row r="31" spans="2:10">
      <c r="B31" s="24" t="s">
        <v>2589</v>
      </c>
      <c r="C31" s="24"/>
      <c r="D31" s="592"/>
      <c r="E31" s="591"/>
      <c r="F31" s="591"/>
      <c r="G31" s="591"/>
      <c r="H31" s="438"/>
      <c r="I31" s="6" t="s">
        <v>72</v>
      </c>
      <c r="J31" s="6" t="s">
        <v>72</v>
      </c>
    </row>
    <row r="32" spans="2:10">
      <c r="B32" s="24">
        <v>75900118935000</v>
      </c>
      <c r="C32" s="24">
        <v>7590011138104</v>
      </c>
      <c r="D32" s="592" t="s">
        <v>2590</v>
      </c>
      <c r="E32" s="591">
        <v>5.13</v>
      </c>
      <c r="F32" s="591">
        <v>5.95</v>
      </c>
      <c r="G32" s="591">
        <v>164.14</v>
      </c>
      <c r="H32" s="438">
        <v>190.4</v>
      </c>
      <c r="I32" s="6">
        <f t="shared" si="0"/>
        <v>1.2331730769230769</v>
      </c>
      <c r="J32" s="6">
        <f t="shared" si="1"/>
        <v>39.456730769230766</v>
      </c>
    </row>
    <row r="33" spans="2:10">
      <c r="B33" s="24" t="s">
        <v>2591</v>
      </c>
      <c r="C33" s="24"/>
      <c r="D33" s="592"/>
      <c r="E33" s="591"/>
      <c r="F33" s="591"/>
      <c r="G33" s="591"/>
      <c r="H33" s="438"/>
      <c r="I33" s="6" t="s">
        <v>72</v>
      </c>
      <c r="J33" s="6" t="s">
        <v>72</v>
      </c>
    </row>
    <row r="34" spans="2:10">
      <c r="B34" s="24">
        <v>76222107065100</v>
      </c>
      <c r="C34" s="24">
        <v>7590011893041</v>
      </c>
      <c r="D34" s="592" t="s">
        <v>2592</v>
      </c>
      <c r="E34" s="591">
        <v>3.32</v>
      </c>
      <c r="F34" s="591">
        <v>3.85</v>
      </c>
      <c r="G34" s="591">
        <v>79.650000000000006</v>
      </c>
      <c r="H34" s="438">
        <v>92.4</v>
      </c>
      <c r="I34" s="6">
        <f t="shared" si="0"/>
        <v>0.79807692307692302</v>
      </c>
      <c r="J34" s="6">
        <f t="shared" si="1"/>
        <v>19.146634615384617</v>
      </c>
    </row>
    <row r="35" spans="2:10">
      <c r="B35" s="24" t="s">
        <v>2593</v>
      </c>
      <c r="C35" s="24"/>
      <c r="D35" s="592"/>
      <c r="E35" s="591"/>
      <c r="F35" s="591"/>
      <c r="G35" s="591"/>
      <c r="H35" s="438"/>
      <c r="I35" s="6">
        <f t="shared" si="0"/>
        <v>0</v>
      </c>
      <c r="J35" s="6" t="s">
        <v>72</v>
      </c>
    </row>
    <row r="36" spans="2:10">
      <c r="B36" s="24">
        <v>75900118909711</v>
      </c>
      <c r="C36" s="24">
        <v>7590011890972</v>
      </c>
      <c r="D36" s="592" t="s">
        <v>2594</v>
      </c>
      <c r="E36" s="591">
        <v>3.02</v>
      </c>
      <c r="F36" s="591">
        <v>3.5</v>
      </c>
      <c r="G36" s="591">
        <v>84.48</v>
      </c>
      <c r="H36" s="438">
        <v>97.99</v>
      </c>
      <c r="I36" s="6">
        <f t="shared" si="0"/>
        <v>0.72596153846153844</v>
      </c>
      <c r="J36" s="6">
        <f t="shared" si="1"/>
        <v>20.307692307692307</v>
      </c>
    </row>
    <row r="37" spans="2:10">
      <c r="B37" s="24">
        <v>75900118909611</v>
      </c>
      <c r="C37" s="24">
        <v>7590011890965</v>
      </c>
      <c r="D37" s="592" t="s">
        <v>2595</v>
      </c>
      <c r="E37" s="591">
        <v>3.02</v>
      </c>
      <c r="F37" s="591">
        <v>3.5</v>
      </c>
      <c r="G37" s="591">
        <v>84.48</v>
      </c>
      <c r="H37" s="438">
        <v>97.99</v>
      </c>
      <c r="I37" s="6">
        <f t="shared" si="0"/>
        <v>0.72596153846153844</v>
      </c>
      <c r="J37" s="6">
        <f t="shared" si="1"/>
        <v>20.307692307692307</v>
      </c>
    </row>
    <row r="38" spans="2:10">
      <c r="B38" s="24">
        <v>76222106489800</v>
      </c>
      <c r="C38" s="24">
        <v>7622210648969</v>
      </c>
      <c r="D38" s="592" t="s">
        <v>2596</v>
      </c>
      <c r="E38" s="591">
        <v>3.02</v>
      </c>
      <c r="F38" s="591">
        <v>3.5</v>
      </c>
      <c r="G38" s="591">
        <v>84.48</v>
      </c>
      <c r="H38" s="438">
        <v>97.99</v>
      </c>
      <c r="I38" s="795">
        <f t="shared" si="0"/>
        <v>0.72596153846153844</v>
      </c>
      <c r="J38" s="795">
        <f t="shared" si="1"/>
        <v>20.307692307692307</v>
      </c>
    </row>
    <row r="39" spans="2:10">
      <c r="I39" s="430"/>
      <c r="J39" s="430" t="s">
        <v>72</v>
      </c>
    </row>
    <row r="40" spans="2:10">
      <c r="I40" s="430"/>
      <c r="J40" s="430" t="s">
        <v>72</v>
      </c>
    </row>
    <row r="41" spans="2:10">
      <c r="I41" s="430"/>
      <c r="J41" s="430" t="s">
        <v>72</v>
      </c>
    </row>
    <row r="42" spans="2:10">
      <c r="I42" s="430"/>
      <c r="J42" s="430" t="s">
        <v>72</v>
      </c>
    </row>
    <row r="43" spans="2:10">
      <c r="I43" s="430"/>
      <c r="J43" s="430" t="s">
        <v>72</v>
      </c>
    </row>
    <row r="44" spans="2:10" ht="25.5">
      <c r="B44" s="855" t="s">
        <v>2601</v>
      </c>
      <c r="C44" s="855" t="s">
        <v>2602</v>
      </c>
      <c r="D44" s="903" t="s">
        <v>2603</v>
      </c>
      <c r="E44" s="853" t="s">
        <v>2604</v>
      </c>
      <c r="F44" s="855" t="s">
        <v>2604</v>
      </c>
      <c r="G44" s="853" t="s">
        <v>2604</v>
      </c>
      <c r="H44" s="855" t="s">
        <v>2604</v>
      </c>
      <c r="I44" s="906" t="s">
        <v>2610</v>
      </c>
      <c r="J44" s="795" t="s">
        <v>72</v>
      </c>
    </row>
    <row r="45" spans="2:10" ht="45" customHeight="1">
      <c r="B45" s="856" t="s">
        <v>2605</v>
      </c>
      <c r="C45" s="856" t="s">
        <v>2606</v>
      </c>
      <c r="D45" s="904"/>
      <c r="E45" s="854" t="s">
        <v>2607</v>
      </c>
      <c r="F45" s="856" t="s">
        <v>2608</v>
      </c>
      <c r="G45" s="854" t="s">
        <v>2607</v>
      </c>
      <c r="H45" s="856" t="s">
        <v>2608</v>
      </c>
      <c r="I45" s="907"/>
      <c r="J45" s="603" t="s">
        <v>2609</v>
      </c>
    </row>
    <row r="46" spans="2:10" ht="15.75">
      <c r="B46" s="905" t="s">
        <v>2598</v>
      </c>
      <c r="C46" s="905"/>
      <c r="D46" s="905"/>
      <c r="E46" s="905"/>
      <c r="F46" s="905"/>
      <c r="G46" s="905"/>
      <c r="H46" s="905"/>
      <c r="J46" s="852" t="s">
        <v>72</v>
      </c>
    </row>
    <row r="47" spans="2:10">
      <c r="B47" s="593">
        <v>75911140400411</v>
      </c>
      <c r="C47" s="593">
        <v>7591114040042</v>
      </c>
      <c r="D47" s="594" t="s">
        <v>2599</v>
      </c>
      <c r="E47" s="595">
        <v>9.06</v>
      </c>
      <c r="F47" s="596"/>
      <c r="G47" s="595">
        <v>108.68</v>
      </c>
      <c r="H47" s="600"/>
      <c r="I47" s="385">
        <f>G47/J$4</f>
        <v>26.125</v>
      </c>
      <c r="J47" s="6">
        <f>+E47/J$4</f>
        <v>2.1778846153846154</v>
      </c>
    </row>
    <row r="48" spans="2:10">
      <c r="B48" s="593">
        <v>76222015122600</v>
      </c>
      <c r="C48" s="593">
        <v>7622201512279</v>
      </c>
      <c r="D48" s="594" t="s">
        <v>2600</v>
      </c>
      <c r="E48" s="595">
        <v>4.3</v>
      </c>
      <c r="F48" s="596"/>
      <c r="G48" s="595">
        <v>103.16</v>
      </c>
      <c r="H48" s="600"/>
      <c r="I48" s="385">
        <f>G48/J$4</f>
        <v>24.79807692307692</v>
      </c>
      <c r="J48" s="6">
        <f>+E48/J$4</f>
        <v>1.033653846153846</v>
      </c>
    </row>
  </sheetData>
  <mergeCells count="3">
    <mergeCell ref="D44:D45"/>
    <mergeCell ref="B46:H46"/>
    <mergeCell ref="I44:I45"/>
  </mergeCells>
  <pageMargins left="0.7" right="0.7" top="0.75" bottom="0.75" header="0.3" footer="0.3"/>
  <pageSetup paperSize="11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0"/>
  <sheetViews>
    <sheetView workbookViewId="0">
      <selection activeCell="C3" sqref="C3:C7"/>
    </sheetView>
  </sheetViews>
  <sheetFormatPr baseColWidth="10" defaultRowHeight="15"/>
  <cols>
    <col min="2" max="2" width="2.28515625" style="494" customWidth="1"/>
    <col min="3" max="4" width="26.5703125" customWidth="1"/>
    <col min="5" max="7" width="11.42578125" style="612" hidden="1" customWidth="1"/>
    <col min="8" max="8" width="8.7109375" style="612" hidden="1" customWidth="1"/>
    <col min="9" max="9" width="8" style="612" hidden="1" customWidth="1"/>
    <col min="10" max="10" width="11.42578125" style="612" hidden="1" customWidth="1"/>
    <col min="11" max="11" width="10.85546875" hidden="1" customWidth="1"/>
    <col min="12" max="12" width="7.5703125" style="494" hidden="1" customWidth="1"/>
    <col min="13" max="13" width="9.42578125" style="494" hidden="1" customWidth="1"/>
    <col min="14" max="14" width="9.42578125" hidden="1" customWidth="1"/>
    <col min="15" max="15" width="7.5703125" style="494" hidden="1" customWidth="1"/>
    <col min="16" max="16" width="8" style="494" hidden="1" customWidth="1"/>
    <col min="17" max="17" width="9" customWidth="1"/>
    <col min="18" max="18" width="7.5703125" customWidth="1"/>
    <col min="19" max="19" width="8.140625" customWidth="1"/>
    <col min="20" max="20" width="8.140625" style="494" hidden="1" customWidth="1"/>
  </cols>
  <sheetData>
    <row r="2" spans="3:22" ht="67.5" customHeight="1">
      <c r="H2" s="102" t="s">
        <v>2653</v>
      </c>
      <c r="I2" s="102" t="s">
        <v>75</v>
      </c>
      <c r="J2" s="102" t="s">
        <v>637</v>
      </c>
      <c r="K2" s="33" t="s">
        <v>2656</v>
      </c>
      <c r="L2" s="33" t="s">
        <v>75</v>
      </c>
      <c r="M2" s="33" t="s">
        <v>637</v>
      </c>
      <c r="N2" s="620" t="s">
        <v>2654</v>
      </c>
      <c r="O2" s="620" t="s">
        <v>75</v>
      </c>
      <c r="P2" s="620" t="s">
        <v>637</v>
      </c>
      <c r="Q2" s="116" t="s">
        <v>2655</v>
      </c>
      <c r="R2" s="547" t="s">
        <v>75</v>
      </c>
      <c r="S2" s="547" t="s">
        <v>637</v>
      </c>
      <c r="T2" s="116" t="s">
        <v>2657</v>
      </c>
      <c r="U2" s="613" t="s">
        <v>1910</v>
      </c>
    </row>
    <row r="3" spans="3:22" ht="45" customHeight="1">
      <c r="C3" s="908" t="s">
        <v>2658</v>
      </c>
      <c r="D3" s="495"/>
      <c r="E3" s="614" t="s">
        <v>2650</v>
      </c>
      <c r="F3" s="614" t="s">
        <v>2651</v>
      </c>
      <c r="G3" s="614" t="s">
        <v>2001</v>
      </c>
      <c r="H3" s="102" t="s">
        <v>2652</v>
      </c>
      <c r="I3" s="101"/>
      <c r="J3" s="101"/>
      <c r="K3" s="33" t="s">
        <v>2652</v>
      </c>
      <c r="L3" s="32"/>
      <c r="M3" s="32"/>
      <c r="N3" s="620" t="s">
        <v>2652</v>
      </c>
      <c r="O3" s="619"/>
      <c r="P3" s="619"/>
      <c r="Q3" s="116" t="s">
        <v>2652</v>
      </c>
      <c r="R3" s="115"/>
      <c r="S3" s="115"/>
      <c r="T3" s="547"/>
      <c r="U3" s="614"/>
    </row>
    <row r="4" spans="3:22">
      <c r="C4" s="908"/>
      <c r="D4" s="22" t="s">
        <v>2646</v>
      </c>
      <c r="E4" s="614">
        <v>100</v>
      </c>
      <c r="F4" s="614">
        <v>100</v>
      </c>
      <c r="G4" s="614">
        <v>19</v>
      </c>
      <c r="H4" s="101">
        <v>56</v>
      </c>
      <c r="I4" s="101">
        <v>20</v>
      </c>
      <c r="J4" s="101">
        <f>H4*I4</f>
        <v>1120</v>
      </c>
      <c r="K4" s="32">
        <v>55</v>
      </c>
      <c r="L4" s="32">
        <v>20</v>
      </c>
      <c r="M4" s="32">
        <f>K4*L4</f>
        <v>1100</v>
      </c>
      <c r="N4" s="619">
        <v>58</v>
      </c>
      <c r="O4" s="619">
        <v>20</v>
      </c>
      <c r="P4" s="619">
        <f>N4*O4</f>
        <v>1160</v>
      </c>
      <c r="Q4" s="547">
        <v>48</v>
      </c>
      <c r="R4" s="547">
        <v>20</v>
      </c>
      <c r="S4" s="547">
        <f>Q4*R4</f>
        <v>960</v>
      </c>
      <c r="T4" s="547">
        <v>19</v>
      </c>
      <c r="U4" s="614">
        <f>R4*T4</f>
        <v>380</v>
      </c>
      <c r="V4" s="622">
        <v>25</v>
      </c>
    </row>
    <row r="5" spans="3:22">
      <c r="C5" s="908"/>
      <c r="D5" s="22" t="s">
        <v>2647</v>
      </c>
      <c r="E5" s="614">
        <v>100</v>
      </c>
      <c r="F5" s="614">
        <v>100</v>
      </c>
      <c r="G5" s="614">
        <v>19</v>
      </c>
      <c r="H5" s="101">
        <v>55</v>
      </c>
      <c r="I5" s="101"/>
      <c r="J5" s="101">
        <f t="shared" ref="J5:J7" si="0">H5*I5</f>
        <v>0</v>
      </c>
      <c r="K5" s="32">
        <v>55</v>
      </c>
      <c r="L5" s="32">
        <v>2</v>
      </c>
      <c r="M5" s="32">
        <f t="shared" ref="M5:M7" si="1">K5*L5</f>
        <v>110</v>
      </c>
      <c r="N5" s="619">
        <v>53</v>
      </c>
      <c r="O5" s="619">
        <v>2</v>
      </c>
      <c r="P5" s="619">
        <f t="shared" ref="P5:P7" si="2">N5*O5</f>
        <v>106</v>
      </c>
      <c r="Q5" s="547">
        <v>48</v>
      </c>
      <c r="R5" s="547">
        <v>5</v>
      </c>
      <c r="S5" s="547">
        <f t="shared" ref="S5:S7" si="3">Q5*R5</f>
        <v>240</v>
      </c>
      <c r="T5" s="547">
        <v>19</v>
      </c>
      <c r="U5" s="614">
        <f t="shared" ref="U5:U7" si="4">R5*T5</f>
        <v>95</v>
      </c>
      <c r="V5" s="622">
        <v>5</v>
      </c>
    </row>
    <row r="6" spans="3:22" hidden="1">
      <c r="C6" s="908"/>
      <c r="D6" s="22" t="s">
        <v>2648</v>
      </c>
      <c r="E6" s="614">
        <v>100</v>
      </c>
      <c r="F6" s="614">
        <v>100</v>
      </c>
      <c r="G6" s="614">
        <v>19</v>
      </c>
      <c r="H6" s="101">
        <v>63</v>
      </c>
      <c r="I6" s="101">
        <v>2</v>
      </c>
      <c r="J6" s="101">
        <f t="shared" si="0"/>
        <v>126</v>
      </c>
      <c r="K6" s="32">
        <v>55</v>
      </c>
      <c r="L6" s="32"/>
      <c r="M6" s="32">
        <f t="shared" si="1"/>
        <v>0</v>
      </c>
      <c r="N6" s="619">
        <v>0</v>
      </c>
      <c r="O6" s="619"/>
      <c r="P6" s="619">
        <f t="shared" si="2"/>
        <v>0</v>
      </c>
      <c r="Q6" s="547">
        <v>0</v>
      </c>
      <c r="R6" s="547">
        <v>0</v>
      </c>
      <c r="S6" s="547">
        <f t="shared" si="3"/>
        <v>0</v>
      </c>
      <c r="T6" s="547">
        <v>19</v>
      </c>
      <c r="U6" s="614">
        <f t="shared" si="4"/>
        <v>0</v>
      </c>
    </row>
    <row r="7" spans="3:22">
      <c r="C7" s="908"/>
      <c r="D7" s="22" t="s">
        <v>2649</v>
      </c>
      <c r="E7" s="614">
        <v>100</v>
      </c>
      <c r="F7" s="614">
        <v>100</v>
      </c>
      <c r="G7" s="614">
        <v>19</v>
      </c>
      <c r="H7" s="101">
        <v>56</v>
      </c>
      <c r="I7" s="101">
        <v>2</v>
      </c>
      <c r="J7" s="101">
        <f t="shared" si="0"/>
        <v>112</v>
      </c>
      <c r="K7" s="32">
        <v>55</v>
      </c>
      <c r="L7" s="32">
        <v>2</v>
      </c>
      <c r="M7" s="32">
        <f t="shared" si="1"/>
        <v>110</v>
      </c>
      <c r="N7" s="619">
        <v>49</v>
      </c>
      <c r="O7" s="619">
        <v>2</v>
      </c>
      <c r="P7" s="619">
        <f t="shared" si="2"/>
        <v>98</v>
      </c>
      <c r="Q7" s="547">
        <v>48</v>
      </c>
      <c r="R7" s="547">
        <v>3</v>
      </c>
      <c r="S7" s="547">
        <f t="shared" si="3"/>
        <v>144</v>
      </c>
      <c r="T7" s="547">
        <v>19</v>
      </c>
      <c r="U7" s="614">
        <f t="shared" si="4"/>
        <v>57</v>
      </c>
      <c r="V7" s="622">
        <v>3</v>
      </c>
    </row>
    <row r="8" spans="3:22">
      <c r="H8" s="109"/>
      <c r="I8" s="109"/>
      <c r="J8" s="621">
        <f>SUM(J4:J7)</f>
        <v>1358</v>
      </c>
      <c r="K8" s="26"/>
      <c r="L8" s="26"/>
      <c r="M8" s="622">
        <f>SUM(M4:M7)</f>
        <v>1320</v>
      </c>
      <c r="N8" s="26"/>
      <c r="O8" s="26"/>
      <c r="P8" s="622">
        <f>SUM(P4:P7)</f>
        <v>1364</v>
      </c>
      <c r="Q8" s="26"/>
      <c r="R8" s="26"/>
      <c r="S8" s="623">
        <f>SUM(S4:S7)</f>
        <v>1344</v>
      </c>
      <c r="T8" s="623"/>
      <c r="U8" s="624">
        <f>SUM(U4:U7)</f>
        <v>532</v>
      </c>
      <c r="V8" s="385">
        <f>S8/U8</f>
        <v>2.5263157894736841</v>
      </c>
    </row>
    <row r="9" spans="3:22" ht="15.75" thickBot="1">
      <c r="H9" s="109"/>
      <c r="I9" s="109"/>
      <c r="J9" s="109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3:22" ht="15.75" thickBot="1">
      <c r="C10" s="618" t="s">
        <v>72</v>
      </c>
      <c r="E10" s="615"/>
      <c r="F10" s="615"/>
      <c r="G10" s="615"/>
      <c r="H10" s="615"/>
      <c r="N10" s="891" t="s">
        <v>2663</v>
      </c>
      <c r="O10" s="891"/>
      <c r="P10" s="891"/>
      <c r="Q10" s="909" t="s">
        <v>2664</v>
      </c>
      <c r="R10" s="910"/>
      <c r="S10" s="910"/>
      <c r="T10" s="911"/>
    </row>
  </sheetData>
  <mergeCells count="3">
    <mergeCell ref="C3:C7"/>
    <mergeCell ref="N10:P10"/>
    <mergeCell ref="Q10:T10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J48"/>
  <sheetViews>
    <sheetView workbookViewId="0">
      <selection activeCell="E16" sqref="E16"/>
    </sheetView>
  </sheetViews>
  <sheetFormatPr baseColWidth="10" defaultRowHeight="15"/>
  <cols>
    <col min="4" max="4" width="8.85546875" customWidth="1"/>
    <col min="5" max="5" width="36.7109375" customWidth="1"/>
    <col min="6" max="6" width="20.140625" customWidth="1"/>
    <col min="9" max="10" width="11.42578125" style="385"/>
  </cols>
  <sheetData>
    <row r="2" spans="2:10" ht="15.75" thickBot="1">
      <c r="E2" t="s">
        <v>1831</v>
      </c>
      <c r="G2" t="s">
        <v>72</v>
      </c>
    </row>
    <row r="3" spans="2:10" ht="30">
      <c r="B3" s="95" t="s">
        <v>0</v>
      </c>
      <c r="C3" s="95" t="s">
        <v>159</v>
      </c>
      <c r="D3" s="95" t="s">
        <v>620</v>
      </c>
      <c r="E3" s="95" t="s">
        <v>1</v>
      </c>
      <c r="F3" s="839" t="s">
        <v>1830</v>
      </c>
      <c r="G3" s="493" t="s">
        <v>2035</v>
      </c>
      <c r="J3" s="604" t="s">
        <v>1662</v>
      </c>
    </row>
    <row r="4" spans="2:10" ht="15.75" thickBot="1">
      <c r="B4" s="95">
        <v>15163</v>
      </c>
      <c r="C4" s="95">
        <v>20</v>
      </c>
      <c r="D4" s="95">
        <v>1.3</v>
      </c>
      <c r="E4" s="15" t="s">
        <v>1825</v>
      </c>
      <c r="F4" s="95" t="s">
        <v>1318</v>
      </c>
      <c r="J4" s="607">
        <v>4.16</v>
      </c>
    </row>
    <row r="5" spans="2:10" ht="16.5" customHeight="1">
      <c r="B5" s="95">
        <v>15159</v>
      </c>
      <c r="C5" s="95">
        <v>20</v>
      </c>
      <c r="D5" s="95">
        <v>1.3</v>
      </c>
      <c r="E5" s="15" t="s">
        <v>1822</v>
      </c>
      <c r="F5" s="95" t="s">
        <v>1318</v>
      </c>
      <c r="I5" s="44" t="s">
        <v>2610</v>
      </c>
      <c r="J5" s="606" t="s">
        <v>2609</v>
      </c>
    </row>
    <row r="6" spans="2:10">
      <c r="B6" s="95">
        <v>15161</v>
      </c>
      <c r="C6" s="95">
        <v>20</v>
      </c>
      <c r="D6" s="95">
        <v>1.3</v>
      </c>
      <c r="E6" s="15" t="s">
        <v>1821</v>
      </c>
      <c r="F6" s="95" t="s">
        <v>1318</v>
      </c>
      <c r="I6" s="6"/>
      <c r="J6" s="6"/>
    </row>
    <row r="7" spans="2:10">
      <c r="B7" s="95">
        <v>15798</v>
      </c>
      <c r="C7" s="95">
        <v>5</v>
      </c>
      <c r="D7" s="95">
        <v>0</v>
      </c>
      <c r="E7" s="15" t="s">
        <v>1827</v>
      </c>
      <c r="F7" s="95" t="s">
        <v>1828</v>
      </c>
      <c r="I7" s="6" t="e">
        <f>E7/J$4</f>
        <v>#VALUE!</v>
      </c>
      <c r="J7" s="6">
        <f>G7/J$4</f>
        <v>0</v>
      </c>
    </row>
    <row r="8" spans="2:10">
      <c r="B8" s="95">
        <v>15165</v>
      </c>
      <c r="C8" s="95">
        <v>20</v>
      </c>
      <c r="D8" s="95">
        <v>1.3</v>
      </c>
      <c r="E8" s="15" t="s">
        <v>1823</v>
      </c>
      <c r="F8" s="95" t="s">
        <v>1318</v>
      </c>
      <c r="I8" s="6" t="e">
        <f t="shared" ref="I8:I38" si="0">E8/J$4</f>
        <v>#VALUE!</v>
      </c>
      <c r="J8" s="6">
        <f t="shared" ref="J8:J38" si="1">G8/J$4</f>
        <v>0</v>
      </c>
    </row>
    <row r="9" spans="2:10">
      <c r="B9" s="95">
        <v>15162</v>
      </c>
      <c r="C9" s="95">
        <v>10</v>
      </c>
      <c r="D9" s="95">
        <v>1.3</v>
      </c>
      <c r="E9" s="15" t="s">
        <v>1824</v>
      </c>
      <c r="F9" s="95" t="s">
        <v>1829</v>
      </c>
      <c r="I9" s="6" t="e">
        <f t="shared" si="0"/>
        <v>#VALUE!</v>
      </c>
      <c r="J9" s="6">
        <f t="shared" si="1"/>
        <v>0</v>
      </c>
    </row>
    <row r="10" spans="2:10">
      <c r="B10" s="95">
        <v>15797</v>
      </c>
      <c r="C10" s="95">
        <v>10</v>
      </c>
      <c r="D10" s="95">
        <v>0</v>
      </c>
      <c r="E10" s="15" t="s">
        <v>1826</v>
      </c>
      <c r="F10" s="95" t="s">
        <v>1829</v>
      </c>
      <c r="I10" s="6" t="e">
        <f t="shared" si="0"/>
        <v>#VALUE!</v>
      </c>
      <c r="J10" s="6">
        <f t="shared" si="1"/>
        <v>0</v>
      </c>
    </row>
    <row r="11" spans="2:10">
      <c r="I11" s="6">
        <f t="shared" si="0"/>
        <v>0</v>
      </c>
      <c r="J11" s="6">
        <f t="shared" si="1"/>
        <v>0</v>
      </c>
    </row>
    <row r="12" spans="2:10">
      <c r="I12" s="6">
        <f t="shared" si="0"/>
        <v>0</v>
      </c>
      <c r="J12" s="6">
        <f t="shared" si="1"/>
        <v>0</v>
      </c>
    </row>
    <row r="13" spans="2:10">
      <c r="I13" s="6">
        <f t="shared" si="0"/>
        <v>0</v>
      </c>
      <c r="J13" s="6">
        <f t="shared" si="1"/>
        <v>0</v>
      </c>
    </row>
    <row r="14" spans="2:10">
      <c r="I14" s="6">
        <f t="shared" si="0"/>
        <v>0</v>
      </c>
      <c r="J14" s="6">
        <f t="shared" si="1"/>
        <v>0</v>
      </c>
    </row>
    <row r="15" spans="2:10">
      <c r="I15" s="6">
        <f t="shared" si="0"/>
        <v>0</v>
      </c>
      <c r="J15" s="6">
        <f t="shared" si="1"/>
        <v>0</v>
      </c>
    </row>
    <row r="16" spans="2:10">
      <c r="I16" s="6">
        <f t="shared" si="0"/>
        <v>0</v>
      </c>
      <c r="J16" s="6">
        <f t="shared" si="1"/>
        <v>0</v>
      </c>
    </row>
    <row r="17" spans="9:10">
      <c r="I17" s="6">
        <f t="shared" si="0"/>
        <v>0</v>
      </c>
      <c r="J17" s="6">
        <f t="shared" si="1"/>
        <v>0</v>
      </c>
    </row>
    <row r="18" spans="9:10">
      <c r="I18" s="6" t="s">
        <v>72</v>
      </c>
      <c r="J18" s="6" t="s">
        <v>72</v>
      </c>
    </row>
    <row r="19" spans="9:10">
      <c r="I19" s="6">
        <f t="shared" si="0"/>
        <v>0</v>
      </c>
      <c r="J19" s="6">
        <f t="shared" si="1"/>
        <v>0</v>
      </c>
    </row>
    <row r="20" spans="9:10">
      <c r="I20" s="6" t="s">
        <v>72</v>
      </c>
      <c r="J20" s="6" t="s">
        <v>72</v>
      </c>
    </row>
    <row r="21" spans="9:10">
      <c r="I21" s="6">
        <f t="shared" si="0"/>
        <v>0</v>
      </c>
      <c r="J21" s="6">
        <f t="shared" si="1"/>
        <v>0</v>
      </c>
    </row>
    <row r="22" spans="9:10">
      <c r="I22" s="6">
        <f t="shared" si="0"/>
        <v>0</v>
      </c>
      <c r="J22" s="6">
        <f t="shared" si="1"/>
        <v>0</v>
      </c>
    </row>
    <row r="23" spans="9:10">
      <c r="I23" s="6">
        <f t="shared" si="0"/>
        <v>0</v>
      </c>
      <c r="J23" s="6">
        <f t="shared" si="1"/>
        <v>0</v>
      </c>
    </row>
    <row r="24" spans="9:10">
      <c r="I24" s="6">
        <f t="shared" si="0"/>
        <v>0</v>
      </c>
      <c r="J24" s="6">
        <f t="shared" si="1"/>
        <v>0</v>
      </c>
    </row>
    <row r="25" spans="9:10">
      <c r="I25" s="6">
        <f t="shared" si="0"/>
        <v>0</v>
      </c>
      <c r="J25" s="6">
        <f t="shared" si="1"/>
        <v>0</v>
      </c>
    </row>
    <row r="26" spans="9:10">
      <c r="I26" s="6">
        <f t="shared" si="0"/>
        <v>0</v>
      </c>
      <c r="J26" s="6">
        <f t="shared" si="1"/>
        <v>0</v>
      </c>
    </row>
    <row r="27" spans="9:10">
      <c r="I27" s="6">
        <f t="shared" si="0"/>
        <v>0</v>
      </c>
      <c r="J27" s="6">
        <f t="shared" si="1"/>
        <v>0</v>
      </c>
    </row>
    <row r="28" spans="9:10">
      <c r="I28" s="6">
        <f t="shared" si="0"/>
        <v>0</v>
      </c>
      <c r="J28" s="6">
        <f t="shared" si="1"/>
        <v>0</v>
      </c>
    </row>
    <row r="29" spans="9:10">
      <c r="I29" s="6">
        <f t="shared" si="0"/>
        <v>0</v>
      </c>
      <c r="J29" s="6">
        <f t="shared" si="1"/>
        <v>0</v>
      </c>
    </row>
    <row r="30" spans="9:10">
      <c r="I30" s="6">
        <f t="shared" si="0"/>
        <v>0</v>
      </c>
      <c r="J30" s="6">
        <f t="shared" si="1"/>
        <v>0</v>
      </c>
    </row>
    <row r="31" spans="9:10">
      <c r="I31" s="6" t="s">
        <v>72</v>
      </c>
      <c r="J31" s="6" t="s">
        <v>72</v>
      </c>
    </row>
    <row r="32" spans="9:10">
      <c r="I32" s="6">
        <f t="shared" si="0"/>
        <v>0</v>
      </c>
      <c r="J32" s="6">
        <f t="shared" si="1"/>
        <v>0</v>
      </c>
    </row>
    <row r="33" spans="2:10">
      <c r="I33" s="6" t="s">
        <v>72</v>
      </c>
      <c r="J33" s="6" t="s">
        <v>72</v>
      </c>
    </row>
    <row r="34" spans="2:10">
      <c r="I34" s="6">
        <f t="shared" si="0"/>
        <v>0</v>
      </c>
      <c r="J34" s="6">
        <f t="shared" si="1"/>
        <v>0</v>
      </c>
    </row>
    <row r="35" spans="2:10">
      <c r="I35" s="6">
        <f t="shared" si="0"/>
        <v>0</v>
      </c>
      <c r="J35" s="6" t="s">
        <v>72</v>
      </c>
    </row>
    <row r="36" spans="2:10">
      <c r="I36" s="6">
        <f t="shared" si="0"/>
        <v>0</v>
      </c>
      <c r="J36" s="6">
        <f t="shared" si="1"/>
        <v>0</v>
      </c>
    </row>
    <row r="37" spans="2:10">
      <c r="I37" s="6">
        <f t="shared" si="0"/>
        <v>0</v>
      </c>
      <c r="J37" s="6">
        <f t="shared" si="1"/>
        <v>0</v>
      </c>
    </row>
    <row r="38" spans="2:10">
      <c r="I38" s="6">
        <f t="shared" si="0"/>
        <v>0</v>
      </c>
      <c r="J38" s="6">
        <f t="shared" si="1"/>
        <v>0</v>
      </c>
    </row>
    <row r="39" spans="2:10">
      <c r="J39" s="6" t="s">
        <v>72</v>
      </c>
    </row>
    <row r="40" spans="2:10">
      <c r="J40" s="6" t="s">
        <v>72</v>
      </c>
    </row>
    <row r="41" spans="2:10">
      <c r="J41" s="6" t="s">
        <v>72</v>
      </c>
    </row>
    <row r="42" spans="2:10">
      <c r="J42" s="6" t="s">
        <v>72</v>
      </c>
    </row>
    <row r="43" spans="2:10">
      <c r="J43" s="6" t="s">
        <v>72</v>
      </c>
    </row>
    <row r="44" spans="2:10">
      <c r="B44" s="269"/>
      <c r="C44" s="269"/>
      <c r="D44" s="269"/>
      <c r="E44" s="269"/>
      <c r="F44" s="269"/>
      <c r="G44" s="269"/>
      <c r="H44" s="269"/>
      <c r="I44" s="912" t="s">
        <v>2610</v>
      </c>
      <c r="J44" s="6" t="s">
        <v>72</v>
      </c>
    </row>
    <row r="45" spans="2:10" ht="45">
      <c r="B45" s="269"/>
      <c r="C45" s="269"/>
      <c r="D45" s="269"/>
      <c r="E45" s="269"/>
      <c r="F45" s="269"/>
      <c r="G45" s="269"/>
      <c r="H45" s="269"/>
      <c r="I45" s="913"/>
      <c r="J45" s="606" t="s">
        <v>2609</v>
      </c>
    </row>
    <row r="46" spans="2:10">
      <c r="B46" s="269"/>
      <c r="C46" s="269"/>
      <c r="D46" s="269"/>
      <c r="E46" s="269"/>
      <c r="F46" s="269"/>
      <c r="G46" s="269"/>
      <c r="H46" s="269"/>
      <c r="J46" s="6" t="s">
        <v>72</v>
      </c>
    </row>
    <row r="47" spans="2:10">
      <c r="B47" s="269"/>
      <c r="C47" s="269"/>
      <c r="D47" s="269"/>
      <c r="E47" s="269"/>
      <c r="F47" s="269"/>
      <c r="G47" s="269"/>
      <c r="H47" s="601"/>
      <c r="I47" s="385">
        <f>G47/J$4</f>
        <v>0</v>
      </c>
      <c r="J47" s="6">
        <f>+E47/J$4</f>
        <v>0</v>
      </c>
    </row>
    <row r="48" spans="2:10">
      <c r="B48" s="269"/>
      <c r="C48" s="269"/>
      <c r="D48" s="269"/>
      <c r="E48" s="269"/>
      <c r="F48" s="269"/>
      <c r="G48" s="269"/>
      <c r="H48" s="601"/>
      <c r="I48" s="385">
        <f>G48/J$4</f>
        <v>0</v>
      </c>
      <c r="J48" s="6">
        <f>+E48/J$4</f>
        <v>0</v>
      </c>
    </row>
  </sheetData>
  <sortState ref="B4:E26">
    <sortCondition ref="E4:E26"/>
  </sortState>
  <mergeCells count="1">
    <mergeCell ref="I44:I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7:G21"/>
  <sheetViews>
    <sheetView workbookViewId="0">
      <selection activeCell="E39" sqref="E39"/>
    </sheetView>
  </sheetViews>
  <sheetFormatPr baseColWidth="10" defaultRowHeight="15"/>
  <cols>
    <col min="1" max="1" width="6.5703125" customWidth="1"/>
    <col min="4" max="4" width="31.7109375" customWidth="1"/>
    <col min="5" max="5" width="15.85546875" customWidth="1"/>
    <col min="6" max="6" width="15.140625" customWidth="1"/>
    <col min="7" max="7" width="10" customWidth="1"/>
  </cols>
  <sheetData>
    <row r="7" spans="2:7">
      <c r="D7" t="s">
        <v>1591</v>
      </c>
    </row>
    <row r="8" spans="2:7" ht="45">
      <c r="B8" s="95" t="s">
        <v>127</v>
      </c>
      <c r="C8" s="95" t="s">
        <v>636</v>
      </c>
      <c r="D8" s="95" t="s">
        <v>113</v>
      </c>
      <c r="E8" s="3" t="s">
        <v>24</v>
      </c>
      <c r="F8" s="3" t="s">
        <v>25</v>
      </c>
      <c r="G8" s="3" t="s">
        <v>26</v>
      </c>
    </row>
    <row r="9" spans="2:7">
      <c r="B9" s="95">
        <v>14668</v>
      </c>
      <c r="C9" s="95">
        <v>7.25</v>
      </c>
      <c r="D9" s="118" t="s">
        <v>1578</v>
      </c>
      <c r="E9" s="95">
        <v>2</v>
      </c>
      <c r="F9" s="95">
        <v>3</v>
      </c>
      <c r="G9" s="95">
        <v>2</v>
      </c>
    </row>
    <row r="10" spans="2:7" hidden="1">
      <c r="B10" s="95">
        <v>14667</v>
      </c>
      <c r="C10" s="95">
        <v>7.25</v>
      </c>
      <c r="D10" s="120" t="s">
        <v>1579</v>
      </c>
      <c r="E10" s="95"/>
      <c r="F10" s="95"/>
      <c r="G10" s="95"/>
    </row>
    <row r="11" spans="2:7">
      <c r="B11" s="95">
        <v>1587</v>
      </c>
      <c r="C11" s="95">
        <v>3.78</v>
      </c>
      <c r="D11" s="118" t="s">
        <v>1590</v>
      </c>
      <c r="E11" s="95">
        <v>8</v>
      </c>
      <c r="F11" s="95">
        <v>3</v>
      </c>
      <c r="G11" s="95">
        <v>5</v>
      </c>
    </row>
    <row r="12" spans="2:7" hidden="1">
      <c r="B12" s="95">
        <v>1579</v>
      </c>
      <c r="C12" s="95">
        <v>3.78</v>
      </c>
      <c r="D12" s="120" t="s">
        <v>1580</v>
      </c>
      <c r="E12" s="95"/>
      <c r="F12" s="95"/>
      <c r="G12" s="95"/>
    </row>
    <row r="13" spans="2:7" hidden="1">
      <c r="B13" s="95">
        <v>1574</v>
      </c>
      <c r="C13" s="95">
        <v>3.78</v>
      </c>
      <c r="D13" s="120" t="s">
        <v>1581</v>
      </c>
      <c r="E13" s="95"/>
      <c r="F13" s="95"/>
      <c r="G13" s="95"/>
    </row>
    <row r="14" spans="2:7">
      <c r="B14" s="95">
        <v>1566</v>
      </c>
      <c r="C14" s="95">
        <v>3.78</v>
      </c>
      <c r="D14" s="118" t="s">
        <v>1582</v>
      </c>
      <c r="E14" s="95">
        <v>4</v>
      </c>
      <c r="F14" s="95">
        <v>3</v>
      </c>
      <c r="G14" s="95">
        <v>5</v>
      </c>
    </row>
    <row r="15" spans="2:7" hidden="1">
      <c r="B15" s="95">
        <v>15398</v>
      </c>
      <c r="C15" s="95">
        <v>7.26</v>
      </c>
      <c r="D15" s="120" t="s">
        <v>1583</v>
      </c>
      <c r="E15" s="95"/>
      <c r="F15" s="95"/>
      <c r="G15" s="95"/>
    </row>
    <row r="16" spans="2:7" hidden="1">
      <c r="B16" s="95">
        <v>15399</v>
      </c>
      <c r="C16" s="95">
        <v>7.26</v>
      </c>
      <c r="D16" s="120" t="s">
        <v>1584</v>
      </c>
      <c r="E16" s="95"/>
      <c r="F16" s="95"/>
      <c r="G16" s="95"/>
    </row>
    <row r="17" spans="2:7" hidden="1">
      <c r="B17" s="95">
        <v>14669</v>
      </c>
      <c r="C17" s="95">
        <v>7.25</v>
      </c>
      <c r="D17" s="120" t="s">
        <v>1585</v>
      </c>
      <c r="E17" s="95"/>
      <c r="F17" s="95"/>
      <c r="G17" s="95"/>
    </row>
    <row r="18" spans="2:7">
      <c r="B18" s="95">
        <v>1580</v>
      </c>
      <c r="C18" s="95">
        <v>3.78</v>
      </c>
      <c r="D18" s="118" t="s">
        <v>1586</v>
      </c>
      <c r="E18" s="95">
        <v>4</v>
      </c>
      <c r="F18" s="95">
        <v>3</v>
      </c>
      <c r="G18" s="95">
        <v>3</v>
      </c>
    </row>
    <row r="19" spans="2:7" hidden="1">
      <c r="B19" s="95">
        <v>1581</v>
      </c>
      <c r="C19" s="95">
        <v>7.25</v>
      </c>
      <c r="D19" s="120" t="s">
        <v>1587</v>
      </c>
      <c r="E19" s="95"/>
      <c r="F19" s="95"/>
      <c r="G19" s="95"/>
    </row>
    <row r="20" spans="2:7">
      <c r="B20" s="95">
        <v>1576</v>
      </c>
      <c r="C20" s="95">
        <v>3.86</v>
      </c>
      <c r="D20" s="118" t="s">
        <v>1588</v>
      </c>
      <c r="E20" s="95">
        <v>5</v>
      </c>
      <c r="F20" s="95">
        <v>3</v>
      </c>
      <c r="G20" s="95">
        <v>4</v>
      </c>
    </row>
    <row r="21" spans="2:7">
      <c r="B21" s="95">
        <v>1568</v>
      </c>
      <c r="C21" s="95">
        <v>3.86</v>
      </c>
      <c r="D21" s="118" t="s">
        <v>1589</v>
      </c>
      <c r="E21" s="95">
        <v>8</v>
      </c>
      <c r="F21" s="95">
        <v>0</v>
      </c>
      <c r="G21" s="95">
        <v>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C2:K36"/>
  <sheetViews>
    <sheetView topLeftCell="B1" workbookViewId="0">
      <selection activeCell="F21" sqref="F21"/>
    </sheetView>
  </sheetViews>
  <sheetFormatPr baseColWidth="10" defaultRowHeight="15"/>
  <cols>
    <col min="3" max="3" width="12.28515625" style="586" customWidth="1"/>
    <col min="4" max="5" width="0" hidden="1" customWidth="1"/>
    <col min="6" max="6" width="46.5703125" customWidth="1"/>
    <col min="7" max="7" width="9.28515625" style="494" hidden="1" customWidth="1"/>
    <col min="8" max="8" width="11.42578125" hidden="1" customWidth="1"/>
    <col min="9" max="9" width="15" style="586" customWidth="1"/>
    <col min="10" max="10" width="16" style="586" hidden="1" customWidth="1"/>
    <col min="11" max="11" width="13.5703125" style="589" customWidth="1"/>
  </cols>
  <sheetData>
    <row r="2" spans="3:11">
      <c r="F2" s="26" t="s">
        <v>3201</v>
      </c>
    </row>
    <row r="4" spans="3:11" ht="48" customHeight="1">
      <c r="F4" s="495"/>
      <c r="G4" s="587" t="s">
        <v>2642</v>
      </c>
      <c r="H4" s="587" t="s">
        <v>2641</v>
      </c>
      <c r="I4" s="587" t="s">
        <v>3194</v>
      </c>
      <c r="J4" s="587" t="s">
        <v>637</v>
      </c>
      <c r="K4" s="587" t="s">
        <v>29</v>
      </c>
    </row>
    <row r="5" spans="3:11">
      <c r="C5" s="588" t="s">
        <v>127</v>
      </c>
      <c r="D5" s="495" t="s">
        <v>159</v>
      </c>
      <c r="E5" s="495" t="s">
        <v>620</v>
      </c>
      <c r="F5" s="840" t="s">
        <v>699</v>
      </c>
      <c r="G5" s="587"/>
      <c r="H5" s="587"/>
      <c r="I5" s="588" t="s">
        <v>75</v>
      </c>
      <c r="J5" s="588"/>
      <c r="K5" s="588" t="s">
        <v>75</v>
      </c>
    </row>
    <row r="6" spans="3:11" hidden="1">
      <c r="C6" s="588">
        <v>11857</v>
      </c>
      <c r="D6" s="495">
        <v>30</v>
      </c>
      <c r="E6" s="495">
        <v>4.5</v>
      </c>
      <c r="F6" s="28" t="s">
        <v>2611</v>
      </c>
      <c r="G6" s="587"/>
      <c r="H6" s="587"/>
      <c r="I6" s="588"/>
      <c r="J6" s="588"/>
      <c r="K6" s="587"/>
    </row>
    <row r="7" spans="3:11" hidden="1">
      <c r="C7" s="588">
        <v>13364</v>
      </c>
      <c r="D7" s="495">
        <v>144</v>
      </c>
      <c r="E7" s="495">
        <v>0.93</v>
      </c>
      <c r="F7" s="28" t="s">
        <v>2612</v>
      </c>
      <c r="G7" s="587"/>
      <c r="H7" s="587"/>
      <c r="I7" s="588"/>
      <c r="J7" s="588"/>
      <c r="K7" s="587"/>
    </row>
    <row r="8" spans="3:11" s="148" customFormat="1">
      <c r="C8" s="819">
        <v>6721</v>
      </c>
      <c r="D8" s="402">
        <v>360</v>
      </c>
      <c r="E8" s="402">
        <v>1.05</v>
      </c>
      <c r="F8" s="415" t="s">
        <v>2613</v>
      </c>
      <c r="G8" s="395"/>
      <c r="H8" s="395"/>
      <c r="I8" s="819" t="s">
        <v>3195</v>
      </c>
      <c r="J8" s="819"/>
      <c r="K8" s="395" t="s">
        <v>619</v>
      </c>
    </row>
    <row r="9" spans="3:11" s="148" customFormat="1">
      <c r="C9" s="819">
        <v>12799</v>
      </c>
      <c r="D9" s="402">
        <v>180</v>
      </c>
      <c r="E9" s="402">
        <v>0.95</v>
      </c>
      <c r="F9" s="415" t="s">
        <v>2614</v>
      </c>
      <c r="G9" s="395"/>
      <c r="H9" s="395"/>
      <c r="I9" s="819" t="s">
        <v>3199</v>
      </c>
      <c r="J9" s="819"/>
      <c r="K9" s="395" t="s">
        <v>619</v>
      </c>
    </row>
    <row r="10" spans="3:11" s="148" customFormat="1" hidden="1">
      <c r="C10" s="819">
        <v>4623</v>
      </c>
      <c r="D10" s="402">
        <v>480</v>
      </c>
      <c r="E10" s="402">
        <v>0.63</v>
      </c>
      <c r="F10" s="415" t="s">
        <v>2615</v>
      </c>
      <c r="G10" s="395"/>
      <c r="H10" s="395"/>
      <c r="I10" s="819"/>
      <c r="J10" s="819"/>
      <c r="K10" s="395"/>
    </row>
    <row r="11" spans="3:11" s="148" customFormat="1" hidden="1">
      <c r="C11" s="819">
        <v>14043</v>
      </c>
      <c r="D11" s="402">
        <v>60</v>
      </c>
      <c r="E11" s="402">
        <v>1.05</v>
      </c>
      <c r="F11" s="415" t="s">
        <v>2616</v>
      </c>
      <c r="G11" s="395"/>
      <c r="H11" s="395"/>
      <c r="I11" s="819"/>
      <c r="J11" s="819"/>
      <c r="K11" s="395"/>
    </row>
    <row r="12" spans="3:11" s="148" customFormat="1" hidden="1">
      <c r="C12" s="819">
        <v>6902</v>
      </c>
      <c r="D12" s="402">
        <v>180</v>
      </c>
      <c r="E12" s="402">
        <v>1.1599999999999999</v>
      </c>
      <c r="F12" s="415" t="s">
        <v>2617</v>
      </c>
      <c r="G12" s="395"/>
      <c r="H12" s="395"/>
      <c r="I12" s="819"/>
      <c r="J12" s="819"/>
      <c r="K12" s="395"/>
    </row>
    <row r="13" spans="3:11" s="148" customFormat="1" hidden="1">
      <c r="C13" s="819">
        <v>10253</v>
      </c>
      <c r="D13" s="402">
        <v>360</v>
      </c>
      <c r="E13" s="402">
        <v>0.95</v>
      </c>
      <c r="F13" s="415" t="s">
        <v>2618</v>
      </c>
      <c r="G13" s="395"/>
      <c r="H13" s="395"/>
      <c r="I13" s="819"/>
      <c r="J13" s="819"/>
      <c r="K13" s="395"/>
    </row>
    <row r="14" spans="3:11" s="148" customFormat="1">
      <c r="C14" s="819">
        <v>10252</v>
      </c>
      <c r="D14" s="402">
        <v>48</v>
      </c>
      <c r="E14" s="402">
        <v>0.95</v>
      </c>
      <c r="F14" s="415" t="s">
        <v>2619</v>
      </c>
      <c r="G14" s="395"/>
      <c r="H14" s="395"/>
      <c r="I14" s="819" t="s">
        <v>628</v>
      </c>
      <c r="J14" s="819"/>
      <c r="K14" s="395" t="s">
        <v>619</v>
      </c>
    </row>
    <row r="15" spans="3:11" s="148" customFormat="1">
      <c r="C15" s="819">
        <v>12748</v>
      </c>
      <c r="D15" s="402">
        <v>240</v>
      </c>
      <c r="E15" s="402">
        <v>0.95</v>
      </c>
      <c r="F15" s="415" t="s">
        <v>2620</v>
      </c>
      <c r="G15" s="395"/>
      <c r="H15" s="395"/>
      <c r="I15" s="819" t="s">
        <v>3196</v>
      </c>
      <c r="J15" s="819"/>
      <c r="K15" s="395" t="s">
        <v>619</v>
      </c>
    </row>
    <row r="16" spans="3:11" s="148" customFormat="1">
      <c r="C16" s="819">
        <v>11621</v>
      </c>
      <c r="D16" s="402">
        <v>240</v>
      </c>
      <c r="E16" s="402">
        <v>0.48</v>
      </c>
      <c r="F16" s="415" t="s">
        <v>2640</v>
      </c>
      <c r="G16" s="395"/>
      <c r="H16" s="395"/>
      <c r="I16" s="819">
        <v>0</v>
      </c>
      <c r="J16" s="819"/>
      <c r="K16" s="395" t="s">
        <v>619</v>
      </c>
    </row>
    <row r="17" spans="3:11" s="148" customFormat="1" hidden="1">
      <c r="C17" s="819">
        <v>12798</v>
      </c>
      <c r="D17" s="402">
        <v>600</v>
      </c>
      <c r="E17" s="402">
        <v>0.97</v>
      </c>
      <c r="F17" s="415" t="s">
        <v>2639</v>
      </c>
      <c r="G17" s="395"/>
      <c r="H17" s="395"/>
      <c r="I17" s="819"/>
      <c r="J17" s="819"/>
      <c r="K17" s="395">
        <v>0</v>
      </c>
    </row>
    <row r="18" spans="3:11" s="148" customFormat="1">
      <c r="C18" s="819">
        <v>11620</v>
      </c>
      <c r="D18" s="402">
        <v>240</v>
      </c>
      <c r="E18" s="402">
        <v>0.49</v>
      </c>
      <c r="F18" s="415" t="s">
        <v>2621</v>
      </c>
      <c r="G18" s="395"/>
      <c r="H18" s="395"/>
      <c r="I18" s="819">
        <v>0</v>
      </c>
      <c r="J18" s="819"/>
      <c r="K18" s="395" t="s">
        <v>619</v>
      </c>
    </row>
    <row r="19" spans="3:11" s="148" customFormat="1" hidden="1">
      <c r="C19" s="819">
        <v>2030</v>
      </c>
      <c r="D19" s="402">
        <v>60</v>
      </c>
      <c r="E19" s="402">
        <v>0.76</v>
      </c>
      <c r="F19" s="415" t="s">
        <v>2622</v>
      </c>
      <c r="G19" s="395"/>
      <c r="H19" s="395"/>
      <c r="I19" s="819"/>
      <c r="J19" s="819"/>
      <c r="K19" s="395">
        <v>0</v>
      </c>
    </row>
    <row r="20" spans="3:11" s="148" customFormat="1" hidden="1">
      <c r="C20" s="819">
        <v>13923</v>
      </c>
      <c r="D20" s="402">
        <v>60</v>
      </c>
      <c r="E20" s="402">
        <v>0.84</v>
      </c>
      <c r="F20" s="415" t="s">
        <v>2623</v>
      </c>
      <c r="G20" s="395"/>
      <c r="H20" s="395"/>
      <c r="I20" s="819"/>
      <c r="J20" s="819"/>
      <c r="K20" s="395">
        <v>0</v>
      </c>
    </row>
    <row r="21" spans="3:11" s="148" customFormat="1">
      <c r="C21" s="819">
        <v>12898</v>
      </c>
      <c r="D21" s="402">
        <v>240</v>
      </c>
      <c r="E21" s="402">
        <v>0.55000000000000004</v>
      </c>
      <c r="F21" s="415" t="s">
        <v>2624</v>
      </c>
      <c r="G21" s="395">
        <f>H21*12</f>
        <v>7.32</v>
      </c>
      <c r="H21" s="395">
        <v>0.61</v>
      </c>
      <c r="I21" s="819">
        <v>0</v>
      </c>
      <c r="J21" s="819">
        <f>G21*I21</f>
        <v>0</v>
      </c>
      <c r="K21" s="395" t="s">
        <v>619</v>
      </c>
    </row>
    <row r="22" spans="3:11" s="148" customFormat="1">
      <c r="C22" s="819">
        <v>5275</v>
      </c>
      <c r="D22" s="402">
        <v>240</v>
      </c>
      <c r="E22" s="402">
        <v>0.99</v>
      </c>
      <c r="F22" s="415" t="s">
        <v>2638</v>
      </c>
      <c r="G22" s="395">
        <f t="shared" ref="G22:G35" si="0">H22*12</f>
        <v>7.32</v>
      </c>
      <c r="H22" s="395">
        <v>0.61</v>
      </c>
      <c r="I22" s="819">
        <v>0</v>
      </c>
      <c r="J22" s="819">
        <f t="shared" ref="J22:J35" si="1">G22*I22</f>
        <v>0</v>
      </c>
      <c r="K22" s="395" t="s">
        <v>619</v>
      </c>
    </row>
    <row r="23" spans="3:11" s="148" customFormat="1">
      <c r="C23" s="819">
        <v>7896</v>
      </c>
      <c r="D23" s="402">
        <v>12</v>
      </c>
      <c r="E23" s="402">
        <v>0.55000000000000004</v>
      </c>
      <c r="F23" s="415" t="s">
        <v>2625</v>
      </c>
      <c r="G23" s="395">
        <f t="shared" si="0"/>
        <v>7.32</v>
      </c>
      <c r="H23" s="395">
        <v>0.61</v>
      </c>
      <c r="I23" s="819" t="s">
        <v>619</v>
      </c>
      <c r="J23" s="819" t="e">
        <f t="shared" si="1"/>
        <v>#VALUE!</v>
      </c>
      <c r="K23" s="395" t="s">
        <v>619</v>
      </c>
    </row>
    <row r="24" spans="3:11" s="148" customFormat="1" hidden="1">
      <c r="C24" s="819">
        <v>8317</v>
      </c>
      <c r="D24" s="402">
        <v>120</v>
      </c>
      <c r="E24" s="402">
        <v>0.55000000000000004</v>
      </c>
      <c r="F24" s="415" t="s">
        <v>2635</v>
      </c>
      <c r="G24" s="395"/>
      <c r="H24" s="395"/>
      <c r="I24" s="819"/>
      <c r="J24" s="819">
        <f t="shared" si="1"/>
        <v>0</v>
      </c>
      <c r="K24" s="395"/>
    </row>
    <row r="25" spans="3:11" s="148" customFormat="1">
      <c r="C25" s="819">
        <v>9227</v>
      </c>
      <c r="D25" s="402">
        <v>300</v>
      </c>
      <c r="E25" s="402">
        <v>1.05</v>
      </c>
      <c r="F25" s="415" t="s">
        <v>2626</v>
      </c>
      <c r="G25" s="395"/>
      <c r="H25" s="395"/>
      <c r="I25" s="819" t="s">
        <v>3197</v>
      </c>
      <c r="J25" s="819" t="e">
        <f t="shared" si="1"/>
        <v>#VALUE!</v>
      </c>
      <c r="K25" s="395"/>
    </row>
    <row r="26" spans="3:11" s="148" customFormat="1">
      <c r="C26" s="819">
        <v>8316</v>
      </c>
      <c r="D26" s="402">
        <v>120</v>
      </c>
      <c r="E26" s="402">
        <v>0.55000000000000004</v>
      </c>
      <c r="F26" s="415" t="s">
        <v>2636</v>
      </c>
      <c r="G26" s="395">
        <f t="shared" si="0"/>
        <v>7.32</v>
      </c>
      <c r="H26" s="395">
        <v>0.61</v>
      </c>
      <c r="I26" s="819" t="s">
        <v>3200</v>
      </c>
      <c r="J26" s="819" t="e">
        <f t="shared" si="1"/>
        <v>#VALUE!</v>
      </c>
      <c r="K26" s="395" t="s">
        <v>619</v>
      </c>
    </row>
    <row r="27" spans="3:11" s="148" customFormat="1">
      <c r="C27" s="819">
        <v>6722</v>
      </c>
      <c r="D27" s="402">
        <v>120</v>
      </c>
      <c r="E27" s="402">
        <v>1.05</v>
      </c>
      <c r="F27" s="415" t="s">
        <v>2637</v>
      </c>
      <c r="G27" s="395">
        <f t="shared" si="0"/>
        <v>7.32</v>
      </c>
      <c r="H27" s="395">
        <v>0.61</v>
      </c>
      <c r="I27" s="819" t="s">
        <v>3198</v>
      </c>
      <c r="J27" s="819" t="e">
        <f t="shared" si="1"/>
        <v>#VALUE!</v>
      </c>
      <c r="K27" s="395" t="s">
        <v>619</v>
      </c>
    </row>
    <row r="28" spans="3:11" s="148" customFormat="1">
      <c r="C28" s="819">
        <v>8722</v>
      </c>
      <c r="D28" s="402">
        <v>300</v>
      </c>
      <c r="E28" s="402">
        <v>1.05</v>
      </c>
      <c r="F28" s="415" t="s">
        <v>2627</v>
      </c>
      <c r="G28" s="395">
        <f t="shared" si="0"/>
        <v>0</v>
      </c>
      <c r="H28" s="395"/>
      <c r="I28" s="819"/>
      <c r="J28" s="819">
        <f t="shared" si="1"/>
        <v>0</v>
      </c>
      <c r="K28" s="395" t="s">
        <v>619</v>
      </c>
    </row>
    <row r="29" spans="3:11" s="148" customFormat="1">
      <c r="C29" s="819">
        <v>10254</v>
      </c>
      <c r="D29" s="402">
        <v>120</v>
      </c>
      <c r="E29" s="402">
        <v>0.88</v>
      </c>
      <c r="F29" s="415" t="s">
        <v>2628</v>
      </c>
      <c r="G29" s="395">
        <f t="shared" si="0"/>
        <v>7.32</v>
      </c>
      <c r="H29" s="148">
        <v>0.61</v>
      </c>
      <c r="I29" s="819">
        <v>0</v>
      </c>
      <c r="J29" s="819">
        <f t="shared" si="1"/>
        <v>0</v>
      </c>
      <c r="K29" s="395" t="s">
        <v>628</v>
      </c>
    </row>
    <row r="30" spans="3:11" s="148" customFormat="1" hidden="1">
      <c r="C30" s="819">
        <v>4944</v>
      </c>
      <c r="D30" s="402">
        <v>204</v>
      </c>
      <c r="E30" s="402">
        <v>0.88</v>
      </c>
      <c r="F30" s="415" t="s">
        <v>2629</v>
      </c>
      <c r="G30" s="395"/>
      <c r="H30" s="395"/>
      <c r="I30" s="819"/>
      <c r="J30" s="819">
        <f t="shared" si="1"/>
        <v>0</v>
      </c>
      <c r="K30" s="395"/>
    </row>
    <row r="31" spans="3:11" s="148" customFormat="1" hidden="1">
      <c r="C31" s="819">
        <v>3672</v>
      </c>
      <c r="D31" s="402">
        <v>60</v>
      </c>
      <c r="E31" s="402">
        <v>0.89</v>
      </c>
      <c r="F31" s="415" t="s">
        <v>2630</v>
      </c>
      <c r="G31" s="395"/>
      <c r="H31" s="395"/>
      <c r="I31" s="819"/>
      <c r="J31" s="819">
        <f t="shared" si="1"/>
        <v>0</v>
      </c>
      <c r="K31" s="395"/>
    </row>
    <row r="32" spans="3:11" s="148" customFormat="1" hidden="1">
      <c r="C32" s="819">
        <v>9511</v>
      </c>
      <c r="D32" s="402">
        <v>60</v>
      </c>
      <c r="E32" s="402">
        <v>0.89</v>
      </c>
      <c r="F32" s="415" t="s">
        <v>2631</v>
      </c>
      <c r="G32" s="395"/>
      <c r="H32" s="395"/>
      <c r="I32" s="819"/>
      <c r="J32" s="819">
        <f t="shared" si="1"/>
        <v>0</v>
      </c>
      <c r="K32" s="395"/>
    </row>
    <row r="33" spans="3:11" s="148" customFormat="1" hidden="1">
      <c r="C33" s="819">
        <v>6167</v>
      </c>
      <c r="D33" s="402">
        <v>60</v>
      </c>
      <c r="E33" s="402">
        <v>2.2400000000000002</v>
      </c>
      <c r="F33" s="415" t="s">
        <v>2632</v>
      </c>
      <c r="G33" s="395"/>
      <c r="H33" s="395"/>
      <c r="I33" s="819"/>
      <c r="J33" s="819">
        <f t="shared" si="1"/>
        <v>0</v>
      </c>
      <c r="K33" s="395"/>
    </row>
    <row r="34" spans="3:11" s="148" customFormat="1" hidden="1">
      <c r="C34" s="819">
        <v>7117</v>
      </c>
      <c r="D34" s="402">
        <v>60</v>
      </c>
      <c r="E34" s="402">
        <v>2</v>
      </c>
      <c r="F34" s="415" t="s">
        <v>2633</v>
      </c>
      <c r="G34" s="395"/>
      <c r="H34" s="395"/>
      <c r="I34" s="819"/>
      <c r="J34" s="819">
        <f t="shared" si="1"/>
        <v>0</v>
      </c>
      <c r="K34" s="395"/>
    </row>
    <row r="35" spans="3:11" s="148" customFormat="1" hidden="1">
      <c r="C35" s="819">
        <v>4625</v>
      </c>
      <c r="D35" s="402">
        <v>120</v>
      </c>
      <c r="E35" s="402">
        <v>0.66</v>
      </c>
      <c r="F35" s="415" t="s">
        <v>2634</v>
      </c>
      <c r="G35" s="395">
        <f t="shared" si="0"/>
        <v>8.76</v>
      </c>
      <c r="H35" s="395">
        <v>0.73</v>
      </c>
      <c r="I35" s="819">
        <v>0</v>
      </c>
      <c r="J35" s="819">
        <f t="shared" si="1"/>
        <v>0</v>
      </c>
      <c r="K35" s="395">
        <v>0</v>
      </c>
    </row>
    <row r="36" spans="3:11">
      <c r="J36" s="586" t="e">
        <f>SUM(J21:J35)</f>
        <v>#VALUE!</v>
      </c>
    </row>
  </sheetData>
  <sortState ref="C6:F35">
    <sortCondition ref="F6:F35"/>
  </sortState>
  <pageMargins left="0.7" right="0.7" top="0.75" bottom="0.75" header="0.3" footer="0.3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F12" sqref="F12"/>
    </sheetView>
  </sheetViews>
  <sheetFormatPr baseColWidth="10" defaultRowHeight="15"/>
  <cols>
    <col min="3" max="4" width="11.42578125" style="386" hidden="1" customWidth="1"/>
    <col min="5" max="5" width="11.42578125" style="413" hidden="1" customWidth="1"/>
    <col min="6" max="6" width="39" customWidth="1"/>
    <col min="7" max="7" width="13.42578125" style="412" hidden="1" customWidth="1"/>
    <col min="8" max="8" width="15.5703125" customWidth="1"/>
    <col min="9" max="10" width="11.42578125" style="385"/>
  </cols>
  <sheetData>
    <row r="2" spans="2:12" ht="15.75" thickBot="1"/>
    <row r="3" spans="2:12">
      <c r="D3" s="386" t="s">
        <v>1799</v>
      </c>
      <c r="E3" s="413" t="s">
        <v>1800</v>
      </c>
      <c r="F3" t="s">
        <v>1558</v>
      </c>
      <c r="J3" s="604" t="s">
        <v>1662</v>
      </c>
    </row>
    <row r="4" spans="2:12" ht="45">
      <c r="B4" s="387" t="s">
        <v>0</v>
      </c>
      <c r="C4" s="483" t="s">
        <v>159</v>
      </c>
      <c r="D4" s="483" t="s">
        <v>620</v>
      </c>
      <c r="E4" s="483"/>
      <c r="F4" s="387" t="s">
        <v>1</v>
      </c>
      <c r="G4" s="387"/>
      <c r="H4" s="857" t="s">
        <v>24</v>
      </c>
      <c r="I4" s="599" t="s">
        <v>25</v>
      </c>
      <c r="J4" s="858">
        <v>4.16</v>
      </c>
      <c r="K4" s="859" t="s">
        <v>28</v>
      </c>
      <c r="L4" s="857" t="s">
        <v>29</v>
      </c>
    </row>
    <row r="5" spans="2:12" ht="45">
      <c r="B5" s="495">
        <v>17684</v>
      </c>
      <c r="C5" s="842">
        <f>450/15</f>
        <v>30</v>
      </c>
      <c r="D5" s="842">
        <v>1.96</v>
      </c>
      <c r="E5" s="842"/>
      <c r="F5" s="495" t="s">
        <v>1545</v>
      </c>
      <c r="G5" s="495"/>
      <c r="H5" s="842"/>
      <c r="I5" s="44" t="s">
        <v>2610</v>
      </c>
      <c r="J5" s="44" t="s">
        <v>2609</v>
      </c>
      <c r="K5" s="842"/>
      <c r="L5" s="842"/>
    </row>
    <row r="6" spans="2:12">
      <c r="B6" s="495">
        <v>17686</v>
      </c>
      <c r="C6" s="842">
        <f>600/24</f>
        <v>25</v>
      </c>
      <c r="D6" s="842">
        <v>0.68</v>
      </c>
      <c r="E6" s="842">
        <v>0.83</v>
      </c>
      <c r="F6" s="495" t="s">
        <v>1546</v>
      </c>
      <c r="G6" s="495"/>
      <c r="H6" s="842"/>
      <c r="I6" s="6"/>
      <c r="J6" s="6"/>
      <c r="K6" s="842"/>
      <c r="L6" s="842"/>
    </row>
    <row r="7" spans="2:12">
      <c r="B7" s="495">
        <v>17687</v>
      </c>
      <c r="C7" s="842">
        <f>600/24</f>
        <v>25</v>
      </c>
      <c r="D7" s="842">
        <v>0.84</v>
      </c>
      <c r="E7" s="842">
        <v>0.92</v>
      </c>
      <c r="F7" s="495" t="s">
        <v>1547</v>
      </c>
      <c r="G7" s="495"/>
      <c r="H7" s="842"/>
      <c r="I7" s="6">
        <f>E7/J$4</f>
        <v>0.22115384615384615</v>
      </c>
      <c r="J7" s="6">
        <f>G7/J$4</f>
        <v>0</v>
      </c>
      <c r="K7" s="842"/>
      <c r="L7" s="842"/>
    </row>
    <row r="8" spans="2:12">
      <c r="B8" s="495">
        <v>17689</v>
      </c>
      <c r="C8" s="842">
        <f>450/15</f>
        <v>30</v>
      </c>
      <c r="D8" s="842">
        <v>2.1</v>
      </c>
      <c r="E8" s="842"/>
      <c r="F8" s="495" t="s">
        <v>1548</v>
      </c>
      <c r="G8" s="495"/>
      <c r="H8" s="842"/>
      <c r="I8" s="6">
        <f t="shared" ref="I8:I10" si="0">E8/J$4</f>
        <v>0</v>
      </c>
      <c r="J8" s="6">
        <f t="shared" ref="J8:J10" si="1">G8/J$4</f>
        <v>0</v>
      </c>
      <c r="K8" s="842"/>
      <c r="L8" s="842"/>
    </row>
    <row r="9" spans="2:12">
      <c r="B9" s="495">
        <v>17690</v>
      </c>
      <c r="C9" s="842">
        <f>600/24</f>
        <v>25</v>
      </c>
      <c r="D9" s="842">
        <v>0.65</v>
      </c>
      <c r="E9" s="842">
        <v>0.79</v>
      </c>
      <c r="F9" s="495" t="s">
        <v>1549</v>
      </c>
      <c r="G9" s="495"/>
      <c r="H9" s="842"/>
      <c r="I9" s="6">
        <f t="shared" si="0"/>
        <v>0.18990384615384615</v>
      </c>
      <c r="J9" s="6">
        <f t="shared" si="1"/>
        <v>0</v>
      </c>
      <c r="K9" s="842"/>
      <c r="L9" s="842"/>
    </row>
    <row r="10" spans="2:12">
      <c r="B10" s="495">
        <v>17677</v>
      </c>
      <c r="C10" s="842">
        <f>600/24</f>
        <v>25</v>
      </c>
      <c r="D10" s="842">
        <v>0.87</v>
      </c>
      <c r="E10" s="842"/>
      <c r="F10" s="495" t="s">
        <v>1550</v>
      </c>
      <c r="G10" s="495"/>
      <c r="H10" s="842"/>
      <c r="I10" s="6">
        <f t="shared" si="0"/>
        <v>0</v>
      </c>
      <c r="J10" s="6">
        <f t="shared" si="1"/>
        <v>0</v>
      </c>
      <c r="K10" s="842"/>
      <c r="L10" s="842"/>
    </row>
    <row r="11" spans="2:12">
      <c r="I11" s="914" t="s">
        <v>2610</v>
      </c>
      <c r="J11" s="6" t="s">
        <v>72</v>
      </c>
    </row>
    <row r="12" spans="2:12" ht="45">
      <c r="I12" s="914"/>
      <c r="J12" s="44" t="s">
        <v>2609</v>
      </c>
    </row>
    <row r="13" spans="2:12">
      <c r="I13" s="6"/>
      <c r="J13" s="6" t="s">
        <v>72</v>
      </c>
    </row>
    <row r="14" spans="2:12">
      <c r="I14" s="6">
        <f>G21/J$4</f>
        <v>0</v>
      </c>
      <c r="J14" s="6">
        <f>+E21/J$4</f>
        <v>0</v>
      </c>
    </row>
    <row r="15" spans="2:12">
      <c r="I15" s="6">
        <f>G22/J$4</f>
        <v>0</v>
      </c>
      <c r="J15" s="6">
        <f>+E22/J$4</f>
        <v>0</v>
      </c>
    </row>
    <row r="17" spans="2:8">
      <c r="B17" s="105"/>
      <c r="C17" s="174"/>
      <c r="D17" s="174"/>
      <c r="E17" s="174"/>
      <c r="F17" s="105"/>
    </row>
    <row r="18" spans="2:8">
      <c r="B18" s="861"/>
      <c r="C18" s="861"/>
      <c r="D18" s="861"/>
      <c r="E18" s="861"/>
      <c r="F18" s="269"/>
      <c r="G18" s="269"/>
      <c r="H18" s="269"/>
    </row>
    <row r="19" spans="2:8">
      <c r="B19" s="269"/>
      <c r="C19" s="269"/>
      <c r="D19" s="269"/>
      <c r="E19" s="269"/>
      <c r="F19" s="269"/>
      <c r="G19" s="269"/>
      <c r="H19" s="269"/>
    </row>
    <row r="20" spans="2:8">
      <c r="B20" s="269"/>
      <c r="C20" s="269"/>
      <c r="D20" s="269"/>
      <c r="E20" s="269"/>
      <c r="F20" s="269"/>
      <c r="G20" s="269"/>
      <c r="H20" s="269"/>
    </row>
    <row r="21" spans="2:8">
      <c r="B21" s="269"/>
      <c r="C21" s="269"/>
      <c r="D21" s="269"/>
      <c r="E21" s="269"/>
      <c r="F21" s="269"/>
      <c r="G21" s="269"/>
      <c r="H21" s="601"/>
    </row>
    <row r="22" spans="2:8">
      <c r="B22" s="269"/>
      <c r="C22" s="269"/>
      <c r="D22" s="269"/>
      <c r="E22" s="269"/>
      <c r="F22" s="269"/>
      <c r="G22" s="269"/>
      <c r="H22" s="601"/>
    </row>
  </sheetData>
  <mergeCells count="1">
    <mergeCell ref="I11:I12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3:D90"/>
  <sheetViews>
    <sheetView workbookViewId="0">
      <selection activeCell="D4" sqref="D4"/>
    </sheetView>
  </sheetViews>
  <sheetFormatPr baseColWidth="10" defaultRowHeight="15"/>
  <cols>
    <col min="2" max="2" width="16.140625" style="718" customWidth="1"/>
    <col min="3" max="3" width="8.85546875" style="386" hidden="1" customWidth="1"/>
    <col min="4" max="4" width="52.42578125" customWidth="1"/>
    <col min="5" max="6" width="0" hidden="1" customWidth="1"/>
  </cols>
  <sheetData>
    <row r="3" spans="2:4" s="119" customFormat="1">
      <c r="B3" s="718"/>
      <c r="C3" s="398"/>
      <c r="D3" s="119" t="s">
        <v>2645</v>
      </c>
    </row>
    <row r="4" spans="2:4" s="119" customFormat="1">
      <c r="B4" s="718"/>
      <c r="C4" s="398"/>
      <c r="D4" s="148"/>
    </row>
    <row r="5" spans="2:4" s="119" customFormat="1">
      <c r="B5" s="718"/>
      <c r="C5" s="398"/>
      <c r="D5" s="148"/>
    </row>
    <row r="6" spans="2:4" s="119" customFormat="1">
      <c r="B6" s="718"/>
      <c r="C6" s="398"/>
      <c r="D6" s="148"/>
    </row>
    <row r="7" spans="2:4" s="119" customFormat="1">
      <c r="B7" s="718"/>
      <c r="C7" s="398"/>
      <c r="D7" s="148"/>
    </row>
    <row r="8" spans="2:4" ht="37.5" customHeight="1">
      <c r="B8" s="719" t="s">
        <v>0</v>
      </c>
      <c r="C8" s="29" t="s">
        <v>620</v>
      </c>
      <c r="D8" s="402"/>
    </row>
    <row r="9" spans="2:4">
      <c r="B9" s="719">
        <v>12191</v>
      </c>
      <c r="C9" s="723">
        <v>1804800</v>
      </c>
      <c r="D9" s="402" t="s">
        <v>1518</v>
      </c>
    </row>
    <row r="10" spans="2:4">
      <c r="B10" s="719">
        <v>12193</v>
      </c>
      <c r="C10" s="723">
        <v>1216000</v>
      </c>
      <c r="D10" s="118" t="s">
        <v>1535</v>
      </c>
    </row>
    <row r="11" spans="2:4">
      <c r="B11" s="728">
        <v>12193</v>
      </c>
      <c r="C11" s="732">
        <v>720</v>
      </c>
      <c r="D11" s="726" t="s">
        <v>1535</v>
      </c>
    </row>
    <row r="12" spans="2:4">
      <c r="B12" s="719">
        <v>4714</v>
      </c>
      <c r="C12" s="29">
        <v>0.9</v>
      </c>
      <c r="D12" s="402" t="s">
        <v>1516</v>
      </c>
    </row>
    <row r="13" spans="2:4">
      <c r="B13" s="719">
        <v>6919</v>
      </c>
      <c r="C13" s="723">
        <v>0.76</v>
      </c>
      <c r="D13" s="402" t="s">
        <v>1533</v>
      </c>
    </row>
    <row r="14" spans="2:4">
      <c r="B14" s="728">
        <v>6919</v>
      </c>
      <c r="C14" s="732">
        <v>600</v>
      </c>
      <c r="D14" s="726" t="s">
        <v>1533</v>
      </c>
    </row>
    <row r="15" spans="2:4">
      <c r="B15" s="719">
        <v>16569</v>
      </c>
      <c r="C15" s="723">
        <v>0.93</v>
      </c>
      <c r="D15" s="402" t="s">
        <v>1510</v>
      </c>
    </row>
    <row r="16" spans="2:4">
      <c r="B16" s="728">
        <v>16569</v>
      </c>
      <c r="C16" s="732">
        <v>360</v>
      </c>
      <c r="D16" s="726" t="s">
        <v>1510</v>
      </c>
    </row>
    <row r="17" spans="2:4">
      <c r="B17" s="719">
        <v>14907</v>
      </c>
      <c r="C17" s="723">
        <v>0.88</v>
      </c>
      <c r="D17" s="402" t="s">
        <v>1515</v>
      </c>
    </row>
    <row r="18" spans="2:4">
      <c r="B18" s="728">
        <v>14907</v>
      </c>
      <c r="C18" s="732">
        <v>720</v>
      </c>
      <c r="D18" s="726" t="s">
        <v>1515</v>
      </c>
    </row>
    <row r="19" spans="2:4">
      <c r="B19" s="719">
        <v>3549</v>
      </c>
      <c r="C19" s="29">
        <v>1296000</v>
      </c>
      <c r="D19" s="402" t="s">
        <v>1539</v>
      </c>
    </row>
    <row r="20" spans="2:4">
      <c r="B20" s="728">
        <v>3549</v>
      </c>
      <c r="C20" s="732">
        <v>720</v>
      </c>
      <c r="D20" s="726" t="s">
        <v>1539</v>
      </c>
    </row>
    <row r="21" spans="2:4">
      <c r="B21" s="719">
        <v>5848</v>
      </c>
      <c r="C21" s="723">
        <v>1264000</v>
      </c>
      <c r="D21" s="402" t="s">
        <v>1538</v>
      </c>
    </row>
    <row r="22" spans="2:4">
      <c r="B22" s="728">
        <v>5848</v>
      </c>
      <c r="C22" s="732">
        <v>720</v>
      </c>
      <c r="D22" s="726" t="s">
        <v>1538</v>
      </c>
    </row>
    <row r="23" spans="2:4">
      <c r="B23" s="719">
        <v>12649</v>
      </c>
      <c r="C23" s="723">
        <v>1120000</v>
      </c>
      <c r="D23" s="402" t="s">
        <v>1534</v>
      </c>
    </row>
    <row r="24" spans="2:4">
      <c r="B24" s="719">
        <v>11378</v>
      </c>
      <c r="C24" s="29">
        <v>864000</v>
      </c>
      <c r="D24" s="402" t="s">
        <v>1536</v>
      </c>
    </row>
    <row r="25" spans="2:4" ht="18" customHeight="1">
      <c r="B25" s="719">
        <v>7466</v>
      </c>
      <c r="C25" s="723">
        <v>1472000</v>
      </c>
      <c r="D25" s="402" t="s">
        <v>1537</v>
      </c>
    </row>
    <row r="26" spans="2:4" ht="22.5" customHeight="1">
      <c r="B26" s="728">
        <v>7466</v>
      </c>
      <c r="C26" s="732">
        <v>960</v>
      </c>
      <c r="D26" s="726" t="s">
        <v>1537</v>
      </c>
    </row>
    <row r="27" spans="2:4" ht="20.25" customHeight="1">
      <c r="B27" s="719">
        <v>11054</v>
      </c>
      <c r="C27" s="723">
        <v>798000</v>
      </c>
      <c r="D27" s="402" t="s">
        <v>1517</v>
      </c>
    </row>
    <row r="28" spans="2:4" ht="18" customHeight="1">
      <c r="B28" s="728">
        <v>11054</v>
      </c>
      <c r="C28" s="732">
        <v>480</v>
      </c>
      <c r="D28" s="726" t="s">
        <v>1517</v>
      </c>
    </row>
    <row r="29" spans="2:4" ht="19.5" customHeight="1">
      <c r="B29" s="728">
        <v>20761</v>
      </c>
      <c r="C29" s="732">
        <v>288</v>
      </c>
      <c r="D29" s="726" t="s">
        <v>3017</v>
      </c>
    </row>
    <row r="30" spans="2:4">
      <c r="B30" s="728">
        <v>18975</v>
      </c>
      <c r="C30" s="732">
        <v>432</v>
      </c>
      <c r="D30" s="726" t="s">
        <v>3018</v>
      </c>
    </row>
    <row r="31" spans="2:4">
      <c r="B31" s="727">
        <v>18972</v>
      </c>
      <c r="C31" s="723"/>
      <c r="D31" s="538" t="s">
        <v>2236</v>
      </c>
    </row>
    <row r="32" spans="2:4" s="494" customFormat="1">
      <c r="B32" s="737">
        <v>18970</v>
      </c>
      <c r="C32" s="723"/>
      <c r="D32" s="538" t="s">
        <v>2237</v>
      </c>
    </row>
    <row r="33" spans="2:4">
      <c r="B33" s="719">
        <v>11381</v>
      </c>
      <c r="C33" s="723">
        <v>998400</v>
      </c>
      <c r="D33" s="402" t="s">
        <v>1519</v>
      </c>
    </row>
    <row r="34" spans="2:4">
      <c r="B34" s="728">
        <v>19930</v>
      </c>
      <c r="C34" s="732">
        <v>360</v>
      </c>
      <c r="D34" s="726" t="s">
        <v>3019</v>
      </c>
    </row>
    <row r="35" spans="2:4">
      <c r="B35" s="728">
        <v>19931</v>
      </c>
      <c r="C35" s="732">
        <v>360</v>
      </c>
      <c r="D35" s="726" t="s">
        <v>3020</v>
      </c>
    </row>
    <row r="36" spans="2:4">
      <c r="B36" s="728">
        <v>11074</v>
      </c>
      <c r="C36" s="732">
        <v>960</v>
      </c>
      <c r="D36" s="726" t="s">
        <v>3021</v>
      </c>
    </row>
    <row r="37" spans="2:4">
      <c r="B37" s="719">
        <v>3994</v>
      </c>
      <c r="C37" s="723">
        <v>0.35</v>
      </c>
      <c r="D37" s="402" t="s">
        <v>1524</v>
      </c>
    </row>
    <row r="38" spans="2:4" s="119" customFormat="1">
      <c r="B38" s="728">
        <v>3994</v>
      </c>
      <c r="C38" s="732">
        <v>336</v>
      </c>
      <c r="D38" s="726" t="s">
        <v>1524</v>
      </c>
    </row>
    <row r="39" spans="2:4">
      <c r="B39" s="16">
        <v>18973</v>
      </c>
      <c r="C39" s="424">
        <v>0.63</v>
      </c>
      <c r="D39" s="402" t="s">
        <v>1769</v>
      </c>
    </row>
    <row r="40" spans="2:4">
      <c r="B40" s="728">
        <v>18973</v>
      </c>
      <c r="C40" s="732">
        <v>480</v>
      </c>
      <c r="D40" s="726" t="s">
        <v>1769</v>
      </c>
    </row>
    <row r="41" spans="2:4">
      <c r="B41" s="728">
        <v>20760</v>
      </c>
      <c r="C41" s="732">
        <v>480</v>
      </c>
      <c r="D41" s="726" t="s">
        <v>3022</v>
      </c>
    </row>
    <row r="42" spans="2:4" ht="15" customHeight="1">
      <c r="B42" s="731">
        <v>3143</v>
      </c>
      <c r="C42" s="735">
        <v>0.65</v>
      </c>
      <c r="D42" s="402" t="s">
        <v>1531</v>
      </c>
    </row>
    <row r="43" spans="2:4" ht="19.5" customHeight="1">
      <c r="B43" s="729">
        <v>3143</v>
      </c>
      <c r="C43" s="734">
        <v>360</v>
      </c>
      <c r="D43" s="726" t="s">
        <v>1531</v>
      </c>
    </row>
    <row r="44" spans="2:4">
      <c r="B44" s="720">
        <v>3144</v>
      </c>
      <c r="C44" s="720">
        <v>0.65</v>
      </c>
      <c r="D44" s="402" t="s">
        <v>1530</v>
      </c>
    </row>
    <row r="45" spans="2:4" s="119" customFormat="1">
      <c r="B45" s="728">
        <v>3144</v>
      </c>
      <c r="C45" s="732">
        <v>360</v>
      </c>
      <c r="D45" s="732" t="s">
        <v>1530</v>
      </c>
    </row>
    <row r="46" spans="2:4">
      <c r="B46" s="719">
        <v>5086</v>
      </c>
      <c r="C46" s="723">
        <v>0.53</v>
      </c>
      <c r="D46" s="415" t="s">
        <v>1523</v>
      </c>
    </row>
    <row r="47" spans="2:4">
      <c r="B47" s="719">
        <v>3413</v>
      </c>
      <c r="C47" s="29">
        <v>0.53</v>
      </c>
      <c r="D47" s="415" t="s">
        <v>1528</v>
      </c>
    </row>
    <row r="48" spans="2:4">
      <c r="B48" s="719">
        <v>3902</v>
      </c>
      <c r="C48" s="29">
        <v>0.53</v>
      </c>
      <c r="D48" s="415" t="s">
        <v>1526</v>
      </c>
    </row>
    <row r="49" spans="2:4">
      <c r="B49" s="736">
        <v>11074</v>
      </c>
      <c r="C49" s="738"/>
      <c r="D49" s="415" t="s">
        <v>2238</v>
      </c>
    </row>
    <row r="50" spans="2:4">
      <c r="B50" s="738">
        <v>1458</v>
      </c>
      <c r="C50" s="738">
        <v>0.68</v>
      </c>
      <c r="D50" s="415" t="s">
        <v>1532</v>
      </c>
    </row>
    <row r="51" spans="2:4">
      <c r="B51" s="728">
        <v>1458</v>
      </c>
      <c r="C51" s="726">
        <v>720</v>
      </c>
      <c r="D51" s="726" t="s">
        <v>1532</v>
      </c>
    </row>
    <row r="52" spans="2:4">
      <c r="B52" s="16">
        <v>10709</v>
      </c>
      <c r="C52" s="16">
        <v>0.35</v>
      </c>
      <c r="D52" s="402" t="s">
        <v>1520</v>
      </c>
    </row>
    <row r="53" spans="2:4">
      <c r="B53" s="16">
        <v>3901</v>
      </c>
      <c r="C53" s="16">
        <v>0.35</v>
      </c>
      <c r="D53" s="402" t="s">
        <v>1527</v>
      </c>
    </row>
    <row r="54" spans="2:4">
      <c r="B54" s="16">
        <v>3268</v>
      </c>
      <c r="C54" s="16">
        <v>0.35</v>
      </c>
      <c r="D54" s="402" t="s">
        <v>1529</v>
      </c>
    </row>
    <row r="55" spans="2:4">
      <c r="B55" s="728">
        <v>3268</v>
      </c>
      <c r="C55" s="726">
        <v>336</v>
      </c>
      <c r="D55" s="726" t="s">
        <v>1529</v>
      </c>
    </row>
    <row r="56" spans="2:4">
      <c r="B56" s="719">
        <v>3993</v>
      </c>
      <c r="C56" s="719">
        <v>0.35</v>
      </c>
      <c r="D56" s="402" t="s">
        <v>1525</v>
      </c>
    </row>
    <row r="57" spans="2:4">
      <c r="B57" s="728">
        <v>3993</v>
      </c>
      <c r="C57" s="726">
        <v>336</v>
      </c>
      <c r="D57" s="726" t="s">
        <v>1525</v>
      </c>
    </row>
    <row r="58" spans="2:4">
      <c r="B58" s="728">
        <v>11055</v>
      </c>
      <c r="C58" s="726">
        <v>240</v>
      </c>
      <c r="D58" s="726" t="s">
        <v>3023</v>
      </c>
    </row>
    <row r="59" spans="2:4">
      <c r="B59" s="728">
        <v>12801</v>
      </c>
      <c r="C59" s="726">
        <v>240</v>
      </c>
      <c r="D59" s="726" t="s">
        <v>3024</v>
      </c>
    </row>
    <row r="60" spans="2:4">
      <c r="B60" s="728">
        <v>14908</v>
      </c>
      <c r="C60" s="726">
        <v>240</v>
      </c>
      <c r="D60" s="726" t="s">
        <v>3025</v>
      </c>
    </row>
    <row r="61" spans="2:4">
      <c r="B61" s="719">
        <v>8339</v>
      </c>
      <c r="C61" s="719">
        <v>800000</v>
      </c>
      <c r="D61" s="402" t="s">
        <v>1540</v>
      </c>
    </row>
    <row r="62" spans="2:4">
      <c r="B62" s="719">
        <v>5087</v>
      </c>
      <c r="C62" s="719">
        <v>800000</v>
      </c>
      <c r="D62" s="402" t="s">
        <v>1541</v>
      </c>
    </row>
    <row r="63" spans="2:4">
      <c r="B63" s="719">
        <v>3412</v>
      </c>
      <c r="C63" s="719">
        <v>800000</v>
      </c>
      <c r="D63" s="402" t="s">
        <v>1543</v>
      </c>
    </row>
    <row r="64" spans="2:4">
      <c r="B64" s="719">
        <v>15987</v>
      </c>
      <c r="C64" s="719">
        <v>0.62</v>
      </c>
      <c r="D64" s="402" t="s">
        <v>1511</v>
      </c>
    </row>
    <row r="65" spans="2:4">
      <c r="B65" s="696"/>
      <c r="C65" s="733"/>
      <c r="D65" s="695" t="s">
        <v>2984</v>
      </c>
    </row>
    <row r="66" spans="2:4">
      <c r="B66" s="696">
        <v>15679</v>
      </c>
      <c r="C66" s="733"/>
      <c r="D66" s="695" t="s">
        <v>2985</v>
      </c>
    </row>
    <row r="67" spans="2:4">
      <c r="B67" s="730">
        <v>14908</v>
      </c>
      <c r="C67" s="730"/>
      <c r="D67" s="695" t="s">
        <v>2983</v>
      </c>
    </row>
    <row r="68" spans="2:4">
      <c r="B68" s="719">
        <v>15678</v>
      </c>
      <c r="C68" s="719">
        <v>0.63</v>
      </c>
      <c r="D68" s="402" t="s">
        <v>1514</v>
      </c>
    </row>
    <row r="69" spans="2:4">
      <c r="B69" s="719">
        <v>3992</v>
      </c>
      <c r="C69" s="719">
        <v>800000</v>
      </c>
      <c r="D69" s="402" t="s">
        <v>1542</v>
      </c>
    </row>
    <row r="70" spans="2:4">
      <c r="B70" s="719">
        <v>15681</v>
      </c>
      <c r="C70" s="719">
        <v>0.63</v>
      </c>
      <c r="D70" s="402" t="s">
        <v>1512</v>
      </c>
    </row>
    <row r="71" spans="2:4">
      <c r="B71" s="719">
        <v>15679</v>
      </c>
      <c r="C71" s="719">
        <v>1.1200000000000001</v>
      </c>
      <c r="D71" s="402" t="s">
        <v>1513</v>
      </c>
    </row>
    <row r="72" spans="2:4">
      <c r="B72" s="728">
        <v>15679</v>
      </c>
      <c r="C72" s="726">
        <v>240</v>
      </c>
      <c r="D72" s="726" t="s">
        <v>1513</v>
      </c>
    </row>
    <row r="73" spans="2:4">
      <c r="B73" s="728">
        <v>14663</v>
      </c>
      <c r="C73" s="726">
        <v>1200</v>
      </c>
      <c r="D73" s="726" t="s">
        <v>3026</v>
      </c>
    </row>
    <row r="74" spans="2:4">
      <c r="B74" s="728">
        <v>14662</v>
      </c>
      <c r="C74" s="726">
        <v>1200</v>
      </c>
      <c r="D74" s="726" t="s">
        <v>3027</v>
      </c>
    </row>
    <row r="75" spans="2:4">
      <c r="B75" s="719">
        <v>2031</v>
      </c>
      <c r="C75" s="719">
        <v>800000</v>
      </c>
      <c r="D75" s="402" t="s">
        <v>1544</v>
      </c>
    </row>
    <row r="76" spans="2:4">
      <c r="B76" s="719">
        <v>7122</v>
      </c>
      <c r="C76" s="719">
        <v>0.47</v>
      </c>
      <c r="D76" s="402" t="s">
        <v>1522</v>
      </c>
    </row>
    <row r="77" spans="2:4">
      <c r="B77" s="719">
        <v>7125</v>
      </c>
      <c r="C77" s="719">
        <v>0.47</v>
      </c>
      <c r="D77" s="402" t="s">
        <v>1521</v>
      </c>
    </row>
    <row r="78" spans="2:4">
      <c r="C78"/>
    </row>
    <row r="79" spans="2:4">
      <c r="C79"/>
    </row>
    <row r="80" spans="2:4">
      <c r="C80"/>
    </row>
    <row r="81" spans="3:3">
      <c r="C81"/>
    </row>
    <row r="82" spans="3:3">
      <c r="C82"/>
    </row>
    <row r="83" spans="3:3">
      <c r="C83"/>
    </row>
    <row r="84" spans="3:3">
      <c r="C84"/>
    </row>
    <row r="85" spans="3:3">
      <c r="C85"/>
    </row>
    <row r="86" spans="3:3">
      <c r="C86"/>
    </row>
    <row r="87" spans="3:3">
      <c r="C87"/>
    </row>
    <row r="88" spans="3:3">
      <c r="C88"/>
    </row>
    <row r="89" spans="3:3">
      <c r="C89"/>
    </row>
    <row r="90" spans="3:3">
      <c r="C90"/>
    </row>
  </sheetData>
  <sortState ref="B9:D77">
    <sortCondition ref="D9:D77"/>
  </sortState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J48"/>
  <sheetViews>
    <sheetView workbookViewId="0">
      <selection activeCell="C4" sqref="C4"/>
    </sheetView>
  </sheetViews>
  <sheetFormatPr baseColWidth="10" defaultRowHeight="15"/>
  <cols>
    <col min="3" max="3" width="34.140625" customWidth="1"/>
    <col min="4" max="4" width="22" customWidth="1"/>
    <col min="9" max="9" width="32.5703125" customWidth="1"/>
  </cols>
  <sheetData>
    <row r="2" spans="2:10">
      <c r="I2" t="s">
        <v>2718</v>
      </c>
      <c r="J2" t="s">
        <v>2717</v>
      </c>
    </row>
    <row r="3" spans="2:10">
      <c r="C3" t="s">
        <v>2719</v>
      </c>
      <c r="D3" s="399" t="s">
        <v>72</v>
      </c>
    </row>
    <row r="4" spans="2:10" ht="45">
      <c r="B4" s="120" t="s">
        <v>0</v>
      </c>
      <c r="C4" s="120" t="s">
        <v>1</v>
      </c>
      <c r="D4" s="3" t="s">
        <v>1560</v>
      </c>
      <c r="E4" s="37" t="s">
        <v>2002</v>
      </c>
      <c r="F4" s="37" t="s">
        <v>2003</v>
      </c>
    </row>
    <row r="5" spans="2:10">
      <c r="B5" s="120">
        <v>7532</v>
      </c>
      <c r="C5" s="120" t="s">
        <v>1559</v>
      </c>
      <c r="D5" s="95" t="s">
        <v>1561</v>
      </c>
      <c r="E5" s="495">
        <v>29</v>
      </c>
      <c r="F5" s="495">
        <v>9</v>
      </c>
    </row>
    <row r="44" spans="2:8" ht="15" customHeight="1">
      <c r="B44" s="269"/>
      <c r="C44" s="269"/>
      <c r="D44" s="269"/>
      <c r="E44" s="269"/>
      <c r="F44" s="269"/>
      <c r="G44" s="269"/>
      <c r="H44" s="269"/>
    </row>
    <row r="45" spans="2:8" ht="45" customHeight="1">
      <c r="B45" s="269"/>
      <c r="C45" s="269"/>
      <c r="D45" s="269"/>
      <c r="E45" s="269"/>
      <c r="F45" s="269"/>
      <c r="G45" s="269"/>
      <c r="H45" s="269"/>
    </row>
    <row r="46" spans="2:8">
      <c r="B46" s="269"/>
      <c r="C46" s="269"/>
      <c r="D46" s="269"/>
      <c r="E46" s="269"/>
      <c r="F46" s="269"/>
      <c r="G46" s="269"/>
      <c r="H46" s="269"/>
    </row>
    <row r="47" spans="2:8">
      <c r="B47" s="269"/>
      <c r="C47" s="269"/>
      <c r="D47" s="269"/>
      <c r="E47" s="269"/>
      <c r="F47" s="269"/>
      <c r="G47" s="269"/>
      <c r="H47" s="601"/>
    </row>
    <row r="48" spans="2:8">
      <c r="B48" s="269"/>
      <c r="C48" s="269"/>
      <c r="D48" s="269"/>
      <c r="E48" s="269"/>
      <c r="F48" s="269"/>
      <c r="G48" s="269"/>
      <c r="H48" s="60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N9"/>
  <sheetViews>
    <sheetView topLeftCell="F1" workbookViewId="0">
      <selection activeCell="L4" sqref="L4"/>
    </sheetView>
  </sheetViews>
  <sheetFormatPr baseColWidth="10" defaultRowHeight="15"/>
  <cols>
    <col min="1" max="1" width="9.140625" customWidth="1"/>
    <col min="3" max="3" width="6.7109375" customWidth="1"/>
    <col min="4" max="4" width="47.5703125" customWidth="1"/>
    <col min="5" max="5" width="17.28515625" hidden="1" customWidth="1"/>
    <col min="6" max="6" width="17.28515625" style="494" customWidth="1"/>
    <col min="7" max="7" width="12.5703125" style="412" customWidth="1"/>
    <col min="8" max="8" width="13.85546875" style="412" customWidth="1"/>
    <col min="9" max="9" width="17.28515625" style="412" customWidth="1"/>
    <col min="10" max="10" width="17.28515625" style="385" customWidth="1"/>
    <col min="11" max="11" width="14.140625" style="385" customWidth="1"/>
    <col min="12" max="14" width="11.42578125" customWidth="1"/>
  </cols>
  <sheetData>
    <row r="2" spans="2:14" ht="15.75" thickBot="1"/>
    <row r="3" spans="2:14">
      <c r="H3" s="412" t="s">
        <v>3213</v>
      </c>
      <c r="I3" s="610">
        <v>44435</v>
      </c>
      <c r="J3" s="611">
        <v>44496</v>
      </c>
      <c r="K3" s="604"/>
    </row>
    <row r="4" spans="2:14" ht="45.75" thickBot="1">
      <c r="B4" s="120" t="s">
        <v>0</v>
      </c>
      <c r="C4" s="120" t="s">
        <v>159</v>
      </c>
      <c r="D4" s="120"/>
      <c r="E4" s="3" t="s">
        <v>24</v>
      </c>
      <c r="F4" s="587" t="s">
        <v>2986</v>
      </c>
      <c r="G4" s="3" t="s">
        <v>2002</v>
      </c>
      <c r="H4" s="3" t="s">
        <v>2003</v>
      </c>
      <c r="I4" s="3" t="s">
        <v>2004</v>
      </c>
      <c r="J4" s="599" t="s">
        <v>2005</v>
      </c>
      <c r="K4" s="605"/>
      <c r="L4" s="35" t="s">
        <v>637</v>
      </c>
      <c r="M4" s="3" t="s">
        <v>28</v>
      </c>
      <c r="N4" s="3" t="s">
        <v>29</v>
      </c>
    </row>
    <row r="5" spans="2:14" hidden="1">
      <c r="B5" s="120">
        <v>5561</v>
      </c>
      <c r="C5" s="541">
        <v>5</v>
      </c>
      <c r="D5" s="120" t="s">
        <v>1497</v>
      </c>
      <c r="E5" s="120"/>
      <c r="F5" s="495"/>
      <c r="G5" s="541"/>
      <c r="H5" s="541"/>
      <c r="I5" s="29"/>
      <c r="J5" s="44" t="s">
        <v>72</v>
      </c>
      <c r="K5" s="606"/>
      <c r="L5" s="120"/>
      <c r="M5" s="120"/>
      <c r="N5" s="120"/>
    </row>
    <row r="6" spans="2:14">
      <c r="B6" s="120">
        <v>1436</v>
      </c>
      <c r="C6" s="541">
        <v>5000</v>
      </c>
      <c r="D6" s="15" t="s">
        <v>1498</v>
      </c>
      <c r="E6" s="95" t="s">
        <v>1509</v>
      </c>
      <c r="F6" s="588" t="s">
        <v>3033</v>
      </c>
      <c r="G6" s="541">
        <v>3153</v>
      </c>
      <c r="H6" s="541">
        <v>1922</v>
      </c>
      <c r="I6" s="597">
        <f>+G6/25</f>
        <v>126.12</v>
      </c>
      <c r="J6" s="487">
        <f>H6/25</f>
        <v>76.88</v>
      </c>
      <c r="K6" s="6">
        <v>5</v>
      </c>
      <c r="L6" s="120">
        <f>200*5</f>
        <v>1000</v>
      </c>
      <c r="M6" s="120"/>
      <c r="N6" s="120"/>
    </row>
    <row r="7" spans="2:14">
      <c r="B7" s="120">
        <v>10779</v>
      </c>
      <c r="C7" s="541">
        <v>90</v>
      </c>
      <c r="D7" s="120" t="s">
        <v>1499</v>
      </c>
      <c r="E7" s="120"/>
      <c r="F7" s="588" t="s">
        <v>2987</v>
      </c>
      <c r="G7" s="541">
        <v>46</v>
      </c>
      <c r="H7" s="541">
        <v>25</v>
      </c>
      <c r="I7" s="29">
        <f>G7</f>
        <v>46</v>
      </c>
      <c r="J7" s="487">
        <f>H7</f>
        <v>25</v>
      </c>
      <c r="K7" s="6">
        <v>7</v>
      </c>
      <c r="L7" s="120">
        <f>7*90</f>
        <v>630</v>
      </c>
      <c r="M7" s="120"/>
      <c r="N7" s="120"/>
    </row>
    <row r="8" spans="2:14" hidden="1">
      <c r="B8" s="37">
        <v>9641</v>
      </c>
      <c r="C8" s="541"/>
      <c r="D8" s="120" t="s">
        <v>1500</v>
      </c>
      <c r="E8" s="120"/>
      <c r="F8" s="495" t="s">
        <v>72</v>
      </c>
      <c r="G8" s="541">
        <v>391</v>
      </c>
      <c r="H8" s="541">
        <v>23</v>
      </c>
      <c r="I8" s="597">
        <f>G8/25</f>
        <v>15.64</v>
      </c>
      <c r="J8" s="487">
        <f>H8/25</f>
        <v>0.92</v>
      </c>
      <c r="K8" s="6"/>
      <c r="L8" s="120"/>
      <c r="M8" s="120"/>
      <c r="N8" s="120"/>
    </row>
    <row r="9" spans="2:14">
      <c r="B9" s="37">
        <v>1438</v>
      </c>
      <c r="C9" s="541">
        <v>250</v>
      </c>
      <c r="D9" s="120" t="s">
        <v>1501</v>
      </c>
      <c r="E9" s="120"/>
      <c r="F9" s="690" t="s">
        <v>634</v>
      </c>
      <c r="G9" s="541">
        <v>73</v>
      </c>
      <c r="H9" s="541">
        <v>36</v>
      </c>
      <c r="I9" s="597">
        <f>G9/25</f>
        <v>2.92</v>
      </c>
      <c r="J9" s="487">
        <f>H9/25</f>
        <v>1.44</v>
      </c>
      <c r="K9" s="6">
        <v>7</v>
      </c>
      <c r="L9" s="120"/>
      <c r="M9" s="120"/>
      <c r="N9" s="120"/>
    </row>
  </sheetData>
  <pageMargins left="0.7" right="0.7" top="0.75" bottom="0.75" header="0.3" footer="0.3"/>
  <pageSetup paperSize="11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3:I13"/>
  <sheetViews>
    <sheetView workbookViewId="0">
      <selection activeCell="F12" sqref="F12"/>
    </sheetView>
  </sheetViews>
  <sheetFormatPr baseColWidth="10" defaultRowHeight="15"/>
  <cols>
    <col min="2" max="4" width="11.42578125" style="398"/>
    <col min="5" max="5" width="65.28515625" customWidth="1"/>
  </cols>
  <sheetData>
    <row r="3" spans="2:9">
      <c r="E3" t="s">
        <v>2827</v>
      </c>
    </row>
    <row r="5" spans="2:9">
      <c r="B5" s="95" t="s">
        <v>0</v>
      </c>
      <c r="C5" s="95" t="s">
        <v>159</v>
      </c>
      <c r="D5" s="95" t="s">
        <v>620</v>
      </c>
      <c r="E5" s="120" t="s">
        <v>1</v>
      </c>
    </row>
    <row r="6" spans="2:9">
      <c r="B6" s="95">
        <v>3655</v>
      </c>
      <c r="C6" s="95">
        <v>12</v>
      </c>
      <c r="D6" s="95">
        <v>0.36</v>
      </c>
      <c r="E6" s="403" t="s">
        <v>1576</v>
      </c>
      <c r="F6" t="s">
        <v>1820</v>
      </c>
    </row>
    <row r="7" spans="2:9">
      <c r="B7" s="95">
        <v>3524</v>
      </c>
      <c r="C7" s="95">
        <v>24</v>
      </c>
      <c r="D7" s="95">
        <v>0.63</v>
      </c>
      <c r="E7" s="403" t="s">
        <v>1577</v>
      </c>
      <c r="F7" t="s">
        <v>1832</v>
      </c>
    </row>
    <row r="8" spans="2:9">
      <c r="I8" t="s">
        <v>2197</v>
      </c>
    </row>
    <row r="9" spans="2:9">
      <c r="I9" t="s">
        <v>2288</v>
      </c>
    </row>
    <row r="10" spans="2:9">
      <c r="B10" s="512" t="s">
        <v>0</v>
      </c>
      <c r="C10" s="512" t="s">
        <v>159</v>
      </c>
      <c r="D10" s="512" t="s">
        <v>620</v>
      </c>
      <c r="E10" s="512" t="s">
        <v>1</v>
      </c>
      <c r="F10" s="495"/>
      <c r="G10" s="351" t="s">
        <v>2196</v>
      </c>
      <c r="H10" s="351" t="s">
        <v>117</v>
      </c>
    </row>
    <row r="11" spans="2:9">
      <c r="B11" s="512">
        <v>5150</v>
      </c>
      <c r="C11" s="512">
        <v>12</v>
      </c>
      <c r="D11" s="512">
        <v>0.38</v>
      </c>
      <c r="E11" s="15" t="s">
        <v>2194</v>
      </c>
      <c r="F11" s="495">
        <v>24</v>
      </c>
      <c r="G11" s="495">
        <v>5</v>
      </c>
      <c r="H11" s="495">
        <v>7</v>
      </c>
      <c r="I11" s="417">
        <v>0</v>
      </c>
    </row>
    <row r="12" spans="2:9">
      <c r="B12" s="512">
        <v>3524</v>
      </c>
      <c r="C12" s="512">
        <v>80</v>
      </c>
      <c r="D12" s="512">
        <v>0.62</v>
      </c>
      <c r="E12" s="15" t="s">
        <v>1577</v>
      </c>
      <c r="F12" s="495">
        <v>2</v>
      </c>
      <c r="G12" s="495">
        <v>29</v>
      </c>
      <c r="H12" s="495">
        <v>64</v>
      </c>
      <c r="I12" s="417">
        <v>0</v>
      </c>
    </row>
    <row r="13" spans="2:9">
      <c r="B13" s="512">
        <v>3586</v>
      </c>
      <c r="C13" s="512">
        <v>12</v>
      </c>
      <c r="D13" s="512">
        <v>0.28000000000000003</v>
      </c>
      <c r="E13" s="15" t="s">
        <v>2195</v>
      </c>
      <c r="F13" s="495" t="s">
        <v>2826</v>
      </c>
      <c r="G13" s="495">
        <v>10</v>
      </c>
      <c r="H13" s="495">
        <v>2</v>
      </c>
      <c r="I13" s="417"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workbookViewId="0">
      <selection activeCell="D25" sqref="D25"/>
    </sheetView>
  </sheetViews>
  <sheetFormatPr baseColWidth="10" defaultRowHeight="15"/>
  <cols>
    <col min="2" max="5" width="11.42578125" style="421"/>
    <col min="6" max="6" width="46" customWidth="1"/>
  </cols>
  <sheetData>
    <row r="2" spans="2:6">
      <c r="D2" s="421" t="s">
        <v>1837</v>
      </c>
    </row>
    <row r="3" spans="2:6">
      <c r="B3" s="95" t="s">
        <v>0</v>
      </c>
      <c r="C3" s="95" t="s">
        <v>159</v>
      </c>
      <c r="D3" s="95" t="s">
        <v>1836</v>
      </c>
      <c r="E3" s="95" t="s">
        <v>620</v>
      </c>
      <c r="F3" s="411" t="s">
        <v>1</v>
      </c>
    </row>
    <row r="4" spans="2:6">
      <c r="B4" s="95">
        <v>1519</v>
      </c>
      <c r="C4" s="95">
        <v>50</v>
      </c>
      <c r="D4" s="95" t="s">
        <v>72</v>
      </c>
      <c r="E4" s="95">
        <v>3</v>
      </c>
      <c r="F4" s="411" t="s">
        <v>1835</v>
      </c>
    </row>
    <row r="5" spans="2:6">
      <c r="B5" s="95">
        <v>1520</v>
      </c>
      <c r="C5" s="95">
        <v>50</v>
      </c>
      <c r="D5" s="95">
        <v>2.12</v>
      </c>
      <c r="E5" s="95">
        <v>2.5</v>
      </c>
      <c r="F5" s="411" t="s">
        <v>1834</v>
      </c>
    </row>
    <row r="6" spans="2:6">
      <c r="B6" s="95">
        <v>1523</v>
      </c>
      <c r="C6" s="95">
        <v>30</v>
      </c>
      <c r="D6" s="95">
        <v>6.33</v>
      </c>
      <c r="E6" s="95">
        <v>6.67</v>
      </c>
      <c r="F6" s="411" t="s">
        <v>1833</v>
      </c>
    </row>
    <row r="7" spans="2:6">
      <c r="D7" s="421">
        <v>2.16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3:H35"/>
  <sheetViews>
    <sheetView topLeftCell="A10" workbookViewId="0">
      <selection activeCell="E28" sqref="E28"/>
    </sheetView>
  </sheetViews>
  <sheetFormatPr baseColWidth="10" defaultRowHeight="15"/>
  <cols>
    <col min="1" max="1" width="8.42578125" style="828" customWidth="1"/>
    <col min="2" max="2" width="47.42578125" customWidth="1"/>
    <col min="3" max="3" width="15.140625" style="828" customWidth="1"/>
    <col min="4" max="4" width="13.85546875" style="828" customWidth="1"/>
    <col min="5" max="5" width="10.5703125" style="828" customWidth="1"/>
    <col min="6" max="6" width="10.28515625" style="828" customWidth="1"/>
    <col min="7" max="7" width="11.140625" style="828" customWidth="1"/>
  </cols>
  <sheetData>
    <row r="3" spans="1:8" ht="18.75">
      <c r="B3" s="845" t="s">
        <v>3209</v>
      </c>
    </row>
    <row r="4" spans="1:8" ht="45" customHeight="1">
      <c r="A4" s="830" t="s">
        <v>123</v>
      </c>
      <c r="B4" s="830" t="s">
        <v>3202</v>
      </c>
      <c r="C4" s="829" t="s">
        <v>24</v>
      </c>
      <c r="D4" s="829" t="s">
        <v>25</v>
      </c>
      <c r="E4" s="829" t="s">
        <v>26</v>
      </c>
      <c r="F4" s="829" t="s">
        <v>28</v>
      </c>
      <c r="G4" s="829" t="s">
        <v>29</v>
      </c>
      <c r="H4" s="18" t="s">
        <v>3212</v>
      </c>
    </row>
    <row r="5" spans="1:8">
      <c r="A5" s="844">
        <v>12721</v>
      </c>
      <c r="B5" s="495" t="s">
        <v>93</v>
      </c>
      <c r="C5" s="830"/>
      <c r="D5" s="830"/>
      <c r="E5" s="830"/>
      <c r="F5" s="830" t="s">
        <v>1177</v>
      </c>
      <c r="G5" s="830"/>
      <c r="H5" s="495"/>
    </row>
    <row r="6" spans="1:8" hidden="1">
      <c r="A6" s="844">
        <v>12837</v>
      </c>
      <c r="B6" s="495" t="s">
        <v>95</v>
      </c>
      <c r="C6" s="830"/>
      <c r="D6" s="830"/>
      <c r="E6" s="830"/>
      <c r="F6" s="830"/>
      <c r="G6" s="830"/>
      <c r="H6" s="495"/>
    </row>
    <row r="7" spans="1:8" hidden="1">
      <c r="A7" s="844">
        <v>6252</v>
      </c>
      <c r="B7" s="1" t="s">
        <v>90</v>
      </c>
      <c r="C7" s="830"/>
      <c r="D7" s="830"/>
      <c r="E7" s="830"/>
      <c r="F7" s="830"/>
      <c r="G7" s="830"/>
      <c r="H7" s="495"/>
    </row>
    <row r="8" spans="1:8" hidden="1">
      <c r="A8" s="844">
        <v>4097</v>
      </c>
      <c r="B8" s="495" t="s">
        <v>99</v>
      </c>
      <c r="C8" s="830"/>
      <c r="D8" s="830"/>
      <c r="E8" s="830"/>
      <c r="F8" s="830"/>
      <c r="G8" s="830"/>
      <c r="H8" s="495"/>
    </row>
    <row r="9" spans="1:8" hidden="1">
      <c r="A9" s="844">
        <v>13196</v>
      </c>
      <c r="B9" s="495" t="s">
        <v>3210</v>
      </c>
      <c r="C9" s="830"/>
      <c r="D9" s="830"/>
      <c r="E9" s="830"/>
      <c r="F9" s="830"/>
      <c r="G9" s="830"/>
      <c r="H9" s="495"/>
    </row>
    <row r="10" spans="1:8">
      <c r="A10" s="844">
        <v>13196</v>
      </c>
      <c r="B10" s="495" t="s">
        <v>3210</v>
      </c>
      <c r="C10" s="830"/>
      <c r="D10" s="830"/>
      <c r="E10" s="830"/>
      <c r="F10" s="830" t="s">
        <v>2300</v>
      </c>
      <c r="G10" s="830"/>
      <c r="H10" s="495"/>
    </row>
    <row r="11" spans="1:8" hidden="1">
      <c r="A11" s="844">
        <v>3610</v>
      </c>
      <c r="B11" s="1" t="s">
        <v>94</v>
      </c>
      <c r="C11" s="830"/>
      <c r="D11" s="830"/>
      <c r="E11" s="830"/>
      <c r="F11" s="830"/>
      <c r="G11" s="830"/>
      <c r="H11" s="495"/>
    </row>
    <row r="12" spans="1:8">
      <c r="A12" s="844">
        <v>13914</v>
      </c>
      <c r="B12" s="495" t="s">
        <v>98</v>
      </c>
      <c r="C12" s="830"/>
      <c r="D12" s="830"/>
      <c r="E12" s="830"/>
      <c r="F12" s="830" t="s">
        <v>631</v>
      </c>
      <c r="G12" s="830"/>
      <c r="H12" s="495"/>
    </row>
    <row r="13" spans="1:8" hidden="1">
      <c r="A13" s="844">
        <v>4722</v>
      </c>
      <c r="B13" s="1" t="s">
        <v>96</v>
      </c>
      <c r="C13" s="830"/>
      <c r="D13" s="830"/>
      <c r="E13" s="830"/>
      <c r="F13" s="830"/>
      <c r="G13" s="830"/>
      <c r="H13" s="495"/>
    </row>
    <row r="14" spans="1:8">
      <c r="A14" s="844">
        <v>13915</v>
      </c>
      <c r="B14" s="495" t="s">
        <v>88</v>
      </c>
      <c r="C14" s="830"/>
      <c r="D14" s="830"/>
      <c r="E14" s="830"/>
      <c r="F14" s="830" t="s">
        <v>2300</v>
      </c>
      <c r="G14" s="830"/>
      <c r="H14" s="495"/>
    </row>
    <row r="15" spans="1:8">
      <c r="A15" s="844">
        <v>14827</v>
      </c>
      <c r="B15" s="495" t="s">
        <v>89</v>
      </c>
      <c r="C15" s="830"/>
      <c r="D15" s="830"/>
      <c r="E15" s="830"/>
      <c r="F15" s="830" t="s">
        <v>2300</v>
      </c>
      <c r="G15" s="830"/>
      <c r="H15" s="495"/>
    </row>
    <row r="16" spans="1:8">
      <c r="A16" s="844">
        <v>14828</v>
      </c>
      <c r="B16" s="495" t="s">
        <v>91</v>
      </c>
      <c r="C16" s="830"/>
      <c r="D16" s="830"/>
      <c r="E16" s="830"/>
      <c r="F16" s="830" t="s">
        <v>2300</v>
      </c>
      <c r="G16" s="830"/>
      <c r="H16" s="495"/>
    </row>
    <row r="17" spans="1:8">
      <c r="A17" s="844">
        <v>15503</v>
      </c>
      <c r="B17" s="495" t="s">
        <v>97</v>
      </c>
      <c r="C17" s="830"/>
      <c r="D17" s="830"/>
      <c r="E17" s="830"/>
      <c r="F17" s="830" t="s">
        <v>3211</v>
      </c>
      <c r="G17" s="830"/>
      <c r="H17" s="495"/>
    </row>
    <row r="18" spans="1:8" hidden="1">
      <c r="A18" s="844">
        <v>21628</v>
      </c>
      <c r="B18" s="37" t="s">
        <v>3208</v>
      </c>
      <c r="C18" s="830"/>
      <c r="D18" s="830"/>
      <c r="E18" s="830"/>
      <c r="F18" s="830"/>
      <c r="G18" s="830"/>
      <c r="H18" s="495"/>
    </row>
    <row r="19" spans="1:8" hidden="1">
      <c r="A19" s="844">
        <v>2136</v>
      </c>
      <c r="B19" s="1" t="s">
        <v>100</v>
      </c>
      <c r="C19" s="830"/>
      <c r="D19" s="830"/>
      <c r="E19" s="830"/>
      <c r="F19" s="830"/>
      <c r="G19" s="830"/>
      <c r="H19" s="495"/>
    </row>
    <row r="20" spans="1:8" hidden="1">
      <c r="A20" s="844">
        <v>1945</v>
      </c>
      <c r="B20" s="1" t="s">
        <v>101</v>
      </c>
      <c r="C20" s="830"/>
      <c r="D20" s="830"/>
      <c r="E20" s="830"/>
      <c r="F20" s="830"/>
      <c r="G20" s="830"/>
      <c r="H20" s="495"/>
    </row>
    <row r="21" spans="1:8" hidden="1">
      <c r="A21" s="844">
        <v>1755</v>
      </c>
      <c r="B21" s="1" t="s">
        <v>102</v>
      </c>
      <c r="C21" s="830"/>
      <c r="D21" s="830"/>
      <c r="E21" s="830"/>
      <c r="F21" s="830"/>
      <c r="G21" s="830"/>
      <c r="H21" s="495"/>
    </row>
    <row r="22" spans="1:8">
      <c r="A22" s="844">
        <v>21628</v>
      </c>
      <c r="B22" s="37" t="s">
        <v>3208</v>
      </c>
      <c r="C22" s="830"/>
      <c r="D22" s="830"/>
      <c r="E22" s="830"/>
      <c r="F22" s="830" t="s">
        <v>2300</v>
      </c>
      <c r="G22" s="830"/>
      <c r="H22" s="495"/>
    </row>
    <row r="24" spans="1:8">
      <c r="A24" s="827"/>
      <c r="B24" s="113"/>
    </row>
    <row r="25" spans="1:8">
      <c r="A25" s="846"/>
      <c r="B25" s="113"/>
    </row>
    <row r="26" spans="1:8">
      <c r="A26" s="846"/>
      <c r="B26" s="113"/>
    </row>
    <row r="27" spans="1:8">
      <c r="A27" s="846"/>
      <c r="B27" s="113"/>
    </row>
    <row r="28" spans="1:8">
      <c r="A28" s="846"/>
      <c r="B28" s="113"/>
    </row>
    <row r="29" spans="1:8">
      <c r="A29" s="846"/>
      <c r="B29" s="113"/>
    </row>
    <row r="30" spans="1:8">
      <c r="A30" s="846"/>
      <c r="B30" s="113"/>
    </row>
    <row r="31" spans="1:8">
      <c r="A31" s="846"/>
      <c r="B31" s="113"/>
    </row>
    <row r="32" spans="1:8">
      <c r="A32" s="846"/>
      <c r="B32" s="113"/>
    </row>
    <row r="33" spans="1:2">
      <c r="A33" s="846"/>
      <c r="B33" s="113"/>
    </row>
    <row r="34" spans="1:2">
      <c r="A34" s="846"/>
      <c r="B34" s="105"/>
    </row>
    <row r="35" spans="1:2">
      <c r="A35" s="827"/>
      <c r="B35" s="113"/>
    </row>
  </sheetData>
  <sortState ref="A5:B21">
    <sortCondition ref="B5:B21"/>
  </sortState>
  <pageMargins left="0.7" right="0.7" top="0.75" bottom="0.75" header="0.3" footer="0.3"/>
  <pageSetup paperSize="9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15"/>
  <sheetViews>
    <sheetView topLeftCell="C1" workbookViewId="0">
      <selection activeCell="P2" sqref="P2"/>
    </sheetView>
  </sheetViews>
  <sheetFormatPr baseColWidth="10" defaultRowHeight="15"/>
  <cols>
    <col min="3" max="3" width="51.5703125" customWidth="1"/>
    <col min="4" max="4" width="17.5703125" customWidth="1"/>
    <col min="5" max="6" width="0" hidden="1" customWidth="1"/>
    <col min="7" max="7" width="14.42578125" customWidth="1"/>
    <col min="8" max="9" width="0" hidden="1" customWidth="1"/>
    <col min="11" max="13" width="0" hidden="1" customWidth="1"/>
  </cols>
  <sheetData>
    <row r="2" spans="1:15">
      <c r="A2" s="26"/>
      <c r="B2" s="26"/>
      <c r="C2" s="109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>
      <c r="A3" s="26"/>
      <c r="B3" s="26"/>
      <c r="C3" s="109" t="s">
        <v>1558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45">
      <c r="A4" s="343" t="s">
        <v>115</v>
      </c>
      <c r="B4" s="342" t="s">
        <v>114</v>
      </c>
      <c r="C4" s="343" t="s">
        <v>113</v>
      </c>
      <c r="D4" s="342" t="s">
        <v>24</v>
      </c>
      <c r="E4" s="342" t="s">
        <v>116</v>
      </c>
      <c r="F4" s="342" t="s">
        <v>117</v>
      </c>
      <c r="G4" s="342" t="s">
        <v>25</v>
      </c>
      <c r="H4" s="342" t="s">
        <v>116</v>
      </c>
      <c r="I4" s="342" t="s">
        <v>117</v>
      </c>
      <c r="J4" s="342" t="s">
        <v>26</v>
      </c>
      <c r="K4" s="342" t="s">
        <v>116</v>
      </c>
      <c r="L4" s="342" t="s">
        <v>117</v>
      </c>
      <c r="M4" s="342" t="s">
        <v>27</v>
      </c>
      <c r="N4" s="342" t="s">
        <v>28</v>
      </c>
      <c r="O4" s="342" t="s">
        <v>29</v>
      </c>
    </row>
    <row r="5" spans="1:15">
      <c r="A5" s="23">
        <v>14310</v>
      </c>
      <c r="B5" s="23">
        <v>180</v>
      </c>
      <c r="C5" s="401" t="s">
        <v>103</v>
      </c>
      <c r="D5" s="23" t="s">
        <v>785</v>
      </c>
      <c r="E5" s="23">
        <v>444</v>
      </c>
      <c r="F5" s="23">
        <v>60</v>
      </c>
      <c r="G5" s="23" t="s">
        <v>279</v>
      </c>
      <c r="H5" s="23">
        <v>33</v>
      </c>
      <c r="I5" s="23">
        <v>36</v>
      </c>
      <c r="J5" s="23" t="s">
        <v>280</v>
      </c>
      <c r="K5" s="23"/>
      <c r="L5" s="23"/>
      <c r="M5" s="23"/>
      <c r="N5" s="23" t="s">
        <v>280</v>
      </c>
      <c r="O5" s="23" t="s">
        <v>280</v>
      </c>
    </row>
    <row r="6" spans="1:15" hidden="1">
      <c r="A6" s="23">
        <v>15002</v>
      </c>
      <c r="B6" s="23">
        <v>12</v>
      </c>
      <c r="C6" s="401" t="s">
        <v>104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>
      <c r="A7" s="23">
        <v>14311</v>
      </c>
      <c r="B7" s="23">
        <v>144</v>
      </c>
      <c r="C7" s="401" t="s">
        <v>105</v>
      </c>
      <c r="D7" s="23" t="s">
        <v>1495</v>
      </c>
      <c r="E7" s="23"/>
      <c r="F7" s="23"/>
      <c r="G7" s="23" t="s">
        <v>322</v>
      </c>
      <c r="H7" s="23" t="s">
        <v>119</v>
      </c>
      <c r="I7" s="23"/>
      <c r="J7" s="23" t="s">
        <v>322</v>
      </c>
      <c r="K7" s="23"/>
      <c r="L7" s="23"/>
      <c r="M7" s="23"/>
      <c r="N7" s="23" t="s">
        <v>630</v>
      </c>
      <c r="O7" s="23" t="s">
        <v>280</v>
      </c>
    </row>
    <row r="8" spans="1:15">
      <c r="A8" s="23">
        <v>15676</v>
      </c>
      <c r="B8" s="23">
        <v>60</v>
      </c>
      <c r="C8" s="401" t="s">
        <v>106</v>
      </c>
      <c r="D8" s="23" t="s">
        <v>1495</v>
      </c>
      <c r="E8" s="23">
        <v>50</v>
      </c>
      <c r="F8" s="23">
        <v>23</v>
      </c>
      <c r="G8" s="23" t="s">
        <v>280</v>
      </c>
      <c r="H8" s="23">
        <v>17</v>
      </c>
      <c r="I8" s="23">
        <v>0</v>
      </c>
      <c r="J8" s="23" t="s">
        <v>280</v>
      </c>
      <c r="K8" s="23"/>
      <c r="L8" s="23"/>
      <c r="M8" s="23"/>
      <c r="N8" s="23" t="s">
        <v>630</v>
      </c>
      <c r="O8" s="23" t="s">
        <v>280</v>
      </c>
    </row>
    <row r="9" spans="1:15" hidden="1">
      <c r="A9" s="23">
        <v>15547</v>
      </c>
      <c r="B9" s="23">
        <v>36</v>
      </c>
      <c r="C9" s="401" t="s">
        <v>107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hidden="1">
      <c r="A10" s="23">
        <v>14313</v>
      </c>
      <c r="B10" s="23">
        <v>72</v>
      </c>
      <c r="C10" s="401" t="s">
        <v>108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hidden="1">
      <c r="A11" s="23">
        <v>14312</v>
      </c>
      <c r="B11" s="23">
        <v>72</v>
      </c>
      <c r="C11" s="401" t="s">
        <v>109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hidden="1">
      <c r="A12" s="23">
        <v>15003</v>
      </c>
      <c r="B12" s="23">
        <v>60</v>
      </c>
      <c r="C12" s="401" t="s">
        <v>110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hidden="1">
      <c r="A13" s="23">
        <v>15546</v>
      </c>
      <c r="B13" s="23">
        <v>12</v>
      </c>
      <c r="C13" s="401" t="s">
        <v>111</v>
      </c>
      <c r="D13" s="23" t="s">
        <v>118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>
      <c r="A14" s="23">
        <v>15001</v>
      </c>
      <c r="B14" s="23">
        <v>12</v>
      </c>
      <c r="C14" s="401" t="s">
        <v>112</v>
      </c>
      <c r="D14" s="23" t="s">
        <v>1481</v>
      </c>
      <c r="E14" s="23"/>
      <c r="F14" s="23"/>
      <c r="G14" s="23" t="s">
        <v>669</v>
      </c>
      <c r="H14" s="23"/>
      <c r="I14" s="23"/>
      <c r="J14" s="23" t="s">
        <v>669</v>
      </c>
      <c r="K14" s="23"/>
      <c r="L14" s="23"/>
      <c r="M14" s="23"/>
      <c r="N14" s="23" t="s">
        <v>669</v>
      </c>
      <c r="O14" s="23" t="s">
        <v>669</v>
      </c>
    </row>
    <row r="15" spans="1:15">
      <c r="A15" s="26"/>
      <c r="B15" s="26"/>
      <c r="C15" s="26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</sheetData>
  <pageMargins left="0.7" right="0.7" top="0.75" bottom="0.75" header="0.3" footer="0.3"/>
  <pageSetup paperSize="11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7" workbookViewId="0">
      <selection activeCell="I1" sqref="I1:O1048576"/>
    </sheetView>
  </sheetViews>
  <sheetFormatPr baseColWidth="10" defaultRowHeight="15"/>
  <cols>
    <col min="7" max="7" width="50.85546875" customWidth="1"/>
    <col min="8" max="8" width="14" customWidth="1"/>
  </cols>
  <sheetData>
    <row r="1" spans="1:8" s="494" customFormat="1"/>
    <row r="2" spans="1:8">
      <c r="B2" s="891" t="s">
        <v>72</v>
      </c>
      <c r="C2" s="891"/>
      <c r="D2" s="891"/>
      <c r="E2" s="891"/>
      <c r="F2" s="891"/>
      <c r="G2" s="891"/>
      <c r="H2" s="891"/>
    </row>
    <row r="4" spans="1:8" s="494" customFormat="1">
      <c r="B4" s="915" t="s">
        <v>3004</v>
      </c>
      <c r="C4" s="915"/>
      <c r="D4" s="915"/>
      <c r="E4" s="915"/>
      <c r="F4" s="915"/>
      <c r="G4" s="915"/>
      <c r="H4" s="915"/>
    </row>
    <row r="5" spans="1:8" s="494" customFormat="1" ht="60">
      <c r="B5" s="712" t="s">
        <v>2017</v>
      </c>
      <c r="C5" s="712" t="s">
        <v>25</v>
      </c>
      <c r="D5" s="712" t="s">
        <v>26</v>
      </c>
      <c r="E5" s="713" t="s">
        <v>2018</v>
      </c>
      <c r="F5" s="713" t="s">
        <v>2019</v>
      </c>
      <c r="G5" s="716">
        <v>0.08</v>
      </c>
      <c r="H5" s="714" t="s">
        <v>3006</v>
      </c>
    </row>
    <row r="6" spans="1:8" s="494" customFormat="1">
      <c r="B6" s="710" t="s">
        <v>116</v>
      </c>
      <c r="C6" s="710" t="s">
        <v>116</v>
      </c>
      <c r="D6" s="710" t="s">
        <v>116</v>
      </c>
      <c r="E6" s="22"/>
      <c r="F6" s="22"/>
      <c r="G6" s="28"/>
      <c r="H6" s="715">
        <v>0</v>
      </c>
    </row>
    <row r="7" spans="1:8" s="494" customFormat="1">
      <c r="B7" s="710">
        <f>E19</f>
        <v>42156</v>
      </c>
      <c r="C7" s="710">
        <f>E24</f>
        <v>10008</v>
      </c>
      <c r="D7" s="710">
        <f>E28</f>
        <v>1080</v>
      </c>
      <c r="E7" s="710">
        <f>B7+C7+D7</f>
        <v>53244</v>
      </c>
      <c r="F7" s="24">
        <f>E7/36</f>
        <v>1479</v>
      </c>
      <c r="G7" s="597">
        <f>F7*8%</f>
        <v>118.32000000000001</v>
      </c>
      <c r="H7" s="715">
        <v>0</v>
      </c>
    </row>
    <row r="8" spans="1:8" s="494" customFormat="1">
      <c r="F8" s="711"/>
      <c r="H8" s="715">
        <v>0</v>
      </c>
    </row>
    <row r="9" spans="1:8" s="494" customFormat="1">
      <c r="H9" s="715">
        <v>0</v>
      </c>
    </row>
    <row r="10" spans="1:8" s="494" customFormat="1">
      <c r="H10" s="715">
        <v>0</v>
      </c>
    </row>
    <row r="11" spans="1:8" s="494" customFormat="1">
      <c r="B11" s="915" t="s">
        <v>804</v>
      </c>
      <c r="C11" s="915"/>
      <c r="D11" s="915"/>
      <c r="E11" s="915"/>
      <c r="F11" s="915"/>
      <c r="G11" s="915"/>
      <c r="H11" s="711">
        <f>SUM(H6:H10)</f>
        <v>0</v>
      </c>
    </row>
    <row r="12" spans="1:8" ht="36" customHeight="1">
      <c r="B12" s="495" t="s">
        <v>308</v>
      </c>
      <c r="C12" s="700" t="s">
        <v>1966</v>
      </c>
      <c r="D12" s="495" t="s">
        <v>0</v>
      </c>
      <c r="E12" s="495" t="s">
        <v>159</v>
      </c>
      <c r="F12" s="495" t="s">
        <v>620</v>
      </c>
      <c r="G12" s="495" t="s">
        <v>1</v>
      </c>
    </row>
    <row r="13" spans="1:8">
      <c r="B13" s="403" t="s">
        <v>2808</v>
      </c>
      <c r="C13" s="700">
        <v>5866</v>
      </c>
      <c r="D13" s="700">
        <v>3064</v>
      </c>
      <c r="E13" s="700">
        <v>4176</v>
      </c>
      <c r="F13" s="700">
        <v>0.37</v>
      </c>
      <c r="G13" s="403" t="s">
        <v>1968</v>
      </c>
    </row>
    <row r="14" spans="1:8">
      <c r="A14" t="s">
        <v>3000</v>
      </c>
      <c r="B14" s="717" t="s">
        <v>2808</v>
      </c>
      <c r="C14" s="698">
        <v>5866</v>
      </c>
      <c r="D14" s="698">
        <v>3064</v>
      </c>
      <c r="E14" s="698">
        <v>2952</v>
      </c>
      <c r="F14" s="698">
        <v>0</v>
      </c>
      <c r="G14" s="403" t="s">
        <v>1968</v>
      </c>
    </row>
    <row r="15" spans="1:8">
      <c r="B15" s="403" t="s">
        <v>2998</v>
      </c>
      <c r="C15" s="700">
        <v>5870</v>
      </c>
      <c r="D15" s="700">
        <v>3064</v>
      </c>
      <c r="E15" s="700">
        <v>21600</v>
      </c>
      <c r="F15" s="700">
        <v>0.37</v>
      </c>
      <c r="G15" s="403" t="s">
        <v>1968</v>
      </c>
    </row>
    <row r="16" spans="1:8">
      <c r="B16" s="403" t="s">
        <v>2999</v>
      </c>
      <c r="C16" s="700">
        <v>5890</v>
      </c>
      <c r="D16" s="700">
        <v>3064</v>
      </c>
      <c r="E16" s="700">
        <v>5580</v>
      </c>
      <c r="F16" s="700">
        <v>0.37</v>
      </c>
      <c r="G16" s="403" t="s">
        <v>1968</v>
      </c>
    </row>
    <row r="17" spans="1:11">
      <c r="B17" s="403" t="s">
        <v>2999</v>
      </c>
      <c r="C17" s="700">
        <v>5889</v>
      </c>
      <c r="D17" s="700">
        <v>3064</v>
      </c>
      <c r="E17" s="700">
        <v>10800</v>
      </c>
      <c r="F17" s="700">
        <v>0.37</v>
      </c>
      <c r="G17" s="403" t="s">
        <v>1968</v>
      </c>
    </row>
    <row r="18" spans="1:11">
      <c r="A18" t="s">
        <v>3001</v>
      </c>
      <c r="B18" s="717" t="s">
        <v>2999</v>
      </c>
      <c r="C18" s="698">
        <v>5889</v>
      </c>
      <c r="D18" s="698">
        <v>3064</v>
      </c>
      <c r="E18" s="698">
        <v>3420</v>
      </c>
      <c r="F18" s="698">
        <v>0</v>
      </c>
      <c r="G18" s="403" t="s">
        <v>1968</v>
      </c>
    </row>
    <row r="19" spans="1:11">
      <c r="B19" s="494"/>
      <c r="C19" s="697"/>
      <c r="D19" s="494"/>
      <c r="E19" s="494">
        <f>E13+E15+E16+E17</f>
        <v>42156</v>
      </c>
      <c r="F19" s="494"/>
      <c r="G19" s="494"/>
    </row>
    <row r="20" spans="1:11">
      <c r="B20" s="915" t="s">
        <v>25</v>
      </c>
      <c r="C20" s="915"/>
      <c r="D20" s="915"/>
      <c r="E20" s="915"/>
      <c r="F20" s="915"/>
      <c r="G20" s="915"/>
    </row>
    <row r="21" spans="1:11">
      <c r="B21" s="495" t="s">
        <v>308</v>
      </c>
      <c r="C21" s="495" t="s">
        <v>1966</v>
      </c>
      <c r="D21" s="495" t="s">
        <v>0</v>
      </c>
      <c r="E21" s="495" t="s">
        <v>159</v>
      </c>
      <c r="F21" s="495" t="s">
        <v>620</v>
      </c>
      <c r="G21" s="495" t="s">
        <v>1</v>
      </c>
      <c r="K21" s="697" t="s">
        <v>72</v>
      </c>
    </row>
    <row r="22" spans="1:11">
      <c r="B22" s="495" t="s">
        <v>2808</v>
      </c>
      <c r="C22" s="495" t="s">
        <v>3002</v>
      </c>
      <c r="D22" s="495">
        <v>3064</v>
      </c>
      <c r="E22" s="495">
        <v>4608</v>
      </c>
      <c r="F22" s="495">
        <v>0.37</v>
      </c>
      <c r="G22" s="495" t="s">
        <v>1968</v>
      </c>
      <c r="K22" s="697" t="s">
        <v>72</v>
      </c>
    </row>
    <row r="23" spans="1:11">
      <c r="B23" s="495" t="s">
        <v>2999</v>
      </c>
      <c r="C23" s="495" t="s">
        <v>3003</v>
      </c>
      <c r="D23" s="495">
        <v>3064</v>
      </c>
      <c r="E23" s="495">
        <v>5400</v>
      </c>
      <c r="F23" s="495">
        <v>0.38</v>
      </c>
      <c r="G23" s="495" t="s">
        <v>1968</v>
      </c>
    </row>
    <row r="24" spans="1:11">
      <c r="E24">
        <f>SUM(E22:E23)</f>
        <v>10008</v>
      </c>
    </row>
    <row r="25" spans="1:11">
      <c r="B25" s="915" t="s">
        <v>26</v>
      </c>
      <c r="C25" s="915"/>
      <c r="D25" s="915"/>
      <c r="E25" s="915"/>
      <c r="F25" s="915"/>
      <c r="G25" s="915"/>
    </row>
    <row r="26" spans="1:11">
      <c r="B26" s="495" t="s">
        <v>308</v>
      </c>
      <c r="C26" s="495" t="s">
        <v>1966</v>
      </c>
      <c r="D26" s="495" t="s">
        <v>0</v>
      </c>
      <c r="E26" s="495" t="s">
        <v>159</v>
      </c>
      <c r="F26" s="495" t="s">
        <v>620</v>
      </c>
      <c r="G26" s="495" t="s">
        <v>1</v>
      </c>
    </row>
    <row r="27" spans="1:11">
      <c r="B27" s="495" t="s">
        <v>2999</v>
      </c>
      <c r="C27" s="495" t="s">
        <v>3005</v>
      </c>
      <c r="D27" s="495">
        <v>3064</v>
      </c>
      <c r="E27" s="495">
        <v>1080</v>
      </c>
      <c r="F27" s="495">
        <v>0.38</v>
      </c>
      <c r="G27" s="495" t="s">
        <v>1968</v>
      </c>
    </row>
    <row r="28" spans="1:11">
      <c r="E28">
        <f>SUM(E27)</f>
        <v>1080</v>
      </c>
    </row>
  </sheetData>
  <mergeCells count="5">
    <mergeCell ref="B20:G20"/>
    <mergeCell ref="B11:G11"/>
    <mergeCell ref="B2:H2"/>
    <mergeCell ref="B25:G25"/>
    <mergeCell ref="B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3:V29"/>
  <sheetViews>
    <sheetView workbookViewId="0">
      <selection activeCell="C13" sqref="C13:O28"/>
    </sheetView>
  </sheetViews>
  <sheetFormatPr baseColWidth="10" defaultRowHeight="15"/>
  <cols>
    <col min="1" max="1" width="9.140625" style="368" customWidth="1"/>
    <col min="2" max="2" width="47" customWidth="1"/>
    <col min="3" max="3" width="14.7109375" customWidth="1"/>
    <col min="4" max="7" width="14.7109375" style="494" hidden="1" customWidth="1"/>
    <col min="8" max="8" width="14.42578125" customWidth="1"/>
    <col min="9" max="12" width="14.42578125" style="494" hidden="1" customWidth="1"/>
    <col min="13" max="13" width="11.42578125" style="358"/>
    <col min="14" max="14" width="11.42578125" style="542" hidden="1" customWidth="1"/>
    <col min="15" max="15" width="14" style="542" customWidth="1"/>
    <col min="16" max="16" width="11.42578125" style="542" hidden="1" customWidth="1"/>
    <col min="17" max="17" width="11.42578125" style="542" customWidth="1"/>
  </cols>
  <sheetData>
    <row r="3" spans="1:22">
      <c r="B3" t="s">
        <v>2297</v>
      </c>
      <c r="F3" s="494" t="s">
        <v>2295</v>
      </c>
    </row>
    <row r="6" spans="1:22" ht="60">
      <c r="C6" s="2" t="s">
        <v>24</v>
      </c>
      <c r="D6" s="545"/>
      <c r="E6" s="545"/>
      <c r="F6" s="545"/>
      <c r="G6" s="545"/>
      <c r="H6" s="2" t="s">
        <v>25</v>
      </c>
      <c r="I6" s="545"/>
      <c r="J6" s="545"/>
      <c r="K6" s="545"/>
      <c r="L6" s="545"/>
      <c r="M6" s="359" t="s">
        <v>26</v>
      </c>
      <c r="R6" s="2" t="s">
        <v>29</v>
      </c>
    </row>
    <row r="7" spans="1:22" ht="30">
      <c r="A7" s="3" t="s">
        <v>127</v>
      </c>
      <c r="B7" s="95" t="s">
        <v>113</v>
      </c>
      <c r="C7" s="95"/>
      <c r="D7" s="543" t="s">
        <v>2292</v>
      </c>
      <c r="E7" s="543" t="s">
        <v>2004</v>
      </c>
      <c r="F7" s="543" t="s">
        <v>2293</v>
      </c>
      <c r="G7" s="543" t="s">
        <v>2294</v>
      </c>
      <c r="H7" s="95"/>
      <c r="I7" s="543" t="s">
        <v>2292</v>
      </c>
      <c r="J7" s="543" t="s">
        <v>2004</v>
      </c>
      <c r="K7" s="543" t="s">
        <v>2293</v>
      </c>
      <c r="L7" s="543" t="s">
        <v>2294</v>
      </c>
      <c r="M7" s="95"/>
      <c r="N7" s="543" t="s">
        <v>2292</v>
      </c>
      <c r="O7" s="543" t="s">
        <v>2004</v>
      </c>
      <c r="P7" s="543" t="s">
        <v>2293</v>
      </c>
      <c r="Q7" s="543" t="s">
        <v>2294</v>
      </c>
      <c r="R7" s="495"/>
      <c r="S7" s="543" t="s">
        <v>2292</v>
      </c>
      <c r="T7" s="543" t="s">
        <v>2004</v>
      </c>
      <c r="U7" s="543" t="s">
        <v>2293</v>
      </c>
      <c r="V7" s="543" t="s">
        <v>2294</v>
      </c>
    </row>
    <row r="8" spans="1:22" hidden="1">
      <c r="A8" s="95">
        <v>9098</v>
      </c>
      <c r="B8" s="1" t="s">
        <v>6</v>
      </c>
      <c r="C8" s="29" t="s">
        <v>669</v>
      </c>
      <c r="D8" s="543">
        <v>235</v>
      </c>
      <c r="E8" s="487">
        <f>D8/24</f>
        <v>9.7916666666666661</v>
      </c>
      <c r="F8" s="543">
        <v>178</v>
      </c>
      <c r="G8" s="487">
        <f>F8/24</f>
        <v>7.416666666666667</v>
      </c>
      <c r="H8" s="418" t="s">
        <v>669</v>
      </c>
      <c r="I8" s="543">
        <v>20</v>
      </c>
      <c r="J8" s="487">
        <f>I8/24</f>
        <v>0.83333333333333337</v>
      </c>
      <c r="K8" s="543">
        <v>60</v>
      </c>
      <c r="L8" s="487">
        <f>K8/24</f>
        <v>2.5</v>
      </c>
      <c r="M8" s="95" t="s">
        <v>669</v>
      </c>
      <c r="N8" s="543">
        <v>6</v>
      </c>
      <c r="O8" s="487">
        <f>N8/24</f>
        <v>0.25</v>
      </c>
      <c r="P8" s="543">
        <v>30</v>
      </c>
      <c r="Q8" s="487">
        <f>P8/24</f>
        <v>1.25</v>
      </c>
      <c r="R8" s="495"/>
      <c r="S8" s="495"/>
      <c r="T8" s="495"/>
      <c r="U8" s="495"/>
      <c r="V8" s="495"/>
    </row>
    <row r="9" spans="1:22" hidden="1">
      <c r="A9" s="95">
        <v>9099</v>
      </c>
      <c r="B9" s="1" t="s">
        <v>7</v>
      </c>
      <c r="C9" s="29" t="s">
        <v>669</v>
      </c>
      <c r="D9" s="543">
        <v>448</v>
      </c>
      <c r="E9" s="487">
        <f t="shared" ref="E9:E28" si="0">D9/24</f>
        <v>18.666666666666668</v>
      </c>
      <c r="F9" s="543">
        <v>220</v>
      </c>
      <c r="G9" s="487">
        <f t="shared" ref="G9:G28" si="1">F9/24</f>
        <v>9.1666666666666661</v>
      </c>
      <c r="H9" s="418" t="s">
        <v>669</v>
      </c>
      <c r="I9" s="543">
        <v>57</v>
      </c>
      <c r="J9" s="487">
        <f t="shared" ref="J9:J29" si="2">I9/24</f>
        <v>2.375</v>
      </c>
      <c r="K9" s="543">
        <v>30</v>
      </c>
      <c r="L9" s="487">
        <f t="shared" ref="L9:L28" si="3">K9/24</f>
        <v>1.25</v>
      </c>
      <c r="M9" s="95" t="s">
        <v>669</v>
      </c>
      <c r="N9" s="543">
        <v>54</v>
      </c>
      <c r="O9" s="487">
        <f t="shared" ref="O9:O28" si="4">N9/24</f>
        <v>2.25</v>
      </c>
      <c r="P9" s="543">
        <v>17</v>
      </c>
      <c r="Q9" s="487">
        <f t="shared" ref="Q9:Q28" si="5">P9/24</f>
        <v>0.70833333333333337</v>
      </c>
      <c r="R9" s="495"/>
      <c r="S9" s="495"/>
      <c r="T9" s="495"/>
      <c r="U9" s="495"/>
      <c r="V9" s="495"/>
    </row>
    <row r="10" spans="1:22" hidden="1">
      <c r="A10" s="95">
        <v>6486</v>
      </c>
      <c r="B10" s="1" t="s">
        <v>18</v>
      </c>
      <c r="C10" s="29" t="s">
        <v>669</v>
      </c>
      <c r="D10" s="543">
        <v>77</v>
      </c>
      <c r="E10" s="487">
        <f t="shared" si="0"/>
        <v>3.2083333333333335</v>
      </c>
      <c r="F10" s="543">
        <v>108</v>
      </c>
      <c r="G10" s="487">
        <f t="shared" si="1"/>
        <v>4.5</v>
      </c>
      <c r="H10" s="418" t="s">
        <v>669</v>
      </c>
      <c r="I10" s="543">
        <v>3</v>
      </c>
      <c r="J10" s="487">
        <f t="shared" si="2"/>
        <v>0.125</v>
      </c>
      <c r="K10" s="543">
        <v>44</v>
      </c>
      <c r="L10" s="487">
        <f t="shared" si="3"/>
        <v>1.8333333333333333</v>
      </c>
      <c r="M10" s="95" t="s">
        <v>669</v>
      </c>
      <c r="N10" s="543">
        <v>2</v>
      </c>
      <c r="O10" s="487">
        <f t="shared" si="4"/>
        <v>8.3333333333333329E-2</v>
      </c>
      <c r="P10" s="543">
        <v>119</v>
      </c>
      <c r="Q10" s="487">
        <f t="shared" si="5"/>
        <v>4.958333333333333</v>
      </c>
      <c r="R10" s="495"/>
      <c r="S10" s="495"/>
      <c r="T10" s="495"/>
      <c r="U10" s="495"/>
      <c r="V10" s="495"/>
    </row>
    <row r="11" spans="1:22" hidden="1">
      <c r="A11" s="95">
        <v>6708</v>
      </c>
      <c r="B11" s="1" t="s">
        <v>15</v>
      </c>
      <c r="C11" s="29" t="s">
        <v>669</v>
      </c>
      <c r="D11" s="543">
        <v>120</v>
      </c>
      <c r="E11" s="487">
        <f t="shared" si="0"/>
        <v>5</v>
      </c>
      <c r="F11" s="543">
        <v>358</v>
      </c>
      <c r="G11" s="487">
        <f t="shared" si="1"/>
        <v>14.916666666666666</v>
      </c>
      <c r="H11" s="418" t="s">
        <v>669</v>
      </c>
      <c r="I11" s="543" t="s">
        <v>669</v>
      </c>
      <c r="J11" s="487" t="e">
        <f t="shared" si="2"/>
        <v>#VALUE!</v>
      </c>
      <c r="K11" s="543"/>
      <c r="L11" s="487">
        <f t="shared" si="3"/>
        <v>0</v>
      </c>
      <c r="M11" s="95" t="s">
        <v>669</v>
      </c>
      <c r="N11" s="543">
        <v>2</v>
      </c>
      <c r="O11" s="487">
        <f t="shared" si="4"/>
        <v>8.3333333333333329E-2</v>
      </c>
      <c r="P11" s="543">
        <v>86</v>
      </c>
      <c r="Q11" s="487">
        <f t="shared" si="5"/>
        <v>3.5833333333333335</v>
      </c>
      <c r="R11" s="495"/>
      <c r="S11" s="495"/>
      <c r="T11" s="495"/>
      <c r="U11" s="495"/>
      <c r="V11" s="495"/>
    </row>
    <row r="12" spans="1:22" hidden="1">
      <c r="A12" s="95">
        <v>7334</v>
      </c>
      <c r="B12" s="1" t="s">
        <v>16</v>
      </c>
      <c r="C12" s="29" t="s">
        <v>669</v>
      </c>
      <c r="D12" s="543">
        <v>118</v>
      </c>
      <c r="E12" s="487">
        <f t="shared" si="0"/>
        <v>4.916666666666667</v>
      </c>
      <c r="F12" s="543">
        <v>155</v>
      </c>
      <c r="G12" s="487">
        <f t="shared" si="1"/>
        <v>6.458333333333333</v>
      </c>
      <c r="H12" s="418" t="s">
        <v>669</v>
      </c>
      <c r="I12" s="543">
        <v>8</v>
      </c>
      <c r="J12" s="487">
        <f t="shared" si="2"/>
        <v>0.33333333333333331</v>
      </c>
      <c r="K12" s="543">
        <v>40</v>
      </c>
      <c r="L12" s="487">
        <f t="shared" si="3"/>
        <v>1.6666666666666667</v>
      </c>
      <c r="M12" s="95" t="s">
        <v>669</v>
      </c>
      <c r="N12" s="543">
        <v>16</v>
      </c>
      <c r="O12" s="487">
        <f t="shared" si="4"/>
        <v>0.66666666666666663</v>
      </c>
      <c r="P12" s="543">
        <v>8</v>
      </c>
      <c r="Q12" s="487">
        <f t="shared" si="5"/>
        <v>0.33333333333333331</v>
      </c>
      <c r="R12" s="495"/>
      <c r="S12" s="495"/>
      <c r="T12" s="495"/>
      <c r="U12" s="495"/>
      <c r="V12" s="495"/>
    </row>
    <row r="13" spans="1:22">
      <c r="A13" s="95">
        <v>3246</v>
      </c>
      <c r="B13" s="1" t="s">
        <v>4</v>
      </c>
      <c r="C13" s="842" t="s">
        <v>759</v>
      </c>
      <c r="D13" s="842">
        <v>414</v>
      </c>
      <c r="E13" s="487">
        <f t="shared" si="0"/>
        <v>17.25</v>
      </c>
      <c r="F13" s="842">
        <v>52</v>
      </c>
      <c r="G13" s="487">
        <f t="shared" si="1"/>
        <v>2.1666666666666665</v>
      </c>
      <c r="H13" s="842" t="s">
        <v>669</v>
      </c>
      <c r="I13" s="842">
        <v>53</v>
      </c>
      <c r="J13" s="487">
        <f t="shared" si="2"/>
        <v>2.2083333333333335</v>
      </c>
      <c r="K13" s="842">
        <v>3</v>
      </c>
      <c r="L13" s="487">
        <f t="shared" si="3"/>
        <v>0.125</v>
      </c>
      <c r="M13" s="842" t="s">
        <v>763</v>
      </c>
      <c r="N13" s="842">
        <v>51</v>
      </c>
      <c r="O13" s="487">
        <f t="shared" si="4"/>
        <v>2.125</v>
      </c>
      <c r="P13" s="543">
        <v>2</v>
      </c>
      <c r="Q13" s="487">
        <f t="shared" si="5"/>
        <v>8.3333333333333329E-2</v>
      </c>
      <c r="R13" s="495"/>
      <c r="S13" s="495"/>
      <c r="T13" s="495"/>
      <c r="U13" s="495"/>
      <c r="V13" s="495"/>
    </row>
    <row r="14" spans="1:22">
      <c r="A14" s="95">
        <v>3245</v>
      </c>
      <c r="B14" s="1" t="s">
        <v>21</v>
      </c>
      <c r="C14" s="842" t="s">
        <v>667</v>
      </c>
      <c r="D14" s="842">
        <v>257</v>
      </c>
      <c r="E14" s="487">
        <f t="shared" si="0"/>
        <v>10.708333333333334</v>
      </c>
      <c r="F14" s="842">
        <v>205</v>
      </c>
      <c r="G14" s="487">
        <f t="shared" si="1"/>
        <v>8.5416666666666661</v>
      </c>
      <c r="H14" s="842" t="s">
        <v>669</v>
      </c>
      <c r="I14" s="842">
        <v>23</v>
      </c>
      <c r="J14" s="487">
        <f t="shared" si="2"/>
        <v>0.95833333333333337</v>
      </c>
      <c r="K14" s="842">
        <v>28</v>
      </c>
      <c r="L14" s="487">
        <f t="shared" si="3"/>
        <v>1.1666666666666667</v>
      </c>
      <c r="M14" s="842" t="s">
        <v>763</v>
      </c>
      <c r="N14" s="842">
        <v>21</v>
      </c>
      <c r="O14" s="487">
        <f t="shared" si="4"/>
        <v>0.875</v>
      </c>
      <c r="P14" s="543">
        <v>11</v>
      </c>
      <c r="Q14" s="487">
        <f t="shared" si="5"/>
        <v>0.45833333333333331</v>
      </c>
      <c r="R14" s="495"/>
      <c r="S14" s="495"/>
      <c r="T14" s="495"/>
      <c r="U14" s="495"/>
      <c r="V14" s="495"/>
    </row>
    <row r="15" spans="1:22">
      <c r="A15" s="95">
        <v>6701</v>
      </c>
      <c r="B15" s="1" t="s">
        <v>5</v>
      </c>
      <c r="C15" s="842" t="s">
        <v>667</v>
      </c>
      <c r="D15" s="842">
        <v>861</v>
      </c>
      <c r="E15" s="487">
        <f t="shared" si="0"/>
        <v>35.875</v>
      </c>
      <c r="F15" s="842">
        <v>41</v>
      </c>
      <c r="G15" s="487">
        <f t="shared" si="1"/>
        <v>1.7083333333333333</v>
      </c>
      <c r="H15" s="842" t="s">
        <v>628</v>
      </c>
      <c r="I15" s="842">
        <v>77</v>
      </c>
      <c r="J15" s="487">
        <f t="shared" si="2"/>
        <v>3.2083333333333335</v>
      </c>
      <c r="K15" s="842">
        <v>19</v>
      </c>
      <c r="L15" s="487">
        <f t="shared" si="3"/>
        <v>0.79166666666666663</v>
      </c>
      <c r="M15" s="842" t="s">
        <v>619</v>
      </c>
      <c r="N15" s="842">
        <v>69</v>
      </c>
      <c r="O15" s="487">
        <f t="shared" si="4"/>
        <v>2.875</v>
      </c>
      <c r="P15" s="543">
        <v>4</v>
      </c>
      <c r="Q15" s="487">
        <f t="shared" si="5"/>
        <v>0.16666666666666666</v>
      </c>
      <c r="R15" s="495"/>
      <c r="S15" s="495"/>
      <c r="T15" s="495"/>
      <c r="U15" s="495"/>
      <c r="V15" s="495"/>
    </row>
    <row r="16" spans="1:22" ht="15" hidden="1" customHeight="1">
      <c r="A16" s="95">
        <v>9217</v>
      </c>
      <c r="B16" s="1" t="s">
        <v>13</v>
      </c>
      <c r="C16" s="842" t="s">
        <v>669</v>
      </c>
      <c r="D16" s="842">
        <v>24</v>
      </c>
      <c r="E16" s="487">
        <f t="shared" si="0"/>
        <v>1</v>
      </c>
      <c r="F16" s="842">
        <v>404</v>
      </c>
      <c r="G16" s="487">
        <f t="shared" si="1"/>
        <v>16.833333333333332</v>
      </c>
      <c r="H16" s="842" t="s">
        <v>669</v>
      </c>
      <c r="I16" s="842">
        <v>2</v>
      </c>
      <c r="J16" s="487">
        <f t="shared" si="2"/>
        <v>8.3333333333333329E-2</v>
      </c>
      <c r="K16" s="842">
        <v>26</v>
      </c>
      <c r="L16" s="487">
        <f t="shared" si="3"/>
        <v>1.0833333333333333</v>
      </c>
      <c r="M16" s="842" t="s">
        <v>669</v>
      </c>
      <c r="N16" s="842">
        <v>2</v>
      </c>
      <c r="O16" s="487">
        <f t="shared" si="4"/>
        <v>8.3333333333333329E-2</v>
      </c>
      <c r="P16" s="543">
        <v>9</v>
      </c>
      <c r="Q16" s="487">
        <f t="shared" si="5"/>
        <v>0.375</v>
      </c>
      <c r="R16" s="495"/>
      <c r="S16" s="495"/>
      <c r="T16" s="495"/>
      <c r="U16" s="495"/>
      <c r="V16" s="495"/>
    </row>
    <row r="17" spans="1:22">
      <c r="A17" s="95">
        <v>3151</v>
      </c>
      <c r="B17" s="1" t="s">
        <v>3</v>
      </c>
      <c r="C17" s="842" t="s">
        <v>1291</v>
      </c>
      <c r="D17" s="842">
        <v>1131</v>
      </c>
      <c r="E17" s="487">
        <f t="shared" si="0"/>
        <v>47.125</v>
      </c>
      <c r="F17" s="842">
        <v>40</v>
      </c>
      <c r="G17" s="487">
        <f t="shared" si="1"/>
        <v>1.6666666666666667</v>
      </c>
      <c r="H17" s="842" t="s">
        <v>632</v>
      </c>
      <c r="I17" s="842">
        <v>113</v>
      </c>
      <c r="J17" s="487">
        <f t="shared" si="2"/>
        <v>4.708333333333333</v>
      </c>
      <c r="K17" s="842">
        <v>2</v>
      </c>
      <c r="L17" s="487">
        <f t="shared" si="3"/>
        <v>8.3333333333333329E-2</v>
      </c>
      <c r="M17" s="842" t="s">
        <v>2296</v>
      </c>
      <c r="N17" s="842">
        <v>95</v>
      </c>
      <c r="O17" s="487">
        <f t="shared" si="4"/>
        <v>3.9583333333333335</v>
      </c>
      <c r="P17" s="543">
        <v>20</v>
      </c>
      <c r="Q17" s="487">
        <f t="shared" si="5"/>
        <v>0.83333333333333337</v>
      </c>
      <c r="R17" s="495"/>
      <c r="S17" s="495"/>
      <c r="T17" s="495"/>
      <c r="U17" s="495"/>
      <c r="V17" s="495"/>
    </row>
    <row r="18" spans="1:22" hidden="1">
      <c r="A18" s="95">
        <v>5097</v>
      </c>
      <c r="B18" s="1" t="s">
        <v>17</v>
      </c>
      <c r="C18" s="842" t="s">
        <v>669</v>
      </c>
      <c r="D18" s="842">
        <v>173</v>
      </c>
      <c r="E18" s="487">
        <f t="shared" si="0"/>
        <v>7.208333333333333</v>
      </c>
      <c r="F18" s="842">
        <v>170</v>
      </c>
      <c r="G18" s="487">
        <f t="shared" si="1"/>
        <v>7.083333333333333</v>
      </c>
      <c r="H18" s="842" t="s">
        <v>669</v>
      </c>
      <c r="I18" s="842">
        <v>12</v>
      </c>
      <c r="J18" s="487">
        <f t="shared" si="2"/>
        <v>0.5</v>
      </c>
      <c r="K18" s="842">
        <v>40</v>
      </c>
      <c r="L18" s="487">
        <f t="shared" si="3"/>
        <v>1.6666666666666667</v>
      </c>
      <c r="M18" s="842" t="s">
        <v>669</v>
      </c>
      <c r="N18" s="842">
        <v>16</v>
      </c>
      <c r="O18" s="487">
        <f t="shared" si="4"/>
        <v>0.66666666666666663</v>
      </c>
      <c r="P18" s="543">
        <v>19</v>
      </c>
      <c r="Q18" s="487">
        <f t="shared" si="5"/>
        <v>0.79166666666666663</v>
      </c>
      <c r="R18" s="495"/>
      <c r="S18" s="495"/>
      <c r="T18" s="495"/>
      <c r="U18" s="495"/>
      <c r="V18" s="495"/>
    </row>
    <row r="19" spans="1:22" hidden="1">
      <c r="A19" s="95">
        <v>3247</v>
      </c>
      <c r="B19" s="1" t="s">
        <v>12</v>
      </c>
      <c r="C19" s="842" t="s">
        <v>669</v>
      </c>
      <c r="D19" s="842">
        <v>23</v>
      </c>
      <c r="E19" s="487">
        <f t="shared" si="0"/>
        <v>0.95833333333333337</v>
      </c>
      <c r="F19" s="842">
        <v>62</v>
      </c>
      <c r="G19" s="487">
        <f t="shared" si="1"/>
        <v>2.5833333333333335</v>
      </c>
      <c r="H19" s="842" t="s">
        <v>669</v>
      </c>
      <c r="I19" s="842" t="s">
        <v>669</v>
      </c>
      <c r="J19" s="487" t="e">
        <f t="shared" si="2"/>
        <v>#VALUE!</v>
      </c>
      <c r="K19" s="842"/>
      <c r="L19" s="487">
        <f t="shared" si="3"/>
        <v>0</v>
      </c>
      <c r="M19" s="842" t="s">
        <v>669</v>
      </c>
      <c r="N19" s="842">
        <v>2</v>
      </c>
      <c r="O19" s="487">
        <f t="shared" si="4"/>
        <v>8.3333333333333329E-2</v>
      </c>
      <c r="P19" s="543">
        <v>42</v>
      </c>
      <c r="Q19" s="487">
        <f t="shared" si="5"/>
        <v>1.75</v>
      </c>
      <c r="R19" s="495"/>
      <c r="S19" s="495"/>
      <c r="T19" s="495"/>
      <c r="U19" s="495"/>
      <c r="V19" s="495"/>
    </row>
    <row r="20" spans="1:22" hidden="1">
      <c r="A20" s="95">
        <v>6405</v>
      </c>
      <c r="B20" s="1" t="s">
        <v>11</v>
      </c>
      <c r="C20" s="842" t="s">
        <v>669</v>
      </c>
      <c r="D20" s="842">
        <v>157</v>
      </c>
      <c r="E20" s="487">
        <f t="shared" si="0"/>
        <v>6.541666666666667</v>
      </c>
      <c r="F20" s="842">
        <v>29</v>
      </c>
      <c r="G20" s="487">
        <f t="shared" si="1"/>
        <v>1.2083333333333333</v>
      </c>
      <c r="H20" s="842" t="s">
        <v>669</v>
      </c>
      <c r="I20" s="842">
        <v>2</v>
      </c>
      <c r="J20" s="487">
        <f t="shared" si="2"/>
        <v>8.3333333333333329E-2</v>
      </c>
      <c r="K20" s="842">
        <v>28</v>
      </c>
      <c r="L20" s="487">
        <f t="shared" si="3"/>
        <v>1.1666666666666667</v>
      </c>
      <c r="M20" s="842" t="s">
        <v>669</v>
      </c>
      <c r="N20" s="842">
        <v>13</v>
      </c>
      <c r="O20" s="487">
        <f t="shared" si="4"/>
        <v>0.54166666666666663</v>
      </c>
      <c r="P20" s="543">
        <v>47</v>
      </c>
      <c r="Q20" s="487">
        <f t="shared" si="5"/>
        <v>1.9583333333333333</v>
      </c>
      <c r="R20" s="495"/>
      <c r="S20" s="495"/>
      <c r="T20" s="495"/>
      <c r="U20" s="495"/>
      <c r="V20" s="495"/>
    </row>
    <row r="21" spans="1:22" hidden="1">
      <c r="A21" s="95">
        <v>1014</v>
      </c>
      <c r="B21" s="1" t="s">
        <v>8</v>
      </c>
      <c r="C21" s="842" t="s">
        <v>669</v>
      </c>
      <c r="D21" s="842">
        <v>67</v>
      </c>
      <c r="E21" s="487">
        <f t="shared" si="0"/>
        <v>2.7916666666666665</v>
      </c>
      <c r="F21" s="842">
        <v>384</v>
      </c>
      <c r="G21" s="487">
        <f t="shared" si="1"/>
        <v>16</v>
      </c>
      <c r="H21" s="842" t="s">
        <v>669</v>
      </c>
      <c r="I21" s="842">
        <v>20</v>
      </c>
      <c r="J21" s="487">
        <f t="shared" si="2"/>
        <v>0.83333333333333337</v>
      </c>
      <c r="K21" s="842">
        <v>49</v>
      </c>
      <c r="L21" s="487">
        <f t="shared" si="3"/>
        <v>2.0416666666666665</v>
      </c>
      <c r="M21" s="842" t="s">
        <v>669</v>
      </c>
      <c r="N21" s="842">
        <v>6</v>
      </c>
      <c r="O21" s="487">
        <f t="shared" si="4"/>
        <v>0.25</v>
      </c>
      <c r="P21" s="543">
        <v>64</v>
      </c>
      <c r="Q21" s="487">
        <f t="shared" si="5"/>
        <v>2.6666666666666665</v>
      </c>
      <c r="R21" s="495"/>
      <c r="S21" s="495"/>
      <c r="T21" s="495"/>
      <c r="U21" s="495"/>
      <c r="V21" s="495"/>
    </row>
    <row r="22" spans="1:22" hidden="1">
      <c r="A22" s="95">
        <v>1023</v>
      </c>
      <c r="B22" s="1" t="s">
        <v>2</v>
      </c>
      <c r="C22" s="842" t="s">
        <v>669</v>
      </c>
      <c r="D22" s="842">
        <v>233</v>
      </c>
      <c r="E22" s="487">
        <f t="shared" si="0"/>
        <v>9.7083333333333339</v>
      </c>
      <c r="F22" s="842">
        <v>146</v>
      </c>
      <c r="G22" s="487">
        <f t="shared" si="1"/>
        <v>6.083333333333333</v>
      </c>
      <c r="H22" s="842" t="s">
        <v>669</v>
      </c>
      <c r="I22" s="842">
        <v>7</v>
      </c>
      <c r="J22" s="487">
        <f t="shared" si="2"/>
        <v>0.29166666666666669</v>
      </c>
      <c r="K22" s="842">
        <v>20</v>
      </c>
      <c r="L22" s="487">
        <f t="shared" si="3"/>
        <v>0.83333333333333337</v>
      </c>
      <c r="M22" s="842" t="s">
        <v>669</v>
      </c>
      <c r="N22" s="842">
        <v>12</v>
      </c>
      <c r="O22" s="487">
        <f t="shared" si="4"/>
        <v>0.5</v>
      </c>
      <c r="P22" s="543">
        <v>49</v>
      </c>
      <c r="Q22" s="487">
        <f t="shared" si="5"/>
        <v>2.0416666666666665</v>
      </c>
      <c r="R22" s="495"/>
      <c r="S22" s="495"/>
      <c r="T22" s="495"/>
      <c r="U22" s="495"/>
      <c r="V22" s="495"/>
    </row>
    <row r="23" spans="1:22" hidden="1">
      <c r="A23" s="95">
        <v>1019</v>
      </c>
      <c r="B23" s="414" t="s">
        <v>23</v>
      </c>
      <c r="C23" s="842" t="s">
        <v>669</v>
      </c>
      <c r="D23" s="842"/>
      <c r="E23" s="487">
        <f t="shared" si="0"/>
        <v>0</v>
      </c>
      <c r="F23" s="842"/>
      <c r="G23" s="487">
        <f t="shared" si="1"/>
        <v>0</v>
      </c>
      <c r="H23" s="842" t="s">
        <v>669</v>
      </c>
      <c r="I23" s="842"/>
      <c r="J23" s="487">
        <f t="shared" si="2"/>
        <v>0</v>
      </c>
      <c r="K23" s="842"/>
      <c r="L23" s="487">
        <f t="shared" si="3"/>
        <v>0</v>
      </c>
      <c r="M23" s="842" t="s">
        <v>669</v>
      </c>
      <c r="N23" s="842"/>
      <c r="O23" s="487">
        <f t="shared" si="4"/>
        <v>0</v>
      </c>
      <c r="P23" s="543"/>
      <c r="Q23" s="487">
        <f t="shared" si="5"/>
        <v>0</v>
      </c>
      <c r="R23" s="495"/>
      <c r="S23" s="495"/>
      <c r="T23" s="495"/>
      <c r="U23" s="495"/>
      <c r="V23" s="495"/>
    </row>
    <row r="24" spans="1:22" hidden="1">
      <c r="A24" s="95">
        <v>1017</v>
      </c>
      <c r="B24" s="1" t="s">
        <v>9</v>
      </c>
      <c r="C24" s="842" t="s">
        <v>669</v>
      </c>
      <c r="D24" s="842">
        <v>66</v>
      </c>
      <c r="E24" s="487">
        <f t="shared" si="0"/>
        <v>2.75</v>
      </c>
      <c r="F24" s="842">
        <v>320</v>
      </c>
      <c r="G24" s="487">
        <f t="shared" si="1"/>
        <v>13.333333333333334</v>
      </c>
      <c r="H24" s="842" t="s">
        <v>669</v>
      </c>
      <c r="I24" s="842">
        <v>3</v>
      </c>
      <c r="J24" s="487">
        <f t="shared" si="2"/>
        <v>0.125</v>
      </c>
      <c r="K24" s="842">
        <v>24</v>
      </c>
      <c r="L24" s="487">
        <f t="shared" si="3"/>
        <v>1</v>
      </c>
      <c r="M24" s="842" t="s">
        <v>669</v>
      </c>
      <c r="N24" s="842">
        <v>8</v>
      </c>
      <c r="O24" s="487">
        <f t="shared" si="4"/>
        <v>0.33333333333333331</v>
      </c>
      <c r="P24" s="543">
        <v>63</v>
      </c>
      <c r="Q24" s="487">
        <f t="shared" si="5"/>
        <v>2.625</v>
      </c>
      <c r="R24" s="495"/>
      <c r="S24" s="495"/>
      <c r="T24" s="495"/>
      <c r="U24" s="495"/>
      <c r="V24" s="495"/>
    </row>
    <row r="25" spans="1:22">
      <c r="A25" s="95">
        <v>9738</v>
      </c>
      <c r="B25" s="1" t="s">
        <v>19</v>
      </c>
      <c r="C25" s="842" t="s">
        <v>760</v>
      </c>
      <c r="D25" s="842">
        <v>299</v>
      </c>
      <c r="E25" s="487">
        <f t="shared" si="0"/>
        <v>12.458333333333334</v>
      </c>
      <c r="F25" s="842">
        <v>65</v>
      </c>
      <c r="G25" s="487">
        <f t="shared" si="1"/>
        <v>2.7083333333333335</v>
      </c>
      <c r="H25" s="842" t="s">
        <v>669</v>
      </c>
      <c r="I25" s="842">
        <v>18</v>
      </c>
      <c r="J25" s="487">
        <f t="shared" si="2"/>
        <v>0.75</v>
      </c>
      <c r="K25" s="842">
        <v>31</v>
      </c>
      <c r="L25" s="487">
        <f t="shared" si="3"/>
        <v>1.2916666666666667</v>
      </c>
      <c r="M25" s="842" t="s">
        <v>669</v>
      </c>
      <c r="N25" s="842">
        <v>0</v>
      </c>
      <c r="O25" s="487">
        <f t="shared" si="4"/>
        <v>0</v>
      </c>
      <c r="P25" s="543"/>
      <c r="Q25" s="487">
        <f t="shared" si="5"/>
        <v>0</v>
      </c>
      <c r="R25" s="495"/>
      <c r="S25" s="495"/>
      <c r="T25" s="495"/>
      <c r="U25" s="495"/>
      <c r="V25" s="495"/>
    </row>
    <row r="26" spans="1:22">
      <c r="A26" s="95">
        <v>1021</v>
      </c>
      <c r="B26" s="1" t="s">
        <v>10</v>
      </c>
      <c r="C26" s="842" t="s">
        <v>759</v>
      </c>
      <c r="D26" s="842">
        <v>513</v>
      </c>
      <c r="E26" s="487">
        <f t="shared" si="0"/>
        <v>21.375</v>
      </c>
      <c r="F26" s="842">
        <v>63</v>
      </c>
      <c r="G26" s="487">
        <f t="shared" si="1"/>
        <v>2.625</v>
      </c>
      <c r="H26" s="842" t="s">
        <v>763</v>
      </c>
      <c r="I26" s="842">
        <v>17</v>
      </c>
      <c r="J26" s="487">
        <f t="shared" si="2"/>
        <v>0.70833333333333337</v>
      </c>
      <c r="K26" s="842">
        <v>31</v>
      </c>
      <c r="L26" s="487">
        <f t="shared" si="3"/>
        <v>1.2916666666666667</v>
      </c>
      <c r="M26" s="842" t="s">
        <v>669</v>
      </c>
      <c r="N26" s="842">
        <v>0</v>
      </c>
      <c r="O26" s="487">
        <f t="shared" si="4"/>
        <v>0</v>
      </c>
      <c r="P26" s="543"/>
      <c r="Q26" s="487">
        <f t="shared" si="5"/>
        <v>0</v>
      </c>
      <c r="R26" s="495"/>
      <c r="S26" s="495"/>
      <c r="T26" s="495"/>
      <c r="U26" s="495"/>
      <c r="V26" s="495"/>
    </row>
    <row r="27" spans="1:22" hidden="1">
      <c r="A27" s="95">
        <v>3065</v>
      </c>
      <c r="B27" s="1" t="s">
        <v>20</v>
      </c>
      <c r="C27" s="842" t="s">
        <v>669</v>
      </c>
      <c r="D27" s="842">
        <v>313</v>
      </c>
      <c r="E27" s="487">
        <f t="shared" si="0"/>
        <v>13.041666666666666</v>
      </c>
      <c r="F27" s="842">
        <v>252</v>
      </c>
      <c r="G27" s="487">
        <f t="shared" si="1"/>
        <v>10.5</v>
      </c>
      <c r="H27" s="842" t="s">
        <v>669</v>
      </c>
      <c r="I27" s="842">
        <v>18</v>
      </c>
      <c r="J27" s="487">
        <f t="shared" si="2"/>
        <v>0.75</v>
      </c>
      <c r="K27" s="842">
        <v>38</v>
      </c>
      <c r="L27" s="487">
        <f t="shared" si="3"/>
        <v>1.5833333333333333</v>
      </c>
      <c r="M27" s="842" t="s">
        <v>669</v>
      </c>
      <c r="N27" s="842">
        <v>59</v>
      </c>
      <c r="O27" s="487">
        <f t="shared" si="4"/>
        <v>2.4583333333333335</v>
      </c>
      <c r="P27" s="543">
        <v>72</v>
      </c>
      <c r="Q27" s="487">
        <f t="shared" si="5"/>
        <v>3</v>
      </c>
      <c r="R27" s="495"/>
      <c r="S27" s="495"/>
      <c r="T27" s="495"/>
      <c r="U27" s="495"/>
      <c r="V27" s="495"/>
    </row>
    <row r="28" spans="1:22">
      <c r="A28" s="95">
        <v>1015</v>
      </c>
      <c r="B28" s="1" t="s">
        <v>14</v>
      </c>
      <c r="C28" s="842" t="s">
        <v>760</v>
      </c>
      <c r="D28" s="842">
        <v>435</v>
      </c>
      <c r="E28" s="487">
        <f t="shared" si="0"/>
        <v>18.125</v>
      </c>
      <c r="F28" s="842">
        <v>74</v>
      </c>
      <c r="G28" s="487">
        <f t="shared" si="1"/>
        <v>3.0833333333333335</v>
      </c>
      <c r="H28" s="842" t="s">
        <v>669</v>
      </c>
      <c r="I28" s="842">
        <v>16</v>
      </c>
      <c r="J28" s="487">
        <f t="shared" si="2"/>
        <v>0.66666666666666663</v>
      </c>
      <c r="K28" s="842">
        <v>56</v>
      </c>
      <c r="L28" s="487">
        <f t="shared" si="3"/>
        <v>2.3333333333333335</v>
      </c>
      <c r="M28" s="842" t="s">
        <v>629</v>
      </c>
      <c r="N28" s="842">
        <v>97</v>
      </c>
      <c r="O28" s="487">
        <f t="shared" si="4"/>
        <v>4.041666666666667</v>
      </c>
      <c r="P28" s="543">
        <v>39</v>
      </c>
      <c r="Q28" s="487">
        <f t="shared" si="5"/>
        <v>1.625</v>
      </c>
      <c r="R28" s="495"/>
      <c r="S28" s="495"/>
      <c r="T28" s="495"/>
      <c r="U28" s="495"/>
      <c r="V28" s="495"/>
    </row>
    <row r="29" spans="1:22">
      <c r="J29" s="543">
        <f t="shared" si="2"/>
        <v>0</v>
      </c>
    </row>
  </sheetData>
  <sortState ref="A2:B178">
    <sortCondition ref="B2:B178"/>
  </sortState>
  <pageMargins left="0.7" right="0.7" top="0.75" bottom="0.75" header="0.3" footer="0.3"/>
  <pageSetup paperSize="11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B3:P32"/>
  <sheetViews>
    <sheetView workbookViewId="0">
      <selection activeCell="G23" sqref="G23:H24"/>
    </sheetView>
  </sheetViews>
  <sheetFormatPr baseColWidth="10" defaultRowHeight="15"/>
  <cols>
    <col min="5" max="5" width="8.85546875" customWidth="1"/>
    <col min="6" max="6" width="0" hidden="1" customWidth="1"/>
    <col min="7" max="7" width="14.7109375" customWidth="1"/>
    <col min="8" max="8" width="13.85546875" customWidth="1"/>
    <col min="10" max="10" width="8.42578125" customWidth="1"/>
    <col min="11" max="11" width="12" customWidth="1"/>
    <col min="12" max="12" width="8.140625" customWidth="1"/>
    <col min="13" max="13" width="13.85546875" customWidth="1"/>
    <col min="14" max="14" width="5.85546875" customWidth="1"/>
    <col min="16" max="16" width="15" customWidth="1"/>
  </cols>
  <sheetData>
    <row r="3" spans="2:16" ht="19.5" customHeight="1">
      <c r="C3" s="924" t="s">
        <v>3008</v>
      </c>
      <c r="D3" s="924"/>
      <c r="E3" s="924"/>
      <c r="F3" s="924"/>
      <c r="G3" s="924"/>
      <c r="H3" s="924"/>
      <c r="I3" s="924"/>
      <c r="J3" s="924"/>
      <c r="K3" s="924"/>
      <c r="L3" s="924"/>
    </row>
    <row r="4" spans="2:16" ht="60">
      <c r="B4" s="103" t="s">
        <v>123</v>
      </c>
      <c r="C4" s="923" t="s">
        <v>113</v>
      </c>
      <c r="D4" s="923"/>
      <c r="E4" s="923"/>
      <c r="F4" s="923"/>
      <c r="G4" s="20" t="s">
        <v>24</v>
      </c>
      <c r="H4" s="20" t="s">
        <v>25</v>
      </c>
      <c r="I4" s="20" t="s">
        <v>26</v>
      </c>
      <c r="J4" s="20" t="s">
        <v>731</v>
      </c>
      <c r="K4" s="20" t="s">
        <v>125</v>
      </c>
      <c r="L4" s="721">
        <v>0.08</v>
      </c>
      <c r="M4" s="714" t="s">
        <v>3006</v>
      </c>
      <c r="N4" s="715"/>
      <c r="O4" s="419"/>
      <c r="P4" s="419"/>
    </row>
    <row r="5" spans="2:16">
      <c r="B5" s="22">
        <v>3064</v>
      </c>
      <c r="C5" s="22" t="s">
        <v>66</v>
      </c>
      <c r="D5" s="23"/>
      <c r="E5" s="23"/>
      <c r="F5" s="23"/>
      <c r="G5" s="23">
        <f>E10+E11+E13+E14+E15+E16</f>
        <v>51556</v>
      </c>
      <c r="H5" s="23">
        <f>E21+E22+E23+E24+E25</f>
        <v>22572</v>
      </c>
      <c r="I5" s="23">
        <f>E31</f>
        <v>6192</v>
      </c>
      <c r="J5" s="22">
        <f>G5+H5+I5</f>
        <v>80320</v>
      </c>
      <c r="K5" s="24">
        <f>J5/36</f>
        <v>2231.1111111111113</v>
      </c>
      <c r="L5" s="722">
        <f>K5*8%</f>
        <v>178.48888888888891</v>
      </c>
      <c r="M5" s="715">
        <v>82</v>
      </c>
      <c r="N5" s="715" t="s">
        <v>627</v>
      </c>
      <c r="O5" s="697" t="s">
        <v>3007</v>
      </c>
      <c r="P5" s="498"/>
    </row>
    <row r="6" spans="2:16">
      <c r="M6" s="715">
        <v>48</v>
      </c>
      <c r="N6" s="715" t="s">
        <v>627</v>
      </c>
      <c r="O6" s="697">
        <v>90</v>
      </c>
      <c r="P6" s="498"/>
    </row>
    <row r="7" spans="2:16">
      <c r="M7" s="715">
        <v>34</v>
      </c>
      <c r="N7" s="715" t="s">
        <v>627</v>
      </c>
      <c r="P7" s="498"/>
    </row>
    <row r="8" spans="2:16">
      <c r="B8" s="915" t="s">
        <v>804</v>
      </c>
      <c r="C8" s="915"/>
      <c r="D8" s="915"/>
      <c r="E8" s="915"/>
      <c r="F8" s="915"/>
      <c r="G8" s="915"/>
      <c r="H8" s="915"/>
      <c r="M8" s="351">
        <v>3</v>
      </c>
      <c r="N8" s="715" t="s">
        <v>627</v>
      </c>
    </row>
    <row r="9" spans="2:16">
      <c r="B9" s="411" t="s">
        <v>308</v>
      </c>
      <c r="C9" s="411" t="s">
        <v>1966</v>
      </c>
      <c r="D9" s="411" t="s">
        <v>0</v>
      </c>
      <c r="E9" s="411" t="s">
        <v>159</v>
      </c>
      <c r="F9" s="411" t="s">
        <v>620</v>
      </c>
      <c r="G9" s="919" t="s">
        <v>1</v>
      </c>
      <c r="H9" s="920"/>
      <c r="M9" s="351">
        <v>0</v>
      </c>
      <c r="N9" s="715" t="s">
        <v>627</v>
      </c>
    </row>
    <row r="10" spans="2:16">
      <c r="B10" s="700" t="s">
        <v>2006</v>
      </c>
      <c r="C10" s="700">
        <v>5838</v>
      </c>
      <c r="D10" s="700">
        <v>3064</v>
      </c>
      <c r="E10" s="700">
        <v>7236</v>
      </c>
      <c r="F10" s="700">
        <v>0.37</v>
      </c>
      <c r="G10" s="917" t="s">
        <v>1968</v>
      </c>
      <c r="H10" s="918"/>
      <c r="M10" s="715">
        <f>SUM(M5:M9)</f>
        <v>167</v>
      </c>
      <c r="N10" s="715" t="s">
        <v>1975</v>
      </c>
    </row>
    <row r="11" spans="2:16">
      <c r="B11" s="700" t="s">
        <v>2007</v>
      </c>
      <c r="C11" s="700">
        <v>5843</v>
      </c>
      <c r="D11" s="700">
        <v>3064</v>
      </c>
      <c r="E11" s="700">
        <v>7816</v>
      </c>
      <c r="F11" s="700">
        <v>0.37</v>
      </c>
      <c r="G11" s="917" t="s">
        <v>1968</v>
      </c>
      <c r="H11" s="918"/>
    </row>
    <row r="12" spans="2:16">
      <c r="B12" s="698" t="s">
        <v>2007</v>
      </c>
      <c r="C12" s="698">
        <v>5843</v>
      </c>
      <c r="D12" s="698">
        <v>3064</v>
      </c>
      <c r="E12" s="698">
        <v>0</v>
      </c>
      <c r="F12" s="698">
        <v>0</v>
      </c>
      <c r="G12" s="698" t="s">
        <v>1968</v>
      </c>
      <c r="H12" s="698"/>
      <c r="J12" t="s">
        <v>72</v>
      </c>
    </row>
    <row r="13" spans="2:16">
      <c r="B13" s="700" t="s">
        <v>2008</v>
      </c>
      <c r="C13" s="700">
        <v>399</v>
      </c>
      <c r="D13" s="700">
        <v>3064</v>
      </c>
      <c r="E13" s="700">
        <v>9900</v>
      </c>
      <c r="F13" s="700">
        <v>0.37</v>
      </c>
      <c r="G13" s="917" t="s">
        <v>1968</v>
      </c>
      <c r="H13" s="918"/>
    </row>
    <row r="14" spans="2:16">
      <c r="B14" s="700" t="s">
        <v>2009</v>
      </c>
      <c r="C14" s="700">
        <v>5857</v>
      </c>
      <c r="D14" s="700">
        <v>3064</v>
      </c>
      <c r="E14" s="700">
        <v>13392</v>
      </c>
      <c r="F14" s="700">
        <v>0.37</v>
      </c>
      <c r="G14" s="917" t="s">
        <v>1968</v>
      </c>
      <c r="H14" s="918"/>
    </row>
    <row r="15" spans="2:16">
      <c r="B15" s="700" t="s">
        <v>1998</v>
      </c>
      <c r="C15" s="700">
        <v>5860</v>
      </c>
      <c r="D15" s="700">
        <v>3064</v>
      </c>
      <c r="E15" s="700">
        <v>7200</v>
      </c>
      <c r="F15" s="700">
        <v>0.37</v>
      </c>
      <c r="G15" s="917" t="s">
        <v>1968</v>
      </c>
      <c r="H15" s="918"/>
    </row>
    <row r="16" spans="2:16">
      <c r="B16" s="700" t="s">
        <v>2010</v>
      </c>
      <c r="C16" s="700">
        <v>5862</v>
      </c>
      <c r="D16" s="700">
        <v>3064</v>
      </c>
      <c r="E16" s="700">
        <v>6012</v>
      </c>
      <c r="F16" s="700">
        <v>0.37</v>
      </c>
      <c r="G16" s="917" t="s">
        <v>1968</v>
      </c>
      <c r="H16" s="918"/>
    </row>
    <row r="17" spans="2:9">
      <c r="B17" s="698" t="s">
        <v>2010</v>
      </c>
      <c r="C17" s="698">
        <v>5862</v>
      </c>
      <c r="D17" s="698">
        <v>3064</v>
      </c>
      <c r="E17" s="698">
        <v>3060</v>
      </c>
      <c r="F17" s="698">
        <v>0</v>
      </c>
      <c r="G17" s="921" t="s">
        <v>1968</v>
      </c>
      <c r="H17" s="922"/>
    </row>
    <row r="18" spans="2:9">
      <c r="B18" s="697"/>
      <c r="C18" s="697"/>
      <c r="D18" s="697"/>
      <c r="E18" s="697"/>
      <c r="F18" s="489">
        <f>E10+E11+E13+E14+E15+E16</f>
        <v>51556</v>
      </c>
      <c r="G18" s="494"/>
      <c r="H18" s="494"/>
    </row>
    <row r="19" spans="2:9">
      <c r="B19" s="915" t="s">
        <v>25</v>
      </c>
      <c r="C19" s="915"/>
      <c r="D19" s="915"/>
      <c r="E19" s="915"/>
      <c r="F19" s="915"/>
      <c r="G19" s="915"/>
      <c r="H19" s="915"/>
    </row>
    <row r="20" spans="2:9">
      <c r="B20" s="700" t="s">
        <v>308</v>
      </c>
      <c r="C20" s="700" t="s">
        <v>1966</v>
      </c>
      <c r="D20" s="700" t="s">
        <v>0</v>
      </c>
      <c r="E20" s="700" t="s">
        <v>159</v>
      </c>
      <c r="F20" s="700" t="s">
        <v>620</v>
      </c>
      <c r="G20" s="917" t="s">
        <v>1</v>
      </c>
      <c r="H20" s="918"/>
    </row>
    <row r="21" spans="2:9">
      <c r="B21" s="700" t="s">
        <v>2006</v>
      </c>
      <c r="C21" s="700" t="s">
        <v>2011</v>
      </c>
      <c r="D21" s="700">
        <v>3064</v>
      </c>
      <c r="E21" s="700">
        <v>2592</v>
      </c>
      <c r="F21" s="700">
        <v>0.37</v>
      </c>
      <c r="G21" s="917" t="s">
        <v>1968</v>
      </c>
      <c r="H21" s="918"/>
    </row>
    <row r="22" spans="2:9">
      <c r="B22" s="700" t="s">
        <v>2007</v>
      </c>
      <c r="C22" s="700" t="s">
        <v>2012</v>
      </c>
      <c r="D22" s="700">
        <v>3064</v>
      </c>
      <c r="E22" s="700">
        <v>2808</v>
      </c>
      <c r="F22" s="700">
        <v>0.37</v>
      </c>
      <c r="G22" s="917" t="s">
        <v>1968</v>
      </c>
      <c r="H22" s="918"/>
    </row>
    <row r="23" spans="2:9">
      <c r="B23" s="700" t="s">
        <v>2013</v>
      </c>
      <c r="C23" s="700" t="s">
        <v>2014</v>
      </c>
      <c r="D23" s="700">
        <v>3064</v>
      </c>
      <c r="E23" s="700">
        <v>2592</v>
      </c>
      <c r="F23" s="700">
        <v>0.37</v>
      </c>
      <c r="G23" s="917" t="s">
        <v>1968</v>
      </c>
      <c r="H23" s="918"/>
    </row>
    <row r="24" spans="2:9">
      <c r="B24" s="700" t="s">
        <v>2009</v>
      </c>
      <c r="C24" s="700" t="s">
        <v>2015</v>
      </c>
      <c r="D24" s="700">
        <v>3064</v>
      </c>
      <c r="E24" s="700">
        <v>5508</v>
      </c>
      <c r="F24" s="700">
        <v>0.37</v>
      </c>
      <c r="G24" s="917" t="s">
        <v>1968</v>
      </c>
      <c r="H24" s="918"/>
    </row>
    <row r="25" spans="2:9">
      <c r="B25" s="715" t="s">
        <v>2010</v>
      </c>
      <c r="C25" s="715" t="s">
        <v>2016</v>
      </c>
      <c r="D25" s="715">
        <v>3064</v>
      </c>
      <c r="E25" s="715">
        <v>9072</v>
      </c>
      <c r="F25" s="715">
        <v>0.37</v>
      </c>
      <c r="G25" s="724" t="s">
        <v>1968</v>
      </c>
      <c r="H25" s="725"/>
    </row>
    <row r="26" spans="2:9">
      <c r="B26" s="494"/>
      <c r="C26" s="494"/>
      <c r="D26" s="494"/>
      <c r="E26" s="494">
        <f>SUM(E21:E25)</f>
        <v>22572</v>
      </c>
      <c r="F26" s="494"/>
      <c r="G26" s="494"/>
      <c r="H26" s="494"/>
      <c r="I26" s="494"/>
    </row>
    <row r="27" spans="2:9">
      <c r="B27" s="915" t="s">
        <v>1971</v>
      </c>
      <c r="C27" s="915"/>
      <c r="D27" s="915"/>
      <c r="E27" s="915"/>
      <c r="F27" s="915"/>
      <c r="G27" s="915"/>
      <c r="H27" s="915"/>
      <c r="I27" s="494"/>
    </row>
    <row r="28" spans="2:9">
      <c r="B28" s="700" t="s">
        <v>308</v>
      </c>
      <c r="C28" s="700" t="s">
        <v>1966</v>
      </c>
      <c r="D28" s="700" t="s">
        <v>0</v>
      </c>
      <c r="E28" s="700" t="s">
        <v>159</v>
      </c>
      <c r="F28" s="700" t="s">
        <v>620</v>
      </c>
      <c r="G28" s="916" t="s">
        <v>1</v>
      </c>
      <c r="H28" s="916"/>
      <c r="I28" s="494"/>
    </row>
    <row r="29" spans="2:9">
      <c r="B29" s="700" t="s">
        <v>1970</v>
      </c>
      <c r="C29" s="700" t="s">
        <v>2020</v>
      </c>
      <c r="D29" s="700">
        <v>3064</v>
      </c>
      <c r="E29" s="700">
        <v>3132</v>
      </c>
      <c r="F29" s="700">
        <v>0.37</v>
      </c>
      <c r="G29" s="916" t="s">
        <v>1968</v>
      </c>
      <c r="H29" s="916"/>
      <c r="I29" s="494"/>
    </row>
    <row r="30" spans="2:9">
      <c r="B30" s="700" t="s">
        <v>2008</v>
      </c>
      <c r="C30" s="700" t="s">
        <v>2021</v>
      </c>
      <c r="D30" s="700">
        <v>3064</v>
      </c>
      <c r="E30" s="700">
        <v>3060</v>
      </c>
      <c r="F30" s="700">
        <v>0.37</v>
      </c>
      <c r="G30" s="916" t="s">
        <v>1968</v>
      </c>
      <c r="H30" s="916"/>
      <c r="I30" s="494"/>
    </row>
    <row r="31" spans="2:9">
      <c r="B31" s="494"/>
      <c r="C31" s="494"/>
      <c r="D31" s="494"/>
      <c r="E31" s="494">
        <f>SUM(E29:E30)</f>
        <v>6192</v>
      </c>
      <c r="F31" s="494"/>
      <c r="G31" s="494"/>
      <c r="H31" s="494"/>
      <c r="I31" s="494"/>
    </row>
    <row r="32" spans="2:9">
      <c r="B32" s="494"/>
      <c r="C32" s="494"/>
      <c r="D32" s="494"/>
      <c r="E32" s="494"/>
      <c r="F32" s="494"/>
      <c r="G32" s="494"/>
      <c r="H32" s="494"/>
      <c r="I32" s="494"/>
    </row>
  </sheetData>
  <mergeCells count="21">
    <mergeCell ref="G11:H11"/>
    <mergeCell ref="G13:H13"/>
    <mergeCell ref="C4:F4"/>
    <mergeCell ref="C3:L3"/>
    <mergeCell ref="B8:H8"/>
    <mergeCell ref="G30:H30"/>
    <mergeCell ref="G28:H28"/>
    <mergeCell ref="G20:H20"/>
    <mergeCell ref="G9:H9"/>
    <mergeCell ref="B19:H19"/>
    <mergeCell ref="B27:H27"/>
    <mergeCell ref="G22:H22"/>
    <mergeCell ref="G23:H23"/>
    <mergeCell ref="G24:H24"/>
    <mergeCell ref="G29:H29"/>
    <mergeCell ref="G14:H14"/>
    <mergeCell ref="G15:H15"/>
    <mergeCell ref="G16:H16"/>
    <mergeCell ref="G17:H17"/>
    <mergeCell ref="G21:H21"/>
    <mergeCell ref="G10:H10"/>
  </mergeCells>
  <pageMargins left="0.7" right="0.7" top="0.75" bottom="0.75" header="0.3" footer="0.3"/>
  <pageSetup paperSize="9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4:L31"/>
  <sheetViews>
    <sheetView topLeftCell="A7" workbookViewId="0">
      <selection activeCell="F22" sqref="F22:H22"/>
    </sheetView>
  </sheetViews>
  <sheetFormatPr baseColWidth="10" defaultRowHeight="15"/>
  <cols>
    <col min="3" max="3" width="11.42578125" customWidth="1"/>
    <col min="4" max="4" width="11.42578125" style="446"/>
    <col min="5" max="5" width="11.28515625" customWidth="1"/>
    <col min="11" max="11" width="14.7109375" customWidth="1"/>
  </cols>
  <sheetData>
    <row r="4" spans="1:12">
      <c r="B4" s="915" t="s">
        <v>3011</v>
      </c>
      <c r="C4" s="915"/>
      <c r="D4" s="915"/>
      <c r="E4" s="915"/>
      <c r="F4" s="915"/>
      <c r="G4" s="915"/>
      <c r="H4" s="915"/>
      <c r="I4" s="915"/>
      <c r="J4" s="915"/>
    </row>
    <row r="5" spans="1:12" ht="75">
      <c r="A5" s="19" t="s">
        <v>72</v>
      </c>
      <c r="B5" s="447" t="s">
        <v>123</v>
      </c>
      <c r="C5" s="477" t="s">
        <v>113</v>
      </c>
      <c r="D5" s="20" t="s">
        <v>24</v>
      </c>
      <c r="E5" s="20" t="s">
        <v>25</v>
      </c>
      <c r="F5" s="20" t="s">
        <v>26</v>
      </c>
      <c r="G5" s="20" t="s">
        <v>124</v>
      </c>
      <c r="H5" s="20" t="s">
        <v>125</v>
      </c>
      <c r="I5" s="21">
        <v>0.09</v>
      </c>
      <c r="J5" s="699" t="s">
        <v>3006</v>
      </c>
    </row>
    <row r="6" spans="1:12" ht="60">
      <c r="B6" s="22">
        <v>3064</v>
      </c>
      <c r="C6" s="43" t="s">
        <v>66</v>
      </c>
      <c r="D6" s="23">
        <v>61200</v>
      </c>
      <c r="E6" s="23">
        <v>6120</v>
      </c>
      <c r="F6" s="23">
        <v>7092</v>
      </c>
      <c r="G6" s="22">
        <f>D6+E6+F6</f>
        <v>74412</v>
      </c>
      <c r="H6" s="24">
        <f>G6/36</f>
        <v>2067</v>
      </c>
      <c r="I6" s="25">
        <f>H6*9%</f>
        <v>186.03</v>
      </c>
      <c r="J6" s="700">
        <v>0</v>
      </c>
    </row>
    <row r="7" spans="1:12">
      <c r="A7" s="26"/>
      <c r="B7" s="109"/>
      <c r="C7" s="26"/>
      <c r="D7" s="26"/>
      <c r="E7" s="26"/>
      <c r="F7" s="26"/>
      <c r="G7" s="26"/>
      <c r="H7" s="26"/>
      <c r="I7" s="26"/>
      <c r="J7" s="700">
        <v>71</v>
      </c>
    </row>
    <row r="8" spans="1:12">
      <c r="B8" s="446"/>
      <c r="D8"/>
      <c r="J8" s="700">
        <v>100</v>
      </c>
    </row>
    <row r="9" spans="1:12">
      <c r="B9" s="446"/>
      <c r="D9"/>
      <c r="J9" s="700">
        <v>11</v>
      </c>
    </row>
    <row r="10" spans="1:12">
      <c r="B10" s="446"/>
      <c r="D10"/>
      <c r="J10" s="700">
        <f>SUM(J6:J9)</f>
        <v>182</v>
      </c>
    </row>
    <row r="13" spans="1:12" ht="30">
      <c r="D13"/>
      <c r="E13" s="446"/>
      <c r="F13" s="446" t="s">
        <v>1971</v>
      </c>
      <c r="K13" s="714" t="s">
        <v>3009</v>
      </c>
      <c r="L13" s="715">
        <v>24</v>
      </c>
    </row>
    <row r="14" spans="1:12" ht="30">
      <c r="B14" s="411" t="s">
        <v>308</v>
      </c>
      <c r="C14" s="411" t="s">
        <v>1966</v>
      </c>
      <c r="D14" s="411" t="s">
        <v>0</v>
      </c>
      <c r="E14" s="95" t="s">
        <v>159</v>
      </c>
      <c r="F14" s="916" t="s">
        <v>1</v>
      </c>
      <c r="G14" s="916"/>
      <c r="H14" s="916"/>
      <c r="I14" s="916"/>
      <c r="K14" s="714" t="s">
        <v>3010</v>
      </c>
      <c r="L14" s="715">
        <v>29</v>
      </c>
    </row>
    <row r="15" spans="1:12" s="412" customFormat="1">
      <c r="B15" s="411" t="s">
        <v>1967</v>
      </c>
      <c r="C15" s="411">
        <v>5825</v>
      </c>
      <c r="D15" s="411">
        <v>3064</v>
      </c>
      <c r="E15" s="95">
        <v>2592</v>
      </c>
      <c r="F15" s="917" t="s">
        <v>1968</v>
      </c>
      <c r="G15" s="925"/>
      <c r="H15" s="918"/>
      <c r="I15" s="381"/>
    </row>
    <row r="16" spans="1:12" s="412" customFormat="1" ht="21.75" customHeight="1">
      <c r="B16" s="411" t="s">
        <v>1969</v>
      </c>
      <c r="C16" s="411">
        <v>5831</v>
      </c>
      <c r="D16" s="411">
        <v>3064</v>
      </c>
      <c r="E16" s="95">
        <v>1368</v>
      </c>
      <c r="F16" s="917" t="s">
        <v>1968</v>
      </c>
      <c r="G16" s="925"/>
      <c r="H16" s="918"/>
      <c r="I16" s="381"/>
    </row>
    <row r="17" spans="2:9" ht="24" customHeight="1">
      <c r="B17" s="495" t="s">
        <v>1970</v>
      </c>
      <c r="C17" s="495">
        <v>6840</v>
      </c>
      <c r="D17" s="495">
        <v>3064</v>
      </c>
      <c r="E17" s="715">
        <v>3132</v>
      </c>
      <c r="F17" s="917" t="s">
        <v>1968</v>
      </c>
      <c r="G17" s="925"/>
      <c r="H17" s="925"/>
      <c r="I17" s="725"/>
    </row>
    <row r="18" spans="2:9">
      <c r="B18" s="495"/>
      <c r="C18" s="495"/>
      <c r="D18" s="312"/>
      <c r="E18" s="481">
        <f>SUM(E15:E17)</f>
        <v>7092</v>
      </c>
      <c r="F18" s="482" t="s">
        <v>1975</v>
      </c>
      <c r="G18" s="494"/>
      <c r="H18" s="494"/>
      <c r="I18" s="494"/>
    </row>
    <row r="19" spans="2:9">
      <c r="B19" s="888" t="s">
        <v>804</v>
      </c>
      <c r="C19" s="889"/>
      <c r="D19" s="889"/>
      <c r="E19" s="889"/>
      <c r="F19" s="889"/>
      <c r="G19" s="889"/>
      <c r="H19" s="889"/>
      <c r="I19" s="889"/>
    </row>
    <row r="20" spans="2:9">
      <c r="B20" s="715" t="s">
        <v>308</v>
      </c>
      <c r="C20" s="715" t="s">
        <v>1966</v>
      </c>
      <c r="D20" s="715" t="s">
        <v>0</v>
      </c>
      <c r="E20" s="483" t="s">
        <v>72</v>
      </c>
      <c r="F20" s="926" t="s">
        <v>1</v>
      </c>
      <c r="G20" s="915"/>
      <c r="H20" s="915"/>
      <c r="I20" s="494"/>
    </row>
    <row r="21" spans="2:9">
      <c r="B21" s="715" t="s">
        <v>1972</v>
      </c>
      <c r="C21" s="715">
        <v>5814</v>
      </c>
      <c r="D21" s="715">
        <v>3064</v>
      </c>
      <c r="E21" s="715">
        <v>15552</v>
      </c>
      <c r="F21" s="917" t="s">
        <v>1968</v>
      </c>
      <c r="G21" s="925"/>
      <c r="H21" s="918"/>
      <c r="I21" s="715"/>
    </row>
    <row r="22" spans="2:9">
      <c r="B22" s="715" t="s">
        <v>1973</v>
      </c>
      <c r="C22" s="715">
        <v>5817</v>
      </c>
      <c r="D22" s="715">
        <v>3064</v>
      </c>
      <c r="E22" s="715">
        <v>24048</v>
      </c>
      <c r="F22" s="917" t="s">
        <v>1968</v>
      </c>
      <c r="G22" s="925"/>
      <c r="H22" s="918"/>
      <c r="I22" s="715"/>
    </row>
    <row r="23" spans="2:9">
      <c r="B23" s="715" t="s">
        <v>1967</v>
      </c>
      <c r="C23" s="715">
        <v>6827</v>
      </c>
      <c r="D23" s="715">
        <v>3064</v>
      </c>
      <c r="E23" s="715">
        <v>12960</v>
      </c>
      <c r="F23" s="917" t="s">
        <v>1968</v>
      </c>
      <c r="G23" s="925"/>
      <c r="H23" s="918"/>
      <c r="I23" s="715"/>
    </row>
    <row r="24" spans="2:9">
      <c r="B24" s="715" t="s">
        <v>1969</v>
      </c>
      <c r="C24" s="715">
        <v>5829</v>
      </c>
      <c r="D24" s="715">
        <v>3064</v>
      </c>
      <c r="E24" s="715">
        <v>3636</v>
      </c>
      <c r="F24" s="917" t="s">
        <v>1968</v>
      </c>
      <c r="G24" s="925"/>
      <c r="H24" s="918"/>
      <c r="I24" s="715"/>
    </row>
    <row r="25" spans="2:9">
      <c r="B25" s="715" t="s">
        <v>1969</v>
      </c>
      <c r="C25" s="715">
        <v>5829</v>
      </c>
      <c r="D25" s="715">
        <v>3064</v>
      </c>
      <c r="E25" s="715">
        <v>5004</v>
      </c>
      <c r="F25" s="917" t="s">
        <v>1968</v>
      </c>
      <c r="G25" s="925"/>
      <c r="H25" s="918"/>
      <c r="I25" s="715"/>
    </row>
    <row r="26" spans="2:9">
      <c r="B26" s="494"/>
      <c r="C26" s="494"/>
      <c r="D26" s="494"/>
      <c r="E26" s="480">
        <f>SUM(E21:E25)</f>
        <v>61200</v>
      </c>
      <c r="F26" s="711" t="s">
        <v>1975</v>
      </c>
      <c r="G26" s="494"/>
      <c r="H26" s="494"/>
      <c r="I26" s="494"/>
    </row>
    <row r="27" spans="2:9">
      <c r="B27" s="494"/>
      <c r="C27" s="494"/>
      <c r="D27" s="494"/>
      <c r="E27" s="711"/>
      <c r="F27" s="174" t="s">
        <v>25</v>
      </c>
      <c r="G27" s="494"/>
      <c r="H27" s="494"/>
      <c r="I27" s="494"/>
    </row>
    <row r="28" spans="2:9">
      <c r="B28" s="495" t="s">
        <v>308</v>
      </c>
      <c r="C28" s="495" t="s">
        <v>1966</v>
      </c>
      <c r="D28" s="495" t="s">
        <v>0</v>
      </c>
      <c r="E28" s="715" t="s">
        <v>72</v>
      </c>
      <c r="F28" s="917" t="s">
        <v>1</v>
      </c>
      <c r="G28" s="925"/>
      <c r="H28" s="918"/>
      <c r="I28" s="715"/>
    </row>
    <row r="29" spans="2:9">
      <c r="B29" s="495" t="s">
        <v>1967</v>
      </c>
      <c r="C29" s="495">
        <v>5828</v>
      </c>
      <c r="D29" s="495">
        <v>3064</v>
      </c>
      <c r="E29" s="715">
        <v>2592</v>
      </c>
      <c r="F29" s="917" t="s">
        <v>1968</v>
      </c>
      <c r="G29" s="925"/>
      <c r="H29" s="918"/>
      <c r="I29" s="715"/>
    </row>
    <row r="30" spans="2:9">
      <c r="B30" s="495" t="s">
        <v>1969</v>
      </c>
      <c r="C30" s="495">
        <v>5830</v>
      </c>
      <c r="D30" s="495">
        <v>3064</v>
      </c>
      <c r="E30" s="715">
        <v>3528</v>
      </c>
      <c r="F30" s="917" t="s">
        <v>1968</v>
      </c>
      <c r="G30" s="925"/>
      <c r="H30" s="918"/>
      <c r="I30" s="715"/>
    </row>
    <row r="31" spans="2:9">
      <c r="B31" s="494"/>
      <c r="C31" s="494"/>
      <c r="D31" s="711"/>
      <c r="E31" s="494">
        <f>SUM(E29:E30)</f>
        <v>6120</v>
      </c>
      <c r="F31" s="494" t="s">
        <v>1975</v>
      </c>
      <c r="G31" s="494"/>
      <c r="H31" s="494"/>
      <c r="I31" s="494"/>
    </row>
  </sheetData>
  <mergeCells count="15">
    <mergeCell ref="B4:J4"/>
    <mergeCell ref="F14:I14"/>
    <mergeCell ref="B19:I19"/>
    <mergeCell ref="F15:H15"/>
    <mergeCell ref="F16:H16"/>
    <mergeCell ref="F17:H17"/>
    <mergeCell ref="F25:H25"/>
    <mergeCell ref="F29:H29"/>
    <mergeCell ref="F30:H30"/>
    <mergeCell ref="F28:H28"/>
    <mergeCell ref="F20:H20"/>
    <mergeCell ref="F21:H21"/>
    <mergeCell ref="F22:H22"/>
    <mergeCell ref="F23:H23"/>
    <mergeCell ref="F24:H24"/>
  </mergeCells>
  <pageMargins left="0" right="0" top="0" bottom="0" header="0" footer="0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8:L53"/>
  <sheetViews>
    <sheetView topLeftCell="A21" workbookViewId="0">
      <selection activeCell="E54" sqref="E54"/>
    </sheetView>
  </sheetViews>
  <sheetFormatPr baseColWidth="10" defaultRowHeight="15"/>
  <cols>
    <col min="1" max="1" width="11.42578125" style="412"/>
    <col min="6" max="6" width="25.28515625" customWidth="1"/>
    <col min="8" max="8" width="9.140625" customWidth="1"/>
    <col min="9" max="9" width="8.140625" customWidth="1"/>
  </cols>
  <sheetData>
    <row r="28" spans="2:12">
      <c r="B28" s="915" t="s">
        <v>1980</v>
      </c>
      <c r="C28" s="915"/>
      <c r="D28" s="915"/>
      <c r="E28" s="915"/>
      <c r="F28" s="915"/>
      <c r="G28" s="915"/>
      <c r="H28" s="915"/>
      <c r="I28" s="915"/>
      <c r="J28" s="915"/>
      <c r="K28" s="915"/>
    </row>
    <row r="29" spans="2:12" ht="45">
      <c r="B29" s="412"/>
      <c r="C29" s="412"/>
      <c r="D29" s="447" t="s">
        <v>123</v>
      </c>
      <c r="E29" s="477" t="s">
        <v>113</v>
      </c>
      <c r="F29" s="20" t="s">
        <v>24</v>
      </c>
      <c r="G29" s="20" t="s">
        <v>25</v>
      </c>
      <c r="H29" s="20" t="s">
        <v>26</v>
      </c>
      <c r="I29" s="20" t="s">
        <v>731</v>
      </c>
      <c r="J29" s="20" t="s">
        <v>125</v>
      </c>
      <c r="K29" s="21">
        <v>0.09</v>
      </c>
      <c r="L29" s="699" t="s">
        <v>1974</v>
      </c>
    </row>
    <row r="30" spans="2:12" ht="60">
      <c r="B30" s="412"/>
      <c r="C30" s="412"/>
      <c r="D30" s="22">
        <v>3064</v>
      </c>
      <c r="E30" s="43" t="s">
        <v>66</v>
      </c>
      <c r="F30" s="23">
        <v>22356</v>
      </c>
      <c r="G30" s="412">
        <v>13680</v>
      </c>
      <c r="H30" s="411">
        <v>7920</v>
      </c>
      <c r="I30" s="22">
        <f>F30+G30+H30</f>
        <v>43956</v>
      </c>
      <c r="J30" s="24">
        <f>I30/36</f>
        <v>1221</v>
      </c>
      <c r="K30" s="25">
        <f>J30*9%</f>
        <v>109.89</v>
      </c>
      <c r="L30" s="700">
        <v>139</v>
      </c>
    </row>
    <row r="31" spans="2:12">
      <c r="B31" s="26"/>
      <c r="C31" s="26"/>
      <c r="D31" s="109"/>
      <c r="E31" s="26"/>
      <c r="F31" s="26" t="s">
        <v>1099</v>
      </c>
      <c r="G31" s="26"/>
      <c r="H31" s="26"/>
      <c r="I31" s="26"/>
      <c r="J31" s="26"/>
      <c r="K31" s="26"/>
      <c r="L31" s="700">
        <v>0</v>
      </c>
    </row>
    <row r="32" spans="2:12">
      <c r="B32" s="412"/>
      <c r="C32" s="412"/>
      <c r="D32" s="412"/>
      <c r="E32" s="446"/>
      <c r="F32" s="484" t="s">
        <v>1971</v>
      </c>
      <c r="G32" s="412"/>
      <c r="H32" s="412"/>
      <c r="I32" s="412"/>
      <c r="J32" s="412"/>
      <c r="K32" s="412"/>
      <c r="L32" s="700">
        <v>0</v>
      </c>
    </row>
    <row r="33" spans="2:12">
      <c r="B33" s="411" t="s">
        <v>308</v>
      </c>
      <c r="C33" s="411" t="s">
        <v>1966</v>
      </c>
      <c r="D33" s="411" t="s">
        <v>0</v>
      </c>
      <c r="E33" s="28" t="s">
        <v>159</v>
      </c>
      <c r="F33" s="411" t="s">
        <v>1</v>
      </c>
      <c r="G33" s="9"/>
      <c r="H33" s="9"/>
      <c r="I33" s="9"/>
      <c r="J33" s="412"/>
      <c r="L33" s="700">
        <v>0</v>
      </c>
    </row>
    <row r="34" spans="2:12">
      <c r="B34" s="411" t="s">
        <v>1976</v>
      </c>
      <c r="C34" s="411" t="s">
        <v>1981</v>
      </c>
      <c r="D34" s="411">
        <v>3064</v>
      </c>
      <c r="E34" s="28">
        <v>2592</v>
      </c>
      <c r="F34" s="411" t="s">
        <v>1968</v>
      </c>
      <c r="G34" s="9"/>
      <c r="H34" s="9"/>
      <c r="I34" s="9"/>
      <c r="J34" s="412"/>
      <c r="L34" s="700">
        <v>0</v>
      </c>
    </row>
    <row r="35" spans="2:12">
      <c r="B35" s="411" t="s">
        <v>1977</v>
      </c>
      <c r="C35" s="411" t="s">
        <v>1982</v>
      </c>
      <c r="D35" s="411">
        <v>3064</v>
      </c>
      <c r="E35" s="28">
        <v>1728</v>
      </c>
      <c r="F35" s="411" t="s">
        <v>1968</v>
      </c>
      <c r="G35" s="9"/>
      <c r="H35" s="9"/>
      <c r="I35" s="9"/>
      <c r="J35" s="412"/>
      <c r="L35" s="697">
        <f>SUM(L30:L34)</f>
        <v>139</v>
      </c>
    </row>
    <row r="36" spans="2:12">
      <c r="B36" s="411" t="s">
        <v>1978</v>
      </c>
      <c r="C36" s="411" t="s">
        <v>1983</v>
      </c>
      <c r="D36" s="411">
        <v>3064</v>
      </c>
      <c r="E36" s="28">
        <v>3600</v>
      </c>
      <c r="F36" s="411" t="s">
        <v>1968</v>
      </c>
      <c r="G36" s="9"/>
      <c r="H36" s="9"/>
      <c r="I36" s="9"/>
      <c r="J36" s="412"/>
    </row>
    <row r="37" spans="2:12">
      <c r="B37" s="411"/>
      <c r="C37" s="411"/>
      <c r="D37" s="411"/>
      <c r="E37" s="28">
        <f>SUM(E34:E36)</f>
        <v>7920</v>
      </c>
      <c r="F37" s="411"/>
      <c r="G37" s="113"/>
      <c r="H37" s="113"/>
      <c r="I37" s="113"/>
      <c r="J37" s="412"/>
      <c r="L37" t="s">
        <v>2996</v>
      </c>
    </row>
    <row r="38" spans="2:12">
      <c r="B38" s="411"/>
      <c r="C38" s="411"/>
      <c r="D38" s="411"/>
      <c r="E38" s="29"/>
      <c r="F38" s="484" t="s">
        <v>804</v>
      </c>
      <c r="G38" s="113"/>
      <c r="H38" s="113"/>
      <c r="I38" s="113"/>
      <c r="J38" s="412"/>
      <c r="K38" s="412"/>
    </row>
    <row r="39" spans="2:12">
      <c r="B39" s="411" t="s">
        <v>308</v>
      </c>
      <c r="C39" s="411" t="s">
        <v>1966</v>
      </c>
      <c r="D39" s="411" t="s">
        <v>0</v>
      </c>
      <c r="E39" s="28" t="s">
        <v>159</v>
      </c>
      <c r="F39" s="411" t="s">
        <v>1</v>
      </c>
      <c r="G39" s="479"/>
      <c r="H39" s="479"/>
      <c r="I39" s="113"/>
    </row>
    <row r="40" spans="2:12">
      <c r="B40" s="411" t="s">
        <v>1976</v>
      </c>
      <c r="C40" s="411">
        <v>5771</v>
      </c>
      <c r="D40" s="411">
        <v>3064</v>
      </c>
      <c r="E40" s="28">
        <v>2700</v>
      </c>
      <c r="F40" s="411" t="s">
        <v>1968</v>
      </c>
      <c r="G40" s="479"/>
      <c r="H40" s="479"/>
      <c r="I40" s="479"/>
    </row>
    <row r="41" spans="2:12">
      <c r="B41" s="411" t="s">
        <v>1977</v>
      </c>
      <c r="C41" s="411">
        <v>5784</v>
      </c>
      <c r="D41" s="411">
        <v>3064</v>
      </c>
      <c r="E41" s="28">
        <v>7056</v>
      </c>
      <c r="F41" s="411" t="s">
        <v>1968</v>
      </c>
      <c r="G41" s="479"/>
      <c r="H41" s="479"/>
      <c r="I41" s="479"/>
    </row>
    <row r="42" spans="2:12">
      <c r="B42" s="411" t="s">
        <v>1978</v>
      </c>
      <c r="C42" s="411">
        <v>5794</v>
      </c>
      <c r="D42" s="411">
        <v>3064</v>
      </c>
      <c r="E42" s="28">
        <v>5184</v>
      </c>
      <c r="F42" s="411" t="s">
        <v>1968</v>
      </c>
      <c r="G42" s="479"/>
      <c r="H42" s="479"/>
      <c r="I42" s="479"/>
    </row>
    <row r="43" spans="2:12">
      <c r="B43" s="411" t="s">
        <v>1979</v>
      </c>
      <c r="C43" s="411">
        <v>5800</v>
      </c>
      <c r="D43" s="411">
        <v>3064</v>
      </c>
      <c r="E43" s="28">
        <v>2520</v>
      </c>
      <c r="F43" s="411" t="s">
        <v>1968</v>
      </c>
      <c r="G43" s="479"/>
      <c r="H43" s="479"/>
      <c r="I43" s="479"/>
    </row>
    <row r="44" spans="2:12">
      <c r="B44" s="411" t="s">
        <v>1979</v>
      </c>
      <c r="C44" s="411">
        <v>5800</v>
      </c>
      <c r="D44" s="411">
        <v>3064</v>
      </c>
      <c r="E44" s="28">
        <v>4896</v>
      </c>
      <c r="F44" s="411" t="s">
        <v>1968</v>
      </c>
      <c r="G44" s="479"/>
      <c r="H44" s="479"/>
      <c r="I44" s="479"/>
    </row>
    <row r="45" spans="2:12">
      <c r="B45" s="412"/>
      <c r="C45" s="412"/>
      <c r="D45" s="412"/>
      <c r="E45" s="480" t="s">
        <v>72</v>
      </c>
      <c r="F45" s="95" t="s">
        <v>1975</v>
      </c>
      <c r="G45" s="113"/>
      <c r="H45" s="113"/>
      <c r="I45" s="113"/>
      <c r="J45" s="412"/>
      <c r="K45" s="412"/>
    </row>
    <row r="46" spans="2:12" s="412" customFormat="1">
      <c r="E46" s="480">
        <f>SUM(E40:E45)</f>
        <v>22356</v>
      </c>
      <c r="F46" s="95"/>
      <c r="G46" s="113"/>
      <c r="H46" s="113"/>
      <c r="I46" s="113"/>
    </row>
    <row r="47" spans="2:12">
      <c r="B47" s="412"/>
      <c r="C47" s="412"/>
      <c r="D47" s="412"/>
      <c r="E47" s="446"/>
      <c r="F47" s="484" t="s">
        <v>25</v>
      </c>
      <c r="G47" s="113"/>
      <c r="H47" s="113"/>
      <c r="I47" s="113"/>
      <c r="J47" s="412"/>
      <c r="K47" s="412"/>
    </row>
    <row r="48" spans="2:12">
      <c r="B48" s="411" t="s">
        <v>308</v>
      </c>
      <c r="C48" s="411" t="s">
        <v>1966</v>
      </c>
      <c r="D48" s="411" t="s">
        <v>0</v>
      </c>
      <c r="E48" s="28" t="s">
        <v>159</v>
      </c>
      <c r="F48" s="411" t="s">
        <v>1</v>
      </c>
      <c r="G48" s="113"/>
      <c r="H48" s="113"/>
      <c r="I48" s="9"/>
      <c r="J48" s="412"/>
      <c r="K48" s="412"/>
    </row>
    <row r="49" spans="2:11">
      <c r="B49" s="411" t="s">
        <v>1976</v>
      </c>
      <c r="C49" s="411">
        <v>5772</v>
      </c>
      <c r="D49" s="411">
        <v>3064</v>
      </c>
      <c r="E49" s="28">
        <v>2592</v>
      </c>
      <c r="F49" s="411" t="s">
        <v>1968</v>
      </c>
      <c r="G49" s="113"/>
      <c r="H49" s="113"/>
      <c r="I49" s="9"/>
      <c r="J49" s="412"/>
      <c r="K49" s="412"/>
    </row>
    <row r="50" spans="2:11">
      <c r="B50" s="411" t="s">
        <v>1977</v>
      </c>
      <c r="C50" s="411">
        <v>5785</v>
      </c>
      <c r="D50" s="411">
        <v>3064</v>
      </c>
      <c r="E50" s="28">
        <v>3888</v>
      </c>
      <c r="F50" s="411" t="s">
        <v>1968</v>
      </c>
      <c r="G50" s="113"/>
      <c r="H50" s="113"/>
      <c r="I50" s="9"/>
      <c r="J50" s="412"/>
      <c r="K50" s="412"/>
    </row>
    <row r="51" spans="2:11">
      <c r="B51" s="411" t="s">
        <v>1978</v>
      </c>
      <c r="C51" s="411">
        <v>5795</v>
      </c>
      <c r="D51" s="411">
        <v>3064</v>
      </c>
      <c r="E51" s="28">
        <v>3600</v>
      </c>
      <c r="F51" s="411" t="s">
        <v>1968</v>
      </c>
      <c r="G51" s="113"/>
      <c r="H51" s="113"/>
      <c r="I51" s="113"/>
      <c r="J51" s="412"/>
      <c r="K51" s="412"/>
    </row>
    <row r="52" spans="2:11">
      <c r="B52" s="411" t="s">
        <v>1979</v>
      </c>
      <c r="C52" s="411">
        <v>5798</v>
      </c>
      <c r="D52" s="411">
        <v>3064</v>
      </c>
      <c r="E52" s="28">
        <v>3600</v>
      </c>
      <c r="F52" s="411" t="s">
        <v>1968</v>
      </c>
      <c r="I52" s="412"/>
    </row>
    <row r="53" spans="2:11">
      <c r="E53">
        <f>SUM(E49:E52)</f>
        <v>13680</v>
      </c>
    </row>
  </sheetData>
  <mergeCells count="1">
    <mergeCell ref="B28:K28"/>
  </mergeCells>
  <pageMargins left="0" right="0" top="0" bottom="0" header="0" footer="0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34"/>
  <sheetViews>
    <sheetView workbookViewId="0">
      <selection activeCell="H8" sqref="H8"/>
    </sheetView>
  </sheetViews>
  <sheetFormatPr baseColWidth="10" defaultRowHeight="15"/>
  <cols>
    <col min="1" max="1" width="7" customWidth="1"/>
  </cols>
  <sheetData>
    <row r="4" spans="2:14">
      <c r="B4" s="889" t="s">
        <v>1984</v>
      </c>
      <c r="C4" s="889"/>
      <c r="D4" s="915"/>
      <c r="E4" s="915"/>
      <c r="F4" s="915"/>
      <c r="G4" s="915"/>
      <c r="H4" s="915"/>
      <c r="I4" s="915"/>
      <c r="J4" s="915"/>
      <c r="K4" s="915"/>
    </row>
    <row r="5" spans="2:14" ht="75">
      <c r="B5" s="113"/>
      <c r="C5" s="113"/>
      <c r="D5" s="841" t="s">
        <v>123</v>
      </c>
      <c r="E5" s="477" t="s">
        <v>113</v>
      </c>
      <c r="F5" s="20" t="s">
        <v>24</v>
      </c>
      <c r="G5" s="20" t="s">
        <v>25</v>
      </c>
      <c r="H5" s="20" t="s">
        <v>26</v>
      </c>
      <c r="I5" s="20" t="s">
        <v>731</v>
      </c>
      <c r="J5" s="20" t="s">
        <v>125</v>
      </c>
      <c r="K5" s="21">
        <v>0.09</v>
      </c>
      <c r="L5" s="839" t="s">
        <v>1974</v>
      </c>
    </row>
    <row r="6" spans="2:14" ht="60">
      <c r="B6" s="113"/>
      <c r="C6" s="113"/>
      <c r="D6" s="22">
        <v>3064</v>
      </c>
      <c r="E6" s="836" t="s">
        <v>66</v>
      </c>
      <c r="F6" s="834">
        <v>25020</v>
      </c>
      <c r="G6" s="495">
        <v>13320</v>
      </c>
      <c r="H6" s="495">
        <v>6444</v>
      </c>
      <c r="I6" s="22">
        <f>F6+G6+H6</f>
        <v>44784</v>
      </c>
      <c r="J6" s="24">
        <f>I6/36</f>
        <v>1244</v>
      </c>
      <c r="K6" s="25">
        <f>J6*9%</f>
        <v>111.96</v>
      </c>
      <c r="L6" s="495">
        <v>136</v>
      </c>
    </row>
    <row r="7" spans="2:14" hidden="1">
      <c r="B7" s="26"/>
      <c r="C7" s="26"/>
      <c r="D7" s="109"/>
      <c r="E7" s="26"/>
      <c r="F7" s="26" t="s">
        <v>1099</v>
      </c>
      <c r="G7" s="26"/>
      <c r="H7" s="26"/>
      <c r="I7" s="26"/>
      <c r="J7" s="26"/>
      <c r="K7" s="26"/>
    </row>
    <row r="8" spans="2:14">
      <c r="B8" s="412"/>
      <c r="C8" s="412"/>
      <c r="D8" s="412"/>
      <c r="E8" s="446"/>
      <c r="F8" s="484" t="s">
        <v>1971</v>
      </c>
      <c r="G8" s="412"/>
      <c r="H8" s="412"/>
      <c r="I8" s="412"/>
      <c r="J8" s="412"/>
      <c r="K8" s="412"/>
    </row>
    <row r="9" spans="2:14">
      <c r="B9" s="411" t="s">
        <v>308</v>
      </c>
      <c r="C9" s="411" t="s">
        <v>1966</v>
      </c>
      <c r="D9" s="411" t="s">
        <v>0</v>
      </c>
      <c r="E9" s="411" t="s">
        <v>159</v>
      </c>
      <c r="F9" s="411" t="s">
        <v>1</v>
      </c>
      <c r="G9" s="9"/>
      <c r="H9" s="9"/>
      <c r="I9" s="9"/>
    </row>
    <row r="10" spans="2:14">
      <c r="B10" s="411" t="s">
        <v>1985</v>
      </c>
      <c r="C10" s="95" t="s">
        <v>1991</v>
      </c>
      <c r="D10" s="95">
        <v>3064</v>
      </c>
      <c r="E10" s="95">
        <v>432</v>
      </c>
      <c r="F10" s="411" t="s">
        <v>1968</v>
      </c>
      <c r="G10" s="9"/>
      <c r="H10" s="9"/>
      <c r="I10" s="9"/>
    </row>
    <row r="11" spans="2:14">
      <c r="B11" s="411" t="s">
        <v>1985</v>
      </c>
      <c r="C11" s="95" t="s">
        <v>1992</v>
      </c>
      <c r="D11" s="95">
        <v>3064</v>
      </c>
      <c r="E11" s="95">
        <v>432</v>
      </c>
      <c r="F11" s="411" t="s">
        <v>1968</v>
      </c>
      <c r="G11" s="9"/>
      <c r="H11" s="9"/>
      <c r="I11" s="9"/>
    </row>
    <row r="12" spans="2:14">
      <c r="B12" s="411" t="s">
        <v>1988</v>
      </c>
      <c r="C12" s="95" t="s">
        <v>1993</v>
      </c>
      <c r="D12" s="95">
        <v>3064</v>
      </c>
      <c r="E12" s="95">
        <v>1260</v>
      </c>
      <c r="F12" s="411" t="s">
        <v>1968</v>
      </c>
      <c r="G12" s="113"/>
      <c r="H12" s="113"/>
      <c r="I12" s="113"/>
      <c r="L12" t="s">
        <v>2997</v>
      </c>
    </row>
    <row r="13" spans="2:14" s="412" customFormat="1">
      <c r="B13" s="411" t="s">
        <v>1989</v>
      </c>
      <c r="C13" s="95" t="s">
        <v>1994</v>
      </c>
      <c r="D13" s="95">
        <v>3064</v>
      </c>
      <c r="E13" s="95">
        <v>2592</v>
      </c>
      <c r="F13" s="411" t="s">
        <v>1968</v>
      </c>
      <c r="G13" s="113"/>
      <c r="H13" s="113"/>
      <c r="I13" s="113"/>
    </row>
    <row r="14" spans="2:14" s="412" customFormat="1">
      <c r="B14" s="411" t="s">
        <v>1990</v>
      </c>
      <c r="C14" s="95" t="s">
        <v>1995</v>
      </c>
      <c r="D14" s="95">
        <v>3064</v>
      </c>
      <c r="E14" s="95">
        <v>1728</v>
      </c>
      <c r="F14" s="411" t="s">
        <v>1968</v>
      </c>
      <c r="G14" s="113"/>
      <c r="H14" s="113"/>
      <c r="I14" s="113"/>
      <c r="J14" s="411"/>
      <c r="K14" s="411"/>
      <c r="L14" s="411"/>
      <c r="M14" s="411"/>
      <c r="N14" s="411"/>
    </row>
    <row r="15" spans="2:14" s="412" customFormat="1">
      <c r="B15" s="411"/>
      <c r="C15" s="95"/>
      <c r="D15" s="95"/>
      <c r="E15" s="29">
        <f>SUM(E10:E14)</f>
        <v>6444</v>
      </c>
      <c r="F15" s="411"/>
      <c r="G15" s="113"/>
      <c r="H15" s="113"/>
      <c r="I15" s="113"/>
      <c r="J15" s="113"/>
      <c r="K15" s="113"/>
      <c r="L15" s="113"/>
      <c r="M15" s="113"/>
      <c r="N15" s="113"/>
    </row>
    <row r="16" spans="2:14" s="412" customFormat="1" hidden="1">
      <c r="B16" s="411"/>
      <c r="C16" s="95"/>
      <c r="D16" s="95"/>
      <c r="E16" s="29"/>
      <c r="F16" s="411"/>
      <c r="G16" s="113"/>
      <c r="H16" s="113"/>
      <c r="I16" s="113"/>
      <c r="J16" s="113"/>
      <c r="K16" s="113"/>
      <c r="L16" s="113"/>
      <c r="M16" s="113"/>
      <c r="N16" s="113"/>
    </row>
    <row r="17" spans="2:11">
      <c r="B17" s="411"/>
      <c r="C17" s="95"/>
      <c r="D17" s="95"/>
      <c r="E17" s="29"/>
      <c r="F17" s="484" t="s">
        <v>804</v>
      </c>
      <c r="G17" s="113"/>
      <c r="H17" s="113"/>
      <c r="I17" s="113"/>
      <c r="J17" s="412"/>
      <c r="K17" s="412"/>
    </row>
    <row r="18" spans="2:11">
      <c r="B18" s="411" t="s">
        <v>308</v>
      </c>
      <c r="C18" s="95" t="s">
        <v>1966</v>
      </c>
      <c r="D18" s="95" t="s">
        <v>0</v>
      </c>
      <c r="E18" s="95" t="s">
        <v>159</v>
      </c>
      <c r="F18" s="411" t="s">
        <v>1</v>
      </c>
      <c r="G18" s="411"/>
      <c r="H18" s="479"/>
      <c r="I18" s="113"/>
    </row>
    <row r="19" spans="2:11">
      <c r="B19" s="411" t="s">
        <v>1985</v>
      </c>
      <c r="C19" s="95">
        <v>5728</v>
      </c>
      <c r="D19" s="95">
        <v>3064</v>
      </c>
      <c r="E19" s="95">
        <v>4320</v>
      </c>
      <c r="F19" s="411" t="s">
        <v>1968</v>
      </c>
      <c r="G19" s="411"/>
      <c r="H19" s="479"/>
      <c r="I19" s="479"/>
    </row>
    <row r="20" spans="2:11">
      <c r="B20" s="411" t="s">
        <v>1986</v>
      </c>
      <c r="C20" s="95">
        <v>5724</v>
      </c>
      <c r="D20" s="95">
        <v>3064</v>
      </c>
      <c r="E20" s="95">
        <v>4680</v>
      </c>
      <c r="F20" s="411" t="s">
        <v>1968</v>
      </c>
      <c r="G20" s="411"/>
      <c r="H20" s="479"/>
      <c r="I20" s="479"/>
    </row>
    <row r="21" spans="2:11">
      <c r="B21" s="411" t="s">
        <v>1987</v>
      </c>
      <c r="C21" s="95">
        <v>5734</v>
      </c>
      <c r="D21" s="95">
        <v>3064</v>
      </c>
      <c r="E21" s="95">
        <v>2340</v>
      </c>
      <c r="F21" s="411" t="s">
        <v>1968</v>
      </c>
      <c r="G21" s="411"/>
      <c r="H21" s="479"/>
      <c r="I21" s="479"/>
    </row>
    <row r="22" spans="2:11">
      <c r="B22" s="411" t="s">
        <v>1988</v>
      </c>
      <c r="C22" s="95">
        <v>5741</v>
      </c>
      <c r="D22" s="95">
        <v>3064</v>
      </c>
      <c r="E22" s="95">
        <v>2880</v>
      </c>
      <c r="F22" s="411" t="s">
        <v>1968</v>
      </c>
      <c r="G22" s="411"/>
      <c r="H22" s="479"/>
      <c r="I22" s="479"/>
    </row>
    <row r="23" spans="2:11">
      <c r="B23" s="411" t="s">
        <v>1989</v>
      </c>
      <c r="C23" s="95">
        <v>5754</v>
      </c>
      <c r="D23" s="95">
        <v>3064</v>
      </c>
      <c r="E23" s="95">
        <v>5184</v>
      </c>
      <c r="F23" s="411" t="s">
        <v>1968</v>
      </c>
      <c r="G23" s="411"/>
      <c r="H23" s="479"/>
      <c r="I23" s="479"/>
    </row>
    <row r="24" spans="2:11">
      <c r="B24" s="411" t="s">
        <v>1990</v>
      </c>
      <c r="C24" s="95">
        <v>5756</v>
      </c>
      <c r="D24" s="95">
        <v>3064</v>
      </c>
      <c r="E24" s="95">
        <v>5616</v>
      </c>
      <c r="F24" s="411" t="s">
        <v>1968</v>
      </c>
      <c r="G24" s="95"/>
      <c r="H24" s="113"/>
      <c r="I24" s="113"/>
    </row>
    <row r="25" spans="2:11">
      <c r="C25" s="446"/>
      <c r="D25" s="446"/>
      <c r="E25" s="446">
        <f>SUM(E19:E24)</f>
        <v>25020</v>
      </c>
      <c r="F25" s="480"/>
      <c r="G25" s="95"/>
      <c r="H25" s="113"/>
      <c r="I25" s="113"/>
      <c r="J25" s="412"/>
      <c r="K25" s="412"/>
    </row>
    <row r="26" spans="2:11" s="412" customFormat="1" hidden="1">
      <c r="C26" s="446"/>
      <c r="D26" s="446"/>
      <c r="E26" s="446"/>
      <c r="F26" s="95"/>
      <c r="G26" s="113"/>
      <c r="H26" s="113"/>
      <c r="I26" s="113"/>
    </row>
    <row r="27" spans="2:11">
      <c r="B27" s="412"/>
      <c r="C27" s="446"/>
      <c r="D27" s="446"/>
      <c r="E27" s="446"/>
      <c r="F27" s="485" t="s">
        <v>25</v>
      </c>
      <c r="G27" s="113"/>
      <c r="H27" s="113"/>
      <c r="I27" s="113"/>
      <c r="J27" s="412"/>
      <c r="K27" s="412"/>
    </row>
    <row r="28" spans="2:11">
      <c r="B28" s="411" t="s">
        <v>308</v>
      </c>
      <c r="C28" s="95" t="s">
        <v>1966</v>
      </c>
      <c r="D28" s="95" t="s">
        <v>0</v>
      </c>
      <c r="E28" s="95" t="s">
        <v>159</v>
      </c>
      <c r="F28" s="411" t="s">
        <v>1</v>
      </c>
      <c r="G28" s="113"/>
      <c r="H28" s="9"/>
    </row>
    <row r="29" spans="2:11">
      <c r="B29" s="411" t="s">
        <v>1986</v>
      </c>
      <c r="C29" s="95">
        <v>5725</v>
      </c>
      <c r="D29" s="95">
        <v>3064</v>
      </c>
      <c r="E29" s="95">
        <v>1080</v>
      </c>
      <c r="F29" s="411" t="s">
        <v>1968</v>
      </c>
      <c r="G29" s="113"/>
      <c r="H29" s="9"/>
    </row>
    <row r="30" spans="2:11">
      <c r="B30" s="411" t="s">
        <v>1985</v>
      </c>
      <c r="C30" s="95">
        <v>5730</v>
      </c>
      <c r="D30" s="95">
        <v>3064</v>
      </c>
      <c r="E30" s="95">
        <v>3240</v>
      </c>
      <c r="F30" s="411" t="s">
        <v>1968</v>
      </c>
      <c r="G30" s="113"/>
      <c r="H30" s="9"/>
    </row>
    <row r="31" spans="2:11">
      <c r="B31" s="411" t="s">
        <v>1987</v>
      </c>
      <c r="C31" s="95">
        <v>5735</v>
      </c>
      <c r="D31" s="95">
        <v>3064</v>
      </c>
      <c r="E31" s="95">
        <v>2880</v>
      </c>
      <c r="F31" s="411" t="s">
        <v>1968</v>
      </c>
      <c r="G31" s="113"/>
      <c r="H31" s="113"/>
    </row>
    <row r="32" spans="2:11">
      <c r="B32" s="411" t="s">
        <v>1989</v>
      </c>
      <c r="C32" s="95">
        <v>5753</v>
      </c>
      <c r="D32" s="95">
        <v>3064</v>
      </c>
      <c r="E32" s="95">
        <v>2592</v>
      </c>
      <c r="F32" s="411" t="s">
        <v>1968</v>
      </c>
      <c r="G32" s="412"/>
      <c r="H32" s="412"/>
    </row>
    <row r="33" spans="2:11">
      <c r="B33" s="411" t="s">
        <v>1990</v>
      </c>
      <c r="C33" s="95">
        <v>5758</v>
      </c>
      <c r="D33" s="95">
        <v>3064</v>
      </c>
      <c r="E33" s="95">
        <v>3528</v>
      </c>
      <c r="F33" s="411" t="s">
        <v>1968</v>
      </c>
      <c r="G33" s="412"/>
      <c r="H33" s="412"/>
    </row>
    <row r="34" spans="2:11">
      <c r="B34" s="412"/>
      <c r="C34" s="412"/>
      <c r="D34" s="412"/>
      <c r="E34" s="412">
        <f>SUM(E29:E33)</f>
        <v>13320</v>
      </c>
      <c r="F34" s="412"/>
      <c r="G34" s="412"/>
      <c r="H34" s="412"/>
      <c r="I34" s="412"/>
      <c r="J34" s="412"/>
      <c r="K34" s="412"/>
    </row>
  </sheetData>
  <mergeCells count="1">
    <mergeCell ref="B4:K4"/>
  </mergeCells>
  <pageMargins left="0" right="0" top="0.15748031496062992" bottom="0" header="0.31496062992125984" footer="0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19"/>
  <sheetViews>
    <sheetView workbookViewId="0">
      <selection activeCell="J22" sqref="J22"/>
    </sheetView>
  </sheetViews>
  <sheetFormatPr baseColWidth="10" defaultRowHeight="15"/>
  <cols>
    <col min="2" max="2" width="14.42578125" customWidth="1"/>
    <col min="3" max="3" width="23.85546875" customWidth="1"/>
    <col min="5" max="5" width="16.42578125" customWidth="1"/>
  </cols>
  <sheetData>
    <row r="2" spans="2:8">
      <c r="B2" s="891" t="s">
        <v>158</v>
      </c>
      <c r="C2" s="891"/>
      <c r="D2" s="891"/>
      <c r="E2" s="891"/>
      <c r="F2" s="891"/>
      <c r="G2" s="891"/>
      <c r="H2" s="891"/>
    </row>
    <row r="3" spans="2:8">
      <c r="C3" t="s">
        <v>133</v>
      </c>
      <c r="F3" t="s">
        <v>132</v>
      </c>
    </row>
    <row r="4" spans="2:8" ht="30">
      <c r="B4" s="5" t="s">
        <v>127</v>
      </c>
      <c r="C4" s="1" t="s">
        <v>113</v>
      </c>
      <c r="D4" s="1" t="s">
        <v>128</v>
      </c>
      <c r="E4" s="1" t="s">
        <v>130</v>
      </c>
      <c r="F4" s="28" t="s">
        <v>131</v>
      </c>
      <c r="G4" s="18" t="s">
        <v>134</v>
      </c>
      <c r="H4" s="1"/>
    </row>
    <row r="5" spans="2:8">
      <c r="B5" s="5">
        <v>26</v>
      </c>
      <c r="C5" s="1" t="s">
        <v>126</v>
      </c>
      <c r="D5" s="5" t="s">
        <v>129</v>
      </c>
      <c r="E5" s="5" t="s">
        <v>147</v>
      </c>
      <c r="F5" s="29">
        <v>448.42500000000001</v>
      </c>
      <c r="G5" s="5" t="s">
        <v>135</v>
      </c>
      <c r="H5" s="1"/>
    </row>
    <row r="6" spans="2:8" ht="60">
      <c r="B6" s="5" t="s">
        <v>127</v>
      </c>
      <c r="C6" s="1" t="s">
        <v>113</v>
      </c>
      <c r="D6" s="1" t="s">
        <v>128</v>
      </c>
      <c r="E6" s="1" t="s">
        <v>130</v>
      </c>
      <c r="F6" s="30" t="s">
        <v>139</v>
      </c>
      <c r="G6" s="18" t="s">
        <v>141</v>
      </c>
      <c r="H6" s="18" t="s">
        <v>134</v>
      </c>
    </row>
    <row r="7" spans="2:8">
      <c r="B7" s="5">
        <v>19</v>
      </c>
      <c r="C7" s="31" t="s">
        <v>136</v>
      </c>
      <c r="D7" s="1" t="s">
        <v>137</v>
      </c>
      <c r="E7" s="5" t="s">
        <v>146</v>
      </c>
      <c r="F7" s="1" t="s">
        <v>138</v>
      </c>
      <c r="G7" s="5" t="s">
        <v>142</v>
      </c>
      <c r="H7" s="1" t="s">
        <v>140</v>
      </c>
    </row>
    <row r="8" spans="2:8">
      <c r="B8" s="4"/>
    </row>
    <row r="9" spans="2:8">
      <c r="B9" s="4"/>
      <c r="C9" t="s">
        <v>25</v>
      </c>
    </row>
    <row r="10" spans="2:8" ht="45">
      <c r="B10" s="5" t="s">
        <v>127</v>
      </c>
      <c r="C10" s="1" t="s">
        <v>113</v>
      </c>
      <c r="D10" s="1" t="s">
        <v>128</v>
      </c>
      <c r="E10" s="3" t="s">
        <v>151</v>
      </c>
      <c r="F10" s="18" t="s">
        <v>134</v>
      </c>
      <c r="G10" s="17" t="s">
        <v>72</v>
      </c>
    </row>
    <row r="11" spans="2:8">
      <c r="B11" s="5">
        <v>26</v>
      </c>
      <c r="C11" s="1" t="s">
        <v>126</v>
      </c>
      <c r="D11" s="5" t="s">
        <v>143</v>
      </c>
      <c r="E11" s="5">
        <v>70.37</v>
      </c>
      <c r="F11" s="5" t="s">
        <v>149</v>
      </c>
      <c r="G11" s="4" t="s">
        <v>72</v>
      </c>
    </row>
    <row r="12" spans="2:8" ht="45">
      <c r="B12" s="5" t="s">
        <v>127</v>
      </c>
      <c r="C12" s="1" t="s">
        <v>113</v>
      </c>
      <c r="D12" s="1" t="s">
        <v>128</v>
      </c>
      <c r="E12" s="3" t="s">
        <v>152</v>
      </c>
      <c r="F12" s="18" t="s">
        <v>134</v>
      </c>
      <c r="G12" s="27" t="s">
        <v>72</v>
      </c>
    </row>
    <row r="13" spans="2:8">
      <c r="B13" s="5">
        <v>19</v>
      </c>
      <c r="C13" s="31" t="s">
        <v>136</v>
      </c>
      <c r="D13" s="5" t="s">
        <v>145</v>
      </c>
      <c r="E13" s="5" t="s">
        <v>144</v>
      </c>
      <c r="F13" s="1" t="s">
        <v>148</v>
      </c>
      <c r="G13" s="4" t="s">
        <v>72</v>
      </c>
      <c r="H13" t="s">
        <v>72</v>
      </c>
    </row>
    <row r="15" spans="2:8">
      <c r="B15" s="4"/>
      <c r="C15" t="s">
        <v>26</v>
      </c>
    </row>
    <row r="16" spans="2:8" ht="30">
      <c r="B16" s="5" t="s">
        <v>127</v>
      </c>
      <c r="C16" s="1" t="s">
        <v>113</v>
      </c>
      <c r="D16" s="1" t="s">
        <v>128</v>
      </c>
      <c r="E16" s="3" t="s">
        <v>150</v>
      </c>
      <c r="F16" s="18" t="s">
        <v>134</v>
      </c>
    </row>
    <row r="17" spans="2:6" ht="30">
      <c r="B17" s="5">
        <v>26</v>
      </c>
      <c r="C17" s="1" t="s">
        <v>126</v>
      </c>
      <c r="D17" s="5" t="s">
        <v>153</v>
      </c>
      <c r="E17" s="3" t="s">
        <v>155</v>
      </c>
      <c r="F17" s="5" t="s">
        <v>154</v>
      </c>
    </row>
    <row r="18" spans="2:6" ht="30">
      <c r="B18" s="5" t="s">
        <v>127</v>
      </c>
      <c r="C18" s="1" t="s">
        <v>113</v>
      </c>
      <c r="D18" s="1" t="s">
        <v>128</v>
      </c>
      <c r="E18" s="3" t="s">
        <v>150</v>
      </c>
      <c r="F18" s="18" t="s">
        <v>134</v>
      </c>
    </row>
    <row r="19" spans="2:6" ht="30">
      <c r="B19" s="5">
        <v>19</v>
      </c>
      <c r="C19" s="31" t="s">
        <v>136</v>
      </c>
      <c r="D19" s="5" t="s">
        <v>156</v>
      </c>
      <c r="E19" s="3" t="s">
        <v>155</v>
      </c>
      <c r="F19" s="5" t="s">
        <v>157</v>
      </c>
    </row>
  </sheetData>
  <mergeCells count="1">
    <mergeCell ref="B2:H2"/>
  </mergeCells>
  <pageMargins left="0.7" right="0.7" top="0.75" bottom="0.75" header="0.3" footer="0.3"/>
  <pageSetup paperSize="11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3:S53"/>
  <sheetViews>
    <sheetView topLeftCell="B48" workbookViewId="0">
      <selection activeCell="B15" sqref="B15"/>
    </sheetView>
  </sheetViews>
  <sheetFormatPr baseColWidth="10" defaultRowHeight="15"/>
  <cols>
    <col min="1" max="1" width="24.5703125" customWidth="1"/>
    <col min="2" max="2" width="16" customWidth="1"/>
    <col min="3" max="3" width="37.85546875" customWidth="1"/>
    <col min="4" max="4" width="20.28515625" customWidth="1"/>
    <col min="5" max="5" width="22.7109375" customWidth="1"/>
    <col min="6" max="6" width="19.7109375" customWidth="1"/>
    <col min="7" max="7" width="19.28515625" customWidth="1"/>
    <col min="8" max="8" width="11.42578125" customWidth="1"/>
    <col min="9" max="9" width="14.42578125" customWidth="1"/>
    <col min="10" max="10" width="11.42578125" customWidth="1"/>
    <col min="11" max="11" width="22.5703125" style="119" customWidth="1"/>
    <col min="12" max="16" width="11.42578125" hidden="1" customWidth="1"/>
    <col min="17" max="17" width="11.42578125" style="96"/>
    <col min="18" max="18" width="11.42578125" customWidth="1"/>
  </cols>
  <sheetData>
    <row r="3" spans="1:19">
      <c r="A3" s="119"/>
      <c r="B3" s="119"/>
      <c r="C3" s="119"/>
      <c r="D3" s="119"/>
      <c r="E3" s="82" t="s">
        <v>805</v>
      </c>
      <c r="F3" s="119"/>
      <c r="G3" s="119"/>
      <c r="H3" s="119"/>
      <c r="I3" s="119"/>
      <c r="J3" s="119"/>
      <c r="L3" s="119"/>
      <c r="M3" s="119"/>
      <c r="N3" s="119"/>
    </row>
    <row r="4" spans="1:19">
      <c r="A4" s="119"/>
      <c r="B4" s="119"/>
      <c r="C4" s="119"/>
      <c r="D4" s="119"/>
      <c r="E4" s="119"/>
      <c r="F4" s="119"/>
      <c r="G4" s="82"/>
      <c r="H4" s="119"/>
      <c r="I4" s="119"/>
      <c r="J4" s="119"/>
      <c r="L4" s="119"/>
      <c r="M4" s="119"/>
      <c r="N4" s="119"/>
    </row>
    <row r="5" spans="1:19">
      <c r="A5" s="119"/>
      <c r="B5" s="119"/>
      <c r="C5" s="119"/>
      <c r="D5" s="119"/>
      <c r="E5" s="119"/>
      <c r="F5" s="119"/>
      <c r="G5" s="119"/>
      <c r="H5" s="119"/>
      <c r="I5" s="119"/>
      <c r="J5" s="119"/>
      <c r="L5" s="119"/>
      <c r="M5" s="119"/>
      <c r="N5" s="119"/>
    </row>
    <row r="6" spans="1:19">
      <c r="A6" s="119"/>
      <c r="B6" s="119"/>
      <c r="C6" s="119"/>
      <c r="D6" s="119"/>
      <c r="E6" s="119"/>
      <c r="F6" s="119"/>
      <c r="G6" s="119"/>
      <c r="H6" s="119"/>
      <c r="I6" s="119"/>
      <c r="J6" s="119"/>
      <c r="L6" s="119"/>
      <c r="M6" s="119"/>
      <c r="N6" s="119"/>
    </row>
    <row r="7" spans="1:19">
      <c r="A7" s="119"/>
      <c r="B7" s="119"/>
      <c r="C7" s="119"/>
      <c r="D7" s="119"/>
      <c r="E7" s="119"/>
      <c r="F7" s="119"/>
      <c r="G7" s="119"/>
      <c r="H7" s="119"/>
      <c r="I7" s="119"/>
      <c r="J7" s="119"/>
      <c r="L7" s="119"/>
      <c r="M7" s="119"/>
      <c r="N7" s="119"/>
    </row>
    <row r="8" spans="1:19">
      <c r="A8" s="119"/>
      <c r="B8" s="119"/>
      <c r="C8" s="119"/>
      <c r="D8" s="119"/>
      <c r="E8" s="119"/>
      <c r="F8" s="119"/>
      <c r="G8" s="119"/>
      <c r="H8" s="119"/>
      <c r="I8" s="119"/>
      <c r="J8" s="119"/>
      <c r="L8" s="119"/>
      <c r="M8" s="119"/>
      <c r="N8" s="119"/>
    </row>
    <row r="9" spans="1:19" s="119" customFormat="1">
      <c r="Q9" s="96"/>
    </row>
    <row r="10" spans="1:19" s="119" customFormat="1">
      <c r="Q10" s="96"/>
    </row>
    <row r="11" spans="1:19" s="119" customFormat="1">
      <c r="Q11" s="96"/>
    </row>
    <row r="12" spans="1:19" s="119" customFormat="1">
      <c r="Q12" s="96"/>
    </row>
    <row r="13" spans="1:19" s="119" customFormat="1">
      <c r="Q13" s="96"/>
    </row>
    <row r="14" spans="1:19" ht="15.75" thickBot="1">
      <c r="A14" s="119"/>
      <c r="B14" s="119"/>
      <c r="C14" s="119"/>
      <c r="D14" s="82" t="s">
        <v>806</v>
      </c>
      <c r="E14" s="82"/>
      <c r="F14" s="82"/>
      <c r="G14" s="119"/>
      <c r="H14" s="82"/>
      <c r="I14" s="119"/>
      <c r="J14" s="119"/>
      <c r="L14" s="119"/>
      <c r="M14" s="119"/>
      <c r="N14" s="119"/>
    </row>
    <row r="15" spans="1:19" ht="132" thickBot="1">
      <c r="A15" s="121" t="s">
        <v>643</v>
      </c>
      <c r="B15" s="176" t="s">
        <v>807</v>
      </c>
      <c r="C15" s="176" t="s">
        <v>808</v>
      </c>
      <c r="D15" s="176" t="s">
        <v>809</v>
      </c>
      <c r="E15" s="176" t="s">
        <v>810</v>
      </c>
      <c r="F15" s="176" t="s">
        <v>811</v>
      </c>
      <c r="G15" s="176" t="s">
        <v>812</v>
      </c>
      <c r="H15" s="176" t="s">
        <v>813</v>
      </c>
      <c r="I15" s="176" t="s">
        <v>814</v>
      </c>
      <c r="J15" s="177" t="s">
        <v>815</v>
      </c>
      <c r="K15" s="178" t="s">
        <v>948</v>
      </c>
      <c r="L15" s="179" t="s">
        <v>24</v>
      </c>
      <c r="M15" s="180" t="s">
        <v>25</v>
      </c>
      <c r="N15" s="180" t="s">
        <v>26</v>
      </c>
      <c r="O15" s="180" t="s">
        <v>28</v>
      </c>
      <c r="P15" s="180" t="s">
        <v>29</v>
      </c>
      <c r="Q15" s="179" t="s">
        <v>75</v>
      </c>
      <c r="R15" s="179" t="s">
        <v>81</v>
      </c>
      <c r="S15" s="182"/>
    </row>
    <row r="16" spans="1:19" ht="18.75" hidden="1">
      <c r="A16" s="122" t="s">
        <v>816</v>
      </c>
      <c r="B16" s="123">
        <v>100026</v>
      </c>
      <c r="C16" s="123" t="s">
        <v>817</v>
      </c>
      <c r="D16" s="123" t="s">
        <v>818</v>
      </c>
      <c r="E16" s="124" t="s">
        <v>819</v>
      </c>
      <c r="F16" s="124" t="s">
        <v>820</v>
      </c>
      <c r="G16" s="125" t="s">
        <v>821</v>
      </c>
      <c r="H16" s="123" t="s">
        <v>822</v>
      </c>
      <c r="I16" s="126" t="s">
        <v>823</v>
      </c>
      <c r="J16" s="169">
        <v>13.76</v>
      </c>
      <c r="K16" s="170"/>
      <c r="L16" s="120"/>
      <c r="M16" s="120"/>
      <c r="N16" s="120"/>
      <c r="O16" s="120"/>
      <c r="P16" s="120"/>
      <c r="Q16" s="181"/>
      <c r="R16" s="183"/>
      <c r="S16" s="182"/>
    </row>
    <row r="17" spans="1:19" ht="18.75">
      <c r="A17" s="166" t="s">
        <v>824</v>
      </c>
      <c r="B17" s="167">
        <v>100027</v>
      </c>
      <c r="C17" s="167" t="s">
        <v>817</v>
      </c>
      <c r="D17" s="167" t="s">
        <v>825</v>
      </c>
      <c r="E17" s="168" t="s">
        <v>826</v>
      </c>
      <c r="F17" s="168" t="s">
        <v>827</v>
      </c>
      <c r="G17" s="167" t="s">
        <v>828</v>
      </c>
      <c r="H17" s="167" t="s">
        <v>829</v>
      </c>
      <c r="I17" s="127" t="s">
        <v>830</v>
      </c>
      <c r="J17" s="170">
        <v>18.66</v>
      </c>
      <c r="K17" s="170">
        <v>23</v>
      </c>
      <c r="L17" s="120">
        <v>30</v>
      </c>
      <c r="M17" s="120">
        <v>5</v>
      </c>
      <c r="N17" s="120">
        <v>5</v>
      </c>
      <c r="O17" s="37">
        <v>5</v>
      </c>
      <c r="P17" s="37">
        <v>5</v>
      </c>
      <c r="Q17" s="181">
        <v>0</v>
      </c>
      <c r="R17" s="181">
        <f>J17*Q17</f>
        <v>0</v>
      </c>
      <c r="S17" s="182" t="s">
        <v>627</v>
      </c>
    </row>
    <row r="18" spans="1:19" ht="18.75">
      <c r="A18" s="163" t="s">
        <v>831</v>
      </c>
      <c r="B18" s="164">
        <v>100033</v>
      </c>
      <c r="C18" s="164" t="s">
        <v>832</v>
      </c>
      <c r="D18" s="164" t="s">
        <v>833</v>
      </c>
      <c r="E18" s="165" t="s">
        <v>834</v>
      </c>
      <c r="F18" s="165" t="s">
        <v>835</v>
      </c>
      <c r="G18" s="165" t="s">
        <v>836</v>
      </c>
      <c r="H18" s="164" t="s">
        <v>837</v>
      </c>
      <c r="I18" s="131" t="s">
        <v>838</v>
      </c>
      <c r="J18" s="171">
        <v>20.66</v>
      </c>
      <c r="K18" s="171">
        <v>24.24</v>
      </c>
      <c r="L18" s="120">
        <v>50</v>
      </c>
      <c r="M18" s="120">
        <v>10</v>
      </c>
      <c r="N18" s="120">
        <v>10</v>
      </c>
      <c r="O18" s="37">
        <v>10</v>
      </c>
      <c r="P18" s="37">
        <v>10</v>
      </c>
      <c r="Q18" s="181">
        <v>0</v>
      </c>
      <c r="R18" s="181">
        <f t="shared" ref="R18:R35" si="0">J18*Q18</f>
        <v>0</v>
      </c>
      <c r="S18" s="182" t="s">
        <v>627</v>
      </c>
    </row>
    <row r="19" spans="1:19" ht="18.75" hidden="1">
      <c r="A19" s="128" t="s">
        <v>839</v>
      </c>
      <c r="B19" s="129">
        <v>100030</v>
      </c>
      <c r="C19" s="129" t="s">
        <v>840</v>
      </c>
      <c r="D19" s="129" t="s">
        <v>841</v>
      </c>
      <c r="E19" s="130" t="s">
        <v>842</v>
      </c>
      <c r="F19" s="130" t="s">
        <v>843</v>
      </c>
      <c r="G19" s="130" t="s">
        <v>844</v>
      </c>
      <c r="H19" s="129" t="s">
        <v>845</v>
      </c>
      <c r="I19" s="132" t="s">
        <v>846</v>
      </c>
      <c r="J19" s="172">
        <v>11.11</v>
      </c>
      <c r="K19" s="172"/>
      <c r="L19" s="120"/>
      <c r="M19" s="120"/>
      <c r="N19" s="120"/>
      <c r="O19" s="120"/>
      <c r="P19" s="120"/>
      <c r="Q19" s="181">
        <v>0</v>
      </c>
      <c r="R19" s="181">
        <f t="shared" si="0"/>
        <v>0</v>
      </c>
      <c r="S19" s="182"/>
    </row>
    <row r="20" spans="1:19" ht="18.75">
      <c r="A20" s="166" t="s">
        <v>824</v>
      </c>
      <c r="B20" s="164">
        <v>100031</v>
      </c>
      <c r="C20" s="164" t="s">
        <v>840</v>
      </c>
      <c r="D20" s="164" t="s">
        <v>847</v>
      </c>
      <c r="E20" s="165" t="s">
        <v>848</v>
      </c>
      <c r="F20" s="165" t="s">
        <v>849</v>
      </c>
      <c r="G20" s="164" t="s">
        <v>850</v>
      </c>
      <c r="H20" s="164" t="s">
        <v>851</v>
      </c>
      <c r="I20" s="131" t="s">
        <v>852</v>
      </c>
      <c r="J20" s="172">
        <v>9.85</v>
      </c>
      <c r="K20" s="172">
        <v>11.7</v>
      </c>
      <c r="L20" s="120">
        <v>40</v>
      </c>
      <c r="M20" s="120">
        <v>5</v>
      </c>
      <c r="N20" s="120">
        <v>5</v>
      </c>
      <c r="O20" s="37">
        <v>10</v>
      </c>
      <c r="P20" s="37">
        <v>5</v>
      </c>
      <c r="Q20" s="181">
        <v>0</v>
      </c>
      <c r="R20" s="181">
        <f t="shared" si="0"/>
        <v>0</v>
      </c>
      <c r="S20" s="182" t="s">
        <v>627</v>
      </c>
    </row>
    <row r="21" spans="1:19" ht="18.75" hidden="1">
      <c r="A21" s="128" t="s">
        <v>853</v>
      </c>
      <c r="B21" s="129">
        <v>100140</v>
      </c>
      <c r="C21" s="129" t="s">
        <v>840</v>
      </c>
      <c r="D21" s="129" t="s">
        <v>854</v>
      </c>
      <c r="E21" s="130" t="s">
        <v>855</v>
      </c>
      <c r="F21" s="130" t="s">
        <v>856</v>
      </c>
      <c r="G21" s="130" t="s">
        <v>857</v>
      </c>
      <c r="H21" s="129" t="s">
        <v>858</v>
      </c>
      <c r="I21" s="132" t="s">
        <v>859</v>
      </c>
      <c r="J21" s="172">
        <v>10.79</v>
      </c>
      <c r="K21" s="172"/>
      <c r="L21" s="120"/>
      <c r="M21" s="120"/>
      <c r="N21" s="120"/>
      <c r="O21" s="120"/>
      <c r="P21" s="120"/>
      <c r="Q21" s="181">
        <f t="shared" ref="Q21:Q35" si="1">SUM(L21:P21)</f>
        <v>0</v>
      </c>
      <c r="R21" s="181">
        <f t="shared" si="0"/>
        <v>0</v>
      </c>
      <c r="S21" s="182"/>
    </row>
    <row r="22" spans="1:19" ht="18.75" hidden="1">
      <c r="A22" s="128" t="s">
        <v>860</v>
      </c>
      <c r="B22" s="129">
        <v>100036</v>
      </c>
      <c r="C22" s="129" t="s">
        <v>861</v>
      </c>
      <c r="D22" s="129" t="s">
        <v>862</v>
      </c>
      <c r="E22" s="130" t="s">
        <v>863</v>
      </c>
      <c r="F22" s="130" t="s">
        <v>864</v>
      </c>
      <c r="G22" s="130" t="s">
        <v>865</v>
      </c>
      <c r="H22" s="129" t="s">
        <v>866</v>
      </c>
      <c r="I22" s="132" t="s">
        <v>823</v>
      </c>
      <c r="J22" s="172">
        <v>10</v>
      </c>
      <c r="K22" s="172"/>
      <c r="L22" s="120"/>
      <c r="M22" s="120"/>
      <c r="N22" s="120"/>
      <c r="O22" s="120"/>
      <c r="P22" s="120"/>
      <c r="Q22" s="181">
        <f t="shared" si="1"/>
        <v>0</v>
      </c>
      <c r="R22" s="181">
        <f t="shared" si="0"/>
        <v>0</v>
      </c>
      <c r="S22" s="182"/>
    </row>
    <row r="23" spans="1:19" ht="18.75">
      <c r="A23" s="163" t="s">
        <v>867</v>
      </c>
      <c r="B23" s="164">
        <v>100037</v>
      </c>
      <c r="C23" s="164" t="s">
        <v>868</v>
      </c>
      <c r="D23" s="164" t="s">
        <v>869</v>
      </c>
      <c r="E23" s="165" t="s">
        <v>870</v>
      </c>
      <c r="F23" s="165" t="s">
        <v>871</v>
      </c>
      <c r="G23" s="165" t="s">
        <v>872</v>
      </c>
      <c r="H23" s="164" t="s">
        <v>873</v>
      </c>
      <c r="I23" s="131" t="s">
        <v>874</v>
      </c>
      <c r="J23" s="172">
        <v>15.58</v>
      </c>
      <c r="K23" s="739">
        <v>19.079999999999998</v>
      </c>
      <c r="L23" s="120">
        <v>20</v>
      </c>
      <c r="M23" s="120">
        <v>3</v>
      </c>
      <c r="N23" s="120">
        <v>3</v>
      </c>
      <c r="O23" s="37">
        <v>3</v>
      </c>
      <c r="P23" s="37">
        <v>3</v>
      </c>
      <c r="Q23" s="181">
        <v>30</v>
      </c>
      <c r="R23" s="181">
        <f t="shared" si="0"/>
        <v>467.4</v>
      </c>
      <c r="S23" s="182" t="s">
        <v>627</v>
      </c>
    </row>
    <row r="24" spans="1:19" ht="18.75">
      <c r="A24" s="128" t="s">
        <v>875</v>
      </c>
      <c r="B24" s="129">
        <v>100038</v>
      </c>
      <c r="C24" s="129" t="s">
        <v>861</v>
      </c>
      <c r="D24" s="129" t="s">
        <v>876</v>
      </c>
      <c r="E24" s="130">
        <v>0</v>
      </c>
      <c r="F24" s="130">
        <v>0</v>
      </c>
      <c r="G24" s="130">
        <v>0</v>
      </c>
      <c r="H24" s="129" t="s">
        <v>829</v>
      </c>
      <c r="I24" s="133" t="s">
        <v>830</v>
      </c>
      <c r="J24" s="172"/>
      <c r="K24" s="739"/>
      <c r="L24" s="120"/>
      <c r="M24" s="120"/>
      <c r="N24" s="120"/>
      <c r="O24" s="120"/>
      <c r="P24" s="120"/>
      <c r="Q24" s="181">
        <v>0</v>
      </c>
      <c r="R24" s="181">
        <f t="shared" si="0"/>
        <v>0</v>
      </c>
      <c r="S24" s="182"/>
    </row>
    <row r="25" spans="1:19" ht="18.75" hidden="1">
      <c r="A25" s="128" t="s">
        <v>877</v>
      </c>
      <c r="B25" s="129">
        <v>600003</v>
      </c>
      <c r="C25" s="129" t="s">
        <v>878</v>
      </c>
      <c r="D25" s="129" t="s">
        <v>879</v>
      </c>
      <c r="E25" s="130" t="s">
        <v>880</v>
      </c>
      <c r="F25" s="130" t="s">
        <v>881</v>
      </c>
      <c r="G25" s="129" t="s">
        <v>882</v>
      </c>
      <c r="H25" s="129" t="s">
        <v>883</v>
      </c>
      <c r="I25" s="132" t="s">
        <v>884</v>
      </c>
      <c r="J25" s="172">
        <v>11.23</v>
      </c>
      <c r="K25" s="172"/>
      <c r="L25" s="120"/>
      <c r="M25" s="120"/>
      <c r="N25" s="120"/>
      <c r="O25" s="120"/>
      <c r="P25" s="120"/>
      <c r="Q25" s="181">
        <f t="shared" si="1"/>
        <v>0</v>
      </c>
      <c r="R25" s="181">
        <f t="shared" si="0"/>
        <v>0</v>
      </c>
      <c r="S25" s="182"/>
    </row>
    <row r="26" spans="1:19" ht="18.75" hidden="1">
      <c r="A26" s="128" t="s">
        <v>885</v>
      </c>
      <c r="B26" s="129">
        <v>600007</v>
      </c>
      <c r="C26" s="129" t="s">
        <v>886</v>
      </c>
      <c r="D26" s="129" t="s">
        <v>879</v>
      </c>
      <c r="E26" s="130" t="s">
        <v>887</v>
      </c>
      <c r="F26" s="130" t="s">
        <v>888</v>
      </c>
      <c r="G26" s="129" t="s">
        <v>889</v>
      </c>
      <c r="H26" s="129" t="s">
        <v>883</v>
      </c>
      <c r="I26" s="132" t="s">
        <v>884</v>
      </c>
      <c r="J26" s="172">
        <v>12.22</v>
      </c>
      <c r="K26" s="172"/>
      <c r="L26" s="120"/>
      <c r="M26" s="120"/>
      <c r="N26" s="120"/>
      <c r="O26" s="120"/>
      <c r="P26" s="120"/>
      <c r="Q26" s="181">
        <f t="shared" si="1"/>
        <v>0</v>
      </c>
      <c r="R26" s="181">
        <f t="shared" si="0"/>
        <v>0</v>
      </c>
      <c r="S26" s="182"/>
    </row>
    <row r="27" spans="1:19" ht="18.75" hidden="1">
      <c r="A27" s="128" t="s">
        <v>890</v>
      </c>
      <c r="B27" s="129">
        <v>600005</v>
      </c>
      <c r="C27" s="129" t="s">
        <v>891</v>
      </c>
      <c r="D27" s="129" t="s">
        <v>879</v>
      </c>
      <c r="E27" s="130" t="s">
        <v>892</v>
      </c>
      <c r="F27" s="130" t="s">
        <v>893</v>
      </c>
      <c r="G27" s="129" t="s">
        <v>894</v>
      </c>
      <c r="H27" s="129" t="s">
        <v>883</v>
      </c>
      <c r="I27" s="132" t="s">
        <v>884</v>
      </c>
      <c r="J27" s="172">
        <v>10.74</v>
      </c>
      <c r="K27" s="172"/>
      <c r="L27" s="120"/>
      <c r="M27" s="120"/>
      <c r="N27" s="120"/>
      <c r="O27" s="120"/>
      <c r="P27" s="120"/>
      <c r="Q27" s="181">
        <f t="shared" si="1"/>
        <v>0</v>
      </c>
      <c r="R27" s="181">
        <f t="shared" si="0"/>
        <v>0</v>
      </c>
      <c r="S27" s="182"/>
    </row>
    <row r="28" spans="1:19" ht="18.75" hidden="1">
      <c r="A28" s="128" t="s">
        <v>895</v>
      </c>
      <c r="B28" s="129">
        <v>600002</v>
      </c>
      <c r="C28" s="129" t="s">
        <v>896</v>
      </c>
      <c r="D28" s="129" t="s">
        <v>879</v>
      </c>
      <c r="E28" s="130" t="s">
        <v>897</v>
      </c>
      <c r="F28" s="130" t="s">
        <v>898</v>
      </c>
      <c r="G28" s="130" t="s">
        <v>899</v>
      </c>
      <c r="H28" s="129" t="s">
        <v>883</v>
      </c>
      <c r="I28" s="132" t="s">
        <v>884</v>
      </c>
      <c r="J28" s="172">
        <v>13.14</v>
      </c>
      <c r="K28" s="172"/>
      <c r="L28" s="120">
        <v>0</v>
      </c>
      <c r="M28" s="120">
        <v>0</v>
      </c>
      <c r="N28" s="120">
        <v>0</v>
      </c>
      <c r="O28" s="120">
        <v>0</v>
      </c>
      <c r="P28" s="120">
        <v>0</v>
      </c>
      <c r="Q28" s="181">
        <f t="shared" si="1"/>
        <v>0</v>
      </c>
      <c r="R28" s="181">
        <f t="shared" si="0"/>
        <v>0</v>
      </c>
      <c r="S28" s="182"/>
    </row>
    <row r="29" spans="1:19" ht="18.75">
      <c r="A29" s="128" t="s">
        <v>900</v>
      </c>
      <c r="B29" s="164">
        <v>600000</v>
      </c>
      <c r="C29" s="164" t="s">
        <v>901</v>
      </c>
      <c r="D29" s="164" t="s">
        <v>862</v>
      </c>
      <c r="E29" s="130" t="s">
        <v>902</v>
      </c>
      <c r="F29" s="130" t="s">
        <v>903</v>
      </c>
      <c r="G29" s="130" t="s">
        <v>904</v>
      </c>
      <c r="H29" s="129" t="s">
        <v>905</v>
      </c>
      <c r="I29" s="132" t="s">
        <v>906</v>
      </c>
      <c r="J29" s="172">
        <v>14.96</v>
      </c>
      <c r="K29" s="739"/>
      <c r="L29" s="120">
        <v>5</v>
      </c>
      <c r="M29" s="120">
        <v>1</v>
      </c>
      <c r="N29" s="120">
        <v>1</v>
      </c>
      <c r="O29" s="120">
        <v>1</v>
      </c>
      <c r="P29" s="120">
        <v>1</v>
      </c>
      <c r="Q29" s="181">
        <v>5</v>
      </c>
      <c r="R29" s="181">
        <f t="shared" si="0"/>
        <v>74.800000000000011</v>
      </c>
      <c r="S29" s="182" t="s">
        <v>627</v>
      </c>
    </row>
    <row r="30" spans="1:19" ht="17.25" hidden="1">
      <c r="A30" s="128" t="s">
        <v>907</v>
      </c>
      <c r="B30" s="129">
        <v>100008</v>
      </c>
      <c r="C30" s="129" t="s">
        <v>908</v>
      </c>
      <c r="D30" s="129" t="s">
        <v>825</v>
      </c>
      <c r="E30" s="130" t="s">
        <v>909</v>
      </c>
      <c r="F30" s="130" t="s">
        <v>910</v>
      </c>
      <c r="G30" s="130" t="s">
        <v>911</v>
      </c>
      <c r="H30" s="129" t="s">
        <v>829</v>
      </c>
      <c r="I30" s="132" t="s">
        <v>830</v>
      </c>
      <c r="J30" s="172">
        <v>14.67</v>
      </c>
      <c r="K30" s="172"/>
      <c r="L30" s="120"/>
      <c r="M30" s="120"/>
      <c r="N30" s="120"/>
      <c r="O30" s="120"/>
      <c r="P30" s="120"/>
      <c r="Q30" s="95">
        <f t="shared" si="1"/>
        <v>0</v>
      </c>
      <c r="R30" s="95">
        <f t="shared" si="0"/>
        <v>0</v>
      </c>
    </row>
    <row r="31" spans="1:19" ht="17.25" hidden="1">
      <c r="A31" s="128" t="s">
        <v>912</v>
      </c>
      <c r="B31" s="129">
        <v>100009</v>
      </c>
      <c r="C31" s="129" t="s">
        <v>908</v>
      </c>
      <c r="D31" s="129" t="s">
        <v>913</v>
      </c>
      <c r="E31" s="130" t="s">
        <v>914</v>
      </c>
      <c r="F31" s="130" t="s">
        <v>915</v>
      </c>
      <c r="G31" s="130" t="s">
        <v>916</v>
      </c>
      <c r="H31" s="129" t="s">
        <v>917</v>
      </c>
      <c r="I31" s="132"/>
      <c r="J31" s="172">
        <v>21.19</v>
      </c>
      <c r="K31" s="172"/>
      <c r="L31" s="120"/>
      <c r="M31" s="120"/>
      <c r="N31" s="120"/>
      <c r="O31" s="120"/>
      <c r="P31" s="120"/>
      <c r="Q31" s="95">
        <f t="shared" si="1"/>
        <v>0</v>
      </c>
      <c r="R31" s="95">
        <f t="shared" si="0"/>
        <v>0</v>
      </c>
    </row>
    <row r="32" spans="1:19" ht="17.25" hidden="1">
      <c r="A32" s="128" t="s">
        <v>918</v>
      </c>
      <c r="B32" s="129">
        <v>100010</v>
      </c>
      <c r="C32" s="129" t="s">
        <v>908</v>
      </c>
      <c r="D32" s="129" t="s">
        <v>919</v>
      </c>
      <c r="E32" s="130" t="s">
        <v>920</v>
      </c>
      <c r="F32" s="130" t="s">
        <v>921</v>
      </c>
      <c r="G32" s="130" t="s">
        <v>922</v>
      </c>
      <c r="H32" s="129" t="s">
        <v>923</v>
      </c>
      <c r="I32" s="132" t="s">
        <v>859</v>
      </c>
      <c r="J32" s="172">
        <v>29.33</v>
      </c>
      <c r="K32" s="172"/>
      <c r="L32" s="120"/>
      <c r="M32" s="120"/>
      <c r="N32" s="120"/>
      <c r="O32" s="120"/>
      <c r="P32" s="120"/>
      <c r="Q32" s="95">
        <f t="shared" si="1"/>
        <v>0</v>
      </c>
      <c r="R32" s="95">
        <f t="shared" si="0"/>
        <v>0</v>
      </c>
    </row>
    <row r="33" spans="1:18" ht="17.25" hidden="1">
      <c r="A33" s="128" t="s">
        <v>924</v>
      </c>
      <c r="B33" s="129">
        <v>100013</v>
      </c>
      <c r="C33" s="129" t="s">
        <v>925</v>
      </c>
      <c r="D33" s="129" t="s">
        <v>825</v>
      </c>
      <c r="E33" s="130" t="s">
        <v>926</v>
      </c>
      <c r="F33" s="130" t="s">
        <v>927</v>
      </c>
      <c r="G33" s="130" t="s">
        <v>928</v>
      </c>
      <c r="H33" s="129" t="s">
        <v>829</v>
      </c>
      <c r="I33" s="132" t="s">
        <v>830</v>
      </c>
      <c r="J33" s="172">
        <v>31.6</v>
      </c>
      <c r="K33" s="172"/>
      <c r="L33" s="120"/>
      <c r="M33" s="120"/>
      <c r="N33" s="120"/>
      <c r="O33" s="120"/>
      <c r="P33" s="120"/>
      <c r="Q33" s="95">
        <f t="shared" si="1"/>
        <v>0</v>
      </c>
      <c r="R33" s="95">
        <f t="shared" si="0"/>
        <v>0</v>
      </c>
    </row>
    <row r="34" spans="1:18" ht="17.25" hidden="1">
      <c r="A34" s="128" t="s">
        <v>929</v>
      </c>
      <c r="B34" s="129">
        <v>100018</v>
      </c>
      <c r="C34" s="129" t="s">
        <v>930</v>
      </c>
      <c r="D34" s="129" t="s">
        <v>825</v>
      </c>
      <c r="E34" s="130" t="s">
        <v>931</v>
      </c>
      <c r="F34" s="130" t="s">
        <v>932</v>
      </c>
      <c r="G34" s="130" t="s">
        <v>933</v>
      </c>
      <c r="H34" s="129" t="s">
        <v>934</v>
      </c>
      <c r="I34" s="132" t="s">
        <v>830</v>
      </c>
      <c r="J34" s="172">
        <v>18.7</v>
      </c>
      <c r="K34" s="172"/>
      <c r="L34" s="120"/>
      <c r="M34" s="120"/>
      <c r="N34" s="120"/>
      <c r="O34" s="120"/>
      <c r="P34" s="120"/>
      <c r="Q34" s="95">
        <f t="shared" si="1"/>
        <v>0</v>
      </c>
      <c r="R34" s="95">
        <f t="shared" si="0"/>
        <v>0</v>
      </c>
    </row>
    <row r="35" spans="1:18" ht="18" hidden="1" thickBot="1">
      <c r="A35" s="134" t="s">
        <v>935</v>
      </c>
      <c r="B35" s="135">
        <v>100023</v>
      </c>
      <c r="C35" s="135" t="s">
        <v>936</v>
      </c>
      <c r="D35" s="135" t="s">
        <v>825</v>
      </c>
      <c r="E35" s="136" t="s">
        <v>937</v>
      </c>
      <c r="F35" s="136" t="s">
        <v>938</v>
      </c>
      <c r="G35" s="136" t="s">
        <v>939</v>
      </c>
      <c r="H35" s="135" t="s">
        <v>829</v>
      </c>
      <c r="I35" s="137" t="s">
        <v>830</v>
      </c>
      <c r="J35" s="173">
        <v>15.94</v>
      </c>
      <c r="K35" s="175"/>
      <c r="L35" s="120"/>
      <c r="M35" s="120"/>
      <c r="N35" s="120"/>
      <c r="O35" s="120"/>
      <c r="P35" s="120"/>
      <c r="Q35" s="95">
        <f t="shared" si="1"/>
        <v>0</v>
      </c>
      <c r="R35" s="95">
        <f t="shared" si="0"/>
        <v>0</v>
      </c>
    </row>
    <row r="36" spans="1:18" ht="21">
      <c r="A36" s="119"/>
      <c r="B36" s="119"/>
      <c r="C36" s="138" t="s">
        <v>940</v>
      </c>
      <c r="R36" s="96">
        <f>SUM(R17:R35)</f>
        <v>542.20000000000005</v>
      </c>
    </row>
    <row r="37" spans="1:18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L37" s="119"/>
      <c r="M37" s="119"/>
      <c r="N37" s="119"/>
      <c r="Q37" s="96" t="s">
        <v>68</v>
      </c>
      <c r="R37" s="174">
        <f>R36*16%</f>
        <v>86.75200000000001</v>
      </c>
    </row>
    <row r="38" spans="1:18" ht="16.5" thickBot="1">
      <c r="A38" s="140"/>
      <c r="B38" s="141"/>
      <c r="C38" s="141"/>
      <c r="D38" s="142"/>
      <c r="E38" s="142"/>
      <c r="F38" s="142"/>
      <c r="G38" s="143"/>
      <c r="H38" s="119"/>
      <c r="I38" s="119"/>
      <c r="J38" s="119"/>
      <c r="L38" s="119"/>
      <c r="M38" s="119"/>
      <c r="N38" s="119"/>
      <c r="R38">
        <f>R36+R37</f>
        <v>628.952</v>
      </c>
    </row>
    <row r="39" spans="1:18" ht="16.5" thickBot="1">
      <c r="A39" s="119"/>
      <c r="B39" s="144"/>
      <c r="C39" s="145" t="s">
        <v>941</v>
      </c>
      <c r="D39" s="146"/>
      <c r="E39" s="146"/>
      <c r="F39" s="146"/>
      <c r="G39" s="146"/>
      <c r="H39" s="147"/>
      <c r="I39" s="7"/>
      <c r="J39" s="148"/>
      <c r="K39" s="148"/>
      <c r="L39" s="119"/>
      <c r="M39" s="119"/>
      <c r="N39" s="119"/>
    </row>
    <row r="40" spans="1:18" ht="15.75">
      <c r="A40" s="119"/>
      <c r="B40" s="144"/>
      <c r="C40" s="149"/>
      <c r="D40" s="149"/>
      <c r="E40" s="149"/>
      <c r="F40" s="149"/>
      <c r="G40" s="149"/>
      <c r="H40" s="7"/>
      <c r="I40" s="7"/>
      <c r="J40" s="148"/>
      <c r="K40" s="148"/>
      <c r="L40" s="119"/>
      <c r="M40" s="119"/>
      <c r="N40" s="119"/>
    </row>
    <row r="41" spans="1:18" ht="15.75">
      <c r="A41" s="119"/>
      <c r="B41" s="144"/>
      <c r="C41" s="149"/>
      <c r="D41" s="149"/>
      <c r="E41" s="149"/>
      <c r="F41" s="149"/>
      <c r="G41" s="149"/>
      <c r="H41" s="7"/>
      <c r="I41" s="7"/>
      <c r="J41" s="148"/>
      <c r="K41" s="148"/>
      <c r="L41" s="119"/>
      <c r="M41" s="119"/>
      <c r="N41" s="119"/>
    </row>
    <row r="42" spans="1:18" ht="15.75">
      <c r="A42" s="140" t="s">
        <v>942</v>
      </c>
      <c r="B42" s="144"/>
      <c r="C42" s="150"/>
      <c r="D42" s="119"/>
      <c r="E42" s="142"/>
      <c r="F42" s="142"/>
      <c r="G42" s="119"/>
      <c r="H42" s="119"/>
      <c r="I42" s="119"/>
      <c r="J42" s="119"/>
      <c r="L42" s="119"/>
      <c r="M42" s="119"/>
      <c r="N42" s="119"/>
    </row>
    <row r="43" spans="1:18" ht="21">
      <c r="A43" s="140"/>
      <c r="B43" s="141"/>
      <c r="C43" s="141"/>
      <c r="D43" s="139"/>
      <c r="E43" s="139"/>
      <c r="F43" s="139"/>
      <c r="G43" s="119"/>
      <c r="H43" s="119"/>
      <c r="I43" s="119"/>
      <c r="J43" s="119"/>
      <c r="L43" s="119"/>
      <c r="M43" s="119"/>
      <c r="N43" s="119"/>
    </row>
    <row r="44" spans="1:18" ht="15.75">
      <c r="A44" s="140"/>
      <c r="B44" s="151"/>
      <c r="C44" s="151"/>
      <c r="D44" s="151"/>
      <c r="E44" s="151"/>
      <c r="F44" s="151"/>
      <c r="G44" s="119"/>
      <c r="H44" s="119"/>
      <c r="I44" s="119"/>
      <c r="J44" s="119"/>
      <c r="L44" s="119"/>
      <c r="M44" s="119"/>
      <c r="N44" s="119"/>
    </row>
    <row r="45" spans="1:18" ht="15.75">
      <c r="A45" s="140" t="s">
        <v>943</v>
      </c>
      <c r="B45" s="151"/>
      <c r="C45" s="151"/>
      <c r="D45" s="151"/>
      <c r="E45" s="151"/>
      <c r="F45" s="151"/>
      <c r="G45" s="119"/>
      <c r="H45" s="119"/>
      <c r="I45" s="119"/>
      <c r="J45" s="119"/>
      <c r="L45" s="119"/>
      <c r="M45" s="119"/>
      <c r="N45" s="119"/>
    </row>
    <row r="46" spans="1:18" ht="15.75">
      <c r="A46" s="140"/>
      <c r="B46" s="151"/>
      <c r="C46" s="151"/>
      <c r="D46" s="151"/>
      <c r="E46" s="151"/>
      <c r="F46" s="151"/>
      <c r="G46" s="119"/>
      <c r="H46" s="119"/>
      <c r="I46" s="119"/>
      <c r="J46" s="119"/>
      <c r="L46" s="119"/>
      <c r="M46" s="119"/>
      <c r="N46" s="119"/>
    </row>
    <row r="47" spans="1:18" ht="15.75">
      <c r="A47" s="119"/>
      <c r="B47" s="142"/>
      <c r="C47" s="82"/>
      <c r="D47" s="82"/>
      <c r="E47" s="82"/>
      <c r="F47" s="82"/>
      <c r="G47" s="82"/>
      <c r="H47" s="119"/>
      <c r="I47" s="152"/>
      <c r="J47" s="119"/>
      <c r="L47" s="119"/>
      <c r="M47" s="119"/>
      <c r="N47" s="119"/>
    </row>
    <row r="48" spans="1:18" ht="15.75">
      <c r="A48" s="153"/>
      <c r="B48" s="154"/>
      <c r="C48" s="154"/>
      <c r="D48" s="154"/>
      <c r="E48" s="154"/>
      <c r="F48" s="154"/>
      <c r="G48" s="155"/>
      <c r="H48" s="156"/>
      <c r="I48" s="156"/>
      <c r="J48" s="153"/>
      <c r="K48" s="153"/>
      <c r="L48" s="119"/>
      <c r="M48" s="119"/>
      <c r="N48" s="119"/>
    </row>
    <row r="49" spans="1:14" ht="21">
      <c r="A49" s="119"/>
      <c r="B49" s="157" t="s">
        <v>944</v>
      </c>
      <c r="C49" s="158"/>
      <c r="D49" s="158"/>
      <c r="E49" s="159"/>
      <c r="F49" s="160"/>
      <c r="G49" s="82"/>
      <c r="H49" s="119"/>
      <c r="I49" s="119"/>
      <c r="J49" s="119"/>
      <c r="L49" s="119"/>
      <c r="M49" s="119"/>
      <c r="N49" s="119"/>
    </row>
    <row r="50" spans="1:14" ht="21">
      <c r="A50" s="119"/>
      <c r="B50" s="157" t="s">
        <v>945</v>
      </c>
      <c r="C50" s="158"/>
      <c r="D50" s="158"/>
      <c r="E50" s="159"/>
      <c r="F50" s="160"/>
      <c r="G50" s="119"/>
      <c r="H50" s="119"/>
      <c r="I50" s="119"/>
      <c r="J50" s="119"/>
      <c r="L50" s="119"/>
      <c r="M50" s="119"/>
      <c r="N50" s="119"/>
    </row>
    <row r="51" spans="1:14" ht="21">
      <c r="A51" s="119"/>
      <c r="B51" s="157" t="s">
        <v>946</v>
      </c>
      <c r="C51" s="158"/>
      <c r="D51" s="158"/>
      <c r="E51" s="159"/>
      <c r="F51" s="160"/>
      <c r="G51" s="119"/>
      <c r="H51" s="119"/>
      <c r="I51" s="119"/>
      <c r="J51" s="119"/>
      <c r="L51" s="119"/>
      <c r="M51" s="119"/>
      <c r="N51" s="119"/>
    </row>
    <row r="52" spans="1:14">
      <c r="A52" s="119"/>
      <c r="B52" s="158"/>
      <c r="C52" s="161" t="s">
        <v>947</v>
      </c>
      <c r="D52" s="161"/>
      <c r="E52" s="161"/>
      <c r="F52" s="162"/>
      <c r="G52" s="119"/>
      <c r="H52" s="119"/>
      <c r="I52" s="119"/>
      <c r="J52" s="119"/>
      <c r="L52" s="119"/>
      <c r="M52" s="119"/>
      <c r="N52" s="119"/>
    </row>
    <row r="53" spans="1:14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L53" s="119"/>
      <c r="M53" s="119"/>
      <c r="N53" s="119"/>
    </row>
  </sheetData>
  <pageMargins left="0.7" right="0.7" top="0.75" bottom="0.75" header="0.3" footer="0.3"/>
  <pageSetup paperSize="119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F20"/>
  <sheetViews>
    <sheetView topLeftCell="A16" workbookViewId="0">
      <selection activeCell="E9" sqref="E9"/>
    </sheetView>
  </sheetViews>
  <sheetFormatPr baseColWidth="10" defaultRowHeight="15"/>
  <cols>
    <col min="3" max="3" width="57.85546875" customWidth="1"/>
    <col min="4" max="4" width="18.140625" customWidth="1"/>
    <col min="5" max="5" width="9.5703125" customWidth="1"/>
    <col min="6" max="6" width="9.7109375" customWidth="1"/>
  </cols>
  <sheetData>
    <row r="3" spans="1:6" ht="46.5" customHeight="1">
      <c r="A3" s="32" t="s">
        <v>276</v>
      </c>
      <c r="B3" s="32" t="s">
        <v>3214</v>
      </c>
      <c r="C3" s="32" t="s">
        <v>113</v>
      </c>
      <c r="D3" s="33" t="s">
        <v>24</v>
      </c>
      <c r="E3" s="33" t="s">
        <v>3215</v>
      </c>
      <c r="F3" s="33" t="s">
        <v>117</v>
      </c>
    </row>
    <row r="4" spans="1:6">
      <c r="A4" s="23">
        <v>15516</v>
      </c>
      <c r="B4" s="23">
        <v>400</v>
      </c>
      <c r="C4" s="22" t="s">
        <v>160</v>
      </c>
      <c r="D4" s="22"/>
      <c r="E4" s="22"/>
      <c r="F4" s="22"/>
    </row>
    <row r="5" spans="1:6">
      <c r="A5" s="23">
        <v>15242</v>
      </c>
      <c r="B5" s="23">
        <v>240</v>
      </c>
      <c r="C5" s="22" t="s">
        <v>161</v>
      </c>
      <c r="D5" s="22"/>
      <c r="E5" s="22"/>
      <c r="F5" s="22"/>
    </row>
    <row r="6" spans="1:6">
      <c r="A6" s="23">
        <v>15250</v>
      </c>
      <c r="B6" s="23">
        <v>720</v>
      </c>
      <c r="C6" s="22" t="s">
        <v>162</v>
      </c>
      <c r="D6" s="22"/>
      <c r="E6" s="22"/>
      <c r="F6" s="22"/>
    </row>
    <row r="7" spans="1:6">
      <c r="A7" s="23">
        <v>15249</v>
      </c>
      <c r="B7" s="23">
        <v>240</v>
      </c>
      <c r="C7" s="22" t="s">
        <v>163</v>
      </c>
      <c r="D7" s="22"/>
      <c r="E7" s="22"/>
      <c r="F7" s="22"/>
    </row>
    <row r="8" spans="1:6">
      <c r="A8" s="23">
        <v>15517</v>
      </c>
      <c r="B8" s="23">
        <v>60</v>
      </c>
      <c r="C8" s="22" t="s">
        <v>164</v>
      </c>
      <c r="D8" s="22"/>
      <c r="E8" s="22"/>
      <c r="F8" s="22"/>
    </row>
    <row r="9" spans="1:6">
      <c r="A9" s="23">
        <v>1411</v>
      </c>
      <c r="B9" s="23">
        <v>240</v>
      </c>
      <c r="C9" s="22" t="s">
        <v>165</v>
      </c>
      <c r="D9" s="22"/>
      <c r="E9" s="22"/>
      <c r="F9" s="22"/>
    </row>
    <row r="10" spans="1:6">
      <c r="A10" s="23">
        <v>15247</v>
      </c>
      <c r="B10" s="23">
        <v>960</v>
      </c>
      <c r="C10" s="22" t="s">
        <v>166</v>
      </c>
      <c r="D10" s="22"/>
      <c r="E10" s="22"/>
      <c r="F10" s="22"/>
    </row>
    <row r="11" spans="1:6">
      <c r="A11" s="23">
        <v>15248</v>
      </c>
      <c r="B11" s="23">
        <v>720</v>
      </c>
      <c r="C11" s="22" t="s">
        <v>167</v>
      </c>
      <c r="D11" s="22"/>
      <c r="E11" s="22"/>
      <c r="F11" s="22"/>
    </row>
    <row r="12" spans="1:6">
      <c r="A12" s="23">
        <v>15244</v>
      </c>
      <c r="B12" s="23">
        <v>960</v>
      </c>
      <c r="C12" s="22" t="s">
        <v>168</v>
      </c>
      <c r="D12" s="22"/>
      <c r="E12" s="22"/>
      <c r="F12" s="22"/>
    </row>
    <row r="13" spans="1:6">
      <c r="A13" s="23">
        <v>15514</v>
      </c>
      <c r="B13" s="23">
        <v>240</v>
      </c>
      <c r="C13" s="22" t="s">
        <v>169</v>
      </c>
      <c r="D13" s="22"/>
      <c r="E13" s="22"/>
      <c r="F13" s="22"/>
    </row>
    <row r="14" spans="1:6">
      <c r="A14" s="23">
        <v>15515</v>
      </c>
      <c r="B14" s="23">
        <v>240</v>
      </c>
      <c r="C14" s="22" t="s">
        <v>170</v>
      </c>
      <c r="D14" s="22"/>
      <c r="E14" s="22"/>
      <c r="F14" s="22"/>
    </row>
    <row r="15" spans="1:6">
      <c r="A15" s="23">
        <v>15513</v>
      </c>
      <c r="B15" s="23">
        <v>240</v>
      </c>
      <c r="C15" s="22" t="s">
        <v>171</v>
      </c>
      <c r="D15" s="22"/>
      <c r="E15" s="22"/>
      <c r="F15" s="22"/>
    </row>
    <row r="16" spans="1:6">
      <c r="A16" s="23">
        <v>15512</v>
      </c>
      <c r="B16" s="23">
        <v>108</v>
      </c>
      <c r="C16" s="22" t="s">
        <v>172</v>
      </c>
      <c r="D16" s="22"/>
      <c r="E16" s="22"/>
      <c r="F16" s="22"/>
    </row>
    <row r="17" spans="1:6">
      <c r="A17" s="23">
        <v>16163</v>
      </c>
      <c r="B17" s="23">
        <v>60</v>
      </c>
      <c r="C17" s="22" t="s">
        <v>173</v>
      </c>
      <c r="D17" s="22"/>
      <c r="E17" s="22"/>
      <c r="F17" s="22"/>
    </row>
    <row r="18" spans="1:6">
      <c r="A18" s="23">
        <v>15240</v>
      </c>
      <c r="B18" s="23">
        <v>240</v>
      </c>
      <c r="C18" s="22" t="s">
        <v>174</v>
      </c>
      <c r="D18" s="22"/>
      <c r="E18" s="22"/>
      <c r="F18" s="22"/>
    </row>
    <row r="19" spans="1:6">
      <c r="A19" s="23">
        <v>15243</v>
      </c>
      <c r="B19" s="23">
        <v>80</v>
      </c>
      <c r="C19" s="22" t="s">
        <v>175</v>
      </c>
      <c r="D19" s="22"/>
      <c r="E19" s="22"/>
      <c r="F19" s="22"/>
    </row>
    <row r="20" spans="1:6">
      <c r="A20" s="23">
        <v>15241</v>
      </c>
      <c r="B20" s="23">
        <v>240</v>
      </c>
      <c r="C20" s="22" t="s">
        <v>176</v>
      </c>
      <c r="D20" s="22"/>
      <c r="E20" s="22"/>
      <c r="F20" s="22"/>
    </row>
  </sheetData>
  <pageMargins left="0.7" right="0.7" top="0.75" bottom="0.75" header="0.3" footer="0.3"/>
  <pageSetup paperSize="11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I33"/>
  <sheetViews>
    <sheetView workbookViewId="0">
      <selection activeCell="C25" sqref="C25"/>
    </sheetView>
  </sheetViews>
  <sheetFormatPr baseColWidth="10" defaultRowHeight="15"/>
  <cols>
    <col min="3" max="3" width="36.140625" customWidth="1"/>
    <col min="4" max="4" width="12.5703125" style="96" bestFit="1" customWidth="1"/>
    <col min="5" max="5" width="11.42578125" style="422" customWidth="1"/>
    <col min="6" max="9" width="11.42578125" customWidth="1"/>
  </cols>
  <sheetData>
    <row r="2" spans="2:9" ht="41.25" customHeight="1">
      <c r="C2" t="s">
        <v>2719</v>
      </c>
    </row>
    <row r="5" spans="2:9" ht="30">
      <c r="B5" s="120" t="s">
        <v>127</v>
      </c>
      <c r="C5" s="95" t="s">
        <v>804</v>
      </c>
      <c r="D5" s="3" t="s">
        <v>75</v>
      </c>
      <c r="E5" s="3" t="s">
        <v>1856</v>
      </c>
      <c r="F5" s="3" t="s">
        <v>1854</v>
      </c>
      <c r="G5" s="642" t="s">
        <v>1855</v>
      </c>
      <c r="H5" s="18" t="s">
        <v>2002</v>
      </c>
      <c r="I5" s="18" t="s">
        <v>2003</v>
      </c>
    </row>
    <row r="6" spans="2:9" hidden="1">
      <c r="B6" s="120">
        <v>5591</v>
      </c>
      <c r="C6" s="120" t="s">
        <v>787</v>
      </c>
      <c r="D6" s="3"/>
      <c r="E6" s="3">
        <f>D6*F6</f>
        <v>0</v>
      </c>
      <c r="F6" s="3"/>
      <c r="G6" s="642"/>
      <c r="H6" s="495"/>
      <c r="I6" s="495"/>
    </row>
    <row r="7" spans="2:9" hidden="1">
      <c r="B7" s="120">
        <v>2389</v>
      </c>
      <c r="C7" s="120" t="s">
        <v>788</v>
      </c>
      <c r="D7" s="3"/>
      <c r="E7" s="3">
        <f t="shared" ref="E7:E22" si="0">D7*F7</f>
        <v>0</v>
      </c>
      <c r="F7" s="3"/>
      <c r="G7" s="642"/>
      <c r="H7" s="495"/>
      <c r="I7" s="495"/>
    </row>
    <row r="8" spans="2:9" hidden="1">
      <c r="B8" s="120">
        <v>787</v>
      </c>
      <c r="C8" s="120" t="s">
        <v>789</v>
      </c>
      <c r="D8" s="3"/>
      <c r="E8" s="3">
        <f t="shared" si="0"/>
        <v>0</v>
      </c>
      <c r="F8" s="3"/>
      <c r="G8" s="642"/>
      <c r="H8" s="495"/>
      <c r="I8" s="495"/>
    </row>
    <row r="9" spans="2:9" hidden="1">
      <c r="B9" s="120">
        <v>6367</v>
      </c>
      <c r="C9" s="414" t="s">
        <v>790</v>
      </c>
      <c r="D9" s="3"/>
      <c r="E9" s="3">
        <f t="shared" si="0"/>
        <v>0</v>
      </c>
      <c r="F9" s="3"/>
      <c r="G9" s="642"/>
      <c r="H9" s="495"/>
      <c r="I9" s="495"/>
    </row>
    <row r="10" spans="2:9" hidden="1">
      <c r="B10" s="118">
        <v>15650</v>
      </c>
      <c r="C10" s="118" t="s">
        <v>791</v>
      </c>
      <c r="D10" s="3">
        <v>0</v>
      </c>
      <c r="E10" s="3">
        <f t="shared" si="0"/>
        <v>0</v>
      </c>
      <c r="F10" s="3"/>
      <c r="G10" s="642"/>
      <c r="H10" s="495"/>
      <c r="I10" s="495"/>
    </row>
    <row r="11" spans="2:9" hidden="1">
      <c r="B11" s="118">
        <v>14209</v>
      </c>
      <c r="C11" s="118" t="s">
        <v>792</v>
      </c>
      <c r="D11" s="3"/>
      <c r="E11" s="3">
        <f t="shared" si="0"/>
        <v>0</v>
      </c>
      <c r="F11" s="3"/>
      <c r="G11" s="642"/>
      <c r="H11" s="495"/>
      <c r="I11" s="495"/>
    </row>
    <row r="12" spans="2:9">
      <c r="B12" s="402">
        <v>14204</v>
      </c>
      <c r="C12" s="641" t="s">
        <v>793</v>
      </c>
      <c r="D12" s="3">
        <v>100</v>
      </c>
      <c r="E12" s="44">
        <f t="shared" si="0"/>
        <v>2120</v>
      </c>
      <c r="F12" s="44">
        <v>21.2</v>
      </c>
      <c r="G12" s="643">
        <f>F12/12</f>
        <v>1.7666666666666666</v>
      </c>
      <c r="H12" s="495">
        <v>0</v>
      </c>
      <c r="I12" s="495"/>
    </row>
    <row r="13" spans="2:9" hidden="1">
      <c r="B13" s="402">
        <v>2076</v>
      </c>
      <c r="C13" s="402" t="s">
        <v>794</v>
      </c>
      <c r="D13" s="3">
        <v>0</v>
      </c>
      <c r="E13" s="44">
        <f t="shared" si="0"/>
        <v>0</v>
      </c>
      <c r="F13" s="44">
        <v>36</v>
      </c>
      <c r="G13" s="642">
        <v>36</v>
      </c>
      <c r="H13" s="495"/>
      <c r="I13" s="495"/>
    </row>
    <row r="14" spans="2:9" hidden="1">
      <c r="B14" s="428">
        <v>6014</v>
      </c>
      <c r="C14" s="428" t="s">
        <v>795</v>
      </c>
      <c r="D14" s="3"/>
      <c r="E14" s="44">
        <f t="shared" si="0"/>
        <v>0</v>
      </c>
      <c r="F14" s="44"/>
      <c r="G14" s="642"/>
      <c r="H14" s="495"/>
      <c r="I14" s="495"/>
    </row>
    <row r="15" spans="2:9" hidden="1">
      <c r="B15" s="428">
        <v>2529</v>
      </c>
      <c r="C15" s="428" t="s">
        <v>796</v>
      </c>
      <c r="D15" s="3"/>
      <c r="E15" s="44">
        <f t="shared" si="0"/>
        <v>0</v>
      </c>
      <c r="F15" s="44"/>
      <c r="G15" s="642"/>
      <c r="H15" s="495"/>
      <c r="I15" s="495"/>
    </row>
    <row r="16" spans="2:9" hidden="1">
      <c r="B16" s="428">
        <v>9071</v>
      </c>
      <c r="C16" s="428" t="s">
        <v>797</v>
      </c>
      <c r="D16" s="3"/>
      <c r="E16" s="44">
        <f t="shared" si="0"/>
        <v>0</v>
      </c>
      <c r="F16" s="44"/>
      <c r="G16" s="642"/>
      <c r="H16" s="495"/>
      <c r="I16" s="495"/>
    </row>
    <row r="17" spans="2:9">
      <c r="B17" s="402">
        <v>13370</v>
      </c>
      <c r="C17" s="641" t="s">
        <v>798</v>
      </c>
      <c r="D17" s="3">
        <v>40</v>
      </c>
      <c r="E17" s="44">
        <f>+F17*D17</f>
        <v>585.6</v>
      </c>
      <c r="F17" s="44">
        <v>14.64</v>
      </c>
      <c r="G17" s="643">
        <v>1.22</v>
      </c>
      <c r="H17" s="495" t="s">
        <v>72</v>
      </c>
      <c r="I17" s="495">
        <v>74</v>
      </c>
    </row>
    <row r="18" spans="2:9" hidden="1">
      <c r="B18" s="402">
        <v>5649</v>
      </c>
      <c r="C18" s="402" t="s">
        <v>799</v>
      </c>
      <c r="D18" s="3"/>
      <c r="E18" s="44">
        <f t="shared" si="0"/>
        <v>0</v>
      </c>
      <c r="F18" s="44"/>
      <c r="G18" s="642"/>
      <c r="H18" s="495"/>
      <c r="I18" s="495"/>
    </row>
    <row r="19" spans="2:9" hidden="1">
      <c r="B19" s="402">
        <v>4341</v>
      </c>
      <c r="C19" s="402" t="s">
        <v>800</v>
      </c>
      <c r="D19" s="3"/>
      <c r="E19" s="44">
        <f t="shared" si="0"/>
        <v>0</v>
      </c>
      <c r="F19" s="44"/>
      <c r="G19" s="642"/>
      <c r="H19" s="495"/>
      <c r="I19" s="495"/>
    </row>
    <row r="20" spans="2:9" hidden="1">
      <c r="B20" s="402">
        <v>14765</v>
      </c>
      <c r="C20" s="641" t="s">
        <v>801</v>
      </c>
      <c r="D20" s="3">
        <v>0</v>
      </c>
      <c r="E20" s="44">
        <f t="shared" si="0"/>
        <v>0</v>
      </c>
      <c r="F20" s="44">
        <v>15.6</v>
      </c>
      <c r="G20" s="642">
        <f>F20/24</f>
        <v>0.65</v>
      </c>
      <c r="H20" s="495"/>
      <c r="I20" s="495"/>
    </row>
    <row r="21" spans="2:9" hidden="1">
      <c r="B21" s="402">
        <v>5583</v>
      </c>
      <c r="C21" s="402" t="s">
        <v>1857</v>
      </c>
      <c r="D21" s="3">
        <v>0</v>
      </c>
      <c r="E21" s="44">
        <f t="shared" si="0"/>
        <v>0</v>
      </c>
      <c r="F21" s="44">
        <v>11.5</v>
      </c>
      <c r="G21" s="642">
        <v>11.5</v>
      </c>
      <c r="H21" s="495"/>
      <c r="I21" s="495"/>
    </row>
    <row r="22" spans="2:9" hidden="1">
      <c r="B22" s="373">
        <v>4726</v>
      </c>
      <c r="C22" s="373" t="s">
        <v>802</v>
      </c>
      <c r="D22" s="3"/>
      <c r="E22" s="44">
        <f t="shared" si="0"/>
        <v>0</v>
      </c>
      <c r="F22" s="3"/>
      <c r="G22" s="642"/>
      <c r="H22" s="495"/>
      <c r="I22" s="495"/>
    </row>
    <row r="23" spans="2:9">
      <c r="E23" s="44" t="s">
        <v>72</v>
      </c>
      <c r="H23" s="495"/>
      <c r="I23" s="495"/>
    </row>
    <row r="24" spans="2:9">
      <c r="E24" s="385">
        <f>SUM(E6:E23)</f>
        <v>2705.6</v>
      </c>
    </row>
    <row r="29" spans="2:9">
      <c r="C29" s="107">
        <v>4032128.57</v>
      </c>
      <c r="D29" s="352"/>
      <c r="E29" s="352"/>
    </row>
    <row r="30" spans="2:9">
      <c r="C30" s="107">
        <v>5241767</v>
      </c>
      <c r="D30" s="352"/>
      <c r="E30" s="352"/>
    </row>
    <row r="31" spans="2:9">
      <c r="C31" s="107">
        <f>C30/C29</f>
        <v>1.2999999650308771</v>
      </c>
      <c r="D31" s="352" t="s">
        <v>72</v>
      </c>
      <c r="E31" s="352"/>
      <c r="F31" s="434">
        <v>2120</v>
      </c>
    </row>
    <row r="32" spans="2:9">
      <c r="C32" s="107"/>
      <c r="D32" s="352"/>
      <c r="E32" s="352"/>
      <c r="F32" s="434">
        <v>701.1</v>
      </c>
    </row>
    <row r="33" spans="6:6">
      <c r="F33">
        <f>SUM(F31:F32)</f>
        <v>2821.1</v>
      </c>
    </row>
  </sheetData>
  <pageMargins left="0.7" right="0.7" top="0.75" bottom="0.75" header="0.3" footer="0.3"/>
  <pageSetup paperSize="11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5:P22"/>
  <sheetViews>
    <sheetView workbookViewId="0">
      <selection activeCell="K19" sqref="K19"/>
    </sheetView>
  </sheetViews>
  <sheetFormatPr baseColWidth="10" defaultRowHeight="15"/>
  <cols>
    <col min="1" max="1" width="11.140625" style="835" customWidth="1"/>
    <col min="2" max="2" width="36.85546875" customWidth="1"/>
    <col min="3" max="4" width="10.140625" style="782" hidden="1" customWidth="1"/>
    <col min="5" max="5" width="15.42578125" customWidth="1"/>
    <col min="6" max="9" width="11.42578125" hidden="1" customWidth="1"/>
    <col min="10" max="10" width="18.28515625" hidden="1" customWidth="1"/>
  </cols>
  <sheetData>
    <row r="5" spans="1:13">
      <c r="B5" s="778" t="s">
        <v>3187</v>
      </c>
    </row>
    <row r="6" spans="1:13" ht="45">
      <c r="A6" s="547" t="s">
        <v>127</v>
      </c>
      <c r="B6" s="115" t="s">
        <v>113</v>
      </c>
      <c r="C6" s="116" t="s">
        <v>1860</v>
      </c>
      <c r="D6" s="116" t="s">
        <v>3180</v>
      </c>
      <c r="E6" s="116" t="s">
        <v>24</v>
      </c>
      <c r="F6" s="116" t="s">
        <v>116</v>
      </c>
      <c r="G6" s="116" t="s">
        <v>3183</v>
      </c>
      <c r="H6" s="116" t="s">
        <v>117</v>
      </c>
      <c r="I6" s="116" t="s">
        <v>3184</v>
      </c>
      <c r="J6" s="116" t="s">
        <v>3188</v>
      </c>
      <c r="K6" s="118"/>
      <c r="L6" s="116" t="s">
        <v>3185</v>
      </c>
      <c r="M6" s="116" t="s">
        <v>3186</v>
      </c>
    </row>
    <row r="7" spans="1:13" hidden="1">
      <c r="A7" s="834">
        <v>7476</v>
      </c>
      <c r="B7" s="22" t="s">
        <v>177</v>
      </c>
      <c r="C7" s="779">
        <v>12</v>
      </c>
      <c r="D7" s="779">
        <v>1.27</v>
      </c>
      <c r="E7" s="23">
        <v>0</v>
      </c>
      <c r="F7" s="777">
        <v>83</v>
      </c>
      <c r="G7" s="24">
        <f>F7/C7</f>
        <v>6.916666666666667</v>
      </c>
      <c r="H7" s="777">
        <v>57</v>
      </c>
      <c r="I7" s="24">
        <f>H7/C7</f>
        <v>4.75</v>
      </c>
      <c r="J7" s="777">
        <f>C7*E7</f>
        <v>0</v>
      </c>
      <c r="K7" s="495"/>
      <c r="L7" s="777">
        <f>D7*C7</f>
        <v>15.24</v>
      </c>
      <c r="M7" s="777">
        <f>E7*L7</f>
        <v>0</v>
      </c>
    </row>
    <row r="8" spans="1:13" hidden="1">
      <c r="A8" s="834">
        <v>7478</v>
      </c>
      <c r="B8" s="22" t="s">
        <v>178</v>
      </c>
      <c r="C8" s="779">
        <v>12</v>
      </c>
      <c r="D8" s="779">
        <v>1.31</v>
      </c>
      <c r="E8" s="23">
        <v>0</v>
      </c>
      <c r="F8" s="777">
        <v>94</v>
      </c>
      <c r="G8" s="24">
        <f t="shared" ref="G8:G21" si="0">F8/C8</f>
        <v>7.833333333333333</v>
      </c>
      <c r="H8" s="777">
        <v>115</v>
      </c>
      <c r="I8" s="24">
        <f t="shared" ref="I8:I21" si="1">H8/C8</f>
        <v>9.5833333333333339</v>
      </c>
      <c r="J8" s="777">
        <f t="shared" ref="J8:J21" si="2">C8*E8</f>
        <v>0</v>
      </c>
      <c r="K8" s="495"/>
      <c r="L8" s="777">
        <f t="shared" ref="L8:L21" si="3">D8*C8</f>
        <v>15.72</v>
      </c>
      <c r="M8" s="777">
        <f t="shared" ref="M8:M21" si="4">E8*L8</f>
        <v>0</v>
      </c>
    </row>
    <row r="9" spans="1:13">
      <c r="A9" s="834">
        <v>7480</v>
      </c>
      <c r="B9" s="22" t="s">
        <v>179</v>
      </c>
      <c r="C9" s="779">
        <v>12</v>
      </c>
      <c r="D9" s="779">
        <v>0.7</v>
      </c>
      <c r="E9" s="23">
        <v>5</v>
      </c>
      <c r="F9" s="777">
        <v>135</v>
      </c>
      <c r="G9" s="24">
        <f t="shared" si="0"/>
        <v>11.25</v>
      </c>
      <c r="H9" s="777">
        <v>26</v>
      </c>
      <c r="I9" s="24">
        <f t="shared" si="1"/>
        <v>2.1666666666666665</v>
      </c>
      <c r="J9" s="777">
        <f t="shared" si="2"/>
        <v>60</v>
      </c>
      <c r="K9" s="495" t="s">
        <v>627</v>
      </c>
      <c r="L9" s="777">
        <f t="shared" si="3"/>
        <v>8.3999999999999986</v>
      </c>
      <c r="M9" s="777">
        <f t="shared" si="4"/>
        <v>41.999999999999993</v>
      </c>
    </row>
    <row r="10" spans="1:13">
      <c r="A10" s="834">
        <v>7481</v>
      </c>
      <c r="B10" s="22" t="s">
        <v>180</v>
      </c>
      <c r="C10" s="779">
        <v>12</v>
      </c>
      <c r="D10" s="779">
        <v>0.7</v>
      </c>
      <c r="E10" s="23">
        <v>5</v>
      </c>
      <c r="F10" s="777">
        <v>81</v>
      </c>
      <c r="G10" s="24">
        <f t="shared" si="0"/>
        <v>6.75</v>
      </c>
      <c r="H10" s="777">
        <v>59</v>
      </c>
      <c r="I10" s="24">
        <f t="shared" si="1"/>
        <v>4.916666666666667</v>
      </c>
      <c r="J10" s="777">
        <f t="shared" si="2"/>
        <v>60</v>
      </c>
      <c r="K10" s="495" t="s">
        <v>627</v>
      </c>
      <c r="L10" s="777">
        <f t="shared" si="3"/>
        <v>8.3999999999999986</v>
      </c>
      <c r="M10" s="777">
        <f t="shared" si="4"/>
        <v>41.999999999999993</v>
      </c>
    </row>
    <row r="11" spans="1:13" hidden="1">
      <c r="A11" s="834">
        <v>7801</v>
      </c>
      <c r="B11" s="22" t="s">
        <v>181</v>
      </c>
      <c r="C11" s="779">
        <v>12</v>
      </c>
      <c r="D11" s="779">
        <v>0.79</v>
      </c>
      <c r="E11" s="23">
        <v>0</v>
      </c>
      <c r="F11" s="777">
        <v>12</v>
      </c>
      <c r="G11" s="24">
        <f t="shared" si="0"/>
        <v>1</v>
      </c>
      <c r="H11" s="777">
        <v>2</v>
      </c>
      <c r="I11" s="24">
        <f t="shared" si="1"/>
        <v>0.16666666666666666</v>
      </c>
      <c r="J11" s="777">
        <f t="shared" si="2"/>
        <v>0</v>
      </c>
      <c r="K11" s="495" t="s">
        <v>627</v>
      </c>
      <c r="L11" s="777">
        <f t="shared" si="3"/>
        <v>9.48</v>
      </c>
      <c r="M11" s="777">
        <f t="shared" si="4"/>
        <v>0</v>
      </c>
    </row>
    <row r="12" spans="1:13" hidden="1">
      <c r="A12" s="834">
        <v>8703</v>
      </c>
      <c r="B12" s="22" t="s">
        <v>182</v>
      </c>
      <c r="C12" s="779">
        <v>12</v>
      </c>
      <c r="D12" s="779">
        <v>0.93</v>
      </c>
      <c r="E12" s="23">
        <v>0</v>
      </c>
      <c r="F12" s="777">
        <v>29</v>
      </c>
      <c r="G12" s="24">
        <f t="shared" si="0"/>
        <v>2.4166666666666665</v>
      </c>
      <c r="H12" s="777">
        <v>38</v>
      </c>
      <c r="I12" s="24">
        <f t="shared" si="1"/>
        <v>3.1666666666666665</v>
      </c>
      <c r="J12" s="777">
        <f t="shared" si="2"/>
        <v>0</v>
      </c>
      <c r="K12" s="495" t="s">
        <v>627</v>
      </c>
      <c r="L12" s="777">
        <f t="shared" si="3"/>
        <v>11.16</v>
      </c>
      <c r="M12" s="777">
        <f t="shared" si="4"/>
        <v>0</v>
      </c>
    </row>
    <row r="13" spans="1:13">
      <c r="A13" s="834">
        <v>9260</v>
      </c>
      <c r="B13" s="22" t="s">
        <v>183</v>
      </c>
      <c r="C13" s="779">
        <v>12</v>
      </c>
      <c r="D13" s="779">
        <v>0.67</v>
      </c>
      <c r="E13" s="23">
        <v>60</v>
      </c>
      <c r="F13" s="777">
        <v>894</v>
      </c>
      <c r="G13" s="24">
        <f t="shared" si="0"/>
        <v>74.5</v>
      </c>
      <c r="H13" s="777">
        <v>88</v>
      </c>
      <c r="I13" s="24">
        <f t="shared" si="1"/>
        <v>7.333333333333333</v>
      </c>
      <c r="J13" s="777">
        <f t="shared" si="2"/>
        <v>720</v>
      </c>
      <c r="K13" s="495" t="s">
        <v>627</v>
      </c>
      <c r="L13" s="777">
        <f t="shared" si="3"/>
        <v>8.0400000000000009</v>
      </c>
      <c r="M13" s="777">
        <f t="shared" si="4"/>
        <v>482.40000000000003</v>
      </c>
    </row>
    <row r="14" spans="1:13">
      <c r="A14" s="834">
        <v>9261</v>
      </c>
      <c r="B14" s="22" t="s">
        <v>184</v>
      </c>
      <c r="C14" s="779">
        <v>12</v>
      </c>
      <c r="D14" s="779">
        <v>1.34</v>
      </c>
      <c r="E14" s="23">
        <v>5</v>
      </c>
      <c r="F14" s="777">
        <v>59</v>
      </c>
      <c r="G14" s="24">
        <f t="shared" si="0"/>
        <v>4.916666666666667</v>
      </c>
      <c r="H14" s="777">
        <v>40</v>
      </c>
      <c r="I14" s="24">
        <f t="shared" si="1"/>
        <v>3.3333333333333335</v>
      </c>
      <c r="J14" s="777">
        <f t="shared" si="2"/>
        <v>60</v>
      </c>
      <c r="K14" s="495" t="s">
        <v>627</v>
      </c>
      <c r="L14" s="777">
        <f t="shared" si="3"/>
        <v>16.080000000000002</v>
      </c>
      <c r="M14" s="777">
        <f t="shared" si="4"/>
        <v>80.400000000000006</v>
      </c>
    </row>
    <row r="15" spans="1:13" hidden="1">
      <c r="A15" s="834">
        <v>9858</v>
      </c>
      <c r="B15" s="22" t="s">
        <v>185</v>
      </c>
      <c r="C15" s="779">
        <v>24</v>
      </c>
      <c r="D15" s="779">
        <v>0.38</v>
      </c>
      <c r="E15" s="23">
        <v>0</v>
      </c>
      <c r="F15" s="777">
        <v>148</v>
      </c>
      <c r="G15" s="24">
        <f t="shared" si="0"/>
        <v>6.166666666666667</v>
      </c>
      <c r="H15" s="777">
        <v>56</v>
      </c>
      <c r="I15" s="24">
        <f t="shared" si="1"/>
        <v>2.3333333333333335</v>
      </c>
      <c r="J15" s="777">
        <f t="shared" si="2"/>
        <v>0</v>
      </c>
      <c r="K15" s="495" t="s">
        <v>627</v>
      </c>
      <c r="L15" s="777">
        <f t="shared" si="3"/>
        <v>9.120000000000001</v>
      </c>
      <c r="M15" s="777">
        <f t="shared" si="4"/>
        <v>0</v>
      </c>
    </row>
    <row r="16" spans="1:13" hidden="1">
      <c r="A16" s="834">
        <v>9861</v>
      </c>
      <c r="B16" s="22" t="s">
        <v>186</v>
      </c>
      <c r="C16" s="779">
        <v>12</v>
      </c>
      <c r="D16" s="779">
        <v>0</v>
      </c>
      <c r="E16" s="23">
        <v>0</v>
      </c>
      <c r="F16" s="777">
        <v>0</v>
      </c>
      <c r="G16" s="24">
        <f t="shared" si="0"/>
        <v>0</v>
      </c>
      <c r="H16" s="777">
        <v>0</v>
      </c>
      <c r="I16" s="24">
        <f t="shared" si="1"/>
        <v>0</v>
      </c>
      <c r="J16" s="777">
        <f t="shared" si="2"/>
        <v>0</v>
      </c>
      <c r="K16" s="495" t="s">
        <v>627</v>
      </c>
      <c r="L16" s="777">
        <f t="shared" si="3"/>
        <v>0</v>
      </c>
      <c r="M16" s="777">
        <f t="shared" si="4"/>
        <v>0</v>
      </c>
    </row>
    <row r="17" spans="1:16" hidden="1">
      <c r="A17" s="834">
        <v>9862</v>
      </c>
      <c r="B17" s="22" t="s">
        <v>187</v>
      </c>
      <c r="C17" s="779">
        <v>12</v>
      </c>
      <c r="D17" s="779">
        <v>0</v>
      </c>
      <c r="E17" s="23">
        <v>0</v>
      </c>
      <c r="F17" s="777"/>
      <c r="G17" s="24">
        <f t="shared" si="0"/>
        <v>0</v>
      </c>
      <c r="H17" s="777"/>
      <c r="I17" s="24">
        <f t="shared" si="1"/>
        <v>0</v>
      </c>
      <c r="J17" s="777">
        <f t="shared" si="2"/>
        <v>0</v>
      </c>
      <c r="K17" s="495" t="s">
        <v>627</v>
      </c>
      <c r="L17" s="777">
        <f t="shared" si="3"/>
        <v>0</v>
      </c>
      <c r="M17" s="777">
        <f t="shared" si="4"/>
        <v>0</v>
      </c>
    </row>
    <row r="18" spans="1:16">
      <c r="A18" s="834">
        <v>9863</v>
      </c>
      <c r="B18" s="22" t="s">
        <v>188</v>
      </c>
      <c r="C18" s="779">
        <v>12</v>
      </c>
      <c r="D18" s="779">
        <v>1.31</v>
      </c>
      <c r="E18" s="777">
        <v>5</v>
      </c>
      <c r="F18" s="777">
        <v>144</v>
      </c>
      <c r="G18" s="24">
        <f t="shared" si="0"/>
        <v>12</v>
      </c>
      <c r="H18" s="777">
        <v>61</v>
      </c>
      <c r="I18" s="24">
        <f t="shared" si="1"/>
        <v>5.083333333333333</v>
      </c>
      <c r="J18" s="777">
        <f t="shared" si="2"/>
        <v>60</v>
      </c>
      <c r="K18" s="495" t="s">
        <v>627</v>
      </c>
      <c r="L18" s="777">
        <f t="shared" si="3"/>
        <v>15.72</v>
      </c>
      <c r="M18" s="777">
        <f t="shared" si="4"/>
        <v>78.600000000000009</v>
      </c>
    </row>
    <row r="19" spans="1:16">
      <c r="A19" s="834">
        <v>9859</v>
      </c>
      <c r="B19" s="22" t="s">
        <v>189</v>
      </c>
      <c r="C19" s="779">
        <v>24</v>
      </c>
      <c r="D19" s="779">
        <v>0.68</v>
      </c>
      <c r="E19" s="777">
        <v>5</v>
      </c>
      <c r="F19" s="777">
        <v>175</v>
      </c>
      <c r="G19" s="24">
        <f t="shared" si="0"/>
        <v>7.291666666666667</v>
      </c>
      <c r="H19" s="777">
        <v>13</v>
      </c>
      <c r="I19" s="24">
        <f t="shared" si="1"/>
        <v>0.54166666666666663</v>
      </c>
      <c r="J19" s="777">
        <f t="shared" si="2"/>
        <v>120</v>
      </c>
      <c r="K19" s="495" t="s">
        <v>627</v>
      </c>
      <c r="L19" s="777">
        <f t="shared" si="3"/>
        <v>16.32</v>
      </c>
      <c r="M19" s="777">
        <f t="shared" si="4"/>
        <v>81.599999999999994</v>
      </c>
    </row>
    <row r="20" spans="1:16">
      <c r="A20" s="834">
        <v>20828</v>
      </c>
      <c r="B20" s="22" t="s">
        <v>3181</v>
      </c>
      <c r="C20" s="779">
        <v>30</v>
      </c>
      <c r="D20" s="779">
        <v>0.63</v>
      </c>
      <c r="E20" s="777">
        <v>5</v>
      </c>
      <c r="F20" s="777"/>
      <c r="G20" s="24">
        <f t="shared" si="0"/>
        <v>0</v>
      </c>
      <c r="H20" s="777"/>
      <c r="I20" s="24">
        <f t="shared" si="1"/>
        <v>0</v>
      </c>
      <c r="J20" s="777">
        <f t="shared" si="2"/>
        <v>150</v>
      </c>
      <c r="K20" s="495" t="s">
        <v>627</v>
      </c>
      <c r="L20" s="777">
        <f t="shared" si="3"/>
        <v>18.899999999999999</v>
      </c>
      <c r="M20" s="777">
        <f t="shared" si="4"/>
        <v>94.5</v>
      </c>
    </row>
    <row r="21" spans="1:16" ht="15.75" thickBot="1">
      <c r="A21" s="834">
        <v>20829</v>
      </c>
      <c r="B21" s="57" t="s">
        <v>3182</v>
      </c>
      <c r="C21" s="779">
        <v>20</v>
      </c>
      <c r="D21" s="779">
        <v>1.18</v>
      </c>
      <c r="E21" s="777">
        <v>5</v>
      </c>
      <c r="F21" s="777"/>
      <c r="G21" s="24">
        <f t="shared" si="0"/>
        <v>0</v>
      </c>
      <c r="H21" s="777"/>
      <c r="I21" s="24">
        <f t="shared" si="1"/>
        <v>0</v>
      </c>
      <c r="J21" s="777">
        <f t="shared" si="2"/>
        <v>100</v>
      </c>
      <c r="K21" s="495" t="s">
        <v>627</v>
      </c>
      <c r="L21" s="556">
        <f t="shared" si="3"/>
        <v>23.599999999999998</v>
      </c>
      <c r="M21" s="777">
        <f t="shared" si="4"/>
        <v>117.99999999999999</v>
      </c>
    </row>
    <row r="22" spans="1:16" ht="30.75" thickBot="1">
      <c r="G22" s="495" t="s">
        <v>72</v>
      </c>
      <c r="L22" s="802" t="s">
        <v>3186</v>
      </c>
      <c r="M22" s="803">
        <f>SUM(M7:M21)</f>
        <v>1019.5</v>
      </c>
      <c r="N22" t="s">
        <v>1662</v>
      </c>
      <c r="O22">
        <v>4.4400000000000004</v>
      </c>
      <c r="P22">
        <f>M22*O22</f>
        <v>4526.5800000000008</v>
      </c>
    </row>
  </sheetData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H90"/>
  <sheetViews>
    <sheetView tabSelected="1" topLeftCell="A84" workbookViewId="0">
      <selection activeCell="A50" sqref="A50:H90"/>
    </sheetView>
  </sheetViews>
  <sheetFormatPr baseColWidth="10" defaultRowHeight="15"/>
  <cols>
    <col min="1" max="1" width="7.5703125" customWidth="1"/>
    <col min="3" max="3" width="47.85546875" customWidth="1"/>
    <col min="4" max="4" width="16.5703125" customWidth="1"/>
    <col min="5" max="5" width="14.42578125" customWidth="1"/>
    <col min="8" max="8" width="0" hidden="1" customWidth="1"/>
    <col min="9" max="9" width="13.85546875" customWidth="1"/>
  </cols>
  <sheetData>
    <row r="1" spans="2:8">
      <c r="C1" t="s">
        <v>3203</v>
      </c>
    </row>
    <row r="2" spans="2:8" ht="42" customHeight="1">
      <c r="B2" s="100"/>
      <c r="C2" s="101" t="s">
        <v>746</v>
      </c>
      <c r="D2" s="102" t="s">
        <v>24</v>
      </c>
      <c r="E2" s="102" t="s">
        <v>25</v>
      </c>
      <c r="F2" s="102" t="s">
        <v>26</v>
      </c>
      <c r="G2" s="102" t="s">
        <v>28</v>
      </c>
      <c r="H2" s="102" t="s">
        <v>29</v>
      </c>
    </row>
    <row r="3" spans="2:8">
      <c r="B3" s="77" t="s">
        <v>123</v>
      </c>
      <c r="C3" s="77" t="s">
        <v>3202</v>
      </c>
      <c r="D3" s="762"/>
      <c r="E3" s="762"/>
      <c r="F3" s="762"/>
      <c r="G3" s="762"/>
      <c r="H3" s="22"/>
    </row>
    <row r="4" spans="2:8">
      <c r="B4" s="77">
        <v>790</v>
      </c>
      <c r="C4" s="762" t="s">
        <v>758</v>
      </c>
      <c r="D4" s="77" t="s">
        <v>667</v>
      </c>
      <c r="E4" s="77" t="s">
        <v>619</v>
      </c>
      <c r="F4" s="77" t="s">
        <v>634</v>
      </c>
      <c r="G4" s="77" t="s">
        <v>634</v>
      </c>
      <c r="H4" s="23" t="s">
        <v>628</v>
      </c>
    </row>
    <row r="5" spans="2:8">
      <c r="B5" s="77">
        <v>3041</v>
      </c>
      <c r="C5" s="762" t="s">
        <v>749</v>
      </c>
      <c r="D5" s="77" t="s">
        <v>759</v>
      </c>
      <c r="E5" s="77" t="s">
        <v>619</v>
      </c>
      <c r="F5" s="77" t="s">
        <v>634</v>
      </c>
      <c r="G5" s="77" t="s">
        <v>669</v>
      </c>
      <c r="H5" s="23" t="s">
        <v>628</v>
      </c>
    </row>
    <row r="6" spans="2:8">
      <c r="B6" s="77">
        <v>9594</v>
      </c>
      <c r="C6" s="762" t="s">
        <v>750</v>
      </c>
      <c r="D6" s="77" t="s">
        <v>760</v>
      </c>
      <c r="E6" s="77" t="s">
        <v>628</v>
      </c>
      <c r="F6" s="77" t="s">
        <v>619</v>
      </c>
      <c r="G6" s="77" t="s">
        <v>634</v>
      </c>
      <c r="H6" s="23" t="s">
        <v>628</v>
      </c>
    </row>
    <row r="7" spans="2:8">
      <c r="B7" s="77">
        <v>3840</v>
      </c>
      <c r="C7" s="762" t="s">
        <v>757</v>
      </c>
      <c r="D7" s="77" t="s">
        <v>667</v>
      </c>
      <c r="E7" s="77" t="s">
        <v>619</v>
      </c>
      <c r="F7" s="77" t="s">
        <v>634</v>
      </c>
      <c r="G7" s="77" t="s">
        <v>619</v>
      </c>
      <c r="H7" s="23" t="s">
        <v>628</v>
      </c>
    </row>
    <row r="8" spans="2:8">
      <c r="B8" s="77">
        <v>4048</v>
      </c>
      <c r="C8" s="762" t="s">
        <v>751</v>
      </c>
      <c r="D8" s="77" t="s">
        <v>667</v>
      </c>
      <c r="E8" s="77" t="s">
        <v>619</v>
      </c>
      <c r="F8" s="77" t="s">
        <v>634</v>
      </c>
      <c r="G8" s="77" t="s">
        <v>619</v>
      </c>
      <c r="H8" s="23" t="s">
        <v>628</v>
      </c>
    </row>
    <row r="9" spans="2:8">
      <c r="F9" s="96"/>
      <c r="G9" s="96"/>
      <c r="H9" s="96"/>
    </row>
    <row r="10" spans="2:8" hidden="1"/>
    <row r="11" spans="2:8" s="97" customFormat="1" hidden="1"/>
    <row r="12" spans="2:8" s="97" customFormat="1" hidden="1"/>
    <row r="13" spans="2:8" s="97" customFormat="1" hidden="1"/>
    <row r="14" spans="2:8" s="97" customFormat="1" hidden="1"/>
    <row r="15" spans="2:8" s="97" customFormat="1" hidden="1"/>
    <row r="16" spans="2:8" s="97" customFormat="1" hidden="1"/>
    <row r="17" spans="2:8" s="97" customFormat="1" hidden="1"/>
    <row r="18" spans="2:8" s="97" customFormat="1"/>
    <row r="20" spans="2:8" s="97" customFormat="1">
      <c r="C20" s="494" t="s">
        <v>3203</v>
      </c>
    </row>
    <row r="21" spans="2:8" ht="41.25" customHeight="1">
      <c r="B21" s="100"/>
      <c r="C21" s="100" t="s">
        <v>747</v>
      </c>
      <c r="D21" s="102" t="s">
        <v>24</v>
      </c>
      <c r="E21" s="102" t="s">
        <v>25</v>
      </c>
      <c r="F21" s="102" t="s">
        <v>26</v>
      </c>
      <c r="G21" s="102" t="s">
        <v>28</v>
      </c>
      <c r="H21" s="98" t="s">
        <v>29</v>
      </c>
    </row>
    <row r="22" spans="2:8">
      <c r="B22" s="77" t="s">
        <v>123</v>
      </c>
      <c r="C22" s="77" t="s">
        <v>3202</v>
      </c>
      <c r="D22" s="77"/>
      <c r="E22" s="832"/>
      <c r="F22" s="831"/>
      <c r="G22" s="831"/>
      <c r="H22" s="94"/>
    </row>
    <row r="23" spans="2:8">
      <c r="B23" s="77">
        <v>5987</v>
      </c>
      <c r="C23" s="762" t="s">
        <v>752</v>
      </c>
      <c r="D23" s="77" t="s">
        <v>3204</v>
      </c>
      <c r="E23" s="833" t="s">
        <v>628</v>
      </c>
      <c r="F23" s="77" t="s">
        <v>669</v>
      </c>
      <c r="G23" s="77" t="s">
        <v>619</v>
      </c>
      <c r="H23" s="94"/>
    </row>
    <row r="24" spans="2:8">
      <c r="B24" s="77">
        <v>5988</v>
      </c>
      <c r="C24" s="762" t="s">
        <v>753</v>
      </c>
      <c r="D24" s="77" t="s">
        <v>759</v>
      </c>
      <c r="E24" s="833" t="s">
        <v>669</v>
      </c>
      <c r="F24" s="77" t="s">
        <v>619</v>
      </c>
      <c r="G24" s="77" t="s">
        <v>619</v>
      </c>
      <c r="H24" s="94"/>
    </row>
    <row r="25" spans="2:8" hidden="1">
      <c r="B25" s="77">
        <v>11875</v>
      </c>
      <c r="C25" s="762" t="s">
        <v>754</v>
      </c>
      <c r="D25" s="77"/>
      <c r="E25" s="833"/>
      <c r="F25" s="77"/>
      <c r="G25" s="77"/>
      <c r="H25" s="94"/>
    </row>
    <row r="26" spans="2:8" hidden="1">
      <c r="B26" s="77">
        <v>11877</v>
      </c>
      <c r="C26" s="762" t="s">
        <v>755</v>
      </c>
      <c r="D26" s="77"/>
      <c r="E26" s="833"/>
      <c r="F26" s="77"/>
      <c r="G26" s="77"/>
      <c r="H26" s="94"/>
    </row>
    <row r="27" spans="2:8">
      <c r="B27" s="762"/>
      <c r="C27" s="832" t="s">
        <v>756</v>
      </c>
      <c r="D27" s="77"/>
      <c r="E27" s="833"/>
      <c r="F27" s="77" t="s">
        <v>759</v>
      </c>
      <c r="G27" s="77"/>
      <c r="H27" s="94"/>
    </row>
    <row r="28" spans="2:8">
      <c r="D28" s="96"/>
    </row>
    <row r="29" spans="2:8" s="97" customFormat="1">
      <c r="D29" s="96"/>
    </row>
    <row r="30" spans="2:8" s="97" customFormat="1">
      <c r="D30" s="96"/>
    </row>
    <row r="31" spans="2:8" s="97" customFormat="1">
      <c r="D31" s="96"/>
    </row>
    <row r="32" spans="2:8" s="97" customFormat="1">
      <c r="D32" s="96"/>
    </row>
    <row r="33" spans="2:8" s="97" customFormat="1">
      <c r="D33" s="96"/>
    </row>
    <row r="34" spans="2:8" s="97" customFormat="1">
      <c r="D34" s="96"/>
    </row>
    <row r="35" spans="2:8" s="97" customFormat="1">
      <c r="D35" s="96"/>
    </row>
    <row r="36" spans="2:8" s="97" customFormat="1">
      <c r="D36" s="96"/>
    </row>
    <row r="37" spans="2:8" s="97" customFormat="1">
      <c r="C37" s="494" t="s">
        <v>3203</v>
      </c>
      <c r="D37" s="96"/>
    </row>
    <row r="38" spans="2:8" ht="44.25" customHeight="1">
      <c r="B38" s="99"/>
      <c r="C38" s="99" t="s">
        <v>748</v>
      </c>
      <c r="D38" s="98" t="s">
        <v>24</v>
      </c>
      <c r="E38" s="98" t="s">
        <v>25</v>
      </c>
      <c r="F38" s="98" t="s">
        <v>26</v>
      </c>
      <c r="G38" s="98" t="s">
        <v>28</v>
      </c>
      <c r="H38" s="98" t="s">
        <v>29</v>
      </c>
    </row>
    <row r="39" spans="2:8">
      <c r="B39" s="77" t="s">
        <v>123</v>
      </c>
      <c r="C39" s="77" t="s">
        <v>3202</v>
      </c>
      <c r="D39" s="94"/>
      <c r="E39" s="94"/>
      <c r="F39" s="94"/>
      <c r="G39" s="94"/>
      <c r="H39" s="94"/>
    </row>
    <row r="40" spans="2:8" hidden="1">
      <c r="B40" s="822">
        <v>15483</v>
      </c>
      <c r="C40" s="94" t="s">
        <v>761</v>
      </c>
      <c r="D40" s="94"/>
      <c r="E40" s="94"/>
      <c r="F40" s="94"/>
      <c r="G40" s="94"/>
      <c r="H40" s="94"/>
    </row>
    <row r="41" spans="2:8">
      <c r="B41" s="826">
        <v>15482</v>
      </c>
      <c r="C41" s="495" t="s">
        <v>762</v>
      </c>
      <c r="D41" s="826" t="s">
        <v>3206</v>
      </c>
      <c r="E41" s="495" t="s">
        <v>669</v>
      </c>
      <c r="F41" s="495" t="s">
        <v>628</v>
      </c>
      <c r="G41" s="495"/>
      <c r="H41" s="36"/>
    </row>
    <row r="42" spans="2:8">
      <c r="B42" s="826">
        <v>20899</v>
      </c>
      <c r="C42" s="37" t="s">
        <v>3205</v>
      </c>
      <c r="D42" s="495" t="s">
        <v>760</v>
      </c>
      <c r="E42" s="495" t="s">
        <v>628</v>
      </c>
      <c r="F42" s="495" t="s">
        <v>3207</v>
      </c>
      <c r="G42" s="495"/>
    </row>
    <row r="50" spans="1:8">
      <c r="A50" s="494"/>
      <c r="B50" s="494"/>
      <c r="C50" s="494" t="s">
        <v>3224</v>
      </c>
      <c r="D50" s="494"/>
      <c r="E50" s="494"/>
      <c r="F50" s="494"/>
      <c r="G50" s="494"/>
      <c r="H50" s="494"/>
    </row>
    <row r="51" spans="1:8" ht="45">
      <c r="A51" s="494"/>
      <c r="B51" s="100"/>
      <c r="C51" s="101" t="s">
        <v>746</v>
      </c>
      <c r="D51" s="102" t="s">
        <v>24</v>
      </c>
      <c r="E51" s="102" t="s">
        <v>25</v>
      </c>
      <c r="F51" s="102" t="s">
        <v>26</v>
      </c>
      <c r="G51" s="102" t="s">
        <v>28</v>
      </c>
      <c r="H51" s="494"/>
    </row>
    <row r="52" spans="1:8">
      <c r="A52" s="494"/>
      <c r="B52" s="878" t="s">
        <v>123</v>
      </c>
      <c r="C52" s="878" t="s">
        <v>3202</v>
      </c>
      <c r="D52" s="762"/>
      <c r="E52" s="762"/>
      <c r="F52" s="762"/>
      <c r="G52" s="762"/>
      <c r="H52" s="494"/>
    </row>
    <row r="53" spans="1:8">
      <c r="A53" s="494"/>
      <c r="B53" s="77">
        <v>790</v>
      </c>
      <c r="C53" s="762" t="s">
        <v>758</v>
      </c>
      <c r="D53" s="77" t="s">
        <v>3206</v>
      </c>
      <c r="E53" s="77" t="s">
        <v>763</v>
      </c>
      <c r="F53" s="77" t="s">
        <v>763</v>
      </c>
      <c r="G53" s="77" t="s">
        <v>669</v>
      </c>
      <c r="H53" s="494"/>
    </row>
    <row r="54" spans="1:8">
      <c r="A54" s="494"/>
      <c r="B54" s="77">
        <v>3041</v>
      </c>
      <c r="C54" s="762" t="s">
        <v>749</v>
      </c>
      <c r="D54" s="77" t="s">
        <v>3206</v>
      </c>
      <c r="E54" s="77" t="s">
        <v>628</v>
      </c>
      <c r="F54" s="77" t="s">
        <v>619</v>
      </c>
      <c r="G54" s="77" t="s">
        <v>669</v>
      </c>
      <c r="H54" s="494"/>
    </row>
    <row r="55" spans="1:8">
      <c r="A55" s="494"/>
      <c r="B55" s="77">
        <v>9594</v>
      </c>
      <c r="C55" s="762" t="s">
        <v>750</v>
      </c>
      <c r="D55" s="77" t="s">
        <v>668</v>
      </c>
      <c r="E55" s="77" t="s">
        <v>633</v>
      </c>
      <c r="F55" s="77" t="s">
        <v>669</v>
      </c>
      <c r="G55" s="77" t="s">
        <v>669</v>
      </c>
      <c r="H55" s="494"/>
    </row>
    <row r="56" spans="1:8">
      <c r="A56" s="494"/>
      <c r="B56" s="77">
        <v>3840</v>
      </c>
      <c r="C56" s="762" t="s">
        <v>757</v>
      </c>
      <c r="D56" s="77" t="s">
        <v>760</v>
      </c>
      <c r="E56" s="77" t="s">
        <v>669</v>
      </c>
      <c r="F56" s="77" t="s">
        <v>669</v>
      </c>
      <c r="G56" s="77" t="s">
        <v>3226</v>
      </c>
      <c r="H56" s="494"/>
    </row>
    <row r="57" spans="1:8">
      <c r="A57" s="494"/>
      <c r="B57" s="77">
        <v>4048</v>
      </c>
      <c r="C57" s="762" t="s">
        <v>751</v>
      </c>
      <c r="D57" s="77" t="s">
        <v>668</v>
      </c>
      <c r="E57" s="77" t="s">
        <v>628</v>
      </c>
      <c r="F57" s="77" t="s">
        <v>669</v>
      </c>
      <c r="G57" s="77" t="s">
        <v>634</v>
      </c>
      <c r="H57" s="494"/>
    </row>
    <row r="58" spans="1:8">
      <c r="A58" s="494"/>
      <c r="B58" s="494"/>
      <c r="C58" s="494"/>
      <c r="D58" s="494"/>
      <c r="E58" s="494"/>
      <c r="F58" s="879"/>
      <c r="G58" s="879"/>
      <c r="H58" s="494"/>
    </row>
    <row r="59" spans="1:8">
      <c r="A59" s="494"/>
      <c r="B59" s="494"/>
      <c r="C59" s="494"/>
      <c r="D59" s="494"/>
      <c r="E59" s="494"/>
      <c r="F59" s="494"/>
      <c r="G59" s="494"/>
      <c r="H59" s="494"/>
    </row>
    <row r="60" spans="1:8">
      <c r="A60" s="494"/>
      <c r="B60" s="494"/>
      <c r="C60" s="494"/>
      <c r="D60" s="494"/>
      <c r="E60" s="494"/>
      <c r="F60" s="494"/>
      <c r="G60" s="494"/>
      <c r="H60" s="494"/>
    </row>
    <row r="61" spans="1:8">
      <c r="A61" s="494"/>
      <c r="B61" s="494"/>
      <c r="C61" s="494"/>
      <c r="D61" s="494"/>
      <c r="E61" s="494"/>
      <c r="F61" s="494"/>
      <c r="G61" s="494"/>
      <c r="H61" s="494"/>
    </row>
    <row r="62" spans="1:8">
      <c r="A62" s="494"/>
      <c r="B62" s="494"/>
      <c r="C62" s="494"/>
      <c r="D62" s="494"/>
      <c r="E62" s="494"/>
      <c r="F62" s="494"/>
      <c r="G62" s="494"/>
      <c r="H62" s="494"/>
    </row>
    <row r="63" spans="1:8">
      <c r="A63" s="494"/>
      <c r="B63" s="494"/>
      <c r="C63" s="494" t="s">
        <v>3225</v>
      </c>
      <c r="D63" s="494"/>
      <c r="E63" s="494"/>
      <c r="F63" s="494"/>
      <c r="G63" s="494"/>
      <c r="H63" s="494"/>
    </row>
    <row r="64" spans="1:8" ht="45">
      <c r="A64" s="494"/>
      <c r="B64" s="100"/>
      <c r="C64" s="100" t="s">
        <v>747</v>
      </c>
      <c r="D64" s="102" t="s">
        <v>24</v>
      </c>
      <c r="E64" s="102" t="s">
        <v>25</v>
      </c>
      <c r="F64" s="102" t="s">
        <v>26</v>
      </c>
      <c r="G64" s="436" t="s">
        <v>28</v>
      </c>
      <c r="H64" s="436" t="s">
        <v>29</v>
      </c>
    </row>
    <row r="65" spans="1:8">
      <c r="A65" s="494"/>
      <c r="B65" s="77" t="s">
        <v>123</v>
      </c>
      <c r="C65" s="77" t="s">
        <v>3202</v>
      </c>
      <c r="D65" s="77"/>
      <c r="E65" s="832"/>
      <c r="F65" s="831"/>
      <c r="G65" s="831"/>
      <c r="H65" s="495"/>
    </row>
    <row r="66" spans="1:8">
      <c r="A66" s="494"/>
      <c r="B66" s="77">
        <v>5987</v>
      </c>
      <c r="C66" s="762" t="s">
        <v>752</v>
      </c>
      <c r="D66" s="77" t="s">
        <v>3204</v>
      </c>
      <c r="E66" s="833" t="s">
        <v>669</v>
      </c>
      <c r="F66" s="77" t="s">
        <v>632</v>
      </c>
      <c r="G66" s="875" t="s">
        <v>669</v>
      </c>
      <c r="H66" s="495" t="s">
        <v>619</v>
      </c>
    </row>
    <row r="67" spans="1:8">
      <c r="A67" s="494"/>
      <c r="B67" s="77">
        <v>5988</v>
      </c>
      <c r="C67" s="762" t="s">
        <v>753</v>
      </c>
      <c r="D67" s="77" t="s">
        <v>759</v>
      </c>
      <c r="E67" s="833" t="s">
        <v>669</v>
      </c>
      <c r="F67" s="77" t="s">
        <v>669</v>
      </c>
      <c r="G67" s="875" t="s">
        <v>669</v>
      </c>
      <c r="H67" s="495" t="s">
        <v>619</v>
      </c>
    </row>
    <row r="68" spans="1:8">
      <c r="A68" s="494"/>
      <c r="B68" s="77">
        <v>11875</v>
      </c>
      <c r="C68" s="762" t="s">
        <v>754</v>
      </c>
      <c r="D68" s="77"/>
      <c r="E68" s="833"/>
      <c r="F68" s="77"/>
      <c r="G68" s="875"/>
      <c r="H68" s="495"/>
    </row>
    <row r="69" spans="1:8">
      <c r="A69" s="494"/>
      <c r="B69" s="77">
        <v>11877</v>
      </c>
      <c r="C69" s="762" t="s">
        <v>755</v>
      </c>
      <c r="D69" s="77"/>
      <c r="E69" s="833"/>
      <c r="F69" s="77"/>
      <c r="G69" s="875"/>
      <c r="H69" s="495"/>
    </row>
    <row r="70" spans="1:8">
      <c r="A70" s="494"/>
      <c r="B70" s="762"/>
      <c r="C70" s="832" t="s">
        <v>3231</v>
      </c>
      <c r="D70" s="77"/>
      <c r="E70" s="833"/>
      <c r="F70" s="77" t="s">
        <v>759</v>
      </c>
      <c r="G70" s="875"/>
      <c r="H70" s="495"/>
    </row>
    <row r="71" spans="1:8">
      <c r="A71" s="494"/>
      <c r="B71" s="494"/>
      <c r="C71" s="494"/>
      <c r="D71" s="879"/>
      <c r="E71" s="494"/>
      <c r="F71" s="494"/>
      <c r="G71" s="494"/>
      <c r="H71" s="494"/>
    </row>
    <row r="72" spans="1:8">
      <c r="A72" s="494"/>
      <c r="B72" s="494"/>
      <c r="C72" s="494"/>
      <c r="D72" s="879"/>
      <c r="E72" s="494"/>
      <c r="F72" s="494"/>
      <c r="G72" s="494"/>
      <c r="H72" s="494"/>
    </row>
    <row r="73" spans="1:8">
      <c r="A73" s="494"/>
      <c r="B73" s="494"/>
      <c r="C73" s="494"/>
      <c r="D73" s="879"/>
      <c r="E73" s="494"/>
      <c r="F73" s="494"/>
      <c r="G73" s="494"/>
      <c r="H73" s="494"/>
    </row>
    <row r="74" spans="1:8">
      <c r="A74" s="494"/>
      <c r="B74" s="494"/>
      <c r="C74" s="494"/>
      <c r="D74" s="879"/>
      <c r="E74" s="494"/>
      <c r="F74" s="494"/>
      <c r="G74" s="494"/>
      <c r="H74" s="494"/>
    </row>
    <row r="75" spans="1:8">
      <c r="A75" s="494"/>
      <c r="B75" s="494"/>
      <c r="C75" s="494" t="s">
        <v>3225</v>
      </c>
      <c r="D75" s="879"/>
      <c r="E75" s="494"/>
      <c r="F75" s="494"/>
      <c r="G75" s="494"/>
      <c r="H75" s="494"/>
    </row>
    <row r="76" spans="1:8" ht="45">
      <c r="A76" s="494"/>
      <c r="B76" s="99"/>
      <c r="C76" s="99" t="s">
        <v>748</v>
      </c>
      <c r="D76" s="98" t="s">
        <v>24</v>
      </c>
      <c r="E76" s="98" t="s">
        <v>25</v>
      </c>
      <c r="F76" s="98" t="s">
        <v>26</v>
      </c>
      <c r="G76" s="98" t="s">
        <v>28</v>
      </c>
      <c r="H76" s="98" t="s">
        <v>29</v>
      </c>
    </row>
    <row r="77" spans="1:8">
      <c r="A77" s="494"/>
      <c r="B77" s="77" t="s">
        <v>123</v>
      </c>
      <c r="C77" s="77" t="s">
        <v>3202</v>
      </c>
      <c r="D77" s="495"/>
      <c r="E77" s="495"/>
      <c r="F77" s="495"/>
      <c r="G77" s="495"/>
      <c r="H77" s="495"/>
    </row>
    <row r="78" spans="1:8">
      <c r="A78" s="494"/>
      <c r="B78" s="880">
        <v>15483</v>
      </c>
      <c r="C78" s="495" t="s">
        <v>761</v>
      </c>
      <c r="D78" s="495"/>
      <c r="E78" s="495"/>
      <c r="F78" s="495"/>
      <c r="G78" s="495"/>
      <c r="H78" s="495"/>
    </row>
    <row r="79" spans="1:8">
      <c r="A79" s="494"/>
      <c r="B79" s="880">
        <v>15482</v>
      </c>
      <c r="C79" s="495" t="s">
        <v>762</v>
      </c>
      <c r="D79" s="880" t="s">
        <v>669</v>
      </c>
      <c r="E79" s="880" t="s">
        <v>763</v>
      </c>
      <c r="F79" s="880" t="s">
        <v>669</v>
      </c>
      <c r="G79" s="880"/>
      <c r="H79" s="495" t="s">
        <v>619</v>
      </c>
    </row>
    <row r="80" spans="1:8">
      <c r="A80" s="494"/>
      <c r="B80" s="880">
        <v>20899</v>
      </c>
      <c r="C80" s="37" t="s">
        <v>3227</v>
      </c>
      <c r="D80" s="880" t="s">
        <v>759</v>
      </c>
      <c r="E80" s="880" t="s">
        <v>763</v>
      </c>
      <c r="F80" s="880" t="s">
        <v>669</v>
      </c>
      <c r="G80" s="880" t="s">
        <v>3228</v>
      </c>
      <c r="H80" s="495" t="s">
        <v>619</v>
      </c>
    </row>
    <row r="81" spans="1:8">
      <c r="A81" s="494"/>
      <c r="B81" s="880">
        <v>9930</v>
      </c>
      <c r="C81" s="495" t="s">
        <v>3229</v>
      </c>
      <c r="D81" s="880" t="s">
        <v>3230</v>
      </c>
      <c r="E81" s="495"/>
      <c r="F81" s="495"/>
      <c r="G81" s="495"/>
      <c r="H81" s="495"/>
    </row>
    <row r="82" spans="1:8">
      <c r="A82" s="494"/>
      <c r="B82" s="494"/>
      <c r="C82" s="494"/>
      <c r="D82" s="494"/>
      <c r="E82" s="494"/>
      <c r="F82" s="494"/>
      <c r="G82" s="494"/>
      <c r="H82" s="494"/>
    </row>
    <row r="83" spans="1:8">
      <c r="A83" s="494"/>
      <c r="B83" s="494"/>
      <c r="C83" s="494"/>
      <c r="D83" s="494"/>
      <c r="E83" s="494"/>
      <c r="F83" s="494"/>
      <c r="G83" s="494"/>
      <c r="H83" s="494"/>
    </row>
    <row r="84" spans="1:8">
      <c r="A84" s="494"/>
      <c r="B84" s="494"/>
      <c r="C84" s="494"/>
      <c r="D84" s="494"/>
      <c r="E84" s="494"/>
      <c r="F84" s="494"/>
      <c r="G84" s="494"/>
      <c r="H84" s="494"/>
    </row>
    <row r="85" spans="1:8">
      <c r="A85" s="494"/>
      <c r="B85" s="494"/>
      <c r="C85" s="494"/>
      <c r="D85" s="494"/>
      <c r="E85" s="494"/>
      <c r="F85" s="494"/>
      <c r="G85" s="494"/>
      <c r="H85" s="494"/>
    </row>
    <row r="86" spans="1:8">
      <c r="A86" s="494"/>
      <c r="B86" s="494"/>
      <c r="C86" s="494"/>
      <c r="D86" s="494"/>
      <c r="E86" s="494"/>
      <c r="F86" s="494"/>
      <c r="G86" s="494"/>
      <c r="H86" s="494"/>
    </row>
    <row r="87" spans="1:8">
      <c r="A87" s="494"/>
      <c r="B87" s="494"/>
      <c r="C87" s="494"/>
      <c r="D87" s="494"/>
      <c r="E87" s="494"/>
      <c r="F87" s="494"/>
      <c r="G87" s="494"/>
      <c r="H87" s="494"/>
    </row>
    <row r="88" spans="1:8">
      <c r="A88" s="494"/>
      <c r="B88" s="494"/>
      <c r="C88" s="494"/>
      <c r="D88" s="494"/>
      <c r="E88" s="494"/>
      <c r="F88" s="494"/>
      <c r="G88" s="494"/>
      <c r="H88" s="494"/>
    </row>
    <row r="89" spans="1:8">
      <c r="A89" s="494"/>
      <c r="B89" s="494"/>
      <c r="C89" s="494"/>
      <c r="D89" s="494"/>
      <c r="E89" s="494"/>
      <c r="F89" s="494"/>
      <c r="G89" s="494"/>
      <c r="H89" s="494"/>
    </row>
    <row r="90" spans="1:8">
      <c r="A90" s="494"/>
      <c r="B90" s="494"/>
      <c r="C90" s="494"/>
      <c r="D90" s="494"/>
      <c r="E90" s="494"/>
      <c r="F90" s="494"/>
      <c r="G90" s="494"/>
      <c r="H90" s="494"/>
    </row>
  </sheetData>
  <pageMargins left="0.70866141732283472" right="0.70866141732283472" top="0.74803149606299213" bottom="0.74803149606299213" header="0.31496062992125984" footer="0.31496062992125984"/>
  <pageSetup paperSize="123" scale="13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H17"/>
  <sheetViews>
    <sheetView workbookViewId="0">
      <selection activeCell="B7" sqref="B7"/>
    </sheetView>
  </sheetViews>
  <sheetFormatPr baseColWidth="10" defaultRowHeight="15"/>
  <cols>
    <col min="1" max="1" width="11.42578125" style="835"/>
    <col min="2" max="2" width="47.7109375" customWidth="1"/>
    <col min="3" max="3" width="18.5703125" customWidth="1"/>
  </cols>
  <sheetData>
    <row r="3" spans="1:8" ht="51" customHeight="1">
      <c r="C3" s="839" t="s">
        <v>24</v>
      </c>
      <c r="D3" s="839" t="s">
        <v>25</v>
      </c>
      <c r="E3" s="839" t="s">
        <v>26</v>
      </c>
      <c r="F3" s="839" t="s">
        <v>27</v>
      </c>
      <c r="G3" s="839" t="s">
        <v>28</v>
      </c>
      <c r="H3" s="839" t="s">
        <v>29</v>
      </c>
    </row>
    <row r="4" spans="1:8">
      <c r="A4" s="842" t="s">
        <v>0</v>
      </c>
      <c r="B4" s="1" t="s">
        <v>1</v>
      </c>
      <c r="C4" s="1"/>
      <c r="D4" s="1"/>
      <c r="E4" s="1"/>
      <c r="F4" s="1"/>
      <c r="G4" s="1"/>
      <c r="H4" s="1"/>
    </row>
    <row r="5" spans="1:8">
      <c r="A5" s="842">
        <v>1209</v>
      </c>
      <c r="B5" s="1" t="s">
        <v>42</v>
      </c>
      <c r="C5" s="1"/>
      <c r="D5" s="1"/>
      <c r="E5" s="1"/>
      <c r="F5" s="1"/>
      <c r="G5" s="1"/>
      <c r="H5" s="1"/>
    </row>
    <row r="6" spans="1:8">
      <c r="A6" s="842">
        <v>2310</v>
      </c>
      <c r="B6" s="1" t="s">
        <v>41</v>
      </c>
      <c r="C6" s="1"/>
      <c r="D6" s="1"/>
      <c r="E6" s="1"/>
      <c r="F6" s="1"/>
      <c r="G6" s="1"/>
      <c r="H6" s="1"/>
    </row>
    <row r="7" spans="1:8">
      <c r="A7" s="842">
        <v>3401</v>
      </c>
      <c r="B7" s="1" t="s">
        <v>40</v>
      </c>
      <c r="C7" s="1"/>
      <c r="D7" s="1"/>
      <c r="E7" s="1"/>
      <c r="F7" s="1"/>
      <c r="G7" s="1"/>
      <c r="H7" s="1"/>
    </row>
    <row r="8" spans="1:8">
      <c r="A8" s="842">
        <v>1483</v>
      </c>
      <c r="B8" s="1" t="s">
        <v>39</v>
      </c>
      <c r="C8" s="1"/>
      <c r="D8" s="1"/>
      <c r="E8" s="1"/>
      <c r="F8" s="1"/>
      <c r="G8" s="1"/>
      <c r="H8" s="1"/>
    </row>
    <row r="9" spans="1:8">
      <c r="A9" s="842">
        <v>6214</v>
      </c>
      <c r="B9" s="1" t="s">
        <v>38</v>
      </c>
      <c r="C9" s="1"/>
      <c r="D9" s="1"/>
      <c r="E9" s="1"/>
      <c r="F9" s="1"/>
      <c r="G9" s="1"/>
      <c r="H9" s="1"/>
    </row>
    <row r="10" spans="1:8">
      <c r="A10" s="842">
        <v>1823</v>
      </c>
      <c r="B10" s="1" t="s">
        <v>37</v>
      </c>
      <c r="C10" s="1"/>
      <c r="D10" s="1"/>
      <c r="E10" s="1"/>
      <c r="F10" s="1"/>
      <c r="G10" s="1"/>
      <c r="H10" s="1"/>
    </row>
    <row r="11" spans="1:8">
      <c r="A11" s="842">
        <v>1809</v>
      </c>
      <c r="B11" s="1" t="s">
        <v>36</v>
      </c>
      <c r="C11" s="1"/>
      <c r="D11" s="1"/>
      <c r="E11" s="1"/>
      <c r="F11" s="1"/>
      <c r="G11" s="1"/>
      <c r="H11" s="1"/>
    </row>
    <row r="12" spans="1:8">
      <c r="A12" s="842">
        <v>3201</v>
      </c>
      <c r="B12" s="1" t="s">
        <v>35</v>
      </c>
      <c r="C12" s="1"/>
      <c r="D12" s="1"/>
      <c r="E12" s="1"/>
      <c r="F12" s="1"/>
      <c r="G12" s="1"/>
      <c r="H12" s="1"/>
    </row>
    <row r="13" spans="1:8">
      <c r="A13" s="842">
        <v>2084</v>
      </c>
      <c r="B13" s="1" t="s">
        <v>34</v>
      </c>
      <c r="C13" s="1"/>
      <c r="D13" s="1"/>
      <c r="E13" s="1"/>
      <c r="F13" s="1"/>
      <c r="G13" s="1"/>
      <c r="H13" s="1"/>
    </row>
    <row r="14" spans="1:8">
      <c r="A14" s="842">
        <v>2304</v>
      </c>
      <c r="B14" s="1" t="s">
        <v>33</v>
      </c>
      <c r="C14" s="1"/>
      <c r="D14" s="1"/>
      <c r="E14" s="1"/>
      <c r="F14" s="1"/>
      <c r="G14" s="1"/>
      <c r="H14" s="1"/>
    </row>
    <row r="15" spans="1:8">
      <c r="A15" s="842">
        <v>1844</v>
      </c>
      <c r="B15" s="1" t="s">
        <v>32</v>
      </c>
      <c r="C15" s="1"/>
      <c r="D15" s="1"/>
      <c r="E15" s="1"/>
      <c r="F15" s="1"/>
      <c r="G15" s="1"/>
      <c r="H15" s="1"/>
    </row>
    <row r="16" spans="1:8">
      <c r="A16" s="842">
        <v>1806</v>
      </c>
      <c r="B16" s="1" t="s">
        <v>31</v>
      </c>
      <c r="C16" s="1"/>
      <c r="D16" s="1"/>
      <c r="E16" s="1"/>
      <c r="F16" s="1"/>
      <c r="G16" s="1"/>
      <c r="H16" s="1"/>
    </row>
    <row r="17" spans="1:8">
      <c r="A17" s="842">
        <v>2041</v>
      </c>
      <c r="B17" s="1" t="s">
        <v>30</v>
      </c>
      <c r="C17" s="1"/>
      <c r="D17" s="1"/>
      <c r="E17" s="1"/>
      <c r="F17" s="1"/>
      <c r="G17" s="1"/>
      <c r="H17" s="1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90"/>
  <sheetViews>
    <sheetView topLeftCell="B33" workbookViewId="0">
      <selection activeCell="B43" sqref="B43:I83"/>
    </sheetView>
  </sheetViews>
  <sheetFormatPr baseColWidth="10" defaultRowHeight="15"/>
  <cols>
    <col min="2" max="2" width="8.28515625" style="494" customWidth="1"/>
    <col min="3" max="3" width="8.5703125" customWidth="1"/>
    <col min="4" max="4" width="48.140625" customWidth="1"/>
    <col min="5" max="5" width="13.42578125" customWidth="1"/>
    <col min="6" max="6" width="13" customWidth="1"/>
  </cols>
  <sheetData>
    <row r="4" spans="3:9">
      <c r="C4" s="494"/>
      <c r="D4" s="494" t="s">
        <v>3222</v>
      </c>
      <c r="E4" s="494"/>
      <c r="F4" s="494"/>
      <c r="G4" s="494"/>
      <c r="H4" s="494"/>
      <c r="I4" s="494"/>
    </row>
    <row r="5" spans="3:9" ht="30">
      <c r="C5" s="100"/>
      <c r="D5" s="101" t="s">
        <v>746</v>
      </c>
      <c r="E5" s="102" t="s">
        <v>133</v>
      </c>
      <c r="F5" s="102" t="s">
        <v>25</v>
      </c>
      <c r="G5" s="102" t="s">
        <v>26</v>
      </c>
      <c r="H5" s="102" t="s">
        <v>28</v>
      </c>
      <c r="I5" s="102" t="s">
        <v>29</v>
      </c>
    </row>
    <row r="6" spans="3:9">
      <c r="C6" s="820" t="s">
        <v>0</v>
      </c>
      <c r="D6" s="22" t="s">
        <v>1</v>
      </c>
      <c r="E6" s="22"/>
      <c r="F6" s="22"/>
      <c r="G6" s="22"/>
      <c r="H6" s="22"/>
      <c r="I6" s="22"/>
    </row>
    <row r="7" spans="3:9">
      <c r="C7" s="820">
        <v>790</v>
      </c>
      <c r="D7" s="823" t="s">
        <v>758</v>
      </c>
      <c r="E7" s="824"/>
      <c r="F7" s="820"/>
      <c r="G7" s="820"/>
      <c r="H7" s="820"/>
      <c r="I7" s="820"/>
    </row>
    <row r="8" spans="3:9">
      <c r="C8" s="820">
        <v>3041</v>
      </c>
      <c r="D8" s="823" t="s">
        <v>749</v>
      </c>
      <c r="E8" s="824"/>
      <c r="F8" s="820"/>
      <c r="G8" s="820"/>
      <c r="H8" s="820"/>
      <c r="I8" s="820"/>
    </row>
    <row r="9" spans="3:9">
      <c r="C9" s="820">
        <v>9594</v>
      </c>
      <c r="D9" s="823" t="s">
        <v>750</v>
      </c>
      <c r="E9" s="824"/>
      <c r="F9" s="820"/>
      <c r="G9" s="820"/>
      <c r="H9" s="820"/>
      <c r="I9" s="820"/>
    </row>
    <row r="10" spans="3:9">
      <c r="C10" s="820">
        <v>3840</v>
      </c>
      <c r="D10" s="823" t="s">
        <v>757</v>
      </c>
      <c r="E10" s="824"/>
      <c r="F10" s="820"/>
      <c r="G10" s="820"/>
      <c r="H10" s="820"/>
      <c r="I10" s="820"/>
    </row>
    <row r="11" spans="3:9">
      <c r="C11" s="820">
        <v>4048</v>
      </c>
      <c r="D11" s="823" t="s">
        <v>751</v>
      </c>
      <c r="E11" s="824"/>
      <c r="F11" s="820"/>
      <c r="G11" s="820"/>
      <c r="H11" s="820"/>
      <c r="I11" s="820"/>
    </row>
    <row r="12" spans="3:9">
      <c r="C12" s="494"/>
      <c r="D12" s="494"/>
      <c r="E12" s="494"/>
      <c r="F12" s="494"/>
      <c r="G12" s="821"/>
      <c r="H12" s="821"/>
      <c r="I12" s="821"/>
    </row>
    <row r="13" spans="3:9">
      <c r="C13" s="494"/>
      <c r="D13" s="494"/>
      <c r="E13" s="494"/>
      <c r="F13" s="494"/>
      <c r="G13" s="494"/>
      <c r="H13" s="494"/>
      <c r="I13" s="494"/>
    </row>
    <row r="14" spans="3:9">
      <c r="C14" s="494"/>
      <c r="D14" s="494"/>
      <c r="E14" s="494"/>
      <c r="F14" s="494"/>
      <c r="G14" s="494"/>
      <c r="H14" s="494"/>
      <c r="I14" s="494"/>
    </row>
    <row r="15" spans="3:9">
      <c r="C15" s="494"/>
      <c r="D15" s="494"/>
      <c r="E15" s="494"/>
      <c r="F15" s="494"/>
      <c r="G15" s="494"/>
      <c r="H15" s="494"/>
      <c r="I15" s="494"/>
    </row>
    <row r="16" spans="3:9">
      <c r="C16" s="494"/>
      <c r="D16" s="494"/>
      <c r="E16" s="494"/>
      <c r="F16" s="494"/>
      <c r="G16" s="494"/>
      <c r="H16" s="494"/>
      <c r="I16" s="494"/>
    </row>
    <row r="17" spans="3:9">
      <c r="C17" s="494"/>
      <c r="D17" s="494" t="s">
        <v>3222</v>
      </c>
      <c r="E17" s="494"/>
      <c r="F17" s="494"/>
      <c r="G17" s="494"/>
      <c r="H17" s="494"/>
      <c r="I17" s="494"/>
    </row>
    <row r="18" spans="3:9" ht="60">
      <c r="C18" s="100"/>
      <c r="D18" s="100" t="s">
        <v>747</v>
      </c>
      <c r="E18" s="102" t="s">
        <v>24</v>
      </c>
      <c r="F18" s="102" t="s">
        <v>25</v>
      </c>
      <c r="G18" s="102" t="s">
        <v>26</v>
      </c>
      <c r="H18" s="102" t="s">
        <v>28</v>
      </c>
      <c r="I18" s="70" t="s">
        <v>29</v>
      </c>
    </row>
    <row r="19" spans="3:9">
      <c r="C19" s="820" t="s">
        <v>0</v>
      </c>
      <c r="D19" s="820" t="s">
        <v>1</v>
      </c>
      <c r="E19" s="820"/>
      <c r="F19" s="57"/>
      <c r="G19" s="109"/>
      <c r="H19" s="109"/>
      <c r="I19" s="495"/>
    </row>
    <row r="20" spans="3:9">
      <c r="C20" s="820">
        <v>5987</v>
      </c>
      <c r="D20" s="22" t="s">
        <v>752</v>
      </c>
      <c r="E20" s="820"/>
      <c r="F20" s="57"/>
      <c r="G20" s="820"/>
      <c r="H20" s="820"/>
      <c r="I20" s="495"/>
    </row>
    <row r="21" spans="3:9">
      <c r="C21" s="820">
        <v>5988</v>
      </c>
      <c r="D21" s="22" t="s">
        <v>753</v>
      </c>
      <c r="E21" s="820"/>
      <c r="F21" s="57"/>
      <c r="G21" s="820"/>
      <c r="H21" s="820"/>
      <c r="I21" s="495"/>
    </row>
    <row r="22" spans="3:9">
      <c r="C22" s="820">
        <v>11875</v>
      </c>
      <c r="D22" s="22" t="s">
        <v>754</v>
      </c>
      <c r="E22" s="820"/>
      <c r="F22" s="57"/>
      <c r="G22" s="820"/>
      <c r="H22" s="820"/>
      <c r="I22" s="495"/>
    </row>
    <row r="23" spans="3:9">
      <c r="C23" s="820">
        <v>11877</v>
      </c>
      <c r="D23" s="22" t="s">
        <v>755</v>
      </c>
      <c r="E23" s="820"/>
      <c r="F23" s="57"/>
      <c r="G23" s="820"/>
      <c r="H23" s="820"/>
      <c r="I23" s="495"/>
    </row>
    <row r="24" spans="3:9">
      <c r="C24" s="22"/>
      <c r="D24" s="57" t="s">
        <v>756</v>
      </c>
      <c r="E24" s="820"/>
      <c r="F24" s="57"/>
      <c r="G24" s="820"/>
      <c r="H24" s="820"/>
      <c r="I24" s="495"/>
    </row>
    <row r="25" spans="3:9">
      <c r="C25" s="494"/>
      <c r="D25" s="494"/>
      <c r="E25" s="821"/>
      <c r="F25" s="494"/>
      <c r="G25" s="494"/>
      <c r="H25" s="494"/>
      <c r="I25" s="494"/>
    </row>
    <row r="26" spans="3:9">
      <c r="C26" s="494"/>
      <c r="D26" s="494"/>
      <c r="E26" s="821"/>
      <c r="F26" s="494"/>
      <c r="G26" s="494"/>
      <c r="H26" s="494"/>
      <c r="I26" s="494"/>
    </row>
    <row r="27" spans="3:9">
      <c r="C27" s="494"/>
      <c r="D27" s="494"/>
      <c r="E27" s="821"/>
      <c r="F27" s="494"/>
      <c r="G27" s="494"/>
      <c r="H27" s="494"/>
      <c r="I27" s="494"/>
    </row>
    <row r="28" spans="3:9">
      <c r="C28" s="494"/>
      <c r="D28" s="494"/>
      <c r="E28" s="821"/>
      <c r="F28" s="494"/>
      <c r="G28" s="494"/>
      <c r="H28" s="494"/>
      <c r="I28" s="494"/>
    </row>
    <row r="29" spans="3:9">
      <c r="C29" s="494"/>
      <c r="D29" s="494"/>
      <c r="E29" s="821"/>
      <c r="F29" s="494"/>
      <c r="G29" s="494"/>
      <c r="H29" s="494"/>
      <c r="I29" s="494"/>
    </row>
    <row r="30" spans="3:9">
      <c r="C30" s="494"/>
      <c r="D30" s="494"/>
      <c r="E30" s="821"/>
      <c r="F30" s="494"/>
      <c r="G30" s="494"/>
      <c r="H30" s="494"/>
      <c r="I30" s="494"/>
    </row>
    <row r="31" spans="3:9">
      <c r="C31" s="494"/>
      <c r="D31" s="494" t="s">
        <v>3222</v>
      </c>
      <c r="E31" s="821"/>
      <c r="F31" s="494"/>
      <c r="G31" s="494"/>
      <c r="H31" s="494"/>
      <c r="I31" s="494"/>
    </row>
    <row r="32" spans="3:9" ht="42" customHeight="1">
      <c r="C32" s="99"/>
      <c r="D32" s="99" t="s">
        <v>748</v>
      </c>
      <c r="E32" s="98" t="s">
        <v>133</v>
      </c>
      <c r="F32" s="98" t="s">
        <v>25</v>
      </c>
      <c r="G32" s="98" t="s">
        <v>26</v>
      </c>
      <c r="H32" s="98" t="s">
        <v>28</v>
      </c>
      <c r="I32" s="98" t="s">
        <v>29</v>
      </c>
    </row>
    <row r="33" spans="3:9">
      <c r="C33" s="495" t="s">
        <v>0</v>
      </c>
      <c r="D33" s="495" t="s">
        <v>1</v>
      </c>
      <c r="E33" s="495"/>
      <c r="F33" s="495"/>
      <c r="G33" s="495"/>
      <c r="H33" s="495"/>
      <c r="I33" s="495"/>
    </row>
    <row r="34" spans="3:9">
      <c r="C34" s="822">
        <v>15483</v>
      </c>
      <c r="D34" s="495" t="s">
        <v>761</v>
      </c>
      <c r="E34" s="495"/>
      <c r="F34" s="495"/>
      <c r="G34" s="495"/>
      <c r="H34" s="495"/>
      <c r="I34" s="495"/>
    </row>
    <row r="35" spans="3:9">
      <c r="C35" s="822">
        <v>15482</v>
      </c>
      <c r="D35" s="495" t="s">
        <v>762</v>
      </c>
      <c r="E35" s="495"/>
      <c r="F35" s="495"/>
      <c r="G35" s="495"/>
      <c r="H35" s="495"/>
      <c r="I35" s="495"/>
    </row>
    <row r="36" spans="3:9">
      <c r="C36" s="872">
        <v>20899</v>
      </c>
      <c r="D36" s="762" t="s">
        <v>3223</v>
      </c>
      <c r="E36" s="494"/>
      <c r="F36" s="494"/>
      <c r="G36" s="494"/>
      <c r="H36" s="494"/>
      <c r="I36" s="494"/>
    </row>
    <row r="38" spans="3:9" s="494" customFormat="1"/>
    <row r="39" spans="3:9" s="494" customFormat="1"/>
    <row r="40" spans="3:9" s="494" customFormat="1"/>
    <row r="41" spans="3:9" s="494" customFormat="1"/>
    <row r="43" spans="3:9">
      <c r="C43" s="494"/>
      <c r="D43" s="494" t="s">
        <v>3224</v>
      </c>
      <c r="E43" s="494"/>
      <c r="F43" s="494"/>
      <c r="G43" s="494"/>
      <c r="H43" s="494"/>
    </row>
    <row r="44" spans="3:9" ht="60">
      <c r="C44" s="100"/>
      <c r="D44" s="101" t="s">
        <v>746</v>
      </c>
      <c r="E44" s="102" t="s">
        <v>24</v>
      </c>
      <c r="F44" s="102" t="s">
        <v>25</v>
      </c>
      <c r="G44" s="102" t="s">
        <v>26</v>
      </c>
      <c r="H44" s="102" t="s">
        <v>28</v>
      </c>
    </row>
    <row r="45" spans="3:9">
      <c r="C45" s="834" t="s">
        <v>123</v>
      </c>
      <c r="D45" s="834" t="s">
        <v>3202</v>
      </c>
      <c r="E45" s="762"/>
      <c r="F45" s="762"/>
      <c r="G45" s="762"/>
      <c r="H45" s="762"/>
    </row>
    <row r="46" spans="3:9">
      <c r="C46" s="77">
        <v>790</v>
      </c>
      <c r="D46" s="762" t="s">
        <v>758</v>
      </c>
      <c r="E46" s="77" t="s">
        <v>3206</v>
      </c>
      <c r="F46" s="77" t="s">
        <v>763</v>
      </c>
      <c r="G46" s="77" t="s">
        <v>763</v>
      </c>
      <c r="H46" s="77" t="s">
        <v>669</v>
      </c>
    </row>
    <row r="47" spans="3:9">
      <c r="C47" s="77">
        <v>3041</v>
      </c>
      <c r="D47" s="762" t="s">
        <v>749</v>
      </c>
      <c r="E47" s="77" t="s">
        <v>3206</v>
      </c>
      <c r="F47" s="77" t="s">
        <v>628</v>
      </c>
      <c r="G47" s="77" t="s">
        <v>619</v>
      </c>
      <c r="H47" s="77" t="s">
        <v>669</v>
      </c>
    </row>
    <row r="48" spans="3:9">
      <c r="C48" s="77">
        <v>9594</v>
      </c>
      <c r="D48" s="762" t="s">
        <v>750</v>
      </c>
      <c r="E48" s="77" t="s">
        <v>668</v>
      </c>
      <c r="F48" s="77" t="s">
        <v>633</v>
      </c>
      <c r="G48" s="77" t="s">
        <v>669</v>
      </c>
      <c r="H48" s="77" t="s">
        <v>669</v>
      </c>
    </row>
    <row r="49" spans="3:9">
      <c r="C49" s="77">
        <v>3840</v>
      </c>
      <c r="D49" s="762" t="s">
        <v>757</v>
      </c>
      <c r="E49" s="77" t="s">
        <v>760</v>
      </c>
      <c r="F49" s="77" t="s">
        <v>669</v>
      </c>
      <c r="G49" s="77" t="s">
        <v>669</v>
      </c>
      <c r="H49" s="77" t="s">
        <v>3226</v>
      </c>
    </row>
    <row r="50" spans="3:9">
      <c r="C50" s="77">
        <v>4048</v>
      </c>
      <c r="D50" s="762" t="s">
        <v>751</v>
      </c>
      <c r="E50" s="77" t="s">
        <v>668</v>
      </c>
      <c r="F50" s="77" t="s">
        <v>628</v>
      </c>
      <c r="G50" s="77" t="s">
        <v>669</v>
      </c>
      <c r="H50" s="77" t="s">
        <v>634</v>
      </c>
    </row>
    <row r="51" spans="3:9">
      <c r="C51" s="494"/>
      <c r="D51" s="494"/>
      <c r="E51" s="494"/>
      <c r="F51" s="494"/>
      <c r="G51" s="825"/>
      <c r="H51" s="825"/>
    </row>
    <row r="52" spans="3:9">
      <c r="C52" s="494"/>
      <c r="D52" s="494"/>
      <c r="E52" s="494"/>
      <c r="F52" s="494"/>
      <c r="G52" s="494"/>
      <c r="H52" s="494"/>
    </row>
    <row r="53" spans="3:9">
      <c r="C53" s="494"/>
      <c r="D53" s="494"/>
      <c r="E53" s="494"/>
      <c r="F53" s="494"/>
      <c r="G53" s="494"/>
      <c r="H53" s="494"/>
    </row>
    <row r="54" spans="3:9">
      <c r="C54" s="494"/>
      <c r="D54" s="494"/>
      <c r="E54" s="494"/>
      <c r="F54" s="494"/>
      <c r="G54" s="494"/>
      <c r="H54" s="494"/>
    </row>
    <row r="55" spans="3:9">
      <c r="C55" s="494"/>
      <c r="D55" s="494"/>
      <c r="E55" s="494"/>
      <c r="F55" s="494"/>
      <c r="G55" s="494"/>
      <c r="H55" s="494"/>
    </row>
    <row r="56" spans="3:9">
      <c r="C56" s="494"/>
      <c r="D56" s="494" t="s">
        <v>3225</v>
      </c>
      <c r="E56" s="494"/>
      <c r="F56" s="494"/>
      <c r="G56" s="494"/>
      <c r="H56" s="494"/>
    </row>
    <row r="57" spans="3:9" ht="60">
      <c r="C57" s="100"/>
      <c r="D57" s="100" t="s">
        <v>747</v>
      </c>
      <c r="E57" s="102" t="s">
        <v>24</v>
      </c>
      <c r="F57" s="102" t="s">
        <v>25</v>
      </c>
      <c r="G57" s="102" t="s">
        <v>26</v>
      </c>
      <c r="H57" s="436" t="s">
        <v>28</v>
      </c>
      <c r="I57" s="436" t="s">
        <v>29</v>
      </c>
    </row>
    <row r="58" spans="3:9">
      <c r="C58" s="77" t="s">
        <v>123</v>
      </c>
      <c r="D58" s="77" t="s">
        <v>3202</v>
      </c>
      <c r="E58" s="77"/>
      <c r="F58" s="832"/>
      <c r="G58" s="831"/>
      <c r="H58" s="831"/>
      <c r="I58" s="495"/>
    </row>
    <row r="59" spans="3:9">
      <c r="C59" s="77">
        <v>5987</v>
      </c>
      <c r="D59" s="762" t="s">
        <v>752</v>
      </c>
      <c r="E59" s="77" t="s">
        <v>3204</v>
      </c>
      <c r="F59" s="833" t="s">
        <v>669</v>
      </c>
      <c r="G59" s="77" t="s">
        <v>632</v>
      </c>
      <c r="H59" s="875" t="s">
        <v>669</v>
      </c>
      <c r="I59" s="495" t="s">
        <v>619</v>
      </c>
    </row>
    <row r="60" spans="3:9">
      <c r="C60" s="77">
        <v>5988</v>
      </c>
      <c r="D60" s="762" t="s">
        <v>753</v>
      </c>
      <c r="E60" s="77" t="s">
        <v>759</v>
      </c>
      <c r="F60" s="833" t="s">
        <v>669</v>
      </c>
      <c r="G60" s="77" t="s">
        <v>669</v>
      </c>
      <c r="H60" s="875" t="s">
        <v>669</v>
      </c>
      <c r="I60" s="495" t="s">
        <v>619</v>
      </c>
    </row>
    <row r="61" spans="3:9" hidden="1">
      <c r="C61" s="77">
        <v>11875</v>
      </c>
      <c r="D61" s="762" t="s">
        <v>754</v>
      </c>
      <c r="E61" s="77"/>
      <c r="F61" s="833"/>
      <c r="G61" s="77"/>
      <c r="H61" s="875"/>
      <c r="I61" s="495"/>
    </row>
    <row r="62" spans="3:9" hidden="1">
      <c r="C62" s="77">
        <v>11877</v>
      </c>
      <c r="D62" s="762" t="s">
        <v>755</v>
      </c>
      <c r="E62" s="77"/>
      <c r="F62" s="833"/>
      <c r="G62" s="77"/>
      <c r="H62" s="875"/>
      <c r="I62" s="495"/>
    </row>
    <row r="63" spans="3:9">
      <c r="C63" s="762"/>
      <c r="D63" s="832" t="s">
        <v>3231</v>
      </c>
      <c r="E63" s="77"/>
      <c r="F63" s="833"/>
      <c r="G63" s="77" t="s">
        <v>759</v>
      </c>
      <c r="H63" s="875"/>
      <c r="I63" s="495"/>
    </row>
    <row r="64" spans="3:9">
      <c r="C64" s="494"/>
      <c r="D64" s="494"/>
      <c r="E64" s="825"/>
      <c r="F64" s="494"/>
      <c r="G64" s="494"/>
      <c r="H64" s="494"/>
    </row>
    <row r="65" spans="3:9">
      <c r="C65" s="494"/>
      <c r="D65" s="494"/>
      <c r="E65" s="825"/>
      <c r="F65" s="494"/>
      <c r="G65" s="494"/>
      <c r="H65" s="494"/>
    </row>
    <row r="66" spans="3:9">
      <c r="C66" s="494"/>
      <c r="D66" s="494"/>
      <c r="E66" s="825"/>
      <c r="F66" s="494"/>
      <c r="G66" s="494"/>
      <c r="H66" s="494"/>
    </row>
    <row r="67" spans="3:9">
      <c r="C67" s="494"/>
      <c r="D67" s="494"/>
      <c r="E67" s="825"/>
      <c r="F67" s="494"/>
      <c r="G67" s="494"/>
      <c r="H67" s="494"/>
    </row>
    <row r="68" spans="3:9">
      <c r="C68" s="494"/>
      <c r="D68" s="494" t="s">
        <v>3225</v>
      </c>
      <c r="E68" s="825"/>
      <c r="F68" s="494"/>
      <c r="G68" s="494"/>
      <c r="H68" s="494"/>
    </row>
    <row r="69" spans="3:9" ht="60">
      <c r="C69" s="99"/>
      <c r="D69" s="99" t="s">
        <v>748</v>
      </c>
      <c r="E69" s="98" t="s">
        <v>24</v>
      </c>
      <c r="F69" s="98" t="s">
        <v>25</v>
      </c>
      <c r="G69" s="98" t="s">
        <v>26</v>
      </c>
      <c r="H69" s="98" t="s">
        <v>28</v>
      </c>
      <c r="I69" s="98" t="s">
        <v>29</v>
      </c>
    </row>
    <row r="70" spans="3:9">
      <c r="C70" s="77" t="s">
        <v>123</v>
      </c>
      <c r="D70" s="77" t="s">
        <v>3202</v>
      </c>
      <c r="E70" s="495"/>
      <c r="F70" s="495"/>
      <c r="G70" s="495"/>
      <c r="H70" s="495"/>
      <c r="I70" s="495"/>
    </row>
    <row r="71" spans="3:9" hidden="1">
      <c r="C71" s="826">
        <v>15483</v>
      </c>
      <c r="D71" s="495" t="s">
        <v>761</v>
      </c>
      <c r="E71" s="495"/>
      <c r="F71" s="495"/>
      <c r="G71" s="495"/>
      <c r="H71" s="495"/>
      <c r="I71" s="495"/>
    </row>
    <row r="72" spans="3:9">
      <c r="C72" s="826">
        <v>15482</v>
      </c>
      <c r="D72" s="495" t="s">
        <v>762</v>
      </c>
      <c r="E72" s="874" t="s">
        <v>669</v>
      </c>
      <c r="F72" s="874" t="s">
        <v>763</v>
      </c>
      <c r="G72" s="874" t="s">
        <v>669</v>
      </c>
      <c r="H72" s="874"/>
      <c r="I72" s="495" t="s">
        <v>619</v>
      </c>
    </row>
    <row r="73" spans="3:9">
      <c r="C73" s="826">
        <v>20899</v>
      </c>
      <c r="D73" s="37" t="s">
        <v>3227</v>
      </c>
      <c r="E73" s="874" t="s">
        <v>759</v>
      </c>
      <c r="F73" s="874" t="s">
        <v>763</v>
      </c>
      <c r="G73" s="874" t="s">
        <v>669</v>
      </c>
      <c r="H73" s="874" t="s">
        <v>3228</v>
      </c>
      <c r="I73" s="495" t="s">
        <v>619</v>
      </c>
    </row>
    <row r="74" spans="3:9">
      <c r="C74" s="874">
        <v>9930</v>
      </c>
      <c r="D74" s="495" t="s">
        <v>3229</v>
      </c>
      <c r="E74" s="874" t="s">
        <v>3230</v>
      </c>
      <c r="F74" s="495"/>
      <c r="G74" s="495"/>
      <c r="H74" s="495"/>
      <c r="I74" s="495"/>
    </row>
    <row r="75" spans="3:9">
      <c r="C75" s="494"/>
      <c r="D75" s="494"/>
      <c r="E75" s="494"/>
      <c r="F75" s="494"/>
      <c r="G75" s="494"/>
      <c r="H75" s="494"/>
    </row>
    <row r="76" spans="3:9">
      <c r="C76" s="494"/>
      <c r="D76" s="494"/>
      <c r="E76" s="494"/>
      <c r="F76" s="494"/>
      <c r="G76" s="494"/>
      <c r="H76" s="494"/>
    </row>
    <row r="77" spans="3:9">
      <c r="C77" s="494"/>
      <c r="D77" s="494"/>
      <c r="E77" s="494"/>
      <c r="F77" s="494"/>
      <c r="G77" s="494"/>
      <c r="H77" s="494"/>
    </row>
    <row r="78" spans="3:9">
      <c r="C78" s="494"/>
      <c r="D78" s="494"/>
      <c r="E78" s="494"/>
      <c r="F78" s="494"/>
      <c r="G78" s="494"/>
      <c r="H78" s="494"/>
    </row>
    <row r="79" spans="3:9">
      <c r="C79" s="494"/>
      <c r="D79" s="494"/>
      <c r="E79" s="494"/>
      <c r="F79" s="494"/>
      <c r="G79" s="494"/>
      <c r="H79" s="494"/>
    </row>
    <row r="80" spans="3:9">
      <c r="C80" s="494"/>
      <c r="D80" s="494"/>
      <c r="E80" s="494"/>
      <c r="F80" s="494"/>
      <c r="G80" s="494"/>
      <c r="H80" s="494"/>
    </row>
    <row r="81" spans="3:8">
      <c r="C81" s="494"/>
      <c r="D81" s="494"/>
      <c r="E81" s="494"/>
      <c r="F81" s="494"/>
      <c r="G81" s="494"/>
      <c r="H81" s="494"/>
    </row>
    <row r="82" spans="3:8">
      <c r="C82" s="494"/>
      <c r="D82" s="494"/>
      <c r="E82" s="494"/>
      <c r="F82" s="494"/>
      <c r="G82" s="494"/>
      <c r="H82" s="494"/>
    </row>
    <row r="83" spans="3:8">
      <c r="C83" s="494"/>
      <c r="D83" s="494"/>
      <c r="E83" s="494"/>
      <c r="F83" s="494"/>
      <c r="G83" s="494"/>
      <c r="H83" s="494"/>
    </row>
    <row r="84" spans="3:8">
      <c r="C84" s="494"/>
      <c r="D84" s="494"/>
      <c r="E84" s="494"/>
      <c r="F84" s="494"/>
      <c r="G84" s="494"/>
      <c r="H84" s="494"/>
    </row>
    <row r="85" spans="3:8">
      <c r="C85" s="494"/>
      <c r="D85" s="494"/>
      <c r="E85" s="494"/>
      <c r="F85" s="494"/>
      <c r="G85" s="494"/>
      <c r="H85" s="494"/>
    </row>
    <row r="86" spans="3:8">
      <c r="C86" s="494"/>
      <c r="D86" s="494"/>
      <c r="E86" s="494"/>
      <c r="F86" s="494"/>
      <c r="G86" s="494"/>
      <c r="H86" s="494"/>
    </row>
    <row r="87" spans="3:8">
      <c r="C87" s="494"/>
      <c r="D87" s="494"/>
      <c r="E87" s="494"/>
      <c r="F87" s="494"/>
      <c r="G87" s="494"/>
      <c r="H87" s="494"/>
    </row>
    <row r="88" spans="3:8">
      <c r="C88" s="494"/>
      <c r="D88" s="494"/>
      <c r="E88" s="494"/>
      <c r="F88" s="494"/>
      <c r="G88" s="494"/>
      <c r="H88" s="494"/>
    </row>
    <row r="89" spans="3:8">
      <c r="C89" s="494"/>
      <c r="D89" s="494"/>
      <c r="E89" s="494"/>
      <c r="F89" s="494"/>
      <c r="G89" s="494"/>
      <c r="H89" s="494"/>
    </row>
    <row r="90" spans="3:8">
      <c r="C90" s="494"/>
      <c r="D90" s="494"/>
      <c r="E90" s="494"/>
      <c r="F90" s="494"/>
      <c r="G90" s="494"/>
      <c r="H90" s="494"/>
    </row>
  </sheetData>
  <pageMargins left="0.7" right="0.7" top="0.75" bottom="0.75" header="0.3" footer="0.3"/>
  <pageSetup paperSize="9" orientation="landscape" horizontalDpi="360" verticalDpi="36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G55"/>
  <sheetViews>
    <sheetView topLeftCell="A44" workbookViewId="0">
      <selection activeCell="G52" sqref="G52"/>
    </sheetView>
  </sheetViews>
  <sheetFormatPr baseColWidth="10" defaultRowHeight="15"/>
  <cols>
    <col min="2" max="2" width="38.140625" customWidth="1"/>
    <col min="3" max="3" width="15.42578125" customWidth="1"/>
    <col min="4" max="5" width="15.42578125" style="412" customWidth="1"/>
    <col min="6" max="6" width="13.42578125" customWidth="1"/>
    <col min="7" max="7" width="11.42578125" customWidth="1"/>
  </cols>
  <sheetData>
    <row r="2" spans="1:7">
      <c r="D2" s="412" t="s">
        <v>2284</v>
      </c>
    </row>
    <row r="3" spans="1:7" ht="45">
      <c r="A3" s="1"/>
      <c r="B3" s="5" t="s">
        <v>2285</v>
      </c>
      <c r="C3" s="3" t="s">
        <v>24</v>
      </c>
      <c r="D3" s="35" t="s">
        <v>2831</v>
      </c>
      <c r="E3" s="35" t="s">
        <v>117</v>
      </c>
      <c r="F3" s="35" t="s">
        <v>28</v>
      </c>
    </row>
    <row r="4" spans="1:7">
      <c r="A4" s="1" t="s">
        <v>0</v>
      </c>
      <c r="B4" s="1" t="s">
        <v>1</v>
      </c>
      <c r="C4" s="95"/>
      <c r="D4" s="418"/>
      <c r="E4" s="418"/>
      <c r="F4" s="36"/>
      <c r="G4" s="1"/>
    </row>
    <row r="5" spans="1:7">
      <c r="A5" s="1">
        <v>5042</v>
      </c>
      <c r="B5" s="1" t="s">
        <v>1783</v>
      </c>
      <c r="C5" s="95" t="s">
        <v>2282</v>
      </c>
      <c r="D5" s="418">
        <v>108</v>
      </c>
      <c r="E5" s="418"/>
      <c r="F5" s="418"/>
      <c r="G5" s="1"/>
    </row>
    <row r="6" spans="1:7">
      <c r="A6" s="1">
        <v>5092</v>
      </c>
      <c r="B6" s="1" t="s">
        <v>1784</v>
      </c>
      <c r="C6" s="95" t="s">
        <v>2281</v>
      </c>
      <c r="D6" s="418"/>
      <c r="E6" s="418"/>
      <c r="F6" s="418"/>
      <c r="G6" s="1"/>
    </row>
    <row r="7" spans="1:7">
      <c r="A7" s="1">
        <v>5043</v>
      </c>
      <c r="B7" s="1" t="s">
        <v>1785</v>
      </c>
      <c r="C7" s="95" t="s">
        <v>2280</v>
      </c>
      <c r="D7" s="418"/>
      <c r="E7" s="418"/>
      <c r="F7" s="418"/>
      <c r="G7" s="1"/>
    </row>
    <row r="8" spans="1:7">
      <c r="A8" s="1">
        <v>6686</v>
      </c>
      <c r="B8" s="1" t="s">
        <v>1786</v>
      </c>
      <c r="C8" s="95" t="s">
        <v>1790</v>
      </c>
      <c r="D8" s="418"/>
      <c r="E8" s="418"/>
      <c r="F8" s="418"/>
      <c r="G8" s="1"/>
    </row>
    <row r="9" spans="1:7">
      <c r="A9" s="1">
        <v>9442</v>
      </c>
      <c r="B9" s="1" t="s">
        <v>1787</v>
      </c>
      <c r="C9" s="95"/>
      <c r="D9" s="418"/>
      <c r="E9" s="418"/>
      <c r="F9" s="36"/>
      <c r="G9" s="1"/>
    </row>
    <row r="10" spans="1:7">
      <c r="A10" s="1">
        <v>8747</v>
      </c>
      <c r="B10" s="1" t="s">
        <v>1788</v>
      </c>
      <c r="C10" s="95"/>
      <c r="D10" s="418"/>
      <c r="E10" s="418"/>
      <c r="F10" s="36"/>
      <c r="G10" s="1"/>
    </row>
    <row r="11" spans="1:7">
      <c r="A11" s="1">
        <v>5044</v>
      </c>
      <c r="B11" s="1" t="s">
        <v>1789</v>
      </c>
      <c r="C11" s="95" t="s">
        <v>2281</v>
      </c>
      <c r="D11" s="418"/>
      <c r="E11" s="418"/>
      <c r="F11" s="418"/>
      <c r="G11" s="1"/>
    </row>
    <row r="12" spans="1:7">
      <c r="A12" s="1">
        <v>10122</v>
      </c>
      <c r="B12" s="1" t="s">
        <v>190</v>
      </c>
      <c r="C12" s="95">
        <v>0</v>
      </c>
      <c r="D12" s="418"/>
      <c r="E12" s="418"/>
      <c r="F12" s="418"/>
      <c r="G12" s="1"/>
    </row>
    <row r="13" spans="1:7">
      <c r="A13" s="1">
        <v>7158</v>
      </c>
      <c r="B13" s="1" t="s">
        <v>191</v>
      </c>
      <c r="C13" s="95">
        <v>0</v>
      </c>
      <c r="D13" s="418"/>
      <c r="E13" s="418"/>
      <c r="F13" s="418"/>
      <c r="G13" s="1"/>
    </row>
    <row r="14" spans="1:7">
      <c r="A14" s="1">
        <v>5094</v>
      </c>
      <c r="B14" s="1" t="s">
        <v>192</v>
      </c>
      <c r="C14" s="95"/>
      <c r="D14" s="418"/>
      <c r="E14" s="418"/>
      <c r="F14" s="418"/>
      <c r="G14" s="1"/>
    </row>
    <row r="15" spans="1:7">
      <c r="A15" s="1">
        <v>5045</v>
      </c>
      <c r="B15" s="1" t="s">
        <v>193</v>
      </c>
      <c r="C15" s="95" t="s">
        <v>1790</v>
      </c>
      <c r="D15" s="418"/>
      <c r="E15" s="418"/>
      <c r="F15" s="418"/>
      <c r="G15" s="1"/>
    </row>
    <row r="16" spans="1:7">
      <c r="A16" s="420">
        <v>5798</v>
      </c>
      <c r="B16" s="373" t="s">
        <v>194</v>
      </c>
      <c r="C16" s="95"/>
      <c r="D16" s="418"/>
      <c r="E16" s="418"/>
      <c r="F16" s="418"/>
      <c r="G16" s="1"/>
    </row>
    <row r="17" spans="1:7">
      <c r="A17" s="1">
        <v>7159</v>
      </c>
      <c r="B17" s="1" t="s">
        <v>195</v>
      </c>
      <c r="C17" s="95" t="s">
        <v>2283</v>
      </c>
      <c r="D17" s="418"/>
      <c r="E17" s="418"/>
      <c r="F17" s="418"/>
      <c r="G17" s="1"/>
    </row>
    <row r="18" spans="1:7">
      <c r="A18" s="1">
        <v>7160</v>
      </c>
      <c r="B18" s="1" t="s">
        <v>196</v>
      </c>
      <c r="C18" s="95"/>
      <c r="D18" s="418"/>
      <c r="E18" s="418"/>
      <c r="F18" s="418"/>
      <c r="G18" s="1"/>
    </row>
    <row r="19" spans="1:7">
      <c r="A19" s="1">
        <v>7162</v>
      </c>
      <c r="B19" s="1" t="s">
        <v>197</v>
      </c>
      <c r="C19" s="95" t="s">
        <v>72</v>
      </c>
      <c r="D19" s="418"/>
      <c r="E19" s="418"/>
      <c r="F19" s="418"/>
      <c r="G19" s="1"/>
    </row>
    <row r="20" spans="1:7">
      <c r="A20" s="1">
        <v>7161</v>
      </c>
      <c r="B20" s="1" t="s">
        <v>198</v>
      </c>
      <c r="C20" s="95" t="s">
        <v>2283</v>
      </c>
      <c r="D20" s="418"/>
      <c r="E20" s="418"/>
      <c r="F20" s="418"/>
      <c r="G20" s="1"/>
    </row>
    <row r="21" spans="1:7" s="412" customFormat="1">
      <c r="A21" s="411"/>
      <c r="B21" s="411"/>
      <c r="C21" s="95"/>
      <c r="D21" s="418"/>
      <c r="E21" s="418"/>
      <c r="F21" s="36"/>
      <c r="G21" s="411"/>
    </row>
    <row r="22" spans="1:7" s="412" customFormat="1">
      <c r="A22" s="411"/>
      <c r="B22" s="411"/>
      <c r="C22" s="95"/>
      <c r="D22" s="418"/>
      <c r="E22" s="418"/>
      <c r="F22" s="36"/>
      <c r="G22" s="411"/>
    </row>
    <row r="23" spans="1:7" s="412" customFormat="1">
      <c r="A23" s="411"/>
      <c r="B23" s="411"/>
      <c r="C23" s="95"/>
      <c r="D23" s="418"/>
      <c r="E23" s="418"/>
      <c r="F23" s="36"/>
      <c r="G23" s="411"/>
    </row>
    <row r="24" spans="1:7" s="412" customFormat="1">
      <c r="A24" s="411"/>
      <c r="B24" s="411"/>
      <c r="C24" s="95"/>
      <c r="D24" s="418"/>
      <c r="E24" s="418"/>
      <c r="F24" s="36"/>
      <c r="G24" s="411"/>
    </row>
    <row r="25" spans="1:7" s="412" customFormat="1">
      <c r="A25" s="411"/>
      <c r="B25" s="411"/>
      <c r="C25" s="95"/>
      <c r="D25" s="418"/>
      <c r="E25" s="418"/>
      <c r="F25" s="36"/>
      <c r="G25" s="411"/>
    </row>
    <row r="26" spans="1:7">
      <c r="A26" s="1"/>
      <c r="B26" s="1"/>
      <c r="C26" s="95"/>
      <c r="D26" s="418"/>
      <c r="E26" s="418"/>
      <c r="F26" s="36"/>
      <c r="G26" s="1"/>
    </row>
    <row r="27" spans="1:7">
      <c r="A27" s="1"/>
      <c r="B27" s="1"/>
      <c r="C27" s="95"/>
      <c r="D27" s="418"/>
      <c r="E27" s="418"/>
      <c r="F27" s="36"/>
      <c r="G27" s="1"/>
    </row>
    <row r="28" spans="1:7">
      <c r="A28" s="1">
        <v>10716</v>
      </c>
      <c r="B28" s="1" t="s">
        <v>3232</v>
      </c>
      <c r="C28" s="95" t="s">
        <v>273</v>
      </c>
      <c r="D28" s="418"/>
      <c r="E28" s="418"/>
      <c r="F28" s="418"/>
      <c r="G28" s="1"/>
    </row>
    <row r="29" spans="1:7">
      <c r="A29" s="1">
        <v>17443</v>
      </c>
      <c r="B29" s="37" t="s">
        <v>277</v>
      </c>
      <c r="C29" s="95" t="s">
        <v>273</v>
      </c>
      <c r="D29" s="9"/>
      <c r="E29" s="9"/>
      <c r="F29" s="174"/>
    </row>
    <row r="38" spans="1:3" ht="45">
      <c r="A38" s="495"/>
      <c r="B38" s="847" t="s">
        <v>3221</v>
      </c>
      <c r="C38" s="847" t="s">
        <v>24</v>
      </c>
    </row>
    <row r="39" spans="1:3">
      <c r="A39" s="495" t="s">
        <v>0</v>
      </c>
      <c r="B39" s="495" t="s">
        <v>1</v>
      </c>
      <c r="C39" s="848"/>
    </row>
    <row r="40" spans="1:3">
      <c r="A40" s="848"/>
      <c r="B40" s="873" t="s">
        <v>3218</v>
      </c>
      <c r="C40" s="848" t="s">
        <v>3220</v>
      </c>
    </row>
    <row r="41" spans="1:3">
      <c r="A41" s="848"/>
      <c r="B41" s="873" t="s">
        <v>3219</v>
      </c>
      <c r="C41" s="848" t="s">
        <v>3220</v>
      </c>
    </row>
    <row r="42" spans="1:3">
      <c r="A42" s="848"/>
      <c r="B42" s="873"/>
      <c r="C42" s="848"/>
    </row>
    <row r="43" spans="1:3">
      <c r="A43" s="848"/>
      <c r="B43" s="873"/>
      <c r="C43" s="848"/>
    </row>
    <row r="44" spans="1:3">
      <c r="A44" s="848"/>
      <c r="B44" s="495"/>
      <c r="C44" s="848"/>
    </row>
    <row r="48" spans="1:3" ht="45">
      <c r="A48" s="881"/>
      <c r="B48" s="882" t="s">
        <v>3233</v>
      </c>
      <c r="C48" s="882" t="s">
        <v>24</v>
      </c>
    </row>
    <row r="49" spans="1:4">
      <c r="A49" s="881" t="s">
        <v>0</v>
      </c>
      <c r="B49" s="883" t="s">
        <v>1</v>
      </c>
      <c r="C49" s="883"/>
    </row>
    <row r="50" spans="1:4">
      <c r="A50" s="877"/>
      <c r="B50" s="495" t="s">
        <v>3232</v>
      </c>
      <c r="C50" s="877" t="s">
        <v>3234</v>
      </c>
    </row>
    <row r="51" spans="1:4">
      <c r="A51" s="877"/>
      <c r="B51" s="37" t="s">
        <v>277</v>
      </c>
      <c r="C51" s="877" t="s">
        <v>3235</v>
      </c>
    </row>
    <row r="52" spans="1:4">
      <c r="A52" s="876"/>
      <c r="B52" s="884"/>
      <c r="C52" s="876"/>
      <c r="D52" s="113"/>
    </row>
    <row r="53" spans="1:4">
      <c r="A53" s="876"/>
      <c r="B53" s="884"/>
      <c r="C53" s="876"/>
      <c r="D53" s="113"/>
    </row>
    <row r="54" spans="1:4">
      <c r="A54" s="876"/>
      <c r="B54" s="113"/>
      <c r="C54" s="876"/>
      <c r="D54" s="113"/>
    </row>
    <row r="55" spans="1:4">
      <c r="A55" s="113"/>
      <c r="B55" s="113"/>
      <c r="C55" s="113"/>
      <c r="D55" s="113"/>
    </row>
  </sheetData>
  <pageMargins left="0.7" right="0.7" top="0.75" bottom="0.75" header="0.3" footer="0.3"/>
  <pageSetup paperSize="123" orientation="landscape" horizontalDpi="360" verticalDpi="36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C67"/>
  <sheetViews>
    <sheetView workbookViewId="0">
      <selection activeCell="B12" sqref="B12"/>
    </sheetView>
  </sheetViews>
  <sheetFormatPr baseColWidth="10" defaultRowHeight="15"/>
  <cols>
    <col min="1" max="1" width="11.42578125" style="835"/>
    <col min="2" max="2" width="67.7109375" customWidth="1"/>
    <col min="3" max="3" width="16.140625" customWidth="1"/>
  </cols>
  <sheetData>
    <row r="4" spans="1:3" ht="45" customHeight="1">
      <c r="A4" s="842" t="s">
        <v>276</v>
      </c>
      <c r="B4" s="842" t="s">
        <v>113</v>
      </c>
      <c r="C4" s="862" t="s">
        <v>24</v>
      </c>
    </row>
    <row r="5" spans="1:3">
      <c r="A5" s="842">
        <v>3642</v>
      </c>
      <c r="B5" s="495" t="s">
        <v>199</v>
      </c>
      <c r="C5" s="495"/>
    </row>
    <row r="6" spans="1:3">
      <c r="A6" s="842">
        <v>5083</v>
      </c>
      <c r="B6" s="495" t="s">
        <v>200</v>
      </c>
      <c r="C6" s="495"/>
    </row>
    <row r="7" spans="1:3">
      <c r="A7" s="842">
        <v>3843</v>
      </c>
      <c r="B7" s="495" t="s">
        <v>201</v>
      </c>
      <c r="C7" s="495"/>
    </row>
    <row r="8" spans="1:3">
      <c r="A8" s="842">
        <v>1078</v>
      </c>
      <c r="B8" s="495" t="s">
        <v>202</v>
      </c>
      <c r="C8" s="495"/>
    </row>
    <row r="9" spans="1:3">
      <c r="A9" s="842">
        <v>2875</v>
      </c>
      <c r="B9" s="495" t="s">
        <v>203</v>
      </c>
      <c r="C9" s="495"/>
    </row>
    <row r="10" spans="1:3">
      <c r="A10" s="842">
        <v>1065</v>
      </c>
      <c r="B10" s="495" t="s">
        <v>204</v>
      </c>
      <c r="C10" s="495"/>
    </row>
    <row r="11" spans="1:3">
      <c r="A11" s="842">
        <v>1070</v>
      </c>
      <c r="B11" s="495" t="s">
        <v>205</v>
      </c>
      <c r="C11" s="495"/>
    </row>
    <row r="12" spans="1:3">
      <c r="A12" s="842">
        <v>9518</v>
      </c>
      <c r="B12" s="495" t="s">
        <v>206</v>
      </c>
      <c r="C12" s="495"/>
    </row>
    <row r="13" spans="1:3">
      <c r="A13" s="842">
        <v>1086</v>
      </c>
      <c r="B13" s="495" t="s">
        <v>207</v>
      </c>
      <c r="C13" s="495"/>
    </row>
    <row r="14" spans="1:3">
      <c r="A14" s="842">
        <v>3842</v>
      </c>
      <c r="B14" s="495" t="s">
        <v>208</v>
      </c>
      <c r="C14" s="495"/>
    </row>
    <row r="15" spans="1:3">
      <c r="A15" s="842">
        <v>3847</v>
      </c>
      <c r="B15" s="495" t="s">
        <v>209</v>
      </c>
      <c r="C15" s="495"/>
    </row>
    <row r="16" spans="1:3">
      <c r="A16" s="842">
        <v>3356</v>
      </c>
      <c r="B16" s="495" t="s">
        <v>210</v>
      </c>
      <c r="C16" s="495"/>
    </row>
    <row r="17" spans="1:3">
      <c r="A17" s="842">
        <v>1092</v>
      </c>
      <c r="B17" s="495" t="s">
        <v>211</v>
      </c>
      <c r="C17" s="495"/>
    </row>
    <row r="18" spans="1:3">
      <c r="A18" s="842">
        <v>5081</v>
      </c>
      <c r="B18" s="495" t="s">
        <v>212</v>
      </c>
      <c r="C18" s="495"/>
    </row>
    <row r="19" spans="1:3">
      <c r="A19" s="842">
        <v>10400</v>
      </c>
      <c r="B19" s="495" t="s">
        <v>213</v>
      </c>
      <c r="C19" s="495"/>
    </row>
    <row r="20" spans="1:3">
      <c r="A20" s="842">
        <v>5082</v>
      </c>
      <c r="B20" s="495" t="s">
        <v>214</v>
      </c>
      <c r="C20" s="495"/>
    </row>
    <row r="21" spans="1:3">
      <c r="A21" s="842">
        <v>2203</v>
      </c>
      <c r="B21" s="495" t="s">
        <v>215</v>
      </c>
      <c r="C21" s="495"/>
    </row>
    <row r="22" spans="1:3">
      <c r="A22" s="842">
        <v>2204</v>
      </c>
      <c r="B22" s="495" t="s">
        <v>216</v>
      </c>
      <c r="C22" s="495"/>
    </row>
    <row r="23" spans="1:3">
      <c r="A23" s="842">
        <v>2873</v>
      </c>
      <c r="B23" s="495" t="s">
        <v>217</v>
      </c>
      <c r="C23" s="495"/>
    </row>
    <row r="24" spans="1:3">
      <c r="A24" s="842">
        <v>2201</v>
      </c>
      <c r="B24" s="495" t="s">
        <v>218</v>
      </c>
      <c r="C24" s="495"/>
    </row>
    <row r="25" spans="1:3">
      <c r="A25" s="842">
        <v>772</v>
      </c>
      <c r="B25" s="495" t="s">
        <v>219</v>
      </c>
      <c r="C25" s="495"/>
    </row>
    <row r="26" spans="1:3">
      <c r="A26" s="842">
        <v>3646</v>
      </c>
      <c r="B26" s="495" t="s">
        <v>220</v>
      </c>
      <c r="C26" s="495"/>
    </row>
    <row r="27" spans="1:3">
      <c r="A27" s="842">
        <v>10268</v>
      </c>
      <c r="B27" s="495" t="s">
        <v>221</v>
      </c>
      <c r="C27" s="495"/>
    </row>
    <row r="28" spans="1:3">
      <c r="A28" s="842">
        <v>4024</v>
      </c>
      <c r="B28" s="495" t="s">
        <v>222</v>
      </c>
      <c r="C28" s="495"/>
    </row>
    <row r="29" spans="1:3">
      <c r="A29" s="842">
        <v>777</v>
      </c>
      <c r="B29" s="495" t="s">
        <v>223</v>
      </c>
      <c r="C29" s="495"/>
    </row>
    <row r="30" spans="1:3">
      <c r="A30" s="842">
        <v>3643</v>
      </c>
      <c r="B30" s="495" t="s">
        <v>224</v>
      </c>
      <c r="C30" s="495"/>
    </row>
    <row r="31" spans="1:3">
      <c r="A31" s="842">
        <v>2813</v>
      </c>
      <c r="B31" s="495" t="s">
        <v>225</v>
      </c>
      <c r="C31" s="495"/>
    </row>
    <row r="32" spans="1:3">
      <c r="A32" s="842">
        <v>2205</v>
      </c>
      <c r="B32" s="495" t="s">
        <v>226</v>
      </c>
      <c r="C32" s="495"/>
    </row>
    <row r="33" spans="1:3">
      <c r="A33" s="842">
        <v>7474</v>
      </c>
      <c r="B33" s="495" t="s">
        <v>227</v>
      </c>
      <c r="C33" s="495"/>
    </row>
    <row r="34" spans="1:3">
      <c r="A34" s="842">
        <v>1417</v>
      </c>
      <c r="B34" s="495" t="s">
        <v>228</v>
      </c>
      <c r="C34" s="495"/>
    </row>
    <row r="35" spans="1:3">
      <c r="A35" s="842">
        <v>1135</v>
      </c>
      <c r="B35" s="495" t="s">
        <v>229</v>
      </c>
      <c r="C35" s="495"/>
    </row>
    <row r="36" spans="1:3">
      <c r="A36" s="842">
        <v>8706</v>
      </c>
      <c r="B36" s="495" t="s">
        <v>230</v>
      </c>
      <c r="C36" s="495"/>
    </row>
    <row r="37" spans="1:3">
      <c r="A37" s="842">
        <v>842</v>
      </c>
      <c r="B37" s="495" t="s">
        <v>231</v>
      </c>
      <c r="C37" s="495"/>
    </row>
    <row r="38" spans="1:3">
      <c r="A38" s="842">
        <v>836</v>
      </c>
      <c r="B38" s="495" t="s">
        <v>232</v>
      </c>
      <c r="C38" s="495"/>
    </row>
    <row r="39" spans="1:3">
      <c r="A39" s="842">
        <v>845</v>
      </c>
      <c r="B39" s="495" t="s">
        <v>233</v>
      </c>
      <c r="C39" s="495"/>
    </row>
    <row r="40" spans="1:3">
      <c r="A40" s="842">
        <v>11077</v>
      </c>
      <c r="B40" s="495" t="s">
        <v>234</v>
      </c>
      <c r="C40" s="495"/>
    </row>
    <row r="41" spans="1:3">
      <c r="A41" s="842">
        <v>2196</v>
      </c>
      <c r="B41" s="495" t="s">
        <v>235</v>
      </c>
      <c r="C41" s="495"/>
    </row>
    <row r="42" spans="1:3">
      <c r="A42" s="842">
        <v>1394</v>
      </c>
      <c r="B42" s="495" t="s">
        <v>236</v>
      </c>
      <c r="C42" s="495"/>
    </row>
    <row r="43" spans="1:3">
      <c r="A43" s="842">
        <v>7898</v>
      </c>
      <c r="B43" s="495" t="s">
        <v>237</v>
      </c>
      <c r="C43" s="495"/>
    </row>
    <row r="44" spans="1:3">
      <c r="A44" s="842">
        <v>4891</v>
      </c>
      <c r="B44" s="495" t="s">
        <v>238</v>
      </c>
      <c r="C44" s="495"/>
    </row>
    <row r="45" spans="1:3">
      <c r="A45" s="842">
        <v>3147</v>
      </c>
      <c r="B45" s="495" t="s">
        <v>239</v>
      </c>
      <c r="C45" s="495"/>
    </row>
    <row r="46" spans="1:3">
      <c r="A46" s="842">
        <v>3844</v>
      </c>
      <c r="B46" s="495" t="s">
        <v>240</v>
      </c>
      <c r="C46" s="495"/>
    </row>
    <row r="47" spans="1:3">
      <c r="A47" s="842">
        <v>835</v>
      </c>
      <c r="B47" s="495" t="s">
        <v>241</v>
      </c>
      <c r="C47" s="495"/>
    </row>
    <row r="48" spans="1:3">
      <c r="A48" s="842">
        <v>3645</v>
      </c>
      <c r="B48" s="495" t="s">
        <v>242</v>
      </c>
      <c r="C48" s="495"/>
    </row>
    <row r="49" spans="1:3">
      <c r="A49" s="842">
        <v>770</v>
      </c>
      <c r="B49" s="495" t="s">
        <v>243</v>
      </c>
      <c r="C49" s="495"/>
    </row>
    <row r="50" spans="1:3">
      <c r="A50" s="842">
        <v>3157</v>
      </c>
      <c r="B50" s="495" t="s">
        <v>244</v>
      </c>
      <c r="C50" s="495"/>
    </row>
    <row r="51" spans="1:3">
      <c r="A51" s="842">
        <v>740</v>
      </c>
      <c r="B51" s="495" t="s">
        <v>245</v>
      </c>
      <c r="C51" s="495"/>
    </row>
    <row r="52" spans="1:3">
      <c r="A52" s="842">
        <v>3853</v>
      </c>
      <c r="B52" s="495" t="s">
        <v>246</v>
      </c>
      <c r="C52" s="495"/>
    </row>
    <row r="53" spans="1:3">
      <c r="A53" s="842">
        <v>3354</v>
      </c>
      <c r="B53" s="495" t="s">
        <v>247</v>
      </c>
      <c r="C53" s="495"/>
    </row>
    <row r="54" spans="1:3">
      <c r="A54" s="842">
        <v>1235</v>
      </c>
      <c r="B54" s="495" t="s">
        <v>248</v>
      </c>
      <c r="C54" s="495"/>
    </row>
    <row r="55" spans="1:3">
      <c r="A55" s="842">
        <v>1232</v>
      </c>
      <c r="B55" s="495" t="s">
        <v>249</v>
      </c>
      <c r="C55" s="495"/>
    </row>
    <row r="56" spans="1:3">
      <c r="A56" s="842">
        <v>4278</v>
      </c>
      <c r="B56" s="495" t="s">
        <v>250</v>
      </c>
      <c r="C56" s="495"/>
    </row>
    <row r="57" spans="1:3">
      <c r="A57" s="842">
        <v>2805</v>
      </c>
      <c r="B57" s="495" t="s">
        <v>251</v>
      </c>
      <c r="C57" s="495"/>
    </row>
    <row r="58" spans="1:3">
      <c r="A58" s="842">
        <v>2804</v>
      </c>
      <c r="B58" s="495" t="s">
        <v>252</v>
      </c>
      <c r="C58" s="495"/>
    </row>
    <row r="59" spans="1:3">
      <c r="A59" s="842">
        <v>3107</v>
      </c>
      <c r="B59" s="495" t="s">
        <v>253</v>
      </c>
      <c r="C59" s="495"/>
    </row>
    <row r="60" spans="1:3">
      <c r="A60" s="842">
        <v>5665</v>
      </c>
      <c r="B60" s="495" t="s">
        <v>254</v>
      </c>
      <c r="C60" s="495"/>
    </row>
    <row r="61" spans="1:3">
      <c r="A61" s="842">
        <v>779</v>
      </c>
      <c r="B61" s="495" t="s">
        <v>255</v>
      </c>
      <c r="C61" s="495"/>
    </row>
    <row r="62" spans="1:3">
      <c r="A62" s="842">
        <v>5666</v>
      </c>
      <c r="B62" s="495" t="s">
        <v>256</v>
      </c>
      <c r="C62" s="495"/>
    </row>
    <row r="63" spans="1:3">
      <c r="A63" s="842">
        <v>797</v>
      </c>
      <c r="B63" s="495" t="s">
        <v>257</v>
      </c>
      <c r="C63" s="495"/>
    </row>
    <row r="64" spans="1:3">
      <c r="A64" s="842">
        <v>2871</v>
      </c>
      <c r="B64" s="495" t="s">
        <v>258</v>
      </c>
      <c r="C64" s="495"/>
    </row>
    <row r="65" spans="1:3">
      <c r="A65" s="842">
        <v>1060</v>
      </c>
      <c r="B65" s="495" t="s">
        <v>259</v>
      </c>
      <c r="C65" s="495"/>
    </row>
    <row r="66" spans="1:3">
      <c r="A66" s="842">
        <v>15135</v>
      </c>
      <c r="B66" s="495" t="s">
        <v>260</v>
      </c>
      <c r="C66" s="495"/>
    </row>
    <row r="67" spans="1:3">
      <c r="A67" s="842">
        <v>15134</v>
      </c>
      <c r="B67" s="495" t="s">
        <v>261</v>
      </c>
      <c r="C67" s="49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J11"/>
  <sheetViews>
    <sheetView workbookViewId="0">
      <selection activeCell="C5" sqref="C5:C10"/>
    </sheetView>
  </sheetViews>
  <sheetFormatPr baseColWidth="10" defaultRowHeight="15"/>
  <cols>
    <col min="2" max="2" width="51.140625" customWidth="1"/>
    <col min="3" max="3" width="16.85546875" customWidth="1"/>
    <col min="4" max="4" width="14.7109375" hidden="1" customWidth="1"/>
    <col min="5" max="5" width="0" hidden="1" customWidth="1"/>
  </cols>
  <sheetData>
    <row r="2" spans="1:10">
      <c r="B2" s="421" t="s">
        <v>1839</v>
      </c>
    </row>
    <row r="3" spans="1:10" ht="45">
      <c r="A3" s="40"/>
      <c r="B3" s="41" t="s">
        <v>3032</v>
      </c>
      <c r="C3" s="42" t="s">
        <v>24</v>
      </c>
      <c r="D3" s="43" t="s">
        <v>25</v>
      </c>
      <c r="E3" s="43" t="s">
        <v>26</v>
      </c>
      <c r="F3" s="26"/>
      <c r="G3" t="s">
        <v>1703</v>
      </c>
    </row>
    <row r="4" spans="1:10">
      <c r="A4" s="22" t="s">
        <v>127</v>
      </c>
      <c r="B4" s="23" t="s">
        <v>113</v>
      </c>
      <c r="C4" s="43"/>
      <c r="D4" s="43"/>
      <c r="E4" s="43"/>
      <c r="F4" s="26"/>
      <c r="G4" s="23" t="s">
        <v>116</v>
      </c>
      <c r="H4" s="23" t="s">
        <v>117</v>
      </c>
      <c r="I4" s="23" t="s">
        <v>116</v>
      </c>
      <c r="J4" s="23" t="s">
        <v>117</v>
      </c>
    </row>
    <row r="5" spans="1:10">
      <c r="A5" s="22">
        <v>9616</v>
      </c>
      <c r="B5" s="22" t="s">
        <v>262</v>
      </c>
      <c r="C5" s="43">
        <v>20</v>
      </c>
      <c r="D5" s="43"/>
      <c r="E5" s="43"/>
      <c r="F5" s="26" t="s">
        <v>278</v>
      </c>
      <c r="G5" s="23">
        <v>446</v>
      </c>
      <c r="H5" s="23">
        <v>1052</v>
      </c>
      <c r="I5" s="24">
        <f>G5/48</f>
        <v>9.2916666666666661</v>
      </c>
      <c r="J5" s="24">
        <f>H5/48</f>
        <v>21.916666666666668</v>
      </c>
    </row>
    <row r="6" spans="1:10">
      <c r="A6" s="22">
        <v>14606</v>
      </c>
      <c r="B6" s="22" t="s">
        <v>263</v>
      </c>
      <c r="C6" s="43">
        <v>35</v>
      </c>
      <c r="D6" s="43"/>
      <c r="E6" s="43"/>
      <c r="F6" s="26" t="s">
        <v>278</v>
      </c>
      <c r="G6" s="23">
        <v>219</v>
      </c>
      <c r="H6" s="23">
        <v>233</v>
      </c>
      <c r="I6" s="24">
        <f>G6/12</f>
        <v>18.25</v>
      </c>
      <c r="J6" s="24">
        <f>H6/12</f>
        <v>19.416666666666668</v>
      </c>
    </row>
    <row r="7" spans="1:10">
      <c r="A7" s="22">
        <v>11444</v>
      </c>
      <c r="B7" s="22" t="s">
        <v>264</v>
      </c>
      <c r="C7" s="43">
        <v>35</v>
      </c>
      <c r="D7" s="43"/>
      <c r="E7" s="43"/>
      <c r="F7" s="26" t="s">
        <v>278</v>
      </c>
      <c r="G7" s="23">
        <v>291</v>
      </c>
      <c r="H7" s="23">
        <v>219</v>
      </c>
      <c r="I7" s="24">
        <f t="shared" ref="I7:I11" si="0">G7/12</f>
        <v>24.25</v>
      </c>
      <c r="J7" s="24">
        <f t="shared" ref="J7:J11" si="1">H7/12</f>
        <v>18.25</v>
      </c>
    </row>
    <row r="8" spans="1:10">
      <c r="A8" s="22">
        <v>9386</v>
      </c>
      <c r="B8" s="22" t="s">
        <v>265</v>
      </c>
      <c r="C8" s="43">
        <v>10</v>
      </c>
      <c r="D8" s="43"/>
      <c r="E8" s="43"/>
      <c r="F8" s="26" t="s">
        <v>278</v>
      </c>
      <c r="G8" s="23">
        <v>71</v>
      </c>
      <c r="H8" s="23">
        <v>321</v>
      </c>
      <c r="I8" s="24">
        <f t="shared" si="0"/>
        <v>5.916666666666667</v>
      </c>
      <c r="J8" s="24">
        <f t="shared" si="1"/>
        <v>26.75</v>
      </c>
    </row>
    <row r="9" spans="1:10">
      <c r="A9" s="22">
        <v>10462</v>
      </c>
      <c r="B9" s="22" t="s">
        <v>266</v>
      </c>
      <c r="C9" s="43">
        <v>10</v>
      </c>
      <c r="D9" s="43"/>
      <c r="E9" s="43"/>
      <c r="F9" s="26" t="s">
        <v>278</v>
      </c>
      <c r="G9" s="23">
        <v>95</v>
      </c>
      <c r="H9" s="23">
        <v>174</v>
      </c>
      <c r="I9" s="24">
        <f t="shared" si="0"/>
        <v>7.916666666666667</v>
      </c>
      <c r="J9" s="24">
        <f t="shared" si="1"/>
        <v>14.5</v>
      </c>
    </row>
    <row r="10" spans="1:10">
      <c r="A10" s="22">
        <v>9388</v>
      </c>
      <c r="B10" s="22" t="s">
        <v>267</v>
      </c>
      <c r="C10" s="43">
        <v>10</v>
      </c>
      <c r="D10" s="43"/>
      <c r="E10" s="43"/>
      <c r="F10" s="26" t="s">
        <v>278</v>
      </c>
      <c r="G10" s="23">
        <v>225</v>
      </c>
      <c r="H10" s="23">
        <v>17</v>
      </c>
      <c r="I10" s="24">
        <f>G10/24</f>
        <v>9.375</v>
      </c>
      <c r="J10" s="24">
        <f>H10/24</f>
        <v>0.70833333333333337</v>
      </c>
    </row>
    <row r="11" spans="1:10" hidden="1">
      <c r="A11" s="1">
        <v>14831</v>
      </c>
      <c r="B11" s="1" t="s">
        <v>268</v>
      </c>
      <c r="C11" s="3"/>
      <c r="D11" s="3"/>
      <c r="E11" s="3"/>
      <c r="F11" t="s">
        <v>278</v>
      </c>
      <c r="G11" s="23"/>
      <c r="H11" s="23"/>
      <c r="I11" s="23">
        <f t="shared" si="0"/>
        <v>0</v>
      </c>
      <c r="J11" s="23">
        <f t="shared" si="1"/>
        <v>0</v>
      </c>
    </row>
  </sheetData>
  <pageMargins left="0.7" right="0.7" top="0.75" bottom="0.75" header="0.3" footer="0.3"/>
  <pageSetup paperSize="11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4:E22"/>
  <sheetViews>
    <sheetView workbookViewId="0">
      <selection activeCell="E23" sqref="E23"/>
    </sheetView>
  </sheetViews>
  <sheetFormatPr baseColWidth="10" defaultRowHeight="15"/>
  <cols>
    <col min="3" max="3" width="50.7109375" customWidth="1"/>
    <col min="4" max="4" width="9.85546875" style="494" hidden="1" customWidth="1"/>
    <col min="5" max="5" width="19.28515625" customWidth="1"/>
  </cols>
  <sheetData>
    <row r="4" spans="2:5">
      <c r="C4" t="s">
        <v>2286</v>
      </c>
    </row>
    <row r="7" spans="2:5" ht="45">
      <c r="B7" s="353" t="s">
        <v>127</v>
      </c>
      <c r="C7" s="354" t="s">
        <v>113</v>
      </c>
      <c r="D7" s="354" t="s">
        <v>283</v>
      </c>
      <c r="E7" s="355" t="s">
        <v>24</v>
      </c>
    </row>
    <row r="8" spans="2:5" s="119" customFormat="1">
      <c r="B8" s="22"/>
      <c r="C8" s="22" t="s">
        <v>1257</v>
      </c>
      <c r="D8" s="22">
        <v>7.23</v>
      </c>
      <c r="E8" s="356" t="s">
        <v>759</v>
      </c>
    </row>
    <row r="9" spans="2:5">
      <c r="B9" s="22">
        <v>2856</v>
      </c>
      <c r="C9" s="22" t="s">
        <v>1211</v>
      </c>
      <c r="D9" s="22">
        <v>8.14</v>
      </c>
      <c r="E9" s="23" t="s">
        <v>668</v>
      </c>
    </row>
    <row r="10" spans="2:5" hidden="1">
      <c r="B10" s="22">
        <v>3598</v>
      </c>
      <c r="C10" s="22" t="s">
        <v>1212</v>
      </c>
      <c r="D10" s="22"/>
      <c r="E10" s="23"/>
    </row>
    <row r="11" spans="2:5" hidden="1">
      <c r="B11" s="22">
        <v>2046</v>
      </c>
      <c r="C11" s="22" t="s">
        <v>1213</v>
      </c>
      <c r="D11" s="22">
        <v>25</v>
      </c>
      <c r="E11" s="23"/>
    </row>
    <row r="12" spans="2:5" hidden="1">
      <c r="B12" s="22">
        <v>2047</v>
      </c>
      <c r="C12" s="22" t="s">
        <v>1214</v>
      </c>
      <c r="D12" s="22"/>
      <c r="E12" s="23"/>
    </row>
    <row r="13" spans="2:5" hidden="1">
      <c r="B13" s="22">
        <v>1719</v>
      </c>
      <c r="C13" s="22" t="s">
        <v>1215</v>
      </c>
      <c r="D13" s="22"/>
      <c r="E13" s="23"/>
    </row>
    <row r="14" spans="2:5" hidden="1">
      <c r="B14" s="22">
        <v>1821</v>
      </c>
      <c r="C14" s="22" t="s">
        <v>1216</v>
      </c>
      <c r="D14" s="22"/>
      <c r="E14" s="23"/>
    </row>
    <row r="15" spans="2:5">
      <c r="B15" s="22">
        <v>2726</v>
      </c>
      <c r="C15" s="357" t="s">
        <v>1217</v>
      </c>
      <c r="D15" s="357">
        <v>8.27</v>
      </c>
      <c r="E15" s="23" t="s">
        <v>280</v>
      </c>
    </row>
    <row r="16" spans="2:5" hidden="1">
      <c r="B16" s="120">
        <v>4713</v>
      </c>
      <c r="C16" s="120" t="s">
        <v>1218</v>
      </c>
      <c r="D16" s="495"/>
      <c r="E16" s="120"/>
    </row>
    <row r="17" spans="2:5" hidden="1">
      <c r="B17" s="120">
        <v>5563</v>
      </c>
      <c r="C17" s="120" t="s">
        <v>1219</v>
      </c>
      <c r="D17" s="495"/>
      <c r="E17" s="120"/>
    </row>
    <row r="18" spans="2:5" hidden="1">
      <c r="B18" s="120">
        <v>1810</v>
      </c>
      <c r="C18" s="120" t="s">
        <v>1220</v>
      </c>
      <c r="D18" s="495"/>
      <c r="E18" s="120"/>
    </row>
    <row r="19" spans="2:5" hidden="1">
      <c r="B19" s="120">
        <v>1819</v>
      </c>
      <c r="C19" s="120" t="s">
        <v>1221</v>
      </c>
      <c r="D19" s="495"/>
      <c r="E19" s="120"/>
    </row>
    <row r="20" spans="2:5" hidden="1">
      <c r="B20" s="312"/>
      <c r="C20" s="312"/>
      <c r="D20" s="113"/>
    </row>
    <row r="21" spans="2:5" hidden="1"/>
    <row r="22" spans="2:5" hidden="1"/>
  </sheetData>
  <pageMargins left="0.7" right="0.7" top="0.75" bottom="0.75" header="0.3" footer="0.3"/>
  <pageSetup paperSize="11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B7:F13"/>
  <sheetViews>
    <sheetView workbookViewId="0">
      <selection activeCell="C18" sqref="C18"/>
    </sheetView>
  </sheetViews>
  <sheetFormatPr baseColWidth="10" defaultRowHeight="15"/>
  <cols>
    <col min="3" max="3" width="40.85546875" bestFit="1" customWidth="1"/>
    <col min="4" max="4" width="15.85546875" customWidth="1"/>
    <col min="5" max="5" width="11" style="119" customWidth="1"/>
    <col min="6" max="6" width="17.5703125" customWidth="1"/>
  </cols>
  <sheetData>
    <row r="7" spans="2:6">
      <c r="C7" s="257" t="s">
        <v>1222</v>
      </c>
    </row>
    <row r="8" spans="2:6" ht="60">
      <c r="B8" s="120" t="s">
        <v>0</v>
      </c>
      <c r="C8" s="120" t="s">
        <v>1</v>
      </c>
      <c r="D8" s="10" t="s">
        <v>24</v>
      </c>
      <c r="E8" s="10" t="s">
        <v>26</v>
      </c>
      <c r="F8" s="10" t="s">
        <v>778</v>
      </c>
    </row>
    <row r="9" spans="2:6" hidden="1">
      <c r="B9" s="120">
        <v>2395</v>
      </c>
      <c r="C9" s="120" t="s">
        <v>1206</v>
      </c>
      <c r="D9" s="120"/>
      <c r="E9" s="120"/>
      <c r="F9" s="120"/>
    </row>
    <row r="10" spans="2:6" hidden="1">
      <c r="B10" s="120">
        <v>2396</v>
      </c>
      <c r="C10" s="120" t="s">
        <v>1207</v>
      </c>
      <c r="D10" s="120"/>
      <c r="E10" s="120"/>
      <c r="F10" s="120"/>
    </row>
    <row r="11" spans="2:6" hidden="1">
      <c r="B11" s="120">
        <v>2398</v>
      </c>
      <c r="C11" s="120" t="s">
        <v>1208</v>
      </c>
      <c r="D11" s="120"/>
      <c r="E11" s="120"/>
      <c r="F11" s="120"/>
    </row>
    <row r="12" spans="2:6">
      <c r="B12" s="120">
        <v>15238</v>
      </c>
      <c r="C12" s="120" t="s">
        <v>1209</v>
      </c>
      <c r="D12" s="95" t="s">
        <v>630</v>
      </c>
      <c r="E12" s="95" t="s">
        <v>669</v>
      </c>
      <c r="F12" s="95" t="s">
        <v>631</v>
      </c>
    </row>
    <row r="13" spans="2:6">
      <c r="B13" s="120">
        <v>15239</v>
      </c>
      <c r="C13" s="120" t="s">
        <v>1210</v>
      </c>
      <c r="D13" s="95" t="s">
        <v>630</v>
      </c>
      <c r="E13" s="95" t="s">
        <v>631</v>
      </c>
      <c r="F13" s="95" t="s">
        <v>631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3"/>
  <sheetViews>
    <sheetView topLeftCell="A43" workbookViewId="0">
      <selection activeCell="B3" sqref="B3:C53"/>
    </sheetView>
  </sheetViews>
  <sheetFormatPr baseColWidth="10" defaultRowHeight="15"/>
  <cols>
    <col min="3" max="3" width="59.7109375" customWidth="1"/>
  </cols>
  <sheetData>
    <row r="3" spans="2:3">
      <c r="B3" s="495" t="s">
        <v>0</v>
      </c>
      <c r="C3" s="495" t="s">
        <v>1</v>
      </c>
    </row>
    <row r="4" spans="2:3">
      <c r="B4" s="495">
        <v>13372</v>
      </c>
      <c r="C4" s="495" t="s">
        <v>3098</v>
      </c>
    </row>
    <row r="5" spans="2:3">
      <c r="B5" s="495">
        <v>9056</v>
      </c>
      <c r="C5" s="495" t="s">
        <v>3099</v>
      </c>
    </row>
    <row r="6" spans="2:3">
      <c r="B6" s="495">
        <v>1777</v>
      </c>
      <c r="C6" s="495" t="s">
        <v>3100</v>
      </c>
    </row>
    <row r="7" spans="2:3">
      <c r="B7" s="495">
        <v>8653</v>
      </c>
      <c r="C7" s="495" t="s">
        <v>3101</v>
      </c>
    </row>
    <row r="8" spans="2:3">
      <c r="B8" s="495">
        <v>3509</v>
      </c>
      <c r="C8" s="495" t="s">
        <v>3102</v>
      </c>
    </row>
    <row r="9" spans="2:3">
      <c r="B9" s="495">
        <v>762</v>
      </c>
      <c r="C9" s="495" t="s">
        <v>3103</v>
      </c>
    </row>
    <row r="10" spans="2:3">
      <c r="B10" s="495">
        <v>3200</v>
      </c>
      <c r="C10" s="495" t="s">
        <v>3104</v>
      </c>
    </row>
    <row r="11" spans="2:3">
      <c r="B11" s="495">
        <v>22</v>
      </c>
      <c r="C11" s="495" t="s">
        <v>3105</v>
      </c>
    </row>
    <row r="12" spans="2:3">
      <c r="B12" s="495">
        <v>5903</v>
      </c>
      <c r="C12" s="495" t="s">
        <v>2709</v>
      </c>
    </row>
    <row r="13" spans="2:3">
      <c r="B13" s="495">
        <v>5380</v>
      </c>
      <c r="C13" s="495" t="s">
        <v>3106</v>
      </c>
    </row>
    <row r="14" spans="2:3">
      <c r="B14" s="495">
        <v>4474</v>
      </c>
      <c r="C14" s="495" t="s">
        <v>3107</v>
      </c>
    </row>
    <row r="15" spans="2:3">
      <c r="B15" s="495">
        <v>1662</v>
      </c>
      <c r="C15" s="495" t="s">
        <v>3108</v>
      </c>
    </row>
    <row r="16" spans="2:3">
      <c r="B16" s="495">
        <v>1650</v>
      </c>
      <c r="C16" s="495" t="s">
        <v>3109</v>
      </c>
    </row>
    <row r="17" spans="2:3">
      <c r="B17" s="495">
        <v>1644</v>
      </c>
      <c r="C17" s="495" t="s">
        <v>3110</v>
      </c>
    </row>
    <row r="18" spans="2:3">
      <c r="B18" s="495">
        <v>1655</v>
      </c>
      <c r="C18" s="495" t="s">
        <v>3111</v>
      </c>
    </row>
    <row r="19" spans="2:3">
      <c r="B19" s="495">
        <v>14056</v>
      </c>
      <c r="C19" s="495" t="s">
        <v>3112</v>
      </c>
    </row>
    <row r="20" spans="2:3">
      <c r="B20" s="495">
        <v>756</v>
      </c>
      <c r="C20" s="495" t="s">
        <v>3113</v>
      </c>
    </row>
    <row r="21" spans="2:3">
      <c r="B21" s="495">
        <v>6522</v>
      </c>
      <c r="C21" s="495" t="s">
        <v>3114</v>
      </c>
    </row>
    <row r="22" spans="2:3">
      <c r="B22" s="495">
        <v>9111</v>
      </c>
      <c r="C22" s="495" t="s">
        <v>3115</v>
      </c>
    </row>
    <row r="23" spans="2:3">
      <c r="B23" s="495">
        <v>3364</v>
      </c>
      <c r="C23" s="495" t="s">
        <v>3116</v>
      </c>
    </row>
    <row r="24" spans="2:3">
      <c r="B24" s="495">
        <v>6498</v>
      </c>
      <c r="C24" s="495" t="s">
        <v>3117</v>
      </c>
    </row>
    <row r="25" spans="2:3">
      <c r="B25" s="495">
        <v>10584</v>
      </c>
      <c r="C25" s="495" t="s">
        <v>3118</v>
      </c>
    </row>
    <row r="26" spans="2:3">
      <c r="B26" s="495">
        <v>11293</v>
      </c>
      <c r="C26" s="495" t="s">
        <v>3119</v>
      </c>
    </row>
    <row r="27" spans="2:3">
      <c r="B27" s="495">
        <v>3461</v>
      </c>
      <c r="C27" s="495" t="s">
        <v>3120</v>
      </c>
    </row>
    <row r="28" spans="2:3">
      <c r="B28" s="495">
        <v>14792</v>
      </c>
      <c r="C28" s="495" t="s">
        <v>3121</v>
      </c>
    </row>
    <row r="29" spans="2:3">
      <c r="B29" s="495">
        <v>1709</v>
      </c>
      <c r="C29" s="495" t="s">
        <v>3122</v>
      </c>
    </row>
    <row r="30" spans="2:3">
      <c r="B30" s="495">
        <v>8247</v>
      </c>
      <c r="C30" s="495" t="s">
        <v>3123</v>
      </c>
    </row>
    <row r="31" spans="2:3">
      <c r="B31" s="495">
        <v>1708</v>
      </c>
      <c r="C31" s="495" t="s">
        <v>3124</v>
      </c>
    </row>
    <row r="32" spans="2:3">
      <c r="B32" s="495">
        <v>15959</v>
      </c>
      <c r="C32" s="495" t="s">
        <v>3125</v>
      </c>
    </row>
    <row r="33" spans="2:3">
      <c r="B33" s="495">
        <v>9312</v>
      </c>
      <c r="C33" s="495" t="s">
        <v>3126</v>
      </c>
    </row>
    <row r="34" spans="2:3">
      <c r="B34" s="495">
        <v>8248</v>
      </c>
      <c r="C34" s="495" t="s">
        <v>3127</v>
      </c>
    </row>
    <row r="35" spans="2:3">
      <c r="B35" s="495">
        <v>1902</v>
      </c>
      <c r="C35" s="495" t="s">
        <v>3128</v>
      </c>
    </row>
    <row r="36" spans="2:3">
      <c r="B36" s="495">
        <v>1754</v>
      </c>
      <c r="C36" s="495" t="s">
        <v>3129</v>
      </c>
    </row>
    <row r="37" spans="2:3">
      <c r="B37" s="495">
        <v>14895</v>
      </c>
      <c r="C37" s="495" t="s">
        <v>3130</v>
      </c>
    </row>
    <row r="38" spans="2:3">
      <c r="B38" s="495">
        <v>4959</v>
      </c>
      <c r="C38" s="495" t="s">
        <v>3131</v>
      </c>
    </row>
    <row r="39" spans="2:3">
      <c r="B39" s="495">
        <v>10242</v>
      </c>
      <c r="C39" s="495" t="s">
        <v>3132</v>
      </c>
    </row>
    <row r="40" spans="2:3">
      <c r="B40" s="495">
        <v>7587</v>
      </c>
      <c r="C40" s="495" t="s">
        <v>3133</v>
      </c>
    </row>
    <row r="41" spans="2:3">
      <c r="B41" s="495">
        <v>7633</v>
      </c>
      <c r="C41" s="495" t="s">
        <v>3134</v>
      </c>
    </row>
    <row r="42" spans="2:3">
      <c r="B42" s="495">
        <v>8929</v>
      </c>
      <c r="C42" s="495" t="s">
        <v>3135</v>
      </c>
    </row>
    <row r="43" spans="2:3">
      <c r="B43" s="495">
        <v>6845</v>
      </c>
      <c r="C43" s="495" t="s">
        <v>3136</v>
      </c>
    </row>
    <row r="44" spans="2:3">
      <c r="B44" s="495">
        <v>10587</v>
      </c>
      <c r="C44" s="495" t="s">
        <v>3137</v>
      </c>
    </row>
    <row r="45" spans="2:3">
      <c r="B45" s="495">
        <v>10407</v>
      </c>
      <c r="C45" s="495" t="s">
        <v>3138</v>
      </c>
    </row>
    <row r="46" spans="2:3">
      <c r="B46" s="495">
        <v>11290</v>
      </c>
      <c r="C46" s="495" t="s">
        <v>3139</v>
      </c>
    </row>
    <row r="47" spans="2:3">
      <c r="B47" s="495">
        <v>13918</v>
      </c>
      <c r="C47" s="495" t="s">
        <v>3140</v>
      </c>
    </row>
    <row r="48" spans="2:3">
      <c r="B48" s="495">
        <v>8434</v>
      </c>
      <c r="C48" s="495" t="s">
        <v>3141</v>
      </c>
    </row>
    <row r="49" spans="2:3">
      <c r="B49" s="495">
        <v>11415</v>
      </c>
      <c r="C49" s="495" t="s">
        <v>3142</v>
      </c>
    </row>
    <row r="50" spans="2:3">
      <c r="B50" s="495">
        <v>6830</v>
      </c>
      <c r="C50" s="495" t="s">
        <v>3143</v>
      </c>
    </row>
    <row r="51" spans="2:3">
      <c r="B51" s="495">
        <v>13418</v>
      </c>
      <c r="C51" s="495" t="s">
        <v>3144</v>
      </c>
    </row>
    <row r="52" spans="2:3">
      <c r="B52" s="495">
        <v>13373</v>
      </c>
      <c r="C52" s="495" t="s">
        <v>3145</v>
      </c>
    </row>
    <row r="53" spans="2:3">
      <c r="B53" s="495">
        <v>11071</v>
      </c>
      <c r="C53" s="495" t="s">
        <v>3146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0:C27"/>
  <sheetViews>
    <sheetView workbookViewId="0">
      <selection activeCell="C10" sqref="C10"/>
    </sheetView>
  </sheetViews>
  <sheetFormatPr baseColWidth="10" defaultRowHeight="15"/>
  <cols>
    <col min="1" max="1" width="55" customWidth="1"/>
    <col min="2" max="2" width="20.85546875" customWidth="1"/>
    <col min="3" max="3" width="18.28515625" customWidth="1"/>
  </cols>
  <sheetData>
    <row r="10" spans="2:3" ht="45">
      <c r="B10" s="13" t="s">
        <v>24</v>
      </c>
      <c r="C10" s="13" t="s">
        <v>778</v>
      </c>
    </row>
    <row r="19" spans="2:3">
      <c r="B19" s="107"/>
      <c r="C19" s="107"/>
    </row>
    <row r="20" spans="2:3">
      <c r="B20" s="107">
        <v>195270000</v>
      </c>
      <c r="C20" s="107"/>
    </row>
    <row r="21" spans="2:3">
      <c r="B21" s="108" t="s">
        <v>72</v>
      </c>
      <c r="C21" s="107"/>
    </row>
    <row r="22" spans="2:3">
      <c r="B22" s="107">
        <f>B20*16%</f>
        <v>31243200</v>
      </c>
      <c r="C22" s="107"/>
    </row>
    <row r="23" spans="2:3">
      <c r="B23" s="107">
        <f>B20+B22</f>
        <v>226513200</v>
      </c>
      <c r="C23" s="107"/>
    </row>
    <row r="24" spans="2:3">
      <c r="B24" s="107">
        <v>4072866.12</v>
      </c>
      <c r="C24" s="107"/>
    </row>
    <row r="25" spans="2:3">
      <c r="B25" s="107">
        <f>B23/B24</f>
        <v>55.615184326265059</v>
      </c>
      <c r="C25" s="107"/>
    </row>
    <row r="26" spans="2:3">
      <c r="B26" s="107">
        <v>60.41</v>
      </c>
    </row>
    <row r="27" spans="2:3">
      <c r="B27" s="107">
        <f>B25-B26</f>
        <v>-4.7948156737349379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4:D18"/>
  <sheetViews>
    <sheetView workbookViewId="0">
      <selection activeCell="C5" sqref="C5"/>
    </sheetView>
  </sheetViews>
  <sheetFormatPr baseColWidth="10" defaultRowHeight="15"/>
  <cols>
    <col min="3" max="3" width="54.85546875" customWidth="1"/>
    <col min="4" max="4" width="16" style="509" customWidth="1"/>
  </cols>
  <sheetData>
    <row r="4" spans="2:4">
      <c r="C4" t="s">
        <v>2229</v>
      </c>
    </row>
    <row r="6" spans="2:4" ht="30">
      <c r="B6" s="495" t="s">
        <v>0</v>
      </c>
      <c r="C6" s="512" t="s">
        <v>2228</v>
      </c>
      <c r="D6" s="102" t="s">
        <v>1830</v>
      </c>
    </row>
    <row r="7" spans="2:4" hidden="1">
      <c r="B7" s="495">
        <v>3532</v>
      </c>
      <c r="C7" s="495" t="s">
        <v>2216</v>
      </c>
      <c r="D7" s="512"/>
    </row>
    <row r="8" spans="2:4" hidden="1">
      <c r="B8" s="495">
        <v>16076</v>
      </c>
      <c r="C8" s="495" t="s">
        <v>2217</v>
      </c>
      <c r="D8" s="512"/>
    </row>
    <row r="9" spans="2:4" hidden="1">
      <c r="B9" s="495">
        <v>15587</v>
      </c>
      <c r="C9" s="495" t="s">
        <v>2218</v>
      </c>
      <c r="D9" s="512"/>
    </row>
    <row r="10" spans="2:4" hidden="1">
      <c r="B10" s="495">
        <v>3534</v>
      </c>
      <c r="C10" s="495" t="s">
        <v>2219</v>
      </c>
      <c r="D10" s="512"/>
    </row>
    <row r="11" spans="2:4">
      <c r="B11" s="495">
        <v>1910</v>
      </c>
      <c r="C11" s="495" t="s">
        <v>2226</v>
      </c>
      <c r="D11" s="512" t="s">
        <v>279</v>
      </c>
    </row>
    <row r="12" spans="2:4" hidden="1">
      <c r="B12" s="495">
        <v>3075</v>
      </c>
      <c r="C12" s="495" t="s">
        <v>2220</v>
      </c>
      <c r="D12" s="512"/>
    </row>
    <row r="13" spans="2:4">
      <c r="B13" s="495">
        <v>1906</v>
      </c>
      <c r="C13" s="495" t="s">
        <v>2227</v>
      </c>
      <c r="D13" s="512" t="s">
        <v>1495</v>
      </c>
    </row>
    <row r="14" spans="2:4" hidden="1">
      <c r="B14" s="495">
        <v>4464</v>
      </c>
      <c r="C14" s="495" t="s">
        <v>2221</v>
      </c>
      <c r="D14" s="512"/>
    </row>
    <row r="15" spans="2:4" hidden="1">
      <c r="B15" s="495">
        <v>13378</v>
      </c>
      <c r="C15" s="495" t="s">
        <v>2222</v>
      </c>
      <c r="D15" s="512"/>
    </row>
    <row r="16" spans="2:4">
      <c r="B16" s="495">
        <v>3528</v>
      </c>
      <c r="C16" s="495" t="s">
        <v>2223</v>
      </c>
      <c r="D16" s="512" t="s">
        <v>322</v>
      </c>
    </row>
    <row r="17" spans="2:4">
      <c r="B17" s="495">
        <v>10833</v>
      </c>
      <c r="C17" s="495" t="s">
        <v>2224</v>
      </c>
      <c r="D17" s="512" t="s">
        <v>630</v>
      </c>
    </row>
    <row r="18" spans="2:4">
      <c r="B18" s="495">
        <v>6921</v>
      </c>
      <c r="C18" s="495" t="s">
        <v>2225</v>
      </c>
      <c r="D18" s="512" t="s">
        <v>280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E18" sqref="E18"/>
    </sheetView>
  </sheetViews>
  <sheetFormatPr baseColWidth="10" defaultRowHeight="15"/>
  <cols>
    <col min="4" max="4" width="49" customWidth="1"/>
    <col min="8" max="8" width="14.85546875" customWidth="1"/>
  </cols>
  <sheetData>
    <row r="1" spans="1:10">
      <c r="A1" t="s">
        <v>1901</v>
      </c>
    </row>
    <row r="2" spans="1:10">
      <c r="D2" t="s">
        <v>1912</v>
      </c>
    </row>
    <row r="3" spans="1:10">
      <c r="I3" s="915" t="s">
        <v>1225</v>
      </c>
      <c r="J3" s="915"/>
    </row>
    <row r="4" spans="1:10" ht="60">
      <c r="B4" s="444" t="s">
        <v>127</v>
      </c>
      <c r="C4" s="444" t="s">
        <v>1910</v>
      </c>
      <c r="D4" s="444" t="s">
        <v>113</v>
      </c>
      <c r="E4" s="444" t="s">
        <v>67</v>
      </c>
      <c r="F4" s="444" t="s">
        <v>1911</v>
      </c>
      <c r="G4" s="444" t="s">
        <v>637</v>
      </c>
      <c r="H4" s="10" t="s">
        <v>24</v>
      </c>
      <c r="I4" s="444" t="s">
        <v>116</v>
      </c>
      <c r="J4" s="444" t="s">
        <v>117</v>
      </c>
    </row>
    <row r="5" spans="1:10">
      <c r="B5" s="95">
        <v>1689</v>
      </c>
      <c r="C5" s="95">
        <v>3.5249999999999999</v>
      </c>
      <c r="D5" s="411" t="s">
        <v>1902</v>
      </c>
      <c r="E5" s="95">
        <v>8.17</v>
      </c>
      <c r="F5" s="6">
        <f>E5*16%</f>
        <v>1.3071999999999999</v>
      </c>
      <c r="G5" s="6">
        <f>E5+F5</f>
        <v>9.4771999999999998</v>
      </c>
      <c r="H5" s="95"/>
      <c r="I5" s="95">
        <v>0</v>
      </c>
      <c r="J5" s="95">
        <v>3.5249999999999999</v>
      </c>
    </row>
    <row r="6" spans="1:10">
      <c r="B6" s="95">
        <v>2099</v>
      </c>
      <c r="C6" s="95">
        <v>3.69</v>
      </c>
      <c r="D6" s="411" t="s">
        <v>1903</v>
      </c>
      <c r="E6" s="95">
        <v>7.31</v>
      </c>
      <c r="F6" s="6">
        <f t="shared" ref="F6:F12" si="0">E6*16%</f>
        <v>1.1696</v>
      </c>
      <c r="G6" s="6">
        <f t="shared" ref="G6:G12" si="1">E6+F6</f>
        <v>8.4795999999999996</v>
      </c>
      <c r="H6" s="95"/>
      <c r="I6" s="77">
        <v>0.30499999999999999</v>
      </c>
      <c r="J6" s="77">
        <v>3.3849999999999998</v>
      </c>
    </row>
    <row r="7" spans="1:10">
      <c r="B7" s="95">
        <v>19034</v>
      </c>
      <c r="C7" s="95">
        <v>4.0999999999999996</v>
      </c>
      <c r="D7" s="411" t="s">
        <v>1904</v>
      </c>
      <c r="E7" s="95">
        <v>7.68</v>
      </c>
      <c r="F7" s="6">
        <f t="shared" si="0"/>
        <v>1.2287999999999999</v>
      </c>
      <c r="G7" s="6">
        <f t="shared" si="1"/>
        <v>8.9087999999999994</v>
      </c>
      <c r="H7" s="95"/>
      <c r="I7" s="77">
        <v>1</v>
      </c>
      <c r="J7" s="77">
        <v>3.1</v>
      </c>
    </row>
    <row r="8" spans="1:10">
      <c r="B8" s="95">
        <v>2075</v>
      </c>
      <c r="C8" s="95">
        <v>3.43</v>
      </c>
      <c r="D8" s="411" t="s">
        <v>1905</v>
      </c>
      <c r="E8" s="95">
        <v>7.54</v>
      </c>
      <c r="F8" s="6">
        <f t="shared" si="0"/>
        <v>1.2064000000000001</v>
      </c>
      <c r="G8" s="6">
        <f t="shared" si="1"/>
        <v>8.7463999999999995</v>
      </c>
      <c r="H8" s="95"/>
      <c r="I8" s="77">
        <v>0.53500000000000003</v>
      </c>
      <c r="J8" s="77">
        <v>2.895</v>
      </c>
    </row>
    <row r="9" spans="1:10">
      <c r="B9" s="95">
        <v>4807</v>
      </c>
      <c r="C9" s="95">
        <v>3.25</v>
      </c>
      <c r="D9" s="411" t="s">
        <v>1906</v>
      </c>
      <c r="E9" s="95">
        <v>8.19</v>
      </c>
      <c r="F9" s="6">
        <f t="shared" si="0"/>
        <v>1.3104</v>
      </c>
      <c r="G9" s="6">
        <f t="shared" si="1"/>
        <v>9.5003999999999991</v>
      </c>
      <c r="H9" s="95"/>
      <c r="I9" s="95">
        <v>3.25</v>
      </c>
      <c r="J9" s="95">
        <v>2003.25</v>
      </c>
    </row>
    <row r="10" spans="1:10">
      <c r="B10" s="95">
        <v>1674</v>
      </c>
      <c r="C10" s="95">
        <v>3.13</v>
      </c>
      <c r="D10" s="411" t="s">
        <v>1907</v>
      </c>
      <c r="E10" s="95">
        <v>8.17</v>
      </c>
      <c r="F10" s="6">
        <f t="shared" si="0"/>
        <v>1.3071999999999999</v>
      </c>
      <c r="G10" s="6">
        <f t="shared" si="1"/>
        <v>9.4771999999999998</v>
      </c>
      <c r="H10" s="95"/>
      <c r="I10" s="95">
        <v>1.31</v>
      </c>
      <c r="J10" s="95">
        <v>1.82</v>
      </c>
    </row>
    <row r="11" spans="1:10">
      <c r="B11" s="95">
        <v>1825</v>
      </c>
      <c r="C11" s="95">
        <v>3.7050000000000001</v>
      </c>
      <c r="D11" s="411" t="s">
        <v>1908</v>
      </c>
      <c r="E11" s="95">
        <v>7.22</v>
      </c>
      <c r="F11" s="6">
        <f t="shared" si="0"/>
        <v>1.1552</v>
      </c>
      <c r="G11" s="6">
        <f t="shared" si="1"/>
        <v>8.3751999999999995</v>
      </c>
      <c r="H11" s="95"/>
      <c r="I11" s="77">
        <v>1</v>
      </c>
      <c r="J11" s="77">
        <v>2.70500000000114</v>
      </c>
    </row>
    <row r="12" spans="1:10">
      <c r="B12" s="95">
        <v>1834</v>
      </c>
      <c r="C12" s="95">
        <v>3.99</v>
      </c>
      <c r="D12" s="411" t="s">
        <v>1909</v>
      </c>
      <c r="E12" s="95">
        <v>8.25</v>
      </c>
      <c r="F12" s="6">
        <f t="shared" si="0"/>
        <v>1.32</v>
      </c>
      <c r="G12" s="6">
        <f t="shared" si="1"/>
        <v>9.57</v>
      </c>
      <c r="H12" s="95"/>
      <c r="I12" s="95">
        <v>0</v>
      </c>
      <c r="J12" s="95">
        <v>3.99</v>
      </c>
    </row>
    <row r="18" spans="10:10">
      <c r="J18" s="412">
        <v>0</v>
      </c>
    </row>
  </sheetData>
  <mergeCells count="1">
    <mergeCell ref="I3:J3"/>
  </mergeCells>
  <pageMargins left="0.7" right="0.7" top="0.75" bottom="0.75" header="0.3" footer="0.3"/>
  <pageSetup paperSize="11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3"/>
  <sheetViews>
    <sheetView workbookViewId="0">
      <selection activeCell="F19" sqref="F19"/>
    </sheetView>
  </sheetViews>
  <sheetFormatPr baseColWidth="10" defaultRowHeight="15"/>
  <cols>
    <col min="7" max="7" width="11.42578125" style="412"/>
    <col min="8" max="8" width="38.42578125" customWidth="1"/>
  </cols>
  <sheetData>
    <row r="4" spans="2:8">
      <c r="B4" s="478" t="s">
        <v>308</v>
      </c>
      <c r="C4" s="478" t="s">
        <v>1966</v>
      </c>
      <c r="D4" s="478" t="s">
        <v>0</v>
      </c>
      <c r="E4" s="478" t="s">
        <v>159</v>
      </c>
      <c r="F4" s="478" t="s">
        <v>620</v>
      </c>
      <c r="G4" s="478"/>
      <c r="H4" s="478" t="s">
        <v>1</v>
      </c>
    </row>
    <row r="5" spans="2:8">
      <c r="B5" s="478"/>
      <c r="C5" s="478"/>
      <c r="D5" s="478">
        <v>1692</v>
      </c>
      <c r="E5" s="478"/>
      <c r="F5" s="478">
        <v>6.2</v>
      </c>
      <c r="G5" s="478"/>
      <c r="H5" s="15" t="s">
        <v>1996</v>
      </c>
    </row>
    <row r="6" spans="2:8">
      <c r="B6" s="478"/>
      <c r="C6" s="478"/>
      <c r="D6" s="478">
        <v>1836</v>
      </c>
      <c r="E6" s="478"/>
      <c r="F6" s="478">
        <v>5.5</v>
      </c>
      <c r="G6" s="478"/>
      <c r="H6" s="15" t="s">
        <v>1997</v>
      </c>
    </row>
    <row r="7" spans="2:8">
      <c r="B7" s="478"/>
      <c r="C7" s="478"/>
      <c r="D7" s="478"/>
      <c r="E7" s="478"/>
      <c r="F7" s="478"/>
      <c r="G7" s="478"/>
      <c r="H7" s="478"/>
    </row>
    <row r="12" spans="2:8" ht="30">
      <c r="B12" s="444" t="s">
        <v>644</v>
      </c>
      <c r="C12" s="444" t="s">
        <v>2000</v>
      </c>
      <c r="D12" s="444" t="s">
        <v>1999</v>
      </c>
      <c r="E12" s="444" t="s">
        <v>2001</v>
      </c>
      <c r="F12" s="444" t="s">
        <v>636</v>
      </c>
      <c r="G12" s="444" t="s">
        <v>81</v>
      </c>
      <c r="H12" s="444" t="s">
        <v>951</v>
      </c>
    </row>
    <row r="13" spans="2:8">
      <c r="B13" s="683">
        <v>44490</v>
      </c>
      <c r="C13" s="23">
        <v>5734</v>
      </c>
      <c r="D13" s="23">
        <v>1692</v>
      </c>
      <c r="E13" s="23">
        <v>367.8</v>
      </c>
      <c r="F13" s="23">
        <v>6</v>
      </c>
      <c r="G13" s="23">
        <f>E13*F13</f>
        <v>2206.8000000000002</v>
      </c>
      <c r="H13" s="339" t="s">
        <v>1996</v>
      </c>
    </row>
  </sheetData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7:D22"/>
  <sheetViews>
    <sheetView workbookViewId="0">
      <selection activeCell="D14" sqref="D14"/>
    </sheetView>
  </sheetViews>
  <sheetFormatPr baseColWidth="10" defaultRowHeight="15"/>
  <cols>
    <col min="1" max="1" width="9.5703125" style="494" customWidth="1"/>
    <col min="2" max="2" width="48.140625" customWidth="1"/>
    <col min="3" max="3" width="17.42578125" style="509" customWidth="1"/>
    <col min="4" max="4" width="16.85546875" customWidth="1"/>
  </cols>
  <sheetData>
    <row r="7" spans="2:4" ht="60">
      <c r="B7" s="414" t="s">
        <v>3216</v>
      </c>
      <c r="C7" s="10" t="s">
        <v>24</v>
      </c>
      <c r="D7" s="10" t="s">
        <v>778</v>
      </c>
    </row>
    <row r="8" spans="2:4">
      <c r="B8" s="495" t="s">
        <v>765</v>
      </c>
      <c r="C8" s="842" t="s">
        <v>1933</v>
      </c>
      <c r="D8" s="495"/>
    </row>
    <row r="9" spans="2:4" hidden="1">
      <c r="B9" s="495" t="s">
        <v>766</v>
      </c>
      <c r="C9" s="842"/>
      <c r="D9" s="495"/>
    </row>
    <row r="10" spans="2:4">
      <c r="B10" s="495" t="s">
        <v>767</v>
      </c>
      <c r="C10" s="842" t="s">
        <v>2193</v>
      </c>
      <c r="D10" s="495"/>
    </row>
    <row r="11" spans="2:4" hidden="1">
      <c r="B11" s="495" t="s">
        <v>768</v>
      </c>
      <c r="C11" s="842"/>
      <c r="D11" s="495"/>
    </row>
    <row r="12" spans="2:4" hidden="1">
      <c r="B12" s="495" t="s">
        <v>769</v>
      </c>
      <c r="C12" s="842"/>
      <c r="D12" s="495"/>
    </row>
    <row r="13" spans="2:4" hidden="1">
      <c r="B13" s="495"/>
      <c r="C13" s="842"/>
      <c r="D13" s="495"/>
    </row>
    <row r="14" spans="2:4">
      <c r="B14" s="495" t="s">
        <v>770</v>
      </c>
      <c r="C14" s="842" t="s">
        <v>2193</v>
      </c>
      <c r="D14" s="495"/>
    </row>
    <row r="15" spans="2:4" hidden="1">
      <c r="B15" s="495" t="s">
        <v>771</v>
      </c>
      <c r="C15" s="842"/>
      <c r="D15" s="495"/>
    </row>
    <row r="16" spans="2:4" hidden="1">
      <c r="B16" s="495" t="s">
        <v>772</v>
      </c>
      <c r="C16" s="842"/>
      <c r="D16" s="495"/>
    </row>
    <row r="17" spans="2:4" hidden="1">
      <c r="B17" s="495"/>
      <c r="C17" s="842"/>
      <c r="D17" s="495"/>
    </row>
    <row r="18" spans="2:4" hidden="1">
      <c r="B18" s="495" t="s">
        <v>773</v>
      </c>
      <c r="C18" s="842"/>
      <c r="D18" s="495"/>
    </row>
    <row r="19" spans="2:4" hidden="1">
      <c r="B19" s="495" t="s">
        <v>774</v>
      </c>
      <c r="C19" s="842"/>
      <c r="D19" s="495"/>
    </row>
    <row r="20" spans="2:4" hidden="1">
      <c r="B20" s="495" t="s">
        <v>775</v>
      </c>
      <c r="C20" s="842"/>
      <c r="D20" s="495"/>
    </row>
    <row r="21" spans="2:4" hidden="1">
      <c r="B21" s="495" t="s">
        <v>776</v>
      </c>
      <c r="C21" s="842"/>
      <c r="D21" s="495"/>
    </row>
    <row r="22" spans="2:4">
      <c r="B22" s="495" t="s">
        <v>777</v>
      </c>
      <c r="C22" s="842" t="s">
        <v>2193</v>
      </c>
      <c r="D22" s="49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workbookViewId="0">
      <selection activeCell="C9" sqref="C9"/>
    </sheetView>
  </sheetViews>
  <sheetFormatPr baseColWidth="10" defaultRowHeight="15"/>
  <cols>
    <col min="2" max="4" width="11.42578125" customWidth="1"/>
    <col min="5" max="5" width="51.28515625" customWidth="1"/>
    <col min="6" max="6" width="17.5703125" customWidth="1"/>
    <col min="7" max="8" width="15.28515625" style="412" hidden="1" customWidth="1"/>
    <col min="9" max="9" width="13.42578125" customWidth="1"/>
    <col min="10" max="11" width="13.42578125" style="412" hidden="1" customWidth="1"/>
    <col min="12" max="12" width="11.42578125" customWidth="1"/>
    <col min="13" max="16" width="11.42578125" hidden="1" customWidth="1"/>
  </cols>
  <sheetData>
    <row r="2" spans="2:16">
      <c r="E2" t="s">
        <v>3096</v>
      </c>
    </row>
    <row r="3" spans="2:16">
      <c r="F3" s="891" t="s">
        <v>72</v>
      </c>
      <c r="G3" s="891"/>
      <c r="H3" s="891"/>
      <c r="I3" s="891"/>
      <c r="J3" s="891"/>
      <c r="K3" s="891"/>
      <c r="L3" s="891"/>
      <c r="M3" s="891"/>
      <c r="N3" s="891"/>
      <c r="O3" s="891"/>
      <c r="P3" s="891"/>
    </row>
    <row r="4" spans="2:16" ht="45">
      <c r="B4" s="95" t="s">
        <v>127</v>
      </c>
      <c r="C4" s="3" t="s">
        <v>1873</v>
      </c>
      <c r="D4" s="95" t="s">
        <v>620</v>
      </c>
      <c r="E4" s="95" t="s">
        <v>951</v>
      </c>
      <c r="F4" s="102" t="s">
        <v>24</v>
      </c>
      <c r="G4" s="102" t="s">
        <v>116</v>
      </c>
      <c r="H4" s="102" t="s">
        <v>117</v>
      </c>
      <c r="I4" s="102" t="s">
        <v>25</v>
      </c>
      <c r="J4" s="102" t="s">
        <v>116</v>
      </c>
      <c r="K4" s="102" t="s">
        <v>117</v>
      </c>
      <c r="L4" s="102" t="s">
        <v>26</v>
      </c>
      <c r="M4" s="102" t="s">
        <v>116</v>
      </c>
      <c r="N4" s="436" t="s">
        <v>117</v>
      </c>
      <c r="O4" s="102" t="s">
        <v>283</v>
      </c>
      <c r="P4" s="102" t="s">
        <v>1886</v>
      </c>
    </row>
    <row r="5" spans="2:16">
      <c r="B5" s="95">
        <v>6586</v>
      </c>
      <c r="C5" s="95">
        <v>20</v>
      </c>
      <c r="D5" s="6">
        <v>0.9</v>
      </c>
      <c r="E5" s="411" t="s">
        <v>22</v>
      </c>
      <c r="F5" s="95" t="s">
        <v>72</v>
      </c>
      <c r="G5" s="95">
        <v>636</v>
      </c>
      <c r="H5" s="95">
        <v>36</v>
      </c>
      <c r="I5" s="95" t="s">
        <v>72</v>
      </c>
      <c r="J5" s="95">
        <v>260</v>
      </c>
      <c r="K5" s="95">
        <v>0</v>
      </c>
      <c r="L5" s="14">
        <v>0</v>
      </c>
      <c r="M5" s="95">
        <v>200</v>
      </c>
      <c r="N5" s="29">
        <v>1395</v>
      </c>
      <c r="O5" s="95"/>
      <c r="P5" s="411"/>
    </row>
    <row r="6" spans="2:16">
      <c r="B6" s="95">
        <v>806</v>
      </c>
      <c r="C6" s="95">
        <v>12</v>
      </c>
      <c r="D6" s="6">
        <v>4.04</v>
      </c>
      <c r="E6" s="411" t="s">
        <v>1865</v>
      </c>
      <c r="F6" s="95" t="s">
        <v>628</v>
      </c>
      <c r="G6" s="95">
        <v>36</v>
      </c>
      <c r="H6" s="95">
        <v>3</v>
      </c>
      <c r="I6" s="95" t="s">
        <v>669</v>
      </c>
      <c r="J6" s="95">
        <v>6</v>
      </c>
      <c r="K6" s="95">
        <v>17</v>
      </c>
      <c r="L6" s="95" t="s">
        <v>669</v>
      </c>
      <c r="M6" s="95">
        <v>6</v>
      </c>
      <c r="N6" s="29">
        <v>17</v>
      </c>
      <c r="O6" s="95"/>
      <c r="P6" s="411"/>
    </row>
    <row r="7" spans="2:16">
      <c r="B7" s="95">
        <v>811</v>
      </c>
      <c r="C7" s="95">
        <v>20</v>
      </c>
      <c r="D7" s="6">
        <v>2.0499999999999998</v>
      </c>
      <c r="E7" s="411" t="s">
        <v>1866</v>
      </c>
      <c r="F7" s="95" t="s">
        <v>763</v>
      </c>
      <c r="G7" s="95">
        <v>35</v>
      </c>
      <c r="H7" s="95">
        <v>13</v>
      </c>
      <c r="I7" s="95" t="s">
        <v>763</v>
      </c>
      <c r="J7" s="95">
        <v>10</v>
      </c>
      <c r="K7" s="95">
        <v>8</v>
      </c>
      <c r="L7" s="95" t="s">
        <v>669</v>
      </c>
      <c r="M7" s="95">
        <v>10</v>
      </c>
      <c r="N7" s="29">
        <v>8</v>
      </c>
      <c r="O7" s="95"/>
      <c r="P7" s="411"/>
    </row>
    <row r="8" spans="2:16">
      <c r="B8" s="95">
        <v>10144</v>
      </c>
      <c r="C8" s="95">
        <v>20</v>
      </c>
      <c r="D8" s="6">
        <v>1.7</v>
      </c>
      <c r="E8" s="411" t="s">
        <v>1867</v>
      </c>
      <c r="F8" s="95" t="s">
        <v>669</v>
      </c>
      <c r="G8" s="95">
        <v>42</v>
      </c>
      <c r="H8" s="95">
        <v>38</v>
      </c>
      <c r="I8" s="95" t="s">
        <v>763</v>
      </c>
      <c r="J8" s="95">
        <v>6</v>
      </c>
      <c r="K8" s="95">
        <v>4</v>
      </c>
      <c r="L8" s="95" t="s">
        <v>763</v>
      </c>
      <c r="M8" s="95">
        <v>20</v>
      </c>
      <c r="N8" s="29">
        <v>0</v>
      </c>
      <c r="O8" s="95"/>
      <c r="P8" s="411"/>
    </row>
    <row r="9" spans="2:16">
      <c r="B9" s="95">
        <v>7615</v>
      </c>
      <c r="C9" s="95">
        <v>20</v>
      </c>
      <c r="D9" s="6">
        <v>1.64</v>
      </c>
      <c r="E9" s="411" t="s">
        <v>1868</v>
      </c>
      <c r="F9" s="95" t="s">
        <v>669</v>
      </c>
      <c r="G9" s="95">
        <v>8</v>
      </c>
      <c r="H9" s="95">
        <v>74</v>
      </c>
      <c r="I9" s="95" t="s">
        <v>763</v>
      </c>
      <c r="J9" s="95">
        <v>0</v>
      </c>
      <c r="K9" s="95">
        <v>0</v>
      </c>
      <c r="L9" s="95" t="s">
        <v>669</v>
      </c>
      <c r="M9" s="95">
        <v>2</v>
      </c>
      <c r="N9" s="29">
        <v>12</v>
      </c>
      <c r="O9" s="95"/>
      <c r="P9" s="411"/>
    </row>
    <row r="10" spans="2:16">
      <c r="B10" s="95">
        <v>14498</v>
      </c>
      <c r="C10" s="95">
        <v>72</v>
      </c>
      <c r="D10" s="6">
        <v>0.47</v>
      </c>
      <c r="E10" s="411" t="s">
        <v>1869</v>
      </c>
      <c r="F10" s="95" t="s">
        <v>669</v>
      </c>
      <c r="G10" s="95">
        <v>106</v>
      </c>
      <c r="H10" s="95">
        <v>114</v>
      </c>
      <c r="I10" s="95" t="s">
        <v>669</v>
      </c>
      <c r="J10" s="95">
        <v>6</v>
      </c>
      <c r="K10" s="95">
        <v>4</v>
      </c>
      <c r="L10" s="95" t="s">
        <v>763</v>
      </c>
      <c r="M10" s="95">
        <v>56</v>
      </c>
      <c r="N10" s="29">
        <v>19</v>
      </c>
      <c r="O10" s="95"/>
      <c r="P10" s="411"/>
    </row>
    <row r="11" spans="2:16">
      <c r="B11" s="95">
        <v>15355</v>
      </c>
      <c r="C11" s="95">
        <v>20</v>
      </c>
      <c r="D11" s="6">
        <v>1.43</v>
      </c>
      <c r="E11" s="411" t="s">
        <v>1870</v>
      </c>
      <c r="F11" s="95" t="s">
        <v>763</v>
      </c>
      <c r="G11" s="95">
        <v>9</v>
      </c>
      <c r="H11" s="95">
        <v>5</v>
      </c>
      <c r="I11" s="95" t="s">
        <v>763</v>
      </c>
      <c r="J11" s="95">
        <v>0</v>
      </c>
      <c r="K11" s="95">
        <v>0</v>
      </c>
      <c r="L11" s="95" t="s">
        <v>763</v>
      </c>
      <c r="M11" s="95">
        <v>7</v>
      </c>
      <c r="N11" s="29">
        <v>0</v>
      </c>
      <c r="O11" s="95"/>
      <c r="P11" s="411"/>
    </row>
    <row r="12" spans="2:16">
      <c r="B12" s="758">
        <v>15374</v>
      </c>
      <c r="C12" s="758">
        <v>72</v>
      </c>
      <c r="D12" s="6">
        <v>1.31</v>
      </c>
      <c r="E12" s="495" t="s">
        <v>1871</v>
      </c>
      <c r="F12" s="758" t="s">
        <v>669</v>
      </c>
      <c r="G12" s="758">
        <v>75</v>
      </c>
      <c r="H12" s="758">
        <v>131</v>
      </c>
      <c r="I12" s="758" t="s">
        <v>669</v>
      </c>
      <c r="J12" s="758">
        <v>0</v>
      </c>
      <c r="K12" s="758">
        <v>0</v>
      </c>
      <c r="L12" s="758" t="s">
        <v>669</v>
      </c>
      <c r="M12" s="758">
        <v>0</v>
      </c>
      <c r="N12" s="758">
        <v>0</v>
      </c>
      <c r="O12" s="758"/>
      <c r="P12" s="495"/>
    </row>
    <row r="13" spans="2:16">
      <c r="B13" s="758">
        <v>814</v>
      </c>
      <c r="C13" s="758">
        <v>20</v>
      </c>
      <c r="D13" s="6">
        <v>2.7</v>
      </c>
      <c r="E13" s="495" t="s">
        <v>1872</v>
      </c>
      <c r="F13" s="758" t="s">
        <v>669</v>
      </c>
      <c r="G13" s="758">
        <v>7</v>
      </c>
      <c r="H13" s="758">
        <v>16</v>
      </c>
      <c r="I13" s="758" t="s">
        <v>669</v>
      </c>
      <c r="J13" s="758">
        <v>0</v>
      </c>
      <c r="K13" s="758">
        <v>0</v>
      </c>
      <c r="L13" s="758" t="s">
        <v>669</v>
      </c>
      <c r="M13" s="758">
        <v>0</v>
      </c>
      <c r="N13" s="758">
        <v>0</v>
      </c>
      <c r="O13" s="758"/>
      <c r="P13" s="495"/>
    </row>
    <row r="14" spans="2:16" s="412" customFormat="1">
      <c r="B14" s="762">
        <v>20081</v>
      </c>
      <c r="C14" s="495"/>
      <c r="D14" s="495">
        <v>0.9</v>
      </c>
      <c r="E14" s="763" t="s">
        <v>3095</v>
      </c>
      <c r="F14" s="758" t="s">
        <v>3097</v>
      </c>
      <c r="G14" s="758">
        <v>4171</v>
      </c>
      <c r="H14" s="758">
        <v>830</v>
      </c>
      <c r="I14" s="758" t="s">
        <v>1884</v>
      </c>
      <c r="J14" s="758">
        <v>283</v>
      </c>
      <c r="K14" s="758">
        <v>77</v>
      </c>
      <c r="L14" s="95" t="s">
        <v>1884</v>
      </c>
      <c r="M14" s="758">
        <v>519</v>
      </c>
      <c r="N14" s="758">
        <v>81</v>
      </c>
      <c r="O14" s="758"/>
      <c r="P14" s="495"/>
    </row>
    <row r="15" spans="2:16" s="412" customFormat="1">
      <c r="E15" s="113"/>
      <c r="F15" s="426"/>
      <c r="G15" s="426"/>
      <c r="H15" s="426"/>
      <c r="I15" s="426"/>
      <c r="J15" s="426"/>
      <c r="K15" s="426"/>
      <c r="L15" s="426"/>
      <c r="M15" s="426"/>
      <c r="N15" s="426"/>
      <c r="O15" s="9"/>
    </row>
    <row r="16" spans="2:16">
      <c r="F16" s="891" t="s">
        <v>72</v>
      </c>
      <c r="G16" s="891"/>
      <c r="H16" s="891"/>
      <c r="I16" s="891"/>
      <c r="J16" s="891"/>
      <c r="K16" s="891"/>
      <c r="L16" s="891"/>
      <c r="M16" s="891"/>
      <c r="N16" s="891"/>
      <c r="O16" s="891"/>
      <c r="P16" s="891"/>
    </row>
    <row r="17" spans="2:16" ht="45">
      <c r="B17" s="95" t="s">
        <v>127</v>
      </c>
      <c r="C17" s="3" t="s">
        <v>1873</v>
      </c>
      <c r="D17" s="411" t="s">
        <v>620</v>
      </c>
      <c r="E17" s="95" t="s">
        <v>951</v>
      </c>
      <c r="F17" s="102" t="s">
        <v>24</v>
      </c>
      <c r="G17" s="102" t="s">
        <v>116</v>
      </c>
      <c r="H17" s="102" t="s">
        <v>117</v>
      </c>
      <c r="I17" s="102" t="s">
        <v>25</v>
      </c>
      <c r="J17" s="102" t="s">
        <v>116</v>
      </c>
      <c r="K17" s="102" t="s">
        <v>117</v>
      </c>
      <c r="L17" s="102" t="s">
        <v>26</v>
      </c>
      <c r="M17" s="102" t="s">
        <v>116</v>
      </c>
      <c r="N17" s="436" t="s">
        <v>117</v>
      </c>
      <c r="O17" s="102" t="s">
        <v>283</v>
      </c>
      <c r="P17" s="435" t="s">
        <v>1886</v>
      </c>
    </row>
    <row r="18" spans="2:16" s="412" customFormat="1">
      <c r="B18" s="95"/>
      <c r="C18" s="3">
        <v>48</v>
      </c>
      <c r="D18" s="411"/>
      <c r="E18" s="411" t="s">
        <v>1885</v>
      </c>
      <c r="F18" s="102">
        <v>5</v>
      </c>
      <c r="G18" s="102"/>
      <c r="H18" s="102"/>
      <c r="I18" s="102">
        <v>1</v>
      </c>
      <c r="J18" s="102"/>
      <c r="K18" s="102"/>
      <c r="L18" s="102">
        <v>1</v>
      </c>
      <c r="M18" s="102"/>
      <c r="N18" s="436"/>
      <c r="O18" s="23">
        <v>32.5</v>
      </c>
      <c r="P18" s="437">
        <f>O18/C18</f>
        <v>0.67708333333333337</v>
      </c>
    </row>
    <row r="19" spans="2:16">
      <c r="B19" s="95">
        <v>16317</v>
      </c>
      <c r="C19" s="95">
        <v>48</v>
      </c>
      <c r="D19" s="411">
        <v>0.68</v>
      </c>
      <c r="E19" s="411" t="s">
        <v>1875</v>
      </c>
      <c r="F19" s="23">
        <v>5</v>
      </c>
      <c r="G19" s="23">
        <v>121</v>
      </c>
      <c r="H19" s="23">
        <v>0</v>
      </c>
      <c r="I19" s="23" t="s">
        <v>669</v>
      </c>
      <c r="J19" s="23">
        <v>30</v>
      </c>
      <c r="K19" s="23">
        <v>3</v>
      </c>
      <c r="L19" s="23" t="s">
        <v>669</v>
      </c>
      <c r="M19" s="23">
        <v>43</v>
      </c>
      <c r="N19" s="438">
        <v>33</v>
      </c>
      <c r="O19" s="23">
        <v>36.75</v>
      </c>
      <c r="P19" s="437">
        <f t="shared" ref="P19:P27" si="0">O19/C19</f>
        <v>0.765625</v>
      </c>
    </row>
    <row r="20" spans="2:16">
      <c r="B20" s="95">
        <v>2797</v>
      </c>
      <c r="C20" s="95">
        <v>35</v>
      </c>
      <c r="D20" s="411">
        <v>0.48</v>
      </c>
      <c r="E20" s="411" t="s">
        <v>1876</v>
      </c>
      <c r="F20" s="23">
        <v>0</v>
      </c>
      <c r="G20" s="23">
        <v>45</v>
      </c>
      <c r="H20" s="23">
        <v>7</v>
      </c>
      <c r="I20" s="23"/>
      <c r="J20" s="23">
        <v>3</v>
      </c>
      <c r="K20" s="23">
        <v>43</v>
      </c>
      <c r="L20" s="23"/>
      <c r="M20" s="23">
        <v>1</v>
      </c>
      <c r="N20" s="438">
        <v>47</v>
      </c>
      <c r="O20" s="23">
        <v>12.5</v>
      </c>
      <c r="P20" s="437">
        <f t="shared" si="0"/>
        <v>0.35714285714285715</v>
      </c>
    </row>
    <row r="21" spans="2:16">
      <c r="B21" s="95">
        <v>16316</v>
      </c>
      <c r="C21" s="95">
        <v>20</v>
      </c>
      <c r="D21" s="411">
        <v>0.81</v>
      </c>
      <c r="E21" s="411" t="s">
        <v>1877</v>
      </c>
      <c r="F21" s="23" t="s">
        <v>2036</v>
      </c>
      <c r="G21" s="23">
        <v>1585</v>
      </c>
      <c r="H21" s="23">
        <v>1011</v>
      </c>
      <c r="I21" s="109" t="s">
        <v>668</v>
      </c>
      <c r="J21" s="23">
        <v>56</v>
      </c>
      <c r="K21" s="23">
        <v>79</v>
      </c>
      <c r="L21" s="23" t="s">
        <v>668</v>
      </c>
      <c r="M21" s="23">
        <v>146</v>
      </c>
      <c r="N21" s="438">
        <v>95</v>
      </c>
      <c r="O21" s="439">
        <v>20</v>
      </c>
      <c r="P21" s="437">
        <f t="shared" si="0"/>
        <v>1</v>
      </c>
    </row>
    <row r="22" spans="2:16">
      <c r="B22" s="95">
        <v>16319</v>
      </c>
      <c r="C22" s="95">
        <v>35</v>
      </c>
      <c r="D22" s="411">
        <v>0.48</v>
      </c>
      <c r="E22" s="411" t="s">
        <v>1878</v>
      </c>
      <c r="F22" s="23"/>
      <c r="G22" s="23">
        <v>24</v>
      </c>
      <c r="H22" s="23">
        <v>30</v>
      </c>
      <c r="I22" s="23"/>
      <c r="J22" s="23">
        <v>8</v>
      </c>
      <c r="K22" s="23">
        <v>30</v>
      </c>
      <c r="L22" s="23" t="s">
        <v>72</v>
      </c>
      <c r="M22" s="23">
        <v>8</v>
      </c>
      <c r="N22" s="438">
        <v>30</v>
      </c>
      <c r="O22" s="23">
        <v>12.5</v>
      </c>
      <c r="P22" s="437">
        <f t="shared" si="0"/>
        <v>0.35714285714285715</v>
      </c>
    </row>
    <row r="23" spans="2:16">
      <c r="B23" s="95">
        <v>16318</v>
      </c>
      <c r="C23" s="95">
        <v>35</v>
      </c>
      <c r="D23" s="411">
        <v>0.48</v>
      </c>
      <c r="E23" s="411" t="s">
        <v>1879</v>
      </c>
      <c r="F23" s="23"/>
      <c r="G23" s="23">
        <v>19</v>
      </c>
      <c r="H23" s="23">
        <v>0</v>
      </c>
      <c r="I23" s="23"/>
      <c r="J23" s="23">
        <v>16</v>
      </c>
      <c r="K23" s="23">
        <v>17</v>
      </c>
      <c r="L23" s="23"/>
      <c r="M23" s="23">
        <v>7</v>
      </c>
      <c r="N23" s="438">
        <v>35</v>
      </c>
      <c r="O23" s="23">
        <v>12.5</v>
      </c>
      <c r="P23" s="437">
        <f t="shared" si="0"/>
        <v>0.35714285714285715</v>
      </c>
    </row>
    <row r="24" spans="2:16">
      <c r="B24" s="95">
        <v>9209</v>
      </c>
      <c r="C24" s="95">
        <v>25</v>
      </c>
      <c r="D24" s="411">
        <v>1.5</v>
      </c>
      <c r="E24" s="411" t="s">
        <v>1880</v>
      </c>
      <c r="F24" s="23"/>
      <c r="G24" s="23"/>
      <c r="H24" s="23"/>
      <c r="I24" s="23"/>
      <c r="J24" s="23"/>
      <c r="K24" s="23"/>
      <c r="L24" s="23"/>
      <c r="M24" s="23"/>
      <c r="N24" s="438"/>
      <c r="O24" s="23"/>
      <c r="P24" s="437">
        <f t="shared" si="0"/>
        <v>0</v>
      </c>
    </row>
    <row r="25" spans="2:16">
      <c r="B25" s="95">
        <v>9207</v>
      </c>
      <c r="C25" s="95">
        <v>25</v>
      </c>
      <c r="D25" s="411">
        <v>1.75</v>
      </c>
      <c r="E25" s="411" t="s">
        <v>1881</v>
      </c>
      <c r="F25" s="23"/>
      <c r="G25" s="23"/>
      <c r="H25" s="23"/>
      <c r="I25" s="23"/>
      <c r="J25" s="23"/>
      <c r="K25" s="23"/>
      <c r="L25" s="23"/>
      <c r="M25" s="23"/>
      <c r="N25" s="438"/>
      <c r="O25" s="23"/>
      <c r="P25" s="437">
        <f t="shared" si="0"/>
        <v>0</v>
      </c>
    </row>
    <row r="26" spans="2:16">
      <c r="B26" s="95">
        <v>9198</v>
      </c>
      <c r="C26" s="95">
        <v>50</v>
      </c>
      <c r="D26" s="411">
        <v>0.88</v>
      </c>
      <c r="E26" s="411" t="s">
        <v>1882</v>
      </c>
      <c r="F26" s="23"/>
      <c r="G26" s="23"/>
      <c r="H26" s="23"/>
      <c r="I26" s="23"/>
      <c r="J26" s="23"/>
      <c r="K26" s="23"/>
      <c r="L26" s="23"/>
      <c r="M26" s="23"/>
      <c r="N26" s="438"/>
      <c r="O26" s="23"/>
      <c r="P26" s="437">
        <f t="shared" si="0"/>
        <v>0</v>
      </c>
    </row>
    <row r="27" spans="2:16">
      <c r="B27" s="95">
        <v>10853</v>
      </c>
      <c r="C27" s="95">
        <v>20</v>
      </c>
      <c r="D27" s="411">
        <v>1.25</v>
      </c>
      <c r="E27" s="411" t="s">
        <v>1883</v>
      </c>
      <c r="F27" s="23"/>
      <c r="G27" s="23"/>
      <c r="H27" s="23"/>
      <c r="I27" s="23"/>
      <c r="J27" s="23"/>
      <c r="K27" s="23"/>
      <c r="L27" s="23"/>
      <c r="M27" s="23"/>
      <c r="N27" s="438"/>
      <c r="O27" s="23"/>
      <c r="P27" s="437">
        <f t="shared" si="0"/>
        <v>0</v>
      </c>
    </row>
    <row r="33" spans="5:5">
      <c r="E33" t="s">
        <v>2037</v>
      </c>
    </row>
  </sheetData>
  <mergeCells count="2">
    <mergeCell ref="F16:P16"/>
    <mergeCell ref="F3:P3"/>
  </mergeCells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35"/>
  <sheetViews>
    <sheetView workbookViewId="0">
      <selection activeCell="C12" sqref="C12"/>
    </sheetView>
  </sheetViews>
  <sheetFormatPr baseColWidth="10" defaultRowHeight="15"/>
  <cols>
    <col min="2" max="2" width="11.42578125" style="494"/>
    <col min="3" max="3" width="40.5703125" customWidth="1"/>
    <col min="5" max="5" width="16.28515625" style="398" customWidth="1"/>
    <col min="6" max="6" width="11.140625" customWidth="1"/>
    <col min="7" max="7" width="11.42578125" hidden="1" customWidth="1"/>
    <col min="9" max="9" width="11.42578125" customWidth="1"/>
  </cols>
  <sheetData>
    <row r="1" spans="1:11">
      <c r="A1" t="s">
        <v>269</v>
      </c>
    </row>
    <row r="2" spans="1:11">
      <c r="A2" s="26"/>
      <c r="B2" s="26"/>
      <c r="C2" s="109" t="s">
        <v>269</v>
      </c>
      <c r="D2" s="26"/>
      <c r="E2" s="109"/>
      <c r="F2" s="26"/>
      <c r="G2" s="26"/>
      <c r="H2" s="26"/>
    </row>
    <row r="3" spans="1:11">
      <c r="A3" s="26"/>
      <c r="B3" s="26"/>
      <c r="C3" s="109" t="s">
        <v>1864</v>
      </c>
      <c r="D3" s="26"/>
      <c r="E3" s="109"/>
      <c r="F3" s="26"/>
      <c r="G3" s="26"/>
      <c r="H3" s="26"/>
    </row>
    <row r="4" spans="1:11" ht="75">
      <c r="A4" s="101" t="s">
        <v>276</v>
      </c>
      <c r="B4" s="110" t="s">
        <v>3151</v>
      </c>
      <c r="C4" s="110" t="s">
        <v>113</v>
      </c>
      <c r="D4" s="102" t="s">
        <v>24</v>
      </c>
      <c r="E4" s="102" t="s">
        <v>25</v>
      </c>
      <c r="F4" s="102" t="s">
        <v>26</v>
      </c>
      <c r="G4" s="102" t="s">
        <v>27</v>
      </c>
      <c r="H4" s="102" t="s">
        <v>28</v>
      </c>
      <c r="I4" s="3" t="s">
        <v>29</v>
      </c>
    </row>
    <row r="5" spans="1:11">
      <c r="A5" s="22">
        <v>2868</v>
      </c>
      <c r="B5" s="22">
        <v>1.2</v>
      </c>
      <c r="C5" s="22" t="s">
        <v>270</v>
      </c>
      <c r="D5" s="23" t="s">
        <v>1575</v>
      </c>
      <c r="E5" s="23" t="s">
        <v>72</v>
      </c>
      <c r="F5" s="23" t="s">
        <v>274</v>
      </c>
      <c r="G5" s="23"/>
      <c r="H5" s="23" t="s">
        <v>273</v>
      </c>
      <c r="I5" s="1"/>
    </row>
    <row r="6" spans="1:11">
      <c r="A6" s="22">
        <v>14985</v>
      </c>
      <c r="B6" s="22">
        <v>1.31</v>
      </c>
      <c r="C6" s="22" t="s">
        <v>271</v>
      </c>
      <c r="D6" s="23" t="s">
        <v>274</v>
      </c>
      <c r="E6" s="23" t="s">
        <v>72</v>
      </c>
      <c r="F6" s="23" t="s">
        <v>669</v>
      </c>
      <c r="G6" s="23"/>
      <c r="H6" s="23" t="s">
        <v>783</v>
      </c>
      <c r="I6" s="1"/>
    </row>
    <row r="7" spans="1:11">
      <c r="A7" s="22">
        <v>14986</v>
      </c>
      <c r="B7" s="22"/>
      <c r="C7" s="22" t="s">
        <v>272</v>
      </c>
      <c r="D7" s="23" t="s">
        <v>274</v>
      </c>
      <c r="E7" s="23" t="s">
        <v>72</v>
      </c>
      <c r="F7" s="23" t="s">
        <v>669</v>
      </c>
      <c r="G7" s="23"/>
      <c r="H7" s="23" t="s">
        <v>783</v>
      </c>
      <c r="I7" s="1"/>
    </row>
    <row r="9" spans="1:11" s="97" customFormat="1">
      <c r="B9" s="494"/>
      <c r="C9" s="443" t="s">
        <v>1662</v>
      </c>
      <c r="E9" s="398"/>
    </row>
    <row r="10" spans="1:11" s="97" customFormat="1">
      <c r="B10" s="494"/>
      <c r="C10" s="107">
        <v>4.43</v>
      </c>
      <c r="E10" s="398"/>
    </row>
    <row r="11" spans="1:11" s="97" customFormat="1">
      <c r="B11" s="494"/>
      <c r="C11" s="107">
        <v>8.86</v>
      </c>
      <c r="E11" s="398"/>
    </row>
    <row r="12" spans="1:11" s="97" customFormat="1">
      <c r="B12" s="494"/>
      <c r="C12" s="63">
        <f>+C11/C10</f>
        <v>2</v>
      </c>
      <c r="E12" s="398"/>
      <c r="F12" s="97">
        <v>40</v>
      </c>
      <c r="H12" s="97">
        <v>6</v>
      </c>
      <c r="I12" s="97">
        <f>+F12*H12</f>
        <v>240</v>
      </c>
      <c r="J12" s="97">
        <v>1340.26</v>
      </c>
      <c r="K12" s="63">
        <f>J12/I12</f>
        <v>5.5844166666666668</v>
      </c>
    </row>
    <row r="13" spans="1:11" s="97" customFormat="1">
      <c r="B13" s="494" t="s">
        <v>3152</v>
      </c>
      <c r="C13" s="63">
        <f>C12*10%</f>
        <v>0.2</v>
      </c>
      <c r="E13" s="398"/>
    </row>
    <row r="14" spans="1:11" s="97" customFormat="1">
      <c r="B14" s="494"/>
      <c r="C14" s="63">
        <f>C12-C13</f>
        <v>1.8</v>
      </c>
      <c r="E14" s="398"/>
    </row>
    <row r="15" spans="1:11" s="97" customFormat="1">
      <c r="B15" s="494"/>
      <c r="E15" s="398"/>
    </row>
    <row r="16" spans="1:11" s="97" customFormat="1">
      <c r="B16" s="494"/>
      <c r="E16" s="398"/>
    </row>
    <row r="17" spans="1:8">
      <c r="A17" s="26"/>
      <c r="B17" s="26"/>
      <c r="C17" s="109" t="s">
        <v>1562</v>
      </c>
      <c r="D17" s="26"/>
      <c r="E17" s="109"/>
      <c r="F17" s="26"/>
    </row>
    <row r="18" spans="1:8" ht="75">
      <c r="A18" s="100" t="s">
        <v>0</v>
      </c>
      <c r="B18" s="770"/>
      <c r="C18" s="110" t="s">
        <v>113</v>
      </c>
      <c r="D18" s="102" t="s">
        <v>24</v>
      </c>
      <c r="E18" s="102" t="s">
        <v>25</v>
      </c>
      <c r="F18" s="102" t="s">
        <v>26</v>
      </c>
      <c r="G18" s="3" t="s">
        <v>27</v>
      </c>
      <c r="H18" s="3" t="s">
        <v>28</v>
      </c>
    </row>
    <row r="19" spans="1:8">
      <c r="A19" s="22">
        <v>16223</v>
      </c>
      <c r="B19" s="22"/>
      <c r="C19" s="22" t="s">
        <v>779</v>
      </c>
      <c r="D19" s="23" t="s">
        <v>273</v>
      </c>
      <c r="E19" s="23" t="s">
        <v>275</v>
      </c>
      <c r="F19" s="22" t="s">
        <v>273</v>
      </c>
      <c r="G19" s="94"/>
      <c r="H19" s="94"/>
    </row>
    <row r="20" spans="1:8" s="97" customFormat="1">
      <c r="A20" s="111"/>
      <c r="B20" s="111"/>
      <c r="C20" s="111"/>
      <c r="D20" s="112"/>
      <c r="E20" s="112"/>
      <c r="F20" s="111"/>
      <c r="G20" s="113"/>
      <c r="H20" s="113"/>
    </row>
    <row r="21" spans="1:8" s="97" customFormat="1">
      <c r="A21" s="111"/>
      <c r="B21" s="111"/>
      <c r="C21" s="111"/>
      <c r="D21" s="112"/>
      <c r="E21" s="112"/>
      <c r="F21" s="111"/>
      <c r="G21" s="113"/>
      <c r="H21" s="113"/>
    </row>
    <row r="22" spans="1:8" s="97" customFormat="1">
      <c r="A22" s="111"/>
      <c r="B22" s="111"/>
      <c r="C22" s="111"/>
      <c r="D22" s="112"/>
      <c r="E22" s="112"/>
      <c r="F22" s="111"/>
      <c r="G22" s="113"/>
      <c r="H22" s="113"/>
    </row>
    <row r="23" spans="1:8" s="97" customFormat="1">
      <c r="A23" s="111"/>
      <c r="B23" s="111"/>
      <c r="C23" s="111"/>
      <c r="D23" s="112"/>
      <c r="E23" s="112"/>
      <c r="F23" s="111"/>
      <c r="G23" s="113"/>
      <c r="H23" s="113"/>
    </row>
    <row r="24" spans="1:8" s="97" customFormat="1">
      <c r="A24" s="111"/>
      <c r="B24" s="111"/>
      <c r="C24" s="111"/>
      <c r="D24" s="112"/>
      <c r="E24" s="112"/>
      <c r="F24" s="111"/>
      <c r="G24" s="113"/>
      <c r="H24" s="113"/>
    </row>
    <row r="25" spans="1:8" s="97" customFormat="1">
      <c r="A25" s="111"/>
      <c r="B25" s="111"/>
      <c r="C25" s="111"/>
      <c r="D25" s="112"/>
      <c r="E25" s="112"/>
      <c r="F25" s="111"/>
      <c r="G25" s="113"/>
      <c r="H25" s="113"/>
    </row>
    <row r="26" spans="1:8" s="97" customFormat="1">
      <c r="A26" s="111"/>
      <c r="B26" s="111"/>
      <c r="C26" s="111"/>
      <c r="D26" s="112"/>
      <c r="E26" s="112"/>
      <c r="F26" s="111"/>
      <c r="G26" s="113"/>
      <c r="H26" s="113"/>
    </row>
    <row r="27" spans="1:8" s="97" customFormat="1">
      <c r="A27" s="111"/>
      <c r="B27" s="111"/>
      <c r="C27" s="111"/>
      <c r="D27" s="112"/>
      <c r="E27" s="112"/>
      <c r="F27" s="111"/>
      <c r="G27" s="113"/>
      <c r="H27" s="113"/>
    </row>
    <row r="28" spans="1:8" s="97" customFormat="1">
      <c r="A28" s="111"/>
      <c r="B28" s="111"/>
      <c r="C28" s="111"/>
      <c r="D28" s="112"/>
      <c r="E28" s="112"/>
      <c r="F28" s="111"/>
      <c r="G28" s="113"/>
      <c r="H28" s="113"/>
    </row>
    <row r="29" spans="1:8" s="97" customFormat="1">
      <c r="A29" s="111"/>
      <c r="B29" s="111"/>
      <c r="C29" s="111"/>
      <c r="D29" s="112"/>
      <c r="E29" s="112"/>
      <c r="F29" s="111"/>
      <c r="G29" s="113"/>
      <c r="H29" s="113"/>
    </row>
    <row r="31" spans="1:8">
      <c r="A31" s="26"/>
      <c r="B31" s="26"/>
      <c r="C31" s="26" t="s">
        <v>782</v>
      </c>
      <c r="D31" s="26"/>
      <c r="E31" s="109"/>
      <c r="F31" s="26"/>
      <c r="G31" s="26"/>
      <c r="H31" s="26"/>
    </row>
    <row r="32" spans="1:8" ht="75">
      <c r="A32" s="100" t="s">
        <v>0</v>
      </c>
      <c r="B32" s="770"/>
      <c r="C32" s="110" t="s">
        <v>113</v>
      </c>
      <c r="D32" s="102" t="s">
        <v>24</v>
      </c>
      <c r="E32" s="102" t="s">
        <v>25</v>
      </c>
      <c r="F32" s="102" t="s">
        <v>26</v>
      </c>
      <c r="G32" s="102" t="s">
        <v>27</v>
      </c>
      <c r="H32" s="102" t="s">
        <v>28</v>
      </c>
    </row>
    <row r="33" spans="1:8">
      <c r="A33" s="22">
        <v>12805</v>
      </c>
      <c r="B33" s="114"/>
      <c r="C33" s="114" t="s">
        <v>780</v>
      </c>
      <c r="D33" s="22"/>
      <c r="E33" s="23" t="s">
        <v>784</v>
      </c>
      <c r="F33" s="22"/>
      <c r="G33" s="22"/>
      <c r="H33" s="22"/>
    </row>
    <row r="34" spans="1:8">
      <c r="A34" s="22">
        <v>16258</v>
      </c>
      <c r="B34" s="114"/>
      <c r="C34" s="114" t="s">
        <v>781</v>
      </c>
      <c r="D34" s="22"/>
      <c r="E34" s="23" t="s">
        <v>784</v>
      </c>
      <c r="F34" s="22"/>
      <c r="G34" s="22"/>
      <c r="H34" s="22"/>
    </row>
    <row r="35" spans="1:8">
      <c r="D35" s="94"/>
      <c r="E35" s="95"/>
      <c r="F35" s="94"/>
      <c r="G35" s="94"/>
      <c r="H35" s="9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V135"/>
  <sheetViews>
    <sheetView topLeftCell="A19" workbookViewId="0">
      <selection activeCell="I41" sqref="I41"/>
    </sheetView>
  </sheetViews>
  <sheetFormatPr baseColWidth="10" defaultRowHeight="15"/>
  <cols>
    <col min="1" max="1" width="7" customWidth="1"/>
    <col min="2" max="2" width="43" style="34" customWidth="1"/>
    <col min="3" max="3" width="8.85546875" style="38" customWidth="1"/>
    <col min="4" max="4" width="9.85546875" style="34" customWidth="1"/>
    <col min="5" max="5" width="14.5703125" style="382" hidden="1" customWidth="1"/>
    <col min="6" max="6" width="12.5703125" style="382" hidden="1" customWidth="1"/>
    <col min="7" max="7" width="13.42578125" style="382" hidden="1" customWidth="1"/>
    <col min="8" max="8" width="10" style="534" customWidth="1"/>
    <col min="9" max="9" width="13.42578125" style="514" customWidth="1"/>
    <col min="10" max="10" width="9.140625" style="534" hidden="1" customWidth="1"/>
    <col min="11" max="11" width="19.85546875" style="382" customWidth="1"/>
    <col min="12" max="12" width="19.85546875" style="426" customWidth="1"/>
    <col min="13" max="13" width="13.85546875" style="34" customWidth="1"/>
    <col min="14" max="14" width="12" style="34" customWidth="1"/>
    <col min="15" max="15" width="11.42578125" style="34" customWidth="1"/>
    <col min="18" max="18" width="11.85546875" bestFit="1" customWidth="1"/>
  </cols>
  <sheetData>
    <row r="1" spans="2:15" ht="15" customHeight="1">
      <c r="B1" s="2"/>
      <c r="C1" s="2"/>
      <c r="D1" s="2"/>
      <c r="E1" s="383"/>
      <c r="F1" s="383"/>
      <c r="G1" s="383"/>
      <c r="H1" s="525"/>
      <c r="I1" s="518"/>
      <c r="J1" s="525"/>
      <c r="K1" s="383"/>
      <c r="L1" s="427"/>
      <c r="M1" s="2"/>
      <c r="N1" s="2" t="s">
        <v>298</v>
      </c>
      <c r="O1" s="2" t="s">
        <v>295</v>
      </c>
    </row>
    <row r="2" spans="2:15">
      <c r="B2" s="2"/>
      <c r="C2" s="2"/>
      <c r="D2" s="2"/>
      <c r="E2" s="383"/>
      <c r="F2" s="383"/>
      <c r="G2" s="383"/>
      <c r="H2" s="525"/>
      <c r="I2" s="518"/>
      <c r="J2" s="525"/>
      <c r="K2" s="383"/>
      <c r="L2" s="427"/>
      <c r="M2" s="2"/>
      <c r="N2" s="2"/>
      <c r="O2" s="2"/>
    </row>
    <row r="3" spans="2:15">
      <c r="B3" s="39" t="s">
        <v>281</v>
      </c>
      <c r="C3" s="39" t="s">
        <v>300</v>
      </c>
      <c r="D3" s="39" t="s">
        <v>283</v>
      </c>
      <c r="E3" s="389"/>
      <c r="F3" s="389"/>
      <c r="G3" s="389"/>
      <c r="H3" s="526"/>
      <c r="I3" s="389"/>
      <c r="J3" s="526"/>
      <c r="K3" s="389"/>
      <c r="L3" s="389"/>
      <c r="M3" s="2"/>
      <c r="N3" s="2"/>
      <c r="O3" s="2"/>
    </row>
    <row r="4" spans="2:15">
      <c r="B4" s="3" t="s">
        <v>285</v>
      </c>
      <c r="C4" s="3">
        <f>D4</f>
        <v>2</v>
      </c>
      <c r="D4" s="3">
        <f>N4*O4</f>
        <v>2</v>
      </c>
      <c r="E4" s="390"/>
      <c r="F4" s="390"/>
      <c r="G4" s="390"/>
      <c r="H4" s="527"/>
      <c r="I4" s="390"/>
      <c r="J4" s="527"/>
      <c r="K4" s="390"/>
      <c r="L4" s="390"/>
      <c r="M4" s="2"/>
      <c r="N4" s="2">
        <v>2</v>
      </c>
      <c r="O4" s="2">
        <v>1</v>
      </c>
    </row>
    <row r="5" spans="2:15">
      <c r="B5" s="3" t="s">
        <v>284</v>
      </c>
      <c r="C5" s="3">
        <f>N5</f>
        <v>2</v>
      </c>
      <c r="D5" s="3">
        <f>O5*N5</f>
        <v>0.7</v>
      </c>
      <c r="E5" s="390"/>
      <c r="F5" s="390"/>
      <c r="G5" s="390"/>
      <c r="H5" s="527"/>
      <c r="I5" s="390"/>
      <c r="J5" s="527"/>
      <c r="K5" s="390"/>
      <c r="L5" s="390"/>
      <c r="M5" s="2"/>
      <c r="N5" s="2">
        <v>2</v>
      </c>
      <c r="O5" s="2">
        <v>0.35</v>
      </c>
    </row>
    <row r="6" spans="2:15">
      <c r="B6" s="3" t="s">
        <v>331</v>
      </c>
      <c r="C6" s="3">
        <f>N6</f>
        <v>4</v>
      </c>
      <c r="D6" s="3">
        <f>O6*N6</f>
        <v>3.92</v>
      </c>
      <c r="E6" s="390"/>
      <c r="F6" s="390"/>
      <c r="G6" s="390"/>
      <c r="H6" s="527"/>
      <c r="I6" s="390"/>
      <c r="J6" s="527"/>
      <c r="K6" s="390"/>
      <c r="L6" s="390"/>
      <c r="M6" s="2"/>
      <c r="N6" s="2">
        <v>4</v>
      </c>
      <c r="O6" s="2">
        <v>0.98</v>
      </c>
    </row>
    <row r="7" spans="2:15" ht="30">
      <c r="B7" s="3" t="s">
        <v>286</v>
      </c>
      <c r="C7" s="3">
        <f>N7</f>
        <v>0.25</v>
      </c>
      <c r="D7" s="44">
        <f>O7*N7</f>
        <v>1.1915</v>
      </c>
      <c r="E7" s="391"/>
      <c r="F7" s="391"/>
      <c r="G7" s="391"/>
      <c r="H7" s="527"/>
      <c r="I7" s="391"/>
      <c r="J7" s="527"/>
      <c r="K7" s="391"/>
      <c r="L7" s="391"/>
      <c r="M7" s="2"/>
      <c r="N7" s="2">
        <v>0.25</v>
      </c>
      <c r="O7" s="2">
        <v>4.766</v>
      </c>
    </row>
    <row r="8" spans="2:15">
      <c r="B8" s="3" t="s">
        <v>287</v>
      </c>
      <c r="C8" s="3">
        <f>N8</f>
        <v>0.25</v>
      </c>
      <c r="D8" s="44">
        <f>O8*N8</f>
        <v>0.7</v>
      </c>
      <c r="E8" s="391"/>
      <c r="F8" s="391"/>
      <c r="G8" s="391"/>
      <c r="H8" s="527"/>
      <c r="I8" s="391"/>
      <c r="J8" s="527"/>
      <c r="K8" s="391"/>
      <c r="L8" s="391"/>
      <c r="M8" s="2"/>
      <c r="N8" s="2">
        <v>0.25</v>
      </c>
      <c r="O8" s="2">
        <v>2.8</v>
      </c>
    </row>
    <row r="9" spans="2:15" ht="30">
      <c r="B9" s="3" t="s">
        <v>323</v>
      </c>
      <c r="C9" s="3">
        <f>N9</f>
        <v>5</v>
      </c>
      <c r="D9" s="44">
        <f t="shared" ref="D9:D16" si="0">O9*N9</f>
        <v>25</v>
      </c>
      <c r="E9" s="391"/>
      <c r="F9" s="391"/>
      <c r="G9" s="391"/>
      <c r="H9" s="527"/>
      <c r="I9" s="391"/>
      <c r="J9" s="527"/>
      <c r="K9" s="391"/>
      <c r="L9" s="391"/>
      <c r="M9" s="2"/>
      <c r="N9" s="2">
        <v>5</v>
      </c>
      <c r="O9" s="2">
        <v>5</v>
      </c>
    </row>
    <row r="10" spans="2:15">
      <c r="B10" s="3" t="s">
        <v>288</v>
      </c>
      <c r="C10" s="3">
        <f t="shared" ref="C10:C16" si="1">N10</f>
        <v>5</v>
      </c>
      <c r="D10" s="44">
        <f t="shared" si="0"/>
        <v>20</v>
      </c>
      <c r="E10" s="391"/>
      <c r="F10" s="391"/>
      <c r="G10" s="391"/>
      <c r="H10" s="527"/>
      <c r="I10" s="391"/>
      <c r="J10" s="527"/>
      <c r="K10" s="391"/>
      <c r="L10" s="391"/>
      <c r="M10" s="2"/>
      <c r="N10" s="2">
        <v>5</v>
      </c>
      <c r="O10" s="2">
        <v>4</v>
      </c>
    </row>
    <row r="11" spans="2:15">
      <c r="B11" s="3" t="s">
        <v>289</v>
      </c>
      <c r="C11" s="3">
        <f t="shared" si="1"/>
        <v>2</v>
      </c>
      <c r="D11" s="44">
        <f t="shared" si="0"/>
        <v>9.9</v>
      </c>
      <c r="E11" s="391"/>
      <c r="F11" s="391"/>
      <c r="G11" s="391"/>
      <c r="H11" s="527"/>
      <c r="I11" s="391"/>
      <c r="J11" s="527"/>
      <c r="K11" s="391"/>
      <c r="L11" s="391"/>
      <c r="M11" s="2"/>
      <c r="N11" s="2">
        <v>2</v>
      </c>
      <c r="O11" s="2">
        <v>4.95</v>
      </c>
    </row>
    <row r="12" spans="2:15">
      <c r="B12" s="3" t="s">
        <v>290</v>
      </c>
      <c r="C12" s="3">
        <f t="shared" si="1"/>
        <v>2</v>
      </c>
      <c r="D12" s="44">
        <f t="shared" si="0"/>
        <v>2</v>
      </c>
      <c r="E12" s="391"/>
      <c r="F12" s="391"/>
      <c r="G12" s="391"/>
      <c r="H12" s="527"/>
      <c r="I12" s="391"/>
      <c r="J12" s="527"/>
      <c r="K12" s="391"/>
      <c r="L12" s="391"/>
      <c r="M12" s="2"/>
      <c r="N12" s="2">
        <v>2</v>
      </c>
      <c r="O12" s="2">
        <v>1</v>
      </c>
    </row>
    <row r="13" spans="2:15">
      <c r="B13" s="3" t="s">
        <v>291</v>
      </c>
      <c r="C13" s="3">
        <f t="shared" si="1"/>
        <v>2</v>
      </c>
      <c r="D13" s="44">
        <f t="shared" si="0"/>
        <v>1.22</v>
      </c>
      <c r="E13" s="391"/>
      <c r="F13" s="391"/>
      <c r="G13" s="391"/>
      <c r="H13" s="527"/>
      <c r="I13" s="391"/>
      <c r="J13" s="527"/>
      <c r="K13" s="391"/>
      <c r="L13" s="391"/>
      <c r="M13" s="2"/>
      <c r="N13" s="2">
        <v>2</v>
      </c>
      <c r="O13" s="2">
        <v>0.61</v>
      </c>
    </row>
    <row r="14" spans="2:15">
      <c r="B14" s="3" t="s">
        <v>292</v>
      </c>
      <c r="C14" s="3">
        <f t="shared" si="1"/>
        <v>2</v>
      </c>
      <c r="D14" s="44">
        <f t="shared" si="0"/>
        <v>1.28</v>
      </c>
      <c r="E14" s="391"/>
      <c r="F14" s="391"/>
      <c r="G14" s="391"/>
      <c r="H14" s="527"/>
      <c r="I14" s="391"/>
      <c r="J14" s="527"/>
      <c r="K14" s="391"/>
      <c r="L14" s="391"/>
      <c r="M14" s="2"/>
      <c r="N14" s="2">
        <v>2</v>
      </c>
      <c r="O14" s="2">
        <v>0.64</v>
      </c>
    </row>
    <row r="15" spans="2:15">
      <c r="B15" s="3" t="s">
        <v>293</v>
      </c>
      <c r="C15" s="3">
        <f t="shared" si="1"/>
        <v>1</v>
      </c>
      <c r="D15" s="44">
        <f t="shared" si="0"/>
        <v>1.52</v>
      </c>
      <c r="E15" s="391"/>
      <c r="F15" s="391"/>
      <c r="G15" s="391"/>
      <c r="H15" s="527"/>
      <c r="I15" s="391"/>
      <c r="J15" s="527"/>
      <c r="K15" s="391"/>
      <c r="L15" s="391"/>
      <c r="M15" s="2"/>
      <c r="N15" s="2">
        <v>1</v>
      </c>
      <c r="O15" s="2">
        <v>1.52</v>
      </c>
    </row>
    <row r="16" spans="2:15">
      <c r="B16" s="3" t="s">
        <v>294</v>
      </c>
      <c r="C16" s="3">
        <f t="shared" si="1"/>
        <v>1</v>
      </c>
      <c r="D16" s="44">
        <f t="shared" si="0"/>
        <v>5.5</v>
      </c>
      <c r="E16" s="391"/>
      <c r="F16" s="391"/>
      <c r="G16" s="391"/>
      <c r="H16" s="527"/>
      <c r="I16" s="391"/>
      <c r="J16" s="527"/>
      <c r="K16" s="391"/>
      <c r="L16" s="391"/>
      <c r="M16" s="2"/>
      <c r="N16" s="2">
        <v>1</v>
      </c>
      <c r="O16" s="2">
        <v>5.5</v>
      </c>
    </row>
    <row r="17" spans="2:15">
      <c r="B17" s="2"/>
      <c r="C17" s="2"/>
      <c r="D17" s="45">
        <f>SUM(D4:D16)</f>
        <v>74.931499999999986</v>
      </c>
      <c r="E17" s="45"/>
      <c r="F17" s="45"/>
      <c r="G17" s="45"/>
      <c r="H17" s="525"/>
      <c r="I17" s="45"/>
      <c r="J17" s="525"/>
      <c r="K17" s="45"/>
      <c r="L17" s="45"/>
      <c r="M17" s="2"/>
      <c r="N17" s="2"/>
      <c r="O17" s="2"/>
    </row>
    <row r="18" spans="2:15">
      <c r="B18" s="2"/>
      <c r="C18" s="2"/>
      <c r="D18" s="2"/>
      <c r="E18" s="383"/>
      <c r="F18" s="383"/>
      <c r="G18" s="383"/>
      <c r="H18" s="525"/>
      <c r="I18" s="518"/>
      <c r="J18" s="525"/>
      <c r="K18" s="383"/>
      <c r="L18" s="427"/>
      <c r="M18" s="2"/>
      <c r="N18" s="2"/>
      <c r="O18" s="2"/>
    </row>
    <row r="19" spans="2:15" s="412" customFormat="1">
      <c r="B19" s="423"/>
      <c r="C19" s="423"/>
      <c r="D19" s="423"/>
      <c r="E19" s="423"/>
      <c r="F19" s="423"/>
      <c r="G19" s="423"/>
      <c r="H19" s="525"/>
      <c r="I19" s="518"/>
      <c r="J19" s="525"/>
      <c r="K19" s="423"/>
      <c r="L19" s="427"/>
      <c r="M19" s="423"/>
      <c r="N19" s="423"/>
      <c r="O19" s="423"/>
    </row>
    <row r="20" spans="2:15" s="412" customFormat="1">
      <c r="B20" s="423"/>
      <c r="C20" s="423"/>
      <c r="D20" s="423"/>
      <c r="E20" s="423"/>
      <c r="F20" s="423"/>
      <c r="G20" s="423"/>
      <c r="H20" s="525"/>
      <c r="I20" s="518"/>
      <c r="J20" s="525"/>
      <c r="K20" s="423"/>
      <c r="L20" s="427"/>
      <c r="M20" s="423"/>
      <c r="N20" s="423"/>
      <c r="O20" s="423"/>
    </row>
    <row r="21" spans="2:15" s="412" customFormat="1">
      <c r="B21" s="423"/>
      <c r="C21" s="423"/>
      <c r="D21" s="423"/>
      <c r="E21" s="423"/>
      <c r="F21" s="423"/>
      <c r="G21" s="423"/>
      <c r="H21" s="525"/>
      <c r="I21" s="518"/>
      <c r="J21" s="525"/>
      <c r="K21" s="423"/>
      <c r="L21" s="427"/>
      <c r="M21" s="423"/>
      <c r="N21" s="423"/>
      <c r="O21" s="423"/>
    </row>
    <row r="22" spans="2:15" s="412" customFormat="1">
      <c r="B22" s="423"/>
      <c r="C22" s="423"/>
      <c r="D22" s="423"/>
      <c r="E22" s="423"/>
      <c r="F22" s="423"/>
      <c r="G22" s="423"/>
      <c r="H22" s="525"/>
      <c r="I22" s="518"/>
      <c r="J22" s="525"/>
      <c r="K22" s="423"/>
      <c r="L22" s="427"/>
      <c r="M22" s="423"/>
      <c r="N22" s="423"/>
      <c r="O22" s="423"/>
    </row>
    <row r="23" spans="2:15" s="412" customFormat="1">
      <c r="B23" s="423"/>
      <c r="C23" s="423"/>
      <c r="D23" s="423"/>
      <c r="E23" s="423"/>
      <c r="F23" s="423"/>
      <c r="G23" s="423"/>
      <c r="H23" s="525"/>
      <c r="I23" s="518"/>
      <c r="J23" s="525"/>
      <c r="K23" s="423"/>
      <c r="L23" s="427"/>
      <c r="M23" s="423"/>
      <c r="N23" s="423"/>
      <c r="O23" s="423"/>
    </row>
    <row r="24" spans="2:15" s="412" customFormat="1">
      <c r="B24" s="423"/>
      <c r="C24" s="423"/>
      <c r="D24" s="423"/>
      <c r="E24" s="423"/>
      <c r="F24" s="423"/>
      <c r="G24" s="423"/>
      <c r="H24" s="525"/>
      <c r="I24" s="518"/>
      <c r="J24" s="525"/>
      <c r="K24" s="423"/>
      <c r="L24" s="427"/>
      <c r="M24" s="423"/>
      <c r="N24" s="423"/>
      <c r="O24" s="423"/>
    </row>
    <row r="25" spans="2:15">
      <c r="B25" s="2"/>
      <c r="C25" s="2"/>
      <c r="D25" s="2"/>
      <c r="E25" s="383"/>
      <c r="F25" s="383"/>
      <c r="G25" s="383"/>
      <c r="H25" s="525"/>
      <c r="I25" s="518"/>
      <c r="J25" s="525"/>
      <c r="K25" s="383"/>
      <c r="L25" s="427"/>
      <c r="M25" s="2"/>
      <c r="N25" s="2"/>
      <c r="O25" s="2"/>
    </row>
    <row r="26" spans="2:15">
      <c r="K26" s="537"/>
      <c r="L26" s="653" t="s">
        <v>2765</v>
      </c>
      <c r="M26" s="537"/>
      <c r="N26" s="2"/>
      <c r="O26" s="2"/>
    </row>
    <row r="27" spans="2:15" ht="30">
      <c r="B27" s="355" t="s">
        <v>2234</v>
      </c>
      <c r="C27" s="355" t="s">
        <v>1863</v>
      </c>
      <c r="D27" s="355" t="s">
        <v>2232</v>
      </c>
      <c r="E27" s="355" t="s">
        <v>300</v>
      </c>
      <c r="F27" s="355" t="s">
        <v>283</v>
      </c>
      <c r="G27" s="654" t="s">
        <v>1892</v>
      </c>
      <c r="H27" s="355" t="s">
        <v>75</v>
      </c>
      <c r="I27" s="654"/>
      <c r="J27" s="655" t="s">
        <v>2235</v>
      </c>
      <c r="K27" s="3" t="s">
        <v>1891</v>
      </c>
      <c r="L27" s="440">
        <v>0.15</v>
      </c>
      <c r="M27" s="3" t="s">
        <v>1890</v>
      </c>
      <c r="N27" s="2"/>
      <c r="O27" s="2"/>
    </row>
    <row r="28" spans="2:15" s="412" customFormat="1" ht="30" hidden="1">
      <c r="B28" s="647" t="s">
        <v>1888</v>
      </c>
      <c r="C28" s="648">
        <v>1</v>
      </c>
      <c r="D28" s="598">
        <v>0</v>
      </c>
      <c r="E28" s="649"/>
      <c r="F28" s="649"/>
      <c r="G28" s="598"/>
      <c r="H28" s="656"/>
      <c r="I28" s="598"/>
      <c r="J28" s="656"/>
      <c r="K28" s="44">
        <v>5.98</v>
      </c>
      <c r="L28" s="44">
        <f>K28*15%</f>
        <v>0.89700000000000002</v>
      </c>
      <c r="M28" s="44">
        <f>K28+L28</f>
        <v>6.8770000000000007</v>
      </c>
      <c r="N28" s="423"/>
      <c r="O28" s="423" t="s">
        <v>1889</v>
      </c>
    </row>
    <row r="29" spans="2:15" hidden="1">
      <c r="B29" s="648" t="s">
        <v>2230</v>
      </c>
      <c r="C29" s="648">
        <v>1</v>
      </c>
      <c r="D29" s="598">
        <v>0</v>
      </c>
      <c r="E29" s="657"/>
      <c r="F29" s="657"/>
      <c r="G29" s="647"/>
      <c r="H29" s="319"/>
      <c r="I29" s="647"/>
      <c r="J29" s="319"/>
      <c r="K29" s="95">
        <v>6</v>
      </c>
      <c r="L29" s="44">
        <f t="shared" ref="L29:L39" si="2">K29*15%</f>
        <v>0.89999999999999991</v>
      </c>
      <c r="M29" s="44">
        <f t="shared" ref="M29:M39" si="3">K29+L29</f>
        <v>6.9</v>
      </c>
      <c r="N29" s="2"/>
      <c r="O29" s="2">
        <v>9.4559999999999995</v>
      </c>
    </row>
    <row r="30" spans="2:15" ht="30" hidden="1">
      <c r="B30" s="356" t="s">
        <v>2231</v>
      </c>
      <c r="C30" s="356">
        <v>1</v>
      </c>
      <c r="D30" s="658">
        <v>0</v>
      </c>
      <c r="E30" s="658"/>
      <c r="F30" s="658"/>
      <c r="G30" s="658"/>
      <c r="H30" s="659">
        <v>0</v>
      </c>
      <c r="I30" s="658" t="s">
        <v>2233</v>
      </c>
      <c r="J30" s="659">
        <v>0</v>
      </c>
      <c r="K30" s="44">
        <v>6</v>
      </c>
      <c r="L30" s="44">
        <v>0</v>
      </c>
      <c r="M30" s="44">
        <f t="shared" si="3"/>
        <v>6</v>
      </c>
      <c r="N30" s="2"/>
      <c r="O30" s="2">
        <v>7.5</v>
      </c>
    </row>
    <row r="31" spans="2:15" ht="30" hidden="1">
      <c r="B31" s="356" t="s">
        <v>328</v>
      </c>
      <c r="C31" s="660">
        <v>0.5</v>
      </c>
      <c r="D31" s="658">
        <v>0</v>
      </c>
      <c r="E31" s="658"/>
      <c r="F31" s="658"/>
      <c r="G31" s="658"/>
      <c r="H31" s="659">
        <v>0</v>
      </c>
      <c r="I31" s="658"/>
      <c r="J31" s="659">
        <f t="shared" ref="J31:J36" si="4">H31*D31</f>
        <v>0</v>
      </c>
      <c r="K31" s="44">
        <v>8.6999999999999993</v>
      </c>
      <c r="L31" s="44">
        <v>0</v>
      </c>
      <c r="M31" s="44">
        <f t="shared" si="3"/>
        <v>8.6999999999999993</v>
      </c>
      <c r="N31" s="2"/>
      <c r="O31" s="2">
        <v>8.6999999999999993</v>
      </c>
    </row>
    <row r="32" spans="2:15" hidden="1">
      <c r="B32" s="356" t="s">
        <v>1887</v>
      </c>
      <c r="C32" s="660">
        <v>0.5</v>
      </c>
      <c r="D32" s="658">
        <f>M32*0.5</f>
        <v>2.093</v>
      </c>
      <c r="E32" s="658"/>
      <c r="F32" s="658"/>
      <c r="G32" s="658"/>
      <c r="H32" s="659">
        <v>0</v>
      </c>
      <c r="I32" s="658">
        <f>D32*H32</f>
        <v>0</v>
      </c>
      <c r="J32" s="659">
        <v>0</v>
      </c>
      <c r="K32" s="44">
        <v>3.64</v>
      </c>
      <c r="L32" s="44">
        <f t="shared" si="2"/>
        <v>0.54600000000000004</v>
      </c>
      <c r="M32" s="44">
        <f t="shared" si="3"/>
        <v>4.1859999999999999</v>
      </c>
      <c r="N32" s="2"/>
      <c r="O32" s="2">
        <f>O7</f>
        <v>4.766</v>
      </c>
    </row>
    <row r="33" spans="2:15" ht="30" hidden="1">
      <c r="B33" s="356" t="s">
        <v>1894</v>
      </c>
      <c r="C33" s="660">
        <v>0.25</v>
      </c>
      <c r="D33" s="658">
        <v>0</v>
      </c>
      <c r="E33" s="658"/>
      <c r="F33" s="658"/>
      <c r="G33" s="658"/>
      <c r="H33" s="659">
        <v>0</v>
      </c>
      <c r="I33" s="658">
        <f t="shared" ref="I33:I38" si="5">D33*H33</f>
        <v>0</v>
      </c>
      <c r="J33" s="659">
        <f t="shared" si="4"/>
        <v>0</v>
      </c>
      <c r="K33" s="44">
        <v>3.6</v>
      </c>
      <c r="L33" s="44">
        <v>0</v>
      </c>
      <c r="M33" s="44">
        <f t="shared" si="3"/>
        <v>3.6</v>
      </c>
      <c r="N33" s="2"/>
      <c r="O33" s="2">
        <v>3.6</v>
      </c>
    </row>
    <row r="34" spans="2:15" ht="30">
      <c r="B34" s="356" t="s">
        <v>3147</v>
      </c>
      <c r="C34" s="660">
        <v>0.25</v>
      </c>
      <c r="D34" s="658">
        <f>M34*0.25</f>
        <v>2.7053750000000001</v>
      </c>
      <c r="E34" s="658"/>
      <c r="F34" s="658"/>
      <c r="G34" s="658"/>
      <c r="H34" s="659">
        <v>1500</v>
      </c>
      <c r="I34" s="658">
        <f>H34*2.71</f>
        <v>4065</v>
      </c>
      <c r="J34" s="659">
        <f t="shared" si="4"/>
        <v>4058.0625</v>
      </c>
      <c r="K34" s="44">
        <v>9.41</v>
      </c>
      <c r="L34" s="44">
        <f>K34*15%</f>
        <v>1.4115</v>
      </c>
      <c r="M34" s="44">
        <f t="shared" si="3"/>
        <v>10.8215</v>
      </c>
      <c r="N34" s="2"/>
      <c r="O34" s="2">
        <v>18.399999999999999</v>
      </c>
    </row>
    <row r="35" spans="2:15" hidden="1">
      <c r="B35" s="356" t="s">
        <v>1893</v>
      </c>
      <c r="C35" s="660">
        <v>0.25</v>
      </c>
      <c r="D35" s="658">
        <v>0</v>
      </c>
      <c r="E35" s="659">
        <v>1500</v>
      </c>
      <c r="F35" s="659">
        <f>D35*E35</f>
        <v>0</v>
      </c>
      <c r="G35" s="658"/>
      <c r="H35" s="659">
        <v>0</v>
      </c>
      <c r="I35" s="658">
        <f t="shared" si="5"/>
        <v>0</v>
      </c>
      <c r="J35" s="659">
        <v>0</v>
      </c>
      <c r="K35" s="44">
        <v>3.2</v>
      </c>
      <c r="L35" s="44">
        <f t="shared" si="2"/>
        <v>0.48</v>
      </c>
      <c r="M35" s="44">
        <f t="shared" si="3"/>
        <v>3.68</v>
      </c>
      <c r="N35" s="2"/>
      <c r="O35" s="2">
        <v>4.05</v>
      </c>
    </row>
    <row r="36" spans="2:15" hidden="1">
      <c r="B36" s="356" t="s">
        <v>329</v>
      </c>
      <c r="C36" s="356">
        <v>1</v>
      </c>
      <c r="D36" s="658">
        <v>0</v>
      </c>
      <c r="E36" s="658"/>
      <c r="F36" s="658"/>
      <c r="G36" s="658"/>
      <c r="H36" s="659">
        <v>0</v>
      </c>
      <c r="I36" s="658">
        <f t="shared" si="5"/>
        <v>0</v>
      </c>
      <c r="J36" s="659">
        <f t="shared" si="4"/>
        <v>0</v>
      </c>
      <c r="K36" s="44">
        <v>2.87</v>
      </c>
      <c r="L36" s="44">
        <f t="shared" si="2"/>
        <v>0.43049999999999999</v>
      </c>
      <c r="M36" s="44">
        <f t="shared" si="3"/>
        <v>3.3005</v>
      </c>
      <c r="N36" s="2"/>
      <c r="O36" s="2">
        <v>3</v>
      </c>
    </row>
    <row r="37" spans="2:15" s="494" customFormat="1" hidden="1">
      <c r="B37" s="661" t="s">
        <v>1574</v>
      </c>
      <c r="C37" s="356">
        <v>1</v>
      </c>
      <c r="D37" s="658">
        <v>0</v>
      </c>
      <c r="E37" s="658"/>
      <c r="F37" s="658"/>
      <c r="G37" s="658"/>
      <c r="H37" s="659">
        <v>0</v>
      </c>
      <c r="I37" s="658">
        <f t="shared" si="5"/>
        <v>0</v>
      </c>
      <c r="J37" s="659">
        <f>D37*H37</f>
        <v>0</v>
      </c>
      <c r="K37" s="44">
        <v>0.3</v>
      </c>
      <c r="L37" s="44">
        <v>0.05</v>
      </c>
      <c r="M37" s="44">
        <f t="shared" si="3"/>
        <v>0.35</v>
      </c>
      <c r="N37" s="650"/>
      <c r="O37" s="650"/>
    </row>
    <row r="38" spans="2:15" hidden="1">
      <c r="B38" s="356" t="s">
        <v>330</v>
      </c>
      <c r="C38" s="356">
        <v>1</v>
      </c>
      <c r="D38" s="658">
        <f>M38*C38</f>
        <v>3.6454999999999997</v>
      </c>
      <c r="E38" s="658"/>
      <c r="F38" s="658"/>
      <c r="G38" s="658"/>
      <c r="H38" s="659">
        <v>0</v>
      </c>
      <c r="I38" s="658">
        <f t="shared" si="5"/>
        <v>0</v>
      </c>
      <c r="J38" s="659">
        <v>0</v>
      </c>
      <c r="K38" s="44">
        <v>3.17</v>
      </c>
      <c r="L38" s="44">
        <f t="shared" si="2"/>
        <v>0.47549999999999998</v>
      </c>
      <c r="M38" s="44">
        <f t="shared" si="3"/>
        <v>3.6454999999999997</v>
      </c>
      <c r="N38" s="2"/>
      <c r="O38" s="2">
        <v>4.5</v>
      </c>
    </row>
    <row r="39" spans="2:15" hidden="1">
      <c r="B39" s="356" t="s">
        <v>1895</v>
      </c>
      <c r="C39" s="356">
        <v>1</v>
      </c>
      <c r="D39" s="658">
        <v>0</v>
      </c>
      <c r="E39" s="658"/>
      <c r="F39" s="658"/>
      <c r="G39" s="658"/>
      <c r="H39" s="659">
        <v>0</v>
      </c>
      <c r="I39" s="658">
        <f>SUM(I32:I38)</f>
        <v>4065</v>
      </c>
      <c r="J39" s="659">
        <f t="shared" ref="J39" si="6">D39*H39</f>
        <v>0</v>
      </c>
      <c r="K39" s="44">
        <v>9.1300000000000008</v>
      </c>
      <c r="L39" s="44">
        <f t="shared" si="2"/>
        <v>1.3695000000000002</v>
      </c>
      <c r="M39" s="44">
        <f t="shared" si="3"/>
        <v>10.499500000000001</v>
      </c>
      <c r="N39" s="2"/>
      <c r="O39" s="2">
        <v>5.7</v>
      </c>
    </row>
    <row r="40" spans="2:15">
      <c r="B40" s="661" t="s">
        <v>72</v>
      </c>
      <c r="C40" s="661"/>
      <c r="D40" s="662" t="s">
        <v>72</v>
      </c>
      <c r="E40" s="662"/>
      <c r="F40" s="662"/>
      <c r="G40" s="662"/>
      <c r="H40" s="656" t="s">
        <v>2235</v>
      </c>
      <c r="I40" s="598">
        <v>4065</v>
      </c>
      <c r="J40" s="656">
        <f>SUM(J37:J39)</f>
        <v>0</v>
      </c>
      <c r="K40" s="45"/>
      <c r="L40" s="45"/>
      <c r="M40" s="2"/>
      <c r="N40" s="2"/>
      <c r="O40" s="2"/>
    </row>
    <row r="41" spans="2:15" ht="30">
      <c r="B41" s="661" t="s">
        <v>2766</v>
      </c>
      <c r="C41" s="661"/>
      <c r="D41" s="662"/>
      <c r="E41" s="662"/>
      <c r="F41" s="662"/>
      <c r="G41" s="662"/>
      <c r="H41" s="663"/>
      <c r="I41" s="662"/>
      <c r="J41" s="663"/>
      <c r="K41" s="45"/>
      <c r="L41" s="45"/>
      <c r="M41" s="2"/>
      <c r="N41" s="2"/>
      <c r="O41" s="2"/>
    </row>
    <row r="42" spans="2:15" s="494" customFormat="1">
      <c r="B42" s="513" t="s">
        <v>72</v>
      </c>
      <c r="C42" s="513"/>
      <c r="D42" s="45"/>
      <c r="E42" s="45"/>
      <c r="F42" s="45"/>
      <c r="G42" s="45"/>
      <c r="H42" s="525"/>
      <c r="I42" s="45"/>
      <c r="J42" s="525"/>
      <c r="K42" s="45"/>
      <c r="L42" s="45"/>
      <c r="M42" s="513"/>
      <c r="N42" s="513"/>
      <c r="O42" s="513"/>
    </row>
    <row r="43" spans="2:15" s="494" customFormat="1">
      <c r="B43" s="513"/>
      <c r="C43" s="513"/>
      <c r="D43" s="45"/>
      <c r="E43" s="45"/>
      <c r="F43" s="45"/>
      <c r="G43" s="45"/>
      <c r="H43" s="525"/>
      <c r="I43" s="45"/>
      <c r="J43" s="525"/>
      <c r="K43" s="45"/>
      <c r="L43" s="45"/>
      <c r="M43" s="513"/>
      <c r="N43" s="513"/>
      <c r="O43" s="513"/>
    </row>
    <row r="44" spans="2:15" s="494" customFormat="1">
      <c r="B44" s="513"/>
      <c r="C44" s="513"/>
      <c r="D44" s="45"/>
      <c r="E44" s="45"/>
      <c r="F44" s="45"/>
      <c r="G44" s="45"/>
      <c r="H44" s="525"/>
      <c r="I44" s="45"/>
      <c r="J44" s="525"/>
      <c r="K44" s="45"/>
      <c r="L44" s="45"/>
      <c r="M44" s="513"/>
      <c r="N44" s="513"/>
      <c r="O44" s="513"/>
    </row>
    <row r="45" spans="2:15" s="494" customFormat="1">
      <c r="B45" s="513"/>
      <c r="C45" s="513"/>
      <c r="D45" s="45"/>
      <c r="E45" s="45"/>
      <c r="F45" s="45"/>
      <c r="G45" s="45"/>
      <c r="H45" s="525"/>
      <c r="I45" s="45"/>
      <c r="J45" s="525"/>
      <c r="K45" s="45"/>
      <c r="L45" s="45"/>
      <c r="M45" s="513"/>
      <c r="N45" s="513"/>
      <c r="O45" s="513"/>
    </row>
    <row r="46" spans="2:15" s="494" customFormat="1">
      <c r="B46" s="513"/>
      <c r="C46" s="513"/>
      <c r="D46" s="45"/>
      <c r="E46" s="45"/>
      <c r="F46" s="45"/>
      <c r="G46" s="45"/>
      <c r="H46" s="525"/>
      <c r="I46" s="45"/>
      <c r="J46" s="525"/>
      <c r="K46" s="45"/>
      <c r="L46" s="45"/>
      <c r="M46" s="513"/>
      <c r="N46" s="513"/>
      <c r="O46" s="513"/>
    </row>
    <row r="47" spans="2:15" s="494" customFormat="1">
      <c r="B47" s="513"/>
      <c r="C47" s="513"/>
      <c r="D47" s="45"/>
      <c r="E47" s="45"/>
      <c r="F47" s="45"/>
      <c r="G47" s="45"/>
      <c r="H47" s="525"/>
      <c r="I47" s="45"/>
      <c r="J47" s="525"/>
      <c r="K47" s="45"/>
      <c r="L47" s="45"/>
      <c r="M47" s="513"/>
      <c r="N47" s="513"/>
      <c r="O47" s="513"/>
    </row>
    <row r="48" spans="2:15" s="494" customFormat="1">
      <c r="B48" s="513"/>
      <c r="C48" s="513"/>
      <c r="D48" s="45"/>
      <c r="E48" s="45"/>
      <c r="F48" s="45"/>
      <c r="G48" s="45"/>
      <c r="H48" s="525"/>
      <c r="I48" s="45"/>
      <c r="J48" s="525"/>
      <c r="K48" s="45"/>
      <c r="L48" s="45"/>
      <c r="M48" s="513"/>
      <c r="N48" s="513"/>
      <c r="O48" s="513"/>
    </row>
    <row r="49" spans="2:22" s="494" customFormat="1">
      <c r="B49" s="513"/>
      <c r="C49" s="513"/>
      <c r="D49" s="45"/>
      <c r="E49" s="45"/>
      <c r="F49" s="45"/>
      <c r="G49" s="45"/>
      <c r="H49" s="525"/>
      <c r="I49" s="45"/>
      <c r="J49" s="525"/>
      <c r="K49" s="45"/>
      <c r="L49" s="45"/>
      <c r="M49" s="513"/>
      <c r="N49" s="513"/>
      <c r="O49" s="513"/>
    </row>
    <row r="50" spans="2:22">
      <c r="B50" s="46" t="s">
        <v>282</v>
      </c>
      <c r="C50" s="46" t="s">
        <v>300</v>
      </c>
      <c r="D50" s="46" t="s">
        <v>283</v>
      </c>
      <c r="E50" s="46"/>
      <c r="F50" s="46"/>
      <c r="G50" s="46"/>
      <c r="H50" s="530"/>
      <c r="I50" s="46"/>
      <c r="J50" s="530"/>
      <c r="K50" s="46"/>
      <c r="L50" s="46"/>
      <c r="M50" s="2"/>
      <c r="N50" s="2"/>
      <c r="O50" s="2"/>
    </row>
    <row r="51" spans="2:22">
      <c r="B51" s="3" t="s">
        <v>296</v>
      </c>
      <c r="C51" s="3">
        <f>N51</f>
        <v>1</v>
      </c>
      <c r="D51" s="44">
        <f>N51*O51</f>
        <v>1.196</v>
      </c>
      <c r="E51" s="391"/>
      <c r="F51" s="391"/>
      <c r="G51" s="391"/>
      <c r="H51" s="527"/>
      <c r="I51" s="391"/>
      <c r="J51" s="527"/>
      <c r="K51" s="391"/>
      <c r="L51" s="391"/>
      <c r="M51" s="2"/>
      <c r="N51" s="2">
        <v>1</v>
      </c>
      <c r="O51" s="2">
        <v>1.196</v>
      </c>
    </row>
    <row r="52" spans="2:22">
      <c r="B52" s="3" t="s">
        <v>332</v>
      </c>
      <c r="C52" s="3">
        <f t="shared" ref="C52:C66" si="7">N52</f>
        <v>1</v>
      </c>
      <c r="D52" s="44">
        <f t="shared" ref="D52:D67" si="8">N52*O52</f>
        <v>2.86</v>
      </c>
      <c r="E52" s="391"/>
      <c r="F52" s="391"/>
      <c r="G52" s="391"/>
      <c r="H52" s="527"/>
      <c r="I52" s="391"/>
      <c r="J52" s="527"/>
      <c r="K52" s="391"/>
      <c r="L52" s="391"/>
      <c r="M52" s="2"/>
      <c r="N52" s="2">
        <v>1</v>
      </c>
      <c r="O52" s="2">
        <v>2.86</v>
      </c>
    </row>
    <row r="53" spans="2:22">
      <c r="B53" s="3" t="s">
        <v>333</v>
      </c>
      <c r="C53" s="3">
        <f t="shared" si="7"/>
        <v>1</v>
      </c>
      <c r="D53" s="44">
        <f t="shared" si="8"/>
        <v>1.4</v>
      </c>
      <c r="E53" s="391"/>
      <c r="F53" s="391"/>
      <c r="G53" s="391"/>
      <c r="H53" s="527"/>
      <c r="I53" s="391"/>
      <c r="J53" s="527"/>
      <c r="K53" s="391"/>
      <c r="L53" s="391"/>
      <c r="M53" s="2"/>
      <c r="N53" s="2">
        <v>1</v>
      </c>
      <c r="O53" s="2">
        <v>1.4</v>
      </c>
    </row>
    <row r="54" spans="2:22">
      <c r="B54" s="3" t="s">
        <v>334</v>
      </c>
      <c r="C54" s="3">
        <f t="shared" si="7"/>
        <v>1</v>
      </c>
      <c r="D54" s="44">
        <f t="shared" si="8"/>
        <v>2.11</v>
      </c>
      <c r="E54" s="391"/>
      <c r="F54" s="391"/>
      <c r="G54" s="391"/>
      <c r="H54" s="527"/>
      <c r="I54" s="391"/>
      <c r="J54" s="527"/>
      <c r="K54" s="391"/>
      <c r="L54" s="391"/>
      <c r="M54" s="2"/>
      <c r="N54" s="2">
        <v>1</v>
      </c>
      <c r="O54" s="2">
        <v>2.11</v>
      </c>
    </row>
    <row r="55" spans="2:22">
      <c r="B55" s="267" t="s">
        <v>335</v>
      </c>
      <c r="C55" s="267">
        <f t="shared" si="7"/>
        <v>1</v>
      </c>
      <c r="D55" s="268">
        <f t="shared" si="8"/>
        <v>2.3980000000000001</v>
      </c>
      <c r="E55" s="392"/>
      <c r="F55" s="392"/>
      <c r="G55" s="392"/>
      <c r="H55" s="531"/>
      <c r="I55" s="392"/>
      <c r="J55" s="531"/>
      <c r="K55" s="392"/>
      <c r="L55" s="392"/>
      <c r="M55" s="2"/>
      <c r="N55" s="2">
        <v>1</v>
      </c>
      <c r="O55" s="2">
        <v>2.3980000000000001</v>
      </c>
      <c r="S55">
        <v>1.59</v>
      </c>
      <c r="T55">
        <v>2.0699999999999998</v>
      </c>
      <c r="U55" s="63">
        <f>T55*16%</f>
        <v>0.33119999999999999</v>
      </c>
      <c r="V55" s="63">
        <f>T55+U55</f>
        <v>2.4011999999999998</v>
      </c>
    </row>
    <row r="56" spans="2:22">
      <c r="B56" s="3" t="s">
        <v>299</v>
      </c>
      <c r="C56" s="3">
        <f t="shared" si="7"/>
        <v>1</v>
      </c>
      <c r="D56" s="44">
        <f t="shared" si="8"/>
        <v>4.875</v>
      </c>
      <c r="E56" s="391"/>
      <c r="F56" s="391"/>
      <c r="G56" s="391"/>
      <c r="H56" s="527"/>
      <c r="I56" s="391"/>
      <c r="J56" s="527"/>
      <c r="K56" s="391"/>
      <c r="L56" s="391"/>
      <c r="M56" s="2"/>
      <c r="N56" s="2">
        <v>1</v>
      </c>
      <c r="O56" s="2">
        <v>4.875</v>
      </c>
    </row>
    <row r="57" spans="2:22">
      <c r="B57" s="3" t="s">
        <v>336</v>
      </c>
      <c r="C57" s="3">
        <f t="shared" si="7"/>
        <v>1</v>
      </c>
      <c r="D57" s="44">
        <f t="shared" si="8"/>
        <v>6.1</v>
      </c>
      <c r="E57" s="391"/>
      <c r="F57" s="391"/>
      <c r="G57" s="391"/>
      <c r="H57" s="527"/>
      <c r="I57" s="391"/>
      <c r="J57" s="527"/>
      <c r="K57" s="391"/>
      <c r="L57" s="391"/>
      <c r="M57" s="2"/>
      <c r="N57" s="2">
        <v>1</v>
      </c>
      <c r="O57" s="2">
        <v>6.1</v>
      </c>
    </row>
    <row r="58" spans="2:22">
      <c r="B58" s="3" t="s">
        <v>337</v>
      </c>
      <c r="C58" s="3">
        <f t="shared" si="7"/>
        <v>2</v>
      </c>
      <c r="D58" s="44">
        <f t="shared" si="8"/>
        <v>6.37</v>
      </c>
      <c r="E58" s="391"/>
      <c r="F58" s="391"/>
      <c r="G58" s="391"/>
      <c r="H58" s="527"/>
      <c r="I58" s="391"/>
      <c r="J58" s="527"/>
      <c r="K58" s="391"/>
      <c r="L58" s="391"/>
      <c r="M58" s="2"/>
      <c r="N58" s="2">
        <v>2</v>
      </c>
      <c r="O58" s="2">
        <v>3.1850000000000001</v>
      </c>
    </row>
    <row r="59" spans="2:22">
      <c r="B59" s="3" t="s">
        <v>338</v>
      </c>
      <c r="C59" s="3">
        <f t="shared" si="7"/>
        <v>1</v>
      </c>
      <c r="D59" s="44">
        <f t="shared" si="8"/>
        <v>1.1000000000000001</v>
      </c>
      <c r="E59" s="391"/>
      <c r="F59" s="391"/>
      <c r="G59" s="391"/>
      <c r="H59" s="527"/>
      <c r="I59" s="391"/>
      <c r="J59" s="527"/>
      <c r="K59" s="391"/>
      <c r="L59" s="391"/>
      <c r="M59" s="2"/>
      <c r="N59" s="2">
        <v>1</v>
      </c>
      <c r="O59" s="2">
        <v>1.1000000000000001</v>
      </c>
    </row>
    <row r="60" spans="2:22">
      <c r="B60" s="3" t="s">
        <v>339</v>
      </c>
      <c r="C60" s="3">
        <f t="shared" si="7"/>
        <v>1</v>
      </c>
      <c r="D60" s="44">
        <f t="shared" si="8"/>
        <v>0.26</v>
      </c>
      <c r="E60" s="391"/>
      <c r="F60" s="391"/>
      <c r="G60" s="391"/>
      <c r="H60" s="527"/>
      <c r="I60" s="391"/>
      <c r="J60" s="527"/>
      <c r="K60" s="391"/>
      <c r="L60" s="391"/>
      <c r="M60" s="2"/>
      <c r="N60" s="2">
        <v>1</v>
      </c>
      <c r="O60" s="2">
        <v>0.26</v>
      </c>
    </row>
    <row r="61" spans="2:22">
      <c r="B61" s="3" t="s">
        <v>340</v>
      </c>
      <c r="C61" s="3">
        <f t="shared" si="7"/>
        <v>1</v>
      </c>
      <c r="D61" s="44">
        <f t="shared" si="8"/>
        <v>7.2409999999999997</v>
      </c>
      <c r="E61" s="391"/>
      <c r="F61" s="391"/>
      <c r="G61" s="391"/>
      <c r="H61" s="527"/>
      <c r="I61" s="391"/>
      <c r="J61" s="527"/>
      <c r="K61" s="391"/>
      <c r="L61" s="391"/>
      <c r="M61" s="2"/>
      <c r="N61" s="2">
        <v>1</v>
      </c>
      <c r="O61" s="2">
        <v>7.2409999999999997</v>
      </c>
    </row>
    <row r="62" spans="2:22">
      <c r="B62" s="3" t="s">
        <v>4</v>
      </c>
      <c r="C62" s="3">
        <f t="shared" si="7"/>
        <v>1</v>
      </c>
      <c r="D62" s="44">
        <f t="shared" si="8"/>
        <v>1</v>
      </c>
      <c r="E62" s="391"/>
      <c r="F62" s="391"/>
      <c r="G62" s="391"/>
      <c r="H62" s="527"/>
      <c r="I62" s="391"/>
      <c r="J62" s="527"/>
      <c r="K62" s="391"/>
      <c r="L62" s="391"/>
      <c r="M62" s="2"/>
      <c r="N62" s="2">
        <v>1</v>
      </c>
      <c r="O62" s="2">
        <v>1</v>
      </c>
    </row>
    <row r="63" spans="2:22">
      <c r="B63" s="3" t="s">
        <v>341</v>
      </c>
      <c r="C63" s="3">
        <f t="shared" si="7"/>
        <v>1</v>
      </c>
      <c r="D63" s="44">
        <f t="shared" si="8"/>
        <v>0.73</v>
      </c>
      <c r="E63" s="391"/>
      <c r="F63" s="391"/>
      <c r="G63" s="391"/>
      <c r="H63" s="527"/>
      <c r="I63" s="391"/>
      <c r="J63" s="527"/>
      <c r="K63" s="391"/>
      <c r="L63" s="391"/>
      <c r="M63" s="2"/>
      <c r="N63" s="2">
        <v>1</v>
      </c>
      <c r="O63" s="2">
        <v>0.73</v>
      </c>
    </row>
    <row r="64" spans="2:22">
      <c r="B64" s="3" t="s">
        <v>342</v>
      </c>
      <c r="C64" s="3">
        <f t="shared" si="7"/>
        <v>1</v>
      </c>
      <c r="D64" s="44">
        <f t="shared" si="8"/>
        <v>1.56</v>
      </c>
      <c r="E64" s="391"/>
      <c r="F64" s="391"/>
      <c r="G64" s="391"/>
      <c r="H64" s="527"/>
      <c r="I64" s="391"/>
      <c r="J64" s="527"/>
      <c r="K64" s="391"/>
      <c r="L64" s="391"/>
      <c r="M64" s="2"/>
      <c r="N64" s="2">
        <v>1</v>
      </c>
      <c r="O64" s="2">
        <v>1.56</v>
      </c>
    </row>
    <row r="65" spans="2:20" ht="30">
      <c r="B65" s="3" t="s">
        <v>343</v>
      </c>
      <c r="C65" s="3">
        <f t="shared" si="7"/>
        <v>1</v>
      </c>
      <c r="D65" s="44">
        <f t="shared" si="8"/>
        <v>1.7829999999999999</v>
      </c>
      <c r="E65" s="391"/>
      <c r="F65" s="391"/>
      <c r="G65" s="391"/>
      <c r="H65" s="527"/>
      <c r="I65" s="391"/>
      <c r="J65" s="527"/>
      <c r="K65" s="391"/>
      <c r="L65" s="391"/>
      <c r="M65" s="2"/>
      <c r="N65" s="2">
        <v>1</v>
      </c>
      <c r="O65" s="2">
        <v>1.7829999999999999</v>
      </c>
    </row>
    <row r="66" spans="2:20">
      <c r="B66" s="3" t="s">
        <v>344</v>
      </c>
      <c r="C66" s="3">
        <f t="shared" si="7"/>
        <v>4</v>
      </c>
      <c r="D66" s="44">
        <f t="shared" si="8"/>
        <v>6.032</v>
      </c>
      <c r="E66" s="391"/>
      <c r="F66" s="391"/>
      <c r="G66" s="391"/>
      <c r="H66" s="527"/>
      <c r="I66" s="391"/>
      <c r="J66" s="527"/>
      <c r="K66" s="391"/>
      <c r="L66" s="391"/>
      <c r="M66" s="2"/>
      <c r="N66" s="2">
        <v>4</v>
      </c>
      <c r="O66" s="2">
        <v>1.508</v>
      </c>
    </row>
    <row r="67" spans="2:20">
      <c r="B67" s="3" t="s">
        <v>297</v>
      </c>
      <c r="C67" s="3" t="s">
        <v>72</v>
      </c>
      <c r="D67" s="44">
        <f t="shared" si="8"/>
        <v>0</v>
      </c>
      <c r="E67" s="391"/>
      <c r="F67" s="391"/>
      <c r="G67" s="391"/>
      <c r="H67" s="527"/>
      <c r="I67" s="391"/>
      <c r="J67" s="527"/>
      <c r="K67" s="391"/>
      <c r="L67" s="391"/>
      <c r="M67" s="2"/>
      <c r="N67" s="2">
        <v>1</v>
      </c>
      <c r="O67" s="2"/>
    </row>
    <row r="68" spans="2:20">
      <c r="B68" s="2"/>
      <c r="C68" s="2"/>
      <c r="D68" s="45">
        <f>SUM(D51:D67)</f>
        <v>47.015000000000001</v>
      </c>
      <c r="E68" s="45"/>
      <c r="F68" s="45"/>
      <c r="G68" s="45"/>
      <c r="H68" s="525"/>
      <c r="I68" s="45"/>
      <c r="J68" s="525"/>
      <c r="K68" s="45"/>
      <c r="L68" s="45"/>
      <c r="M68" s="2"/>
      <c r="N68" s="2"/>
      <c r="O68" s="2"/>
    </row>
    <row r="69" spans="2:20">
      <c r="B69" s="2"/>
      <c r="C69" s="2"/>
      <c r="D69" s="45"/>
      <c r="E69" s="45"/>
      <c r="F69" s="45"/>
      <c r="G69" s="45"/>
      <c r="H69" s="525"/>
      <c r="I69" s="45"/>
      <c r="J69" s="525"/>
      <c r="K69" s="45"/>
      <c r="L69" s="45"/>
      <c r="M69" s="2"/>
      <c r="N69" s="2"/>
      <c r="O69" s="2"/>
    </row>
    <row r="70" spans="2:20">
      <c r="B70" s="2"/>
      <c r="C70" s="2"/>
      <c r="D70" s="45"/>
      <c r="E70" s="45"/>
      <c r="F70" s="45"/>
      <c r="G70" s="45"/>
      <c r="H70" s="525"/>
      <c r="I70" s="45"/>
      <c r="J70" s="525"/>
      <c r="K70" s="45"/>
      <c r="L70" s="45"/>
      <c r="M70" s="2"/>
      <c r="N70" s="2"/>
      <c r="O70" s="2"/>
    </row>
    <row r="71" spans="2:20">
      <c r="B71" s="2"/>
      <c r="C71" s="2"/>
      <c r="D71" s="45"/>
      <c r="E71" s="45"/>
      <c r="F71" s="45"/>
      <c r="G71" s="45"/>
      <c r="H71" s="525"/>
      <c r="I71" s="45"/>
      <c r="J71" s="525"/>
      <c r="K71" s="45"/>
      <c r="L71" s="45"/>
      <c r="M71" s="2"/>
      <c r="N71" s="2"/>
      <c r="O71" s="2"/>
    </row>
    <row r="72" spans="2:20">
      <c r="B72" s="2"/>
      <c r="C72" s="2"/>
      <c r="D72" s="45"/>
      <c r="E72" s="45"/>
      <c r="F72" s="45"/>
      <c r="G72" s="45"/>
      <c r="H72" s="525"/>
      <c r="I72" s="45"/>
      <c r="J72" s="525"/>
      <c r="K72" s="45"/>
      <c r="L72" s="45"/>
      <c r="M72" s="2"/>
      <c r="N72" s="2"/>
      <c r="O72" s="2"/>
    </row>
    <row r="74" spans="2:20">
      <c r="B74" s="66" t="s">
        <v>113</v>
      </c>
      <c r="C74" s="66" t="s">
        <v>300</v>
      </c>
      <c r="D74" s="66" t="s">
        <v>283</v>
      </c>
      <c r="E74" s="393"/>
      <c r="F74" s="393"/>
      <c r="G74" s="393"/>
      <c r="H74" s="532"/>
      <c r="I74" s="393"/>
      <c r="J74" s="532"/>
      <c r="K74" s="393"/>
      <c r="L74" s="393"/>
    </row>
    <row r="75" spans="2:20">
      <c r="B75" s="5" t="s">
        <v>635</v>
      </c>
      <c r="C75" s="5">
        <v>1</v>
      </c>
      <c r="D75" s="5">
        <f>N75*O75</f>
        <v>2.7</v>
      </c>
      <c r="E75" s="9"/>
      <c r="F75" s="9"/>
      <c r="G75" s="9"/>
      <c r="H75" s="533"/>
      <c r="I75" s="9"/>
      <c r="J75" s="533"/>
      <c r="K75" s="9"/>
      <c r="L75" s="9"/>
      <c r="N75" s="34">
        <v>1</v>
      </c>
      <c r="O75" s="34">
        <v>2.7</v>
      </c>
    </row>
    <row r="76" spans="2:20">
      <c r="B76" s="5" t="s">
        <v>639</v>
      </c>
      <c r="C76" s="5">
        <v>1</v>
      </c>
      <c r="D76" s="5">
        <f>N76*O76</f>
        <v>2.84</v>
      </c>
      <c r="E76" s="9"/>
      <c r="F76" s="9"/>
      <c r="G76" s="9"/>
      <c r="H76" s="533"/>
      <c r="I76" s="9"/>
      <c r="J76" s="533"/>
      <c r="K76" s="9"/>
      <c r="L76" s="9"/>
      <c r="M76" s="61"/>
      <c r="N76" s="61">
        <v>1</v>
      </c>
      <c r="O76" s="61">
        <v>2.84</v>
      </c>
      <c r="Q76" t="s">
        <v>636</v>
      </c>
      <c r="R76" s="62">
        <v>2.0499999999999998</v>
      </c>
      <c r="S76" s="63"/>
      <c r="T76" s="63">
        <v>2.13</v>
      </c>
    </row>
    <row r="77" spans="2:20">
      <c r="Q77" t="s">
        <v>68</v>
      </c>
      <c r="R77" s="62">
        <f>R76*16%</f>
        <v>0.32799999999999996</v>
      </c>
      <c r="S77" s="63"/>
      <c r="T77" s="63">
        <f>T76*16%</f>
        <v>0.34079999999999999</v>
      </c>
    </row>
    <row r="78" spans="2:20" ht="15.75" thickBot="1">
      <c r="Q78" t="s">
        <v>637</v>
      </c>
      <c r="R78" s="62">
        <f>R76+R77</f>
        <v>2.3779999999999997</v>
      </c>
      <c r="S78" s="63"/>
      <c r="T78" s="63">
        <f>T76+T77</f>
        <v>2.4707999999999997</v>
      </c>
    </row>
    <row r="79" spans="2:20" ht="15.75" thickBot="1">
      <c r="B79" s="267" t="s">
        <v>72</v>
      </c>
      <c r="Q79" t="s">
        <v>638</v>
      </c>
      <c r="R79" s="64">
        <f>R78*1.15</f>
        <v>2.7346999999999992</v>
      </c>
      <c r="S79" s="65"/>
      <c r="T79" s="65">
        <f>T78*1.15</f>
        <v>2.8414199999999994</v>
      </c>
    </row>
    <row r="80" spans="2:20">
      <c r="S80" s="63"/>
    </row>
    <row r="82" spans="2:20">
      <c r="Q82" t="s">
        <v>1486</v>
      </c>
    </row>
    <row r="84" spans="2:20" ht="30">
      <c r="B84" s="95"/>
      <c r="C84" s="95"/>
      <c r="D84" s="95"/>
      <c r="E84" s="95"/>
      <c r="F84" s="95"/>
      <c r="G84" s="3" t="s">
        <v>1646</v>
      </c>
      <c r="H84" s="528"/>
      <c r="I84" s="516"/>
      <c r="J84" s="528"/>
      <c r="K84" s="95"/>
      <c r="L84" s="95"/>
      <c r="M84" s="3" t="s">
        <v>1491</v>
      </c>
      <c r="N84" s="95" t="s">
        <v>637</v>
      </c>
      <c r="O84" s="95"/>
      <c r="Q84" s="372">
        <v>0.75</v>
      </c>
      <c r="S84" s="93">
        <v>0.75</v>
      </c>
      <c r="T84" s="93"/>
    </row>
    <row r="85" spans="2:20">
      <c r="B85" s="377" t="s">
        <v>1256</v>
      </c>
      <c r="C85" s="377" t="s">
        <v>300</v>
      </c>
      <c r="D85" s="377" t="s">
        <v>636</v>
      </c>
      <c r="E85" s="377" t="s">
        <v>68</v>
      </c>
      <c r="F85" s="377" t="s">
        <v>1490</v>
      </c>
      <c r="G85" s="377" t="s">
        <v>72</v>
      </c>
      <c r="H85" s="535"/>
      <c r="I85" s="515"/>
      <c r="J85" s="535"/>
      <c r="K85" s="95" t="s">
        <v>300</v>
      </c>
      <c r="L85" s="95"/>
      <c r="M85" s="95"/>
      <c r="N85" s="95" t="s">
        <v>72</v>
      </c>
      <c r="O85" s="95"/>
      <c r="Q85" s="372">
        <v>0.75</v>
      </c>
      <c r="S85" s="93">
        <f>S84*16%</f>
        <v>0.12</v>
      </c>
      <c r="T85" s="93"/>
    </row>
    <row r="86" spans="2:20">
      <c r="B86" s="377" t="s">
        <v>1488</v>
      </c>
      <c r="C86" s="395" t="s">
        <v>72</v>
      </c>
      <c r="D86" s="396">
        <v>1.5</v>
      </c>
      <c r="E86" s="396">
        <f>D86*16%</f>
        <v>0.24</v>
      </c>
      <c r="F86" s="396">
        <f>D86+E86</f>
        <v>1.74</v>
      </c>
      <c r="G86" s="396">
        <f>F86*1.3</f>
        <v>2.262</v>
      </c>
      <c r="H86" s="536"/>
      <c r="I86" s="396"/>
      <c r="J86" s="536"/>
      <c r="K86" s="268">
        <v>2860</v>
      </c>
      <c r="L86" s="268"/>
      <c r="M86" s="95">
        <v>2860</v>
      </c>
      <c r="N86" s="6">
        <f>G86*M86</f>
        <v>6469.32</v>
      </c>
      <c r="O86" s="95" t="s">
        <v>1489</v>
      </c>
      <c r="P86">
        <v>1.56</v>
      </c>
      <c r="Q86">
        <f>SUM(Q84:Q85)</f>
        <v>1.5</v>
      </c>
      <c r="S86" s="93">
        <f>S84+S85</f>
        <v>0.87</v>
      </c>
      <c r="T86" s="93" t="s">
        <v>1487</v>
      </c>
    </row>
    <row r="87" spans="2:20">
      <c r="B87" s="395" t="s">
        <v>4</v>
      </c>
      <c r="C87" s="377" t="s">
        <v>72</v>
      </c>
      <c r="D87" s="377">
        <v>0.9</v>
      </c>
      <c r="E87" s="377" t="s">
        <v>71</v>
      </c>
      <c r="F87" s="396" t="s">
        <v>71</v>
      </c>
      <c r="G87" s="377">
        <f>D87*1.2</f>
        <v>1.08</v>
      </c>
      <c r="H87" s="535"/>
      <c r="I87" s="515"/>
      <c r="J87" s="535"/>
      <c r="K87" s="95">
        <v>2860</v>
      </c>
      <c r="L87" s="95"/>
      <c r="M87" s="95">
        <v>2860</v>
      </c>
      <c r="N87" s="6">
        <f>G87*M87</f>
        <v>3088.8</v>
      </c>
      <c r="O87" s="95" t="s">
        <v>1493</v>
      </c>
      <c r="P87">
        <v>1.81</v>
      </c>
      <c r="Q87">
        <v>1.74</v>
      </c>
      <c r="S87" s="388">
        <v>1.1399999999999999</v>
      </c>
      <c r="T87" s="93">
        <f>S87*2</f>
        <v>2.2799999999999998</v>
      </c>
    </row>
    <row r="88" spans="2:20">
      <c r="B88" s="377" t="s">
        <v>1502</v>
      </c>
      <c r="C88" s="377"/>
      <c r="D88" s="397">
        <v>1.3</v>
      </c>
      <c r="E88" s="397">
        <f>D88*16%</f>
        <v>0.20800000000000002</v>
      </c>
      <c r="F88" s="396">
        <f t="shared" ref="F88:F94" si="9">D88+E88</f>
        <v>1.508</v>
      </c>
      <c r="G88" s="397">
        <f>F88*1.2</f>
        <v>1.8095999999999999</v>
      </c>
      <c r="H88" s="535"/>
      <c r="I88" s="397"/>
      <c r="J88" s="535"/>
      <c r="K88" s="384"/>
      <c r="L88" s="384"/>
      <c r="M88" s="95">
        <v>1430</v>
      </c>
      <c r="N88" s="6">
        <f>G88*M88</f>
        <v>2587.7279999999996</v>
      </c>
      <c r="O88" s="95" t="s">
        <v>1493</v>
      </c>
      <c r="P88">
        <v>2.4</v>
      </c>
      <c r="Q88">
        <v>2.27</v>
      </c>
    </row>
    <row r="89" spans="2:20" ht="37.5" customHeight="1">
      <c r="B89" s="95"/>
      <c r="C89" s="95"/>
      <c r="D89" s="384"/>
      <c r="E89" s="397">
        <f t="shared" ref="E89:E94" si="10">D89*16%</f>
        <v>0</v>
      </c>
      <c r="F89" s="396">
        <f t="shared" si="9"/>
        <v>0</v>
      </c>
      <c r="G89" s="397">
        <f t="shared" ref="G89:G94" si="11">F89*1.2</f>
        <v>0</v>
      </c>
      <c r="H89" s="535"/>
      <c r="I89" s="397"/>
      <c r="J89" s="535"/>
      <c r="K89" s="384"/>
      <c r="L89" s="384"/>
      <c r="M89" s="95"/>
      <c r="N89" s="6">
        <f t="shared" ref="N89:N93" si="12">G89*M89</f>
        <v>0</v>
      </c>
      <c r="O89" s="95"/>
    </row>
    <row r="90" spans="2:20" s="119" customFormat="1">
      <c r="B90" s="95"/>
      <c r="C90" s="95"/>
      <c r="D90" s="384"/>
      <c r="E90" s="397">
        <f t="shared" si="10"/>
        <v>0</v>
      </c>
      <c r="F90" s="396">
        <f t="shared" si="9"/>
        <v>0</v>
      </c>
      <c r="G90" s="397">
        <f t="shared" si="11"/>
        <v>0</v>
      </c>
      <c r="H90" s="535"/>
      <c r="I90" s="397"/>
      <c r="J90" s="535"/>
      <c r="K90" s="384"/>
      <c r="L90" s="384"/>
      <c r="M90" s="95"/>
      <c r="N90" s="6">
        <f t="shared" si="12"/>
        <v>0</v>
      </c>
      <c r="O90" s="95"/>
    </row>
    <row r="91" spans="2:20" s="119" customFormat="1">
      <c r="B91" s="95"/>
      <c r="C91" s="95"/>
      <c r="D91" s="384"/>
      <c r="E91" s="397">
        <f t="shared" si="10"/>
        <v>0</v>
      </c>
      <c r="F91" s="396">
        <f t="shared" si="9"/>
        <v>0</v>
      </c>
      <c r="G91" s="397">
        <f t="shared" si="11"/>
        <v>0</v>
      </c>
      <c r="H91" s="535"/>
      <c r="I91" s="397"/>
      <c r="J91" s="535"/>
      <c r="K91" s="384"/>
      <c r="L91" s="384"/>
      <c r="M91" s="95"/>
      <c r="N91" s="6">
        <f t="shared" si="12"/>
        <v>0</v>
      </c>
      <c r="O91" s="95"/>
    </row>
    <row r="92" spans="2:20" s="119" customFormat="1">
      <c r="B92" s="95"/>
      <c r="C92" s="95"/>
      <c r="D92" s="384"/>
      <c r="E92" s="397">
        <f t="shared" si="10"/>
        <v>0</v>
      </c>
      <c r="F92" s="396">
        <f t="shared" si="9"/>
        <v>0</v>
      </c>
      <c r="G92" s="397">
        <f t="shared" si="11"/>
        <v>0</v>
      </c>
      <c r="H92" s="535"/>
      <c r="I92" s="397"/>
      <c r="J92" s="535"/>
      <c r="K92" s="384"/>
      <c r="L92" s="384"/>
      <c r="M92" s="95"/>
      <c r="N92" s="6">
        <f t="shared" si="12"/>
        <v>0</v>
      </c>
      <c r="O92" s="95"/>
    </row>
    <row r="93" spans="2:20" s="119" customFormat="1">
      <c r="B93" s="95"/>
      <c r="C93" s="95"/>
      <c r="D93" s="384"/>
      <c r="E93" s="397">
        <f t="shared" si="10"/>
        <v>0</v>
      </c>
      <c r="F93" s="396">
        <f t="shared" si="9"/>
        <v>0</v>
      </c>
      <c r="G93" s="397">
        <f t="shared" si="11"/>
        <v>0</v>
      </c>
      <c r="H93" s="535"/>
      <c r="I93" s="397"/>
      <c r="J93" s="535"/>
      <c r="K93" s="384"/>
      <c r="L93" s="384"/>
      <c r="M93" s="95"/>
      <c r="N93" s="6">
        <f t="shared" si="12"/>
        <v>0</v>
      </c>
      <c r="O93" s="95"/>
    </row>
    <row r="94" spans="2:20" s="119" customFormat="1">
      <c r="B94" s="95" t="s">
        <v>1492</v>
      </c>
      <c r="C94" s="95" t="s">
        <v>72</v>
      </c>
      <c r="D94" s="384">
        <v>1.3</v>
      </c>
      <c r="E94" s="397">
        <f t="shared" si="10"/>
        <v>0.20800000000000002</v>
      </c>
      <c r="F94" s="396">
        <f t="shared" si="9"/>
        <v>1.508</v>
      </c>
      <c r="G94" s="397">
        <f t="shared" si="11"/>
        <v>1.8095999999999999</v>
      </c>
      <c r="H94" s="535"/>
      <c r="I94" s="397"/>
      <c r="J94" s="535"/>
      <c r="K94" s="384"/>
      <c r="L94" s="384"/>
      <c r="M94" s="95">
        <v>1430</v>
      </c>
      <c r="N94" s="6">
        <f>G94*M94</f>
        <v>2587.7279999999996</v>
      </c>
      <c r="O94" s="95" t="s">
        <v>1494</v>
      </c>
    </row>
    <row r="95" spans="2:20" s="119" customFormat="1">
      <c r="B95" s="95"/>
      <c r="C95" s="95"/>
      <c r="D95" s="384"/>
      <c r="E95" s="384"/>
      <c r="F95" s="384"/>
      <c r="G95" s="384"/>
      <c r="H95" s="529"/>
      <c r="I95" s="384"/>
      <c r="J95" s="529"/>
      <c r="K95" s="384"/>
      <c r="L95" s="384"/>
      <c r="M95" s="95"/>
      <c r="N95" s="95"/>
      <c r="O95" s="95"/>
    </row>
    <row r="96" spans="2:20" s="119" customFormat="1" ht="15.75" customHeight="1">
      <c r="B96" s="95" t="s">
        <v>22</v>
      </c>
      <c r="C96" s="95"/>
      <c r="D96" s="95"/>
      <c r="E96" s="95"/>
      <c r="F96" s="95"/>
      <c r="G96" s="95">
        <v>0.9</v>
      </c>
      <c r="H96" s="529"/>
      <c r="I96" s="517"/>
      <c r="J96" s="529"/>
      <c r="K96" s="95"/>
      <c r="L96" s="95"/>
      <c r="M96" s="95"/>
      <c r="N96" s="95"/>
      <c r="O96" s="95"/>
      <c r="P96" s="174"/>
    </row>
    <row r="97" spans="2:19" s="119" customFormat="1">
      <c r="B97" s="3" t="s">
        <v>1645</v>
      </c>
      <c r="C97" s="120"/>
      <c r="D97" s="384"/>
      <c r="E97" s="384"/>
      <c r="F97" s="384"/>
      <c r="G97" s="6">
        <v>0.86</v>
      </c>
      <c r="H97" s="529"/>
      <c r="I97" s="6"/>
      <c r="J97" s="529"/>
      <c r="K97" s="384"/>
      <c r="L97" s="384"/>
      <c r="M97" s="6"/>
      <c r="N97" s="95"/>
      <c r="O97" s="95"/>
    </row>
    <row r="98" spans="2:19" s="119" customFormat="1">
      <c r="B98" s="120" t="s">
        <v>1670</v>
      </c>
      <c r="C98" s="120"/>
      <c r="D98" s="384"/>
      <c r="E98" s="384"/>
      <c r="F98" s="384"/>
      <c r="G98" s="6">
        <v>1.01</v>
      </c>
      <c r="H98" s="533"/>
      <c r="I98" s="430"/>
      <c r="J98" s="533"/>
      <c r="K98" s="394"/>
      <c r="L98" s="394"/>
      <c r="M98" s="385"/>
      <c r="N98" s="376"/>
      <c r="O98" s="376"/>
      <c r="Q98" s="119" t="s">
        <v>1672</v>
      </c>
    </row>
    <row r="99" spans="2:19" s="119" customFormat="1">
      <c r="B99" s="120" t="s">
        <v>1671</v>
      </c>
      <c r="C99" s="95"/>
      <c r="D99" s="384"/>
      <c r="E99" s="384"/>
      <c r="F99" s="384"/>
      <c r="G99" s="6">
        <v>0.94</v>
      </c>
      <c r="H99" s="533"/>
      <c r="I99" s="430"/>
      <c r="J99" s="533"/>
      <c r="K99" s="394"/>
      <c r="L99" s="394"/>
      <c r="M99" s="385"/>
      <c r="N99" s="376"/>
      <c r="O99" s="376"/>
      <c r="Q99" s="119" t="s">
        <v>1672</v>
      </c>
      <c r="S99" s="119">
        <v>2.0499999999999998</v>
      </c>
    </row>
    <row r="100" spans="2:19" s="119" customFormat="1">
      <c r="B100" s="95" t="s">
        <v>1673</v>
      </c>
      <c r="C100" s="95"/>
      <c r="D100" s="384"/>
      <c r="E100" s="384"/>
      <c r="F100" s="384"/>
      <c r="G100" s="6">
        <v>1.18</v>
      </c>
      <c r="H100" s="533"/>
      <c r="I100" s="430"/>
      <c r="J100" s="533"/>
      <c r="K100" s="352"/>
      <c r="L100" s="352"/>
      <c r="M100" s="385"/>
      <c r="N100" s="376"/>
      <c r="O100" s="376"/>
      <c r="Q100" s="119" t="s">
        <v>1672</v>
      </c>
      <c r="S100" s="119">
        <v>2.38</v>
      </c>
    </row>
    <row r="101" spans="2:19">
      <c r="B101" s="9"/>
      <c r="M101" s="385"/>
      <c r="S101">
        <v>2.7</v>
      </c>
    </row>
    <row r="102" spans="2:19" s="119" customFormat="1">
      <c r="B102" s="9"/>
      <c r="C102" s="376"/>
      <c r="D102" s="376"/>
      <c r="E102" s="382"/>
      <c r="F102" s="382"/>
      <c r="G102" s="382"/>
      <c r="H102" s="534"/>
      <c r="I102" s="514"/>
      <c r="J102" s="534"/>
      <c r="K102" s="382"/>
      <c r="L102" s="426"/>
      <c r="M102" s="376"/>
      <c r="N102" s="376"/>
      <c r="O102" s="376"/>
    </row>
    <row r="103" spans="2:19" s="119" customFormat="1">
      <c r="B103" s="9"/>
      <c r="C103" s="376"/>
      <c r="D103" s="376"/>
      <c r="E103" s="382"/>
      <c r="F103" s="382"/>
      <c r="G103" s="382"/>
      <c r="H103" s="534"/>
      <c r="I103" s="514"/>
      <c r="J103" s="534"/>
      <c r="K103" s="382"/>
      <c r="L103" s="426"/>
      <c r="M103" s="376"/>
      <c r="N103" s="376"/>
      <c r="O103" s="376"/>
    </row>
    <row r="104" spans="2:19" s="119" customFormat="1">
      <c r="B104" s="9"/>
      <c r="C104" s="376"/>
      <c r="D104" s="376"/>
      <c r="E104" s="382"/>
      <c r="F104" s="382"/>
      <c r="G104" s="382"/>
      <c r="H104" s="534"/>
      <c r="I104" s="514"/>
      <c r="J104" s="534"/>
      <c r="K104" s="382"/>
      <c r="L104" s="426"/>
      <c r="M104" s="376"/>
      <c r="N104" s="376"/>
      <c r="O104" s="376"/>
    </row>
    <row r="105" spans="2:19" s="119" customFormat="1">
      <c r="B105" s="9"/>
      <c r="C105" s="376"/>
      <c r="D105" s="376"/>
      <c r="E105" s="382"/>
      <c r="F105" s="382"/>
      <c r="G105" s="382"/>
      <c r="H105" s="534"/>
      <c r="I105" s="514"/>
      <c r="J105" s="534"/>
      <c r="K105" s="382"/>
      <c r="L105" s="426"/>
      <c r="M105" s="376"/>
      <c r="N105" s="376"/>
      <c r="O105" s="376"/>
    </row>
    <row r="106" spans="2:19" s="119" customFormat="1">
      <c r="B106" s="9"/>
      <c r="C106" s="376"/>
      <c r="D106" s="376"/>
      <c r="E106" s="382"/>
      <c r="F106" s="382"/>
      <c r="G106" s="382"/>
      <c r="H106" s="534"/>
      <c r="I106" s="514"/>
      <c r="J106" s="534"/>
      <c r="K106" s="382"/>
      <c r="L106" s="426"/>
      <c r="M106" s="376"/>
      <c r="N106" s="376"/>
      <c r="O106" s="376"/>
    </row>
    <row r="107" spans="2:19" s="119" customFormat="1">
      <c r="B107" s="95"/>
      <c r="C107" s="95"/>
      <c r="D107" s="95"/>
      <c r="E107" s="382"/>
      <c r="F107" s="382"/>
      <c r="G107" s="382"/>
      <c r="H107" s="534"/>
      <c r="I107" s="514"/>
      <c r="J107" s="534"/>
      <c r="K107" s="382"/>
      <c r="L107" s="426"/>
      <c r="M107" s="376"/>
      <c r="N107" s="376"/>
      <c r="O107" s="376"/>
    </row>
    <row r="108" spans="2:19" s="119" customFormat="1">
      <c r="B108" s="377" t="s">
        <v>1256</v>
      </c>
      <c r="C108" s="377" t="s">
        <v>300</v>
      </c>
      <c r="D108" s="377" t="s">
        <v>636</v>
      </c>
      <c r="E108" s="382"/>
      <c r="F108" s="382"/>
      <c r="G108" s="382"/>
      <c r="H108" s="534"/>
      <c r="I108" s="514"/>
      <c r="J108" s="534"/>
      <c r="K108" s="382"/>
      <c r="L108" s="426"/>
      <c r="M108" s="376"/>
      <c r="N108" s="376"/>
      <c r="O108" s="376"/>
    </row>
    <row r="109" spans="2:19">
      <c r="B109" s="95"/>
      <c r="C109" s="95"/>
      <c r="D109" s="95" t="s">
        <v>72</v>
      </c>
      <c r="N109" s="34" t="s">
        <v>72</v>
      </c>
      <c r="S109" t="s">
        <v>72</v>
      </c>
    </row>
    <row r="110" spans="2:19">
      <c r="B110" s="95" t="s">
        <v>1862</v>
      </c>
      <c r="C110" s="95"/>
      <c r="D110" s="95"/>
      <c r="E110" s="9"/>
      <c r="F110" s="9"/>
      <c r="G110" s="9"/>
      <c r="H110" s="533"/>
      <c r="I110" s="9"/>
      <c r="J110" s="533"/>
      <c r="K110" s="9"/>
      <c r="L110" s="9"/>
      <c r="S110" t="s">
        <v>72</v>
      </c>
    </row>
    <row r="111" spans="2:19">
      <c r="B111" s="3" t="s">
        <v>327</v>
      </c>
      <c r="C111" s="3">
        <f>N111</f>
        <v>0</v>
      </c>
      <c r="D111" s="44">
        <f>O111*N111</f>
        <v>0</v>
      </c>
      <c r="E111" s="9"/>
      <c r="F111" s="9"/>
      <c r="G111" s="9"/>
      <c r="H111" s="533"/>
      <c r="I111" s="9"/>
      <c r="J111" s="533"/>
      <c r="K111" s="9"/>
      <c r="L111" s="9"/>
    </row>
    <row r="112" spans="2:19">
      <c r="B112" s="3" t="s">
        <v>324</v>
      </c>
      <c r="C112" s="3">
        <f t="shared" ref="C112:C115" si="13">N112</f>
        <v>0</v>
      </c>
      <c r="D112" s="44">
        <f t="shared" ref="D112:D115" si="14">O112*N112</f>
        <v>0</v>
      </c>
    </row>
    <row r="113" spans="2:15" ht="30">
      <c r="B113" s="3" t="s">
        <v>328</v>
      </c>
      <c r="C113" s="3">
        <f t="shared" si="13"/>
        <v>0</v>
      </c>
      <c r="D113" s="44">
        <f t="shared" si="14"/>
        <v>0</v>
      </c>
    </row>
    <row r="114" spans="2:15" s="119" customFormat="1">
      <c r="B114" s="3" t="s">
        <v>325</v>
      </c>
      <c r="C114" s="3">
        <f t="shared" si="13"/>
        <v>0</v>
      </c>
      <c r="D114" s="44">
        <f t="shared" si="14"/>
        <v>0</v>
      </c>
      <c r="E114" s="382"/>
      <c r="F114" s="382"/>
      <c r="G114" s="382"/>
      <c r="H114" s="534"/>
      <c r="I114" s="514"/>
      <c r="J114" s="534"/>
      <c r="K114" s="382"/>
      <c r="L114" s="426"/>
      <c r="M114" s="376"/>
      <c r="N114" s="376"/>
      <c r="O114" s="376"/>
    </row>
    <row r="115" spans="2:15" s="119" customFormat="1">
      <c r="B115" s="3" t="s">
        <v>326</v>
      </c>
      <c r="C115" s="3">
        <f t="shared" si="13"/>
        <v>0</v>
      </c>
      <c r="D115" s="44">
        <f t="shared" si="14"/>
        <v>0</v>
      </c>
      <c r="E115" s="382"/>
      <c r="F115" s="382"/>
      <c r="G115" s="382"/>
      <c r="H115" s="534"/>
      <c r="I115" s="514"/>
      <c r="J115" s="534"/>
      <c r="K115" s="382"/>
      <c r="L115" s="426"/>
      <c r="M115" s="376"/>
      <c r="N115" s="376"/>
      <c r="O115" s="376"/>
    </row>
    <row r="116" spans="2:15" s="119" customFormat="1">
      <c r="B116" s="95"/>
      <c r="C116" s="95"/>
      <c r="D116" s="95"/>
      <c r="E116" s="382"/>
      <c r="F116" s="382"/>
      <c r="G116" s="382"/>
      <c r="H116" s="534"/>
      <c r="I116" s="514"/>
      <c r="J116" s="534"/>
      <c r="K116" s="382"/>
      <c r="L116" s="426"/>
      <c r="M116" s="376"/>
      <c r="N116" s="376"/>
      <c r="O116" s="376"/>
    </row>
    <row r="117" spans="2:15" s="119" customFormat="1">
      <c r="B117" s="95"/>
      <c r="C117" s="95"/>
      <c r="D117" s="95"/>
      <c r="E117" s="382"/>
      <c r="F117" s="382"/>
      <c r="G117" s="382"/>
      <c r="H117" s="534"/>
      <c r="I117" s="514"/>
      <c r="J117" s="534"/>
      <c r="K117" s="382"/>
      <c r="L117" s="426"/>
      <c r="M117" s="376"/>
      <c r="N117" s="376"/>
      <c r="O117" s="376"/>
    </row>
    <row r="118" spans="2:15" s="119" customFormat="1">
      <c r="B118" s="95"/>
      <c r="C118" s="95"/>
      <c r="D118" s="95"/>
      <c r="E118" s="382"/>
      <c r="F118" s="382"/>
      <c r="G118" s="382"/>
      <c r="H118" s="534"/>
      <c r="I118" s="514"/>
      <c r="J118" s="534"/>
      <c r="K118" s="382"/>
      <c r="L118" s="426"/>
      <c r="M118" s="376"/>
      <c r="N118" s="376"/>
      <c r="O118" s="376"/>
    </row>
    <row r="119" spans="2:15" s="119" customFormat="1">
      <c r="B119" s="95"/>
      <c r="C119" s="95"/>
      <c r="D119" s="95"/>
      <c r="E119" s="382"/>
      <c r="F119" s="382"/>
      <c r="G119" s="382"/>
      <c r="H119" s="534"/>
      <c r="I119" s="514"/>
      <c r="J119" s="534"/>
      <c r="K119" s="382"/>
      <c r="L119" s="426"/>
      <c r="M119" s="376"/>
      <c r="N119" s="376"/>
      <c r="O119" s="376"/>
    </row>
    <row r="120" spans="2:15" s="119" customFormat="1">
      <c r="B120" s="376"/>
      <c r="C120" s="376"/>
      <c r="D120" s="376"/>
      <c r="E120" s="382"/>
      <c r="F120" s="382"/>
      <c r="G120" s="382"/>
      <c r="H120" s="534"/>
      <c r="I120" s="514"/>
      <c r="J120" s="534"/>
      <c r="K120" s="382"/>
      <c r="L120" s="426"/>
      <c r="M120" s="376"/>
      <c r="N120" s="376"/>
      <c r="O120" s="376"/>
    </row>
    <row r="121" spans="2:15" s="119" customFormat="1">
      <c r="B121" s="376"/>
      <c r="C121" s="376"/>
      <c r="D121" s="376"/>
      <c r="E121" s="382"/>
      <c r="F121" s="382"/>
      <c r="G121" s="382"/>
      <c r="H121" s="534"/>
      <c r="I121" s="514"/>
      <c r="J121" s="534"/>
      <c r="K121" s="382"/>
      <c r="L121" s="426"/>
      <c r="M121" s="376"/>
      <c r="N121" s="376"/>
      <c r="O121" s="376"/>
    </row>
    <row r="122" spans="2:15" s="119" customFormat="1">
      <c r="B122" s="376"/>
      <c r="C122" s="376"/>
      <c r="D122" s="376"/>
      <c r="E122" s="382"/>
      <c r="F122" s="382"/>
      <c r="G122" s="382"/>
      <c r="H122" s="534"/>
      <c r="I122" s="514"/>
      <c r="J122" s="534"/>
      <c r="K122" s="382"/>
      <c r="L122" s="426"/>
      <c r="M122" s="376"/>
      <c r="N122" s="376"/>
      <c r="O122" s="376"/>
    </row>
    <row r="123" spans="2:15" s="119" customFormat="1">
      <c r="B123" s="376"/>
      <c r="C123" s="376"/>
      <c r="D123" s="376"/>
      <c r="E123" s="382"/>
      <c r="F123" s="382"/>
      <c r="G123" s="382"/>
      <c r="H123" s="534"/>
      <c r="I123" s="514"/>
      <c r="J123" s="534"/>
      <c r="K123" s="382"/>
      <c r="L123" s="426"/>
      <c r="M123" s="376"/>
      <c r="N123" s="376"/>
      <c r="O123" s="376"/>
    </row>
    <row r="125" spans="2:15">
      <c r="D125" s="34">
        <v>1430</v>
      </c>
      <c r="M125" s="34">
        <v>0.49</v>
      </c>
    </row>
    <row r="126" spans="2:15">
      <c r="M126" s="34" t="s">
        <v>1484</v>
      </c>
    </row>
    <row r="127" spans="2:15">
      <c r="D127" s="34">
        <v>1430</v>
      </c>
      <c r="M127" s="34">
        <v>3</v>
      </c>
      <c r="N127" s="34">
        <f>D127*M127</f>
        <v>4290</v>
      </c>
      <c r="O127" s="34">
        <f>N127/24</f>
        <v>178.75</v>
      </c>
    </row>
    <row r="135" spans="4:13">
      <c r="D135" s="34" t="s">
        <v>1485</v>
      </c>
      <c r="M135" s="34">
        <v>0.75</v>
      </c>
    </row>
  </sheetData>
  <pageMargins left="0" right="0" top="0" bottom="0" header="0" footer="0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19"/>
  <sheetViews>
    <sheetView topLeftCell="B1" workbookViewId="0">
      <selection activeCell="C1" sqref="C1:O1048576"/>
    </sheetView>
  </sheetViews>
  <sheetFormatPr baseColWidth="10" defaultRowHeight="15"/>
  <cols>
    <col min="1" max="1" width="0" hidden="1" customWidth="1"/>
    <col min="2" max="2" width="23.7109375" customWidth="1"/>
    <col min="3" max="3" width="41.42578125" customWidth="1"/>
    <col min="4" max="6" width="11.42578125" customWidth="1"/>
    <col min="8" max="8" width="11.42578125" customWidth="1"/>
  </cols>
  <sheetData>
    <row r="8" spans="2:8">
      <c r="B8" s="486" t="s">
        <v>123</v>
      </c>
      <c r="C8" s="486"/>
      <c r="D8" s="486"/>
      <c r="E8" s="486"/>
      <c r="F8" s="486"/>
      <c r="G8" s="483"/>
    </row>
    <row r="9" spans="2:8" ht="30">
      <c r="B9" s="486" t="s">
        <v>123</v>
      </c>
      <c r="C9" s="486" t="s">
        <v>699</v>
      </c>
      <c r="D9" s="488" t="s">
        <v>1860</v>
      </c>
      <c r="E9" s="488" t="s">
        <v>2039</v>
      </c>
      <c r="F9" s="488" t="s">
        <v>2040</v>
      </c>
      <c r="G9" s="486" t="s">
        <v>75</v>
      </c>
      <c r="H9" s="18" t="s">
        <v>637</v>
      </c>
    </row>
    <row r="10" spans="2:8" hidden="1">
      <c r="B10" s="487">
        <v>7591668100063</v>
      </c>
      <c r="C10" s="486" t="s">
        <v>2038</v>
      </c>
      <c r="D10" s="486">
        <v>12</v>
      </c>
      <c r="E10" s="486">
        <v>24.77</v>
      </c>
      <c r="F10" s="6">
        <f t="shared" ref="F10:F16" si="0">E10/D10</f>
        <v>2.0641666666666665</v>
      </c>
      <c r="G10" s="486">
        <v>0</v>
      </c>
      <c r="H10" s="486">
        <f>E10*G10</f>
        <v>0</v>
      </c>
    </row>
    <row r="11" spans="2:8">
      <c r="B11" s="487">
        <v>7591668100100</v>
      </c>
      <c r="C11" s="486" t="s">
        <v>2041</v>
      </c>
      <c r="D11" s="486">
        <v>12</v>
      </c>
      <c r="E11" s="486">
        <v>17.23</v>
      </c>
      <c r="F11" s="6">
        <f t="shared" si="0"/>
        <v>1.4358333333333333</v>
      </c>
      <c r="G11" s="486" t="s">
        <v>280</v>
      </c>
      <c r="H11" s="486" t="e">
        <f t="shared" ref="H11:H16" si="1">E11*G11</f>
        <v>#VALUE!</v>
      </c>
    </row>
    <row r="12" spans="2:8">
      <c r="B12" s="487">
        <v>7591668100117</v>
      </c>
      <c r="C12" s="486" t="s">
        <v>2042</v>
      </c>
      <c r="D12" s="486">
        <v>12</v>
      </c>
      <c r="E12" s="486">
        <v>17.23</v>
      </c>
      <c r="F12" s="6">
        <f t="shared" si="0"/>
        <v>1.4358333333333333</v>
      </c>
      <c r="G12" s="486" t="s">
        <v>280</v>
      </c>
      <c r="H12" s="486" t="e">
        <f t="shared" si="1"/>
        <v>#VALUE!</v>
      </c>
    </row>
    <row r="13" spans="2:8">
      <c r="B13" s="487">
        <v>7591668100148</v>
      </c>
      <c r="C13" s="486" t="s">
        <v>2043</v>
      </c>
      <c r="D13" s="486">
        <v>24</v>
      </c>
      <c r="E13" s="486">
        <v>38.770000000000003</v>
      </c>
      <c r="F13" s="6">
        <f t="shared" si="0"/>
        <v>1.6154166666666667</v>
      </c>
      <c r="G13" s="486" t="s">
        <v>631</v>
      </c>
      <c r="H13" s="486" t="e">
        <f t="shared" si="1"/>
        <v>#VALUE!</v>
      </c>
    </row>
    <row r="14" spans="2:8">
      <c r="B14" s="487">
        <v>7591668100155</v>
      </c>
      <c r="C14" s="486" t="s">
        <v>2044</v>
      </c>
      <c r="D14" s="486">
        <v>48</v>
      </c>
      <c r="E14" s="486">
        <v>68.92</v>
      </c>
      <c r="F14" s="6">
        <f t="shared" si="0"/>
        <v>1.4358333333333333</v>
      </c>
      <c r="G14" s="486" t="s">
        <v>631</v>
      </c>
      <c r="H14" s="486" t="e">
        <f t="shared" si="1"/>
        <v>#VALUE!</v>
      </c>
    </row>
    <row r="15" spans="2:8">
      <c r="B15" s="487">
        <v>7591668110048</v>
      </c>
      <c r="C15" s="486" t="s">
        <v>2045</v>
      </c>
      <c r="D15" s="486">
        <v>24</v>
      </c>
      <c r="E15" s="486">
        <v>51.69</v>
      </c>
      <c r="F15" s="6">
        <f t="shared" si="0"/>
        <v>2.1537500000000001</v>
      </c>
      <c r="G15" s="486" t="s">
        <v>631</v>
      </c>
      <c r="H15" s="486" t="e">
        <f t="shared" si="1"/>
        <v>#VALUE!</v>
      </c>
    </row>
    <row r="16" spans="2:8">
      <c r="B16" s="487">
        <v>7591668130053</v>
      </c>
      <c r="C16" s="486" t="s">
        <v>2046</v>
      </c>
      <c r="D16" s="486">
        <v>12</v>
      </c>
      <c r="E16" s="486">
        <v>17.23</v>
      </c>
      <c r="F16" s="6">
        <f t="shared" si="0"/>
        <v>1.4358333333333333</v>
      </c>
      <c r="G16" s="486" t="s">
        <v>630</v>
      </c>
      <c r="H16" s="486" t="e">
        <f t="shared" si="1"/>
        <v>#VALUE!</v>
      </c>
    </row>
    <row r="17" spans="2:8">
      <c r="B17" s="487"/>
      <c r="C17" s="486"/>
      <c r="D17" s="486"/>
      <c r="E17" s="486"/>
      <c r="F17" s="6" t="s">
        <v>72</v>
      </c>
      <c r="G17" s="486"/>
      <c r="H17" s="486" t="e">
        <f>SUM(H10:H16)</f>
        <v>#VALUE!</v>
      </c>
    </row>
    <row r="18" spans="2:8">
      <c r="H18" s="14" t="e">
        <f>H17*16%</f>
        <v>#VALUE!</v>
      </c>
    </row>
    <row r="19" spans="2:8">
      <c r="H19" t="e">
        <f>SUM(H17:H18)</f>
        <v>#VALUE!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E10" sqref="E10"/>
    </sheetView>
  </sheetViews>
  <sheetFormatPr baseColWidth="10" defaultRowHeight="15"/>
  <cols>
    <col min="1" max="1" width="11.42578125" style="494"/>
    <col min="3" max="3" width="25.140625" customWidth="1"/>
    <col min="4" max="4" width="0" style="542" hidden="1" customWidth="1"/>
    <col min="6" max="6" width="0" hidden="1" customWidth="1"/>
  </cols>
  <sheetData>
    <row r="2" spans="3:7" s="494" customFormat="1">
      <c r="D2" s="542"/>
    </row>
    <row r="3" spans="3:7" s="494" customFormat="1">
      <c r="D3" s="542"/>
    </row>
    <row r="4" spans="3:7" s="494" customFormat="1">
      <c r="D4" s="542"/>
    </row>
    <row r="5" spans="3:7" s="494" customFormat="1" ht="15.75" thickBot="1">
      <c r="D5" s="542"/>
    </row>
    <row r="6" spans="3:7">
      <c r="C6" s="560"/>
      <c r="D6" s="561" t="s">
        <v>1858</v>
      </c>
      <c r="E6" s="561" t="s">
        <v>75</v>
      </c>
      <c r="F6" s="561" t="s">
        <v>637</v>
      </c>
      <c r="G6" s="562"/>
    </row>
    <row r="7" spans="3:7">
      <c r="C7" s="563" t="s">
        <v>2289</v>
      </c>
      <c r="D7" s="543">
        <v>2.38</v>
      </c>
      <c r="E7" s="543">
        <v>100</v>
      </c>
      <c r="F7" s="543">
        <f>D6:D7*E7</f>
        <v>238</v>
      </c>
      <c r="G7" s="463" t="s">
        <v>2291</v>
      </c>
    </row>
    <row r="8" spans="3:7" ht="15.75" thickBot="1">
      <c r="C8" s="564" t="s">
        <v>2290</v>
      </c>
      <c r="D8" s="565">
        <v>4.57</v>
      </c>
      <c r="E8" s="565">
        <v>100</v>
      </c>
      <c r="F8" s="565">
        <f>D8*E8</f>
        <v>457</v>
      </c>
      <c r="G8" s="566" t="s">
        <v>2291</v>
      </c>
    </row>
    <row r="9" spans="3:7">
      <c r="E9" t="s">
        <v>72</v>
      </c>
      <c r="F9" s="542">
        <f>SUM(F7:F8)</f>
        <v>695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12"/>
  <sheetViews>
    <sheetView workbookViewId="0">
      <selection activeCell="F16" sqref="F16"/>
    </sheetView>
  </sheetViews>
  <sheetFormatPr baseColWidth="10" defaultRowHeight="15"/>
  <cols>
    <col min="4" max="4" width="32" customWidth="1"/>
  </cols>
  <sheetData>
    <row r="4" spans="3:9">
      <c r="C4" s="891" t="s">
        <v>3034</v>
      </c>
      <c r="D4" s="891"/>
      <c r="E4" s="891"/>
    </row>
    <row r="5" spans="3:9" ht="45">
      <c r="C5" t="s">
        <v>123</v>
      </c>
      <c r="D5" t="s">
        <v>113</v>
      </c>
      <c r="E5" s="743" t="s">
        <v>67</v>
      </c>
      <c r="F5" s="743" t="s">
        <v>3036</v>
      </c>
      <c r="G5" s="744" t="s">
        <v>637</v>
      </c>
      <c r="H5" s="743" t="s">
        <v>3037</v>
      </c>
      <c r="I5" s="752" t="s">
        <v>743</v>
      </c>
    </row>
    <row r="6" spans="3:9">
      <c r="C6" s="24">
        <v>75919740</v>
      </c>
      <c r="D6" s="749" t="s">
        <v>2066</v>
      </c>
      <c r="E6" s="743">
        <v>0.87</v>
      </c>
      <c r="F6" s="744">
        <v>611</v>
      </c>
      <c r="G6" s="744">
        <f>E6*F6</f>
        <v>531.57000000000005</v>
      </c>
      <c r="H6" s="744">
        <v>1.1399999999999999</v>
      </c>
    </row>
    <row r="7" spans="3:9">
      <c r="C7" s="24">
        <v>75916107</v>
      </c>
      <c r="D7" s="749" t="s">
        <v>2064</v>
      </c>
      <c r="E7" s="743">
        <v>1.01</v>
      </c>
      <c r="F7" s="744">
        <v>508</v>
      </c>
      <c r="G7" s="744">
        <f>E7*F7</f>
        <v>513.08000000000004</v>
      </c>
      <c r="H7" s="744">
        <v>1.32</v>
      </c>
    </row>
    <row r="8" spans="3:9" s="494" customFormat="1">
      <c r="C8" s="750"/>
      <c r="D8" s="751"/>
      <c r="E8" s="390"/>
      <c r="G8" s="742"/>
    </row>
    <row r="9" spans="3:9">
      <c r="C9" s="891" t="s">
        <v>3035</v>
      </c>
      <c r="D9" s="891"/>
      <c r="E9" s="891"/>
      <c r="G9" s="742"/>
    </row>
    <row r="10" spans="3:9" ht="45">
      <c r="C10" s="494" t="s">
        <v>123</v>
      </c>
      <c r="D10" s="494" t="s">
        <v>113</v>
      </c>
      <c r="E10" s="743" t="s">
        <v>67</v>
      </c>
      <c r="F10" s="743" t="s">
        <v>3036</v>
      </c>
      <c r="G10" s="744" t="s">
        <v>637</v>
      </c>
      <c r="H10" s="743" t="s">
        <v>3037</v>
      </c>
      <c r="I10" s="752" t="s">
        <v>743</v>
      </c>
    </row>
    <row r="11" spans="3:9">
      <c r="C11" s="24">
        <v>75919740</v>
      </c>
      <c r="D11" s="749" t="s">
        <v>2066</v>
      </c>
      <c r="E11" s="743">
        <v>0.74</v>
      </c>
      <c r="F11" s="744">
        <v>360</v>
      </c>
      <c r="G11" s="744">
        <f>E11*F11</f>
        <v>266.39999999999998</v>
      </c>
      <c r="H11" s="744">
        <v>0.97</v>
      </c>
      <c r="I11" s="753">
        <v>0.18</v>
      </c>
    </row>
    <row r="12" spans="3:9">
      <c r="C12" s="24">
        <v>75916107</v>
      </c>
      <c r="D12" s="749" t="s">
        <v>2064</v>
      </c>
      <c r="E12" s="743">
        <v>0.87</v>
      </c>
      <c r="F12" s="744">
        <v>480</v>
      </c>
      <c r="G12" s="744">
        <f>E12*F12</f>
        <v>417.6</v>
      </c>
      <c r="H12" s="744">
        <v>1.1399999999999999</v>
      </c>
      <c r="I12" s="753">
        <v>0.16</v>
      </c>
    </row>
  </sheetData>
  <mergeCells count="2">
    <mergeCell ref="C4:E4"/>
    <mergeCell ref="C9:E9"/>
  </mergeCells>
  <pageMargins left="0.7" right="0.7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Y121"/>
  <sheetViews>
    <sheetView topLeftCell="A4" workbookViewId="0">
      <selection activeCell="E22" sqref="E22"/>
    </sheetView>
  </sheetViews>
  <sheetFormatPr baseColWidth="10" defaultRowHeight="15"/>
  <cols>
    <col min="2" max="2" width="24.85546875" style="496" hidden="1" customWidth="1"/>
    <col min="3" max="3" width="16.42578125" style="496" customWidth="1"/>
    <col min="4" max="4" width="19.7109375" style="499" customWidth="1"/>
    <col min="5" max="5" width="34.7109375" style="73" customWidth="1"/>
    <col min="6" max="6" width="4.85546875" style="496" customWidth="1"/>
    <col min="7" max="8" width="11.42578125" style="496" hidden="1" customWidth="1"/>
    <col min="9" max="9" width="11.42578125" style="496" customWidth="1"/>
    <col min="10" max="10" width="0" style="489" hidden="1" customWidth="1"/>
    <col min="11" max="16" width="11.42578125" style="496" hidden="1" customWidth="1"/>
    <col min="17" max="17" width="0" style="496" hidden="1" customWidth="1"/>
    <col min="18" max="18" width="0" style="504" hidden="1" customWidth="1"/>
    <col min="19" max="20" width="11.42578125" style="496"/>
  </cols>
  <sheetData>
    <row r="6" spans="2:25">
      <c r="B6" s="438" t="s">
        <v>2047</v>
      </c>
      <c r="C6" s="112"/>
      <c r="D6" s="750"/>
      <c r="E6" s="864" t="s">
        <v>72</v>
      </c>
      <c r="F6" s="112" t="s">
        <v>72</v>
      </c>
      <c r="G6" s="112"/>
      <c r="H6" s="112"/>
      <c r="I6" s="112" t="s">
        <v>72</v>
      </c>
      <c r="J6" s="863"/>
      <c r="K6" s="23"/>
      <c r="L6" s="23" t="s">
        <v>2048</v>
      </c>
      <c r="M6" s="23"/>
      <c r="N6" s="23"/>
      <c r="O6" s="23"/>
      <c r="P6" s="23"/>
      <c r="Q6" s="23"/>
    </row>
    <row r="7" spans="2:25" ht="33" customHeight="1">
      <c r="B7" s="927" t="s">
        <v>2049</v>
      </c>
      <c r="C7" s="928"/>
      <c r="D7" s="928"/>
      <c r="E7" s="928"/>
      <c r="F7" s="928"/>
      <c r="G7" s="929"/>
      <c r="H7" s="843"/>
      <c r="I7" s="112"/>
      <c r="J7" s="863"/>
      <c r="K7" s="23"/>
      <c r="L7" s="23"/>
      <c r="M7" s="23"/>
      <c r="N7" s="23"/>
      <c r="O7" s="23"/>
      <c r="P7" s="23"/>
      <c r="Q7" s="23"/>
      <c r="W7" s="741" t="s">
        <v>3029</v>
      </c>
    </row>
    <row r="8" spans="2:25" ht="60">
      <c r="B8" s="375"/>
      <c r="C8" s="375" t="s">
        <v>2050</v>
      </c>
      <c r="D8" s="500" t="s">
        <v>2051</v>
      </c>
      <c r="E8" s="502" t="s">
        <v>2052</v>
      </c>
      <c r="F8" s="501"/>
      <c r="G8" s="375" t="s">
        <v>2053</v>
      </c>
      <c r="H8" s="444" t="s">
        <v>2054</v>
      </c>
      <c r="I8" s="444" t="s">
        <v>2055</v>
      </c>
      <c r="J8" s="444" t="s">
        <v>2056</v>
      </c>
      <c r="K8" s="444" t="s">
        <v>2057</v>
      </c>
      <c r="L8" s="444"/>
      <c r="M8" s="444" t="s">
        <v>2058</v>
      </c>
      <c r="N8" s="444" t="s">
        <v>2059</v>
      </c>
      <c r="O8" s="444" t="s">
        <v>2060</v>
      </c>
      <c r="P8" s="444" t="s">
        <v>2061</v>
      </c>
      <c r="Q8" s="43" t="s">
        <v>2192</v>
      </c>
      <c r="R8" s="505" t="s">
        <v>1838</v>
      </c>
      <c r="S8" s="444" t="s">
        <v>75</v>
      </c>
      <c r="T8" s="444" t="s">
        <v>637</v>
      </c>
      <c r="V8" s="741" t="s">
        <v>3028</v>
      </c>
      <c r="W8" s="741">
        <v>4.32</v>
      </c>
      <c r="X8" s="741" t="s">
        <v>3031</v>
      </c>
      <c r="Y8" s="740" t="s">
        <v>3030</v>
      </c>
    </row>
    <row r="9" spans="2:25" hidden="1">
      <c r="B9" s="23" t="s">
        <v>2062</v>
      </c>
      <c r="C9" s="23">
        <v>15196</v>
      </c>
      <c r="D9" s="24">
        <v>75916220</v>
      </c>
      <c r="E9" s="339" t="s">
        <v>2063</v>
      </c>
      <c r="F9" s="23"/>
      <c r="G9" s="23">
        <v>24</v>
      </c>
      <c r="H9" s="23">
        <v>12.1</v>
      </c>
      <c r="I9" s="23">
        <v>14.04</v>
      </c>
      <c r="J9" s="375">
        <v>0.5</v>
      </c>
      <c r="K9" s="23">
        <v>0.59</v>
      </c>
      <c r="L9" s="23"/>
      <c r="M9" s="23">
        <v>0.67</v>
      </c>
      <c r="N9" s="23">
        <v>0.78</v>
      </c>
      <c r="O9" s="23">
        <v>0.25</v>
      </c>
      <c r="P9" s="23">
        <v>0</v>
      </c>
      <c r="Q9" s="23">
        <v>0.69</v>
      </c>
      <c r="R9" s="507">
        <f>Q9/J9</f>
        <v>1.38</v>
      </c>
      <c r="S9" s="497"/>
      <c r="T9" s="497">
        <f>I9*S9</f>
        <v>0</v>
      </c>
      <c r="V9" s="741"/>
      <c r="W9" s="741"/>
      <c r="X9" s="741"/>
      <c r="Y9" s="740"/>
    </row>
    <row r="10" spans="2:25">
      <c r="B10" s="23"/>
      <c r="C10" s="23">
        <v>15197</v>
      </c>
      <c r="D10" s="24">
        <v>75916107</v>
      </c>
      <c r="E10" s="401" t="s">
        <v>2064</v>
      </c>
      <c r="F10" s="23"/>
      <c r="G10" s="23">
        <v>24</v>
      </c>
      <c r="H10" s="23">
        <v>21.52</v>
      </c>
      <c r="I10" s="23">
        <v>24.96</v>
      </c>
      <c r="J10" s="375">
        <v>0.9</v>
      </c>
      <c r="K10" s="23">
        <v>1.04</v>
      </c>
      <c r="L10" s="23"/>
      <c r="M10" s="23">
        <v>1.1200000000000001</v>
      </c>
      <c r="N10" s="23">
        <v>1.3</v>
      </c>
      <c r="O10" s="23">
        <v>0.2</v>
      </c>
      <c r="P10" s="23">
        <v>0</v>
      </c>
      <c r="Q10" s="23">
        <v>1.1299999999999999</v>
      </c>
      <c r="R10" s="507">
        <f t="shared" ref="R10:R73" si="0">Q10/J10</f>
        <v>1.2555555555555553</v>
      </c>
      <c r="S10" s="497">
        <v>20</v>
      </c>
      <c r="T10" s="497">
        <f t="shared" ref="T10:T73" si="1">I10*S10</f>
        <v>499.20000000000005</v>
      </c>
      <c r="V10" s="741">
        <v>1812.4</v>
      </c>
      <c r="W10" s="741">
        <v>480</v>
      </c>
      <c r="X10" s="6">
        <f>V10/W10</f>
        <v>3.7758333333333334</v>
      </c>
      <c r="Y10" s="44">
        <f>X10/W$8</f>
        <v>0.87403549382716039</v>
      </c>
    </row>
    <row r="11" spans="2:25" hidden="1">
      <c r="B11" s="23"/>
      <c r="C11" s="23">
        <v>15203</v>
      </c>
      <c r="D11" s="24">
        <v>75920531</v>
      </c>
      <c r="E11" s="401" t="s">
        <v>2065</v>
      </c>
      <c r="F11" s="23"/>
      <c r="G11" s="23">
        <v>24</v>
      </c>
      <c r="H11" s="23">
        <v>10.24</v>
      </c>
      <c r="I11" s="23">
        <v>11.88</v>
      </c>
      <c r="J11" s="375">
        <v>0.43</v>
      </c>
      <c r="K11" s="23">
        <v>0.5</v>
      </c>
      <c r="L11" s="23"/>
      <c r="M11" s="23">
        <v>0.56999999999999995</v>
      </c>
      <c r="N11" s="23">
        <v>0.66</v>
      </c>
      <c r="O11" s="23">
        <v>0.25</v>
      </c>
      <c r="P11" s="23">
        <v>0</v>
      </c>
      <c r="Q11" s="23">
        <v>0</v>
      </c>
      <c r="R11" s="507">
        <f t="shared" si="0"/>
        <v>0</v>
      </c>
      <c r="S11" s="497"/>
      <c r="T11" s="497">
        <f t="shared" si="1"/>
        <v>0</v>
      </c>
      <c r="V11" s="741"/>
      <c r="W11" s="741"/>
      <c r="X11" s="6" t="e">
        <f t="shared" ref="X11:X41" si="2">V11/W11</f>
        <v>#DIV/0!</v>
      </c>
      <c r="Y11" s="44" t="e">
        <f t="shared" ref="Y11:Y41" si="3">X11/W$8</f>
        <v>#DIV/0!</v>
      </c>
    </row>
    <row r="12" spans="2:25">
      <c r="B12" s="23"/>
      <c r="C12" s="23">
        <v>15228</v>
      </c>
      <c r="D12" s="24">
        <v>75919740</v>
      </c>
      <c r="E12" s="401" t="s">
        <v>2066</v>
      </c>
      <c r="F12" s="23"/>
      <c r="G12" s="23">
        <v>24</v>
      </c>
      <c r="H12" s="23">
        <v>18.37</v>
      </c>
      <c r="I12" s="23">
        <v>21.31</v>
      </c>
      <c r="J12" s="375">
        <v>0.77</v>
      </c>
      <c r="K12" s="23">
        <v>0.89</v>
      </c>
      <c r="L12" s="23"/>
      <c r="M12" s="23">
        <v>0.96</v>
      </c>
      <c r="N12" s="23">
        <v>1.1100000000000001</v>
      </c>
      <c r="O12" s="23">
        <v>0.2</v>
      </c>
      <c r="P12" s="23">
        <v>0</v>
      </c>
      <c r="Q12" s="23">
        <v>1.01</v>
      </c>
      <c r="R12" s="507">
        <f t="shared" si="0"/>
        <v>1.3116883116883116</v>
      </c>
      <c r="S12" s="497">
        <v>15</v>
      </c>
      <c r="T12" s="497">
        <f t="shared" si="1"/>
        <v>319.64999999999998</v>
      </c>
      <c r="V12" s="741">
        <v>1160.4000000000001</v>
      </c>
      <c r="W12" s="741">
        <v>360</v>
      </c>
      <c r="X12" s="6">
        <f t="shared" si="2"/>
        <v>3.2233333333333336</v>
      </c>
      <c r="Y12" s="44">
        <f t="shared" si="3"/>
        <v>0.74614197530864201</v>
      </c>
    </row>
    <row r="13" spans="2:25" hidden="1">
      <c r="B13" s="23"/>
      <c r="C13" s="23">
        <v>15759</v>
      </c>
      <c r="D13" s="24">
        <v>7591112000086</v>
      </c>
      <c r="E13" s="401" t="s">
        <v>2067</v>
      </c>
      <c r="F13" s="23"/>
      <c r="G13" s="23">
        <v>24</v>
      </c>
      <c r="H13" s="23">
        <v>12.02</v>
      </c>
      <c r="I13" s="23">
        <v>13.94</v>
      </c>
      <c r="J13" s="375">
        <v>0.5</v>
      </c>
      <c r="K13" s="23">
        <v>0.57999999999999996</v>
      </c>
      <c r="L13" s="23"/>
      <c r="M13" s="23">
        <v>0.72</v>
      </c>
      <c r="N13" s="23">
        <v>0.83</v>
      </c>
      <c r="O13" s="23">
        <v>0.3</v>
      </c>
      <c r="P13" s="23">
        <v>0</v>
      </c>
      <c r="Q13" s="23">
        <v>0.98</v>
      </c>
      <c r="R13" s="507">
        <f t="shared" si="0"/>
        <v>1.96</v>
      </c>
      <c r="S13" s="497"/>
      <c r="T13" s="497">
        <f t="shared" si="1"/>
        <v>0</v>
      </c>
      <c r="V13" s="741"/>
      <c r="W13" s="741"/>
      <c r="X13" s="6" t="e">
        <f t="shared" si="2"/>
        <v>#DIV/0!</v>
      </c>
      <c r="Y13" s="44" t="e">
        <f t="shared" si="3"/>
        <v>#DIV/0!</v>
      </c>
    </row>
    <row r="14" spans="2:25" hidden="1">
      <c r="B14" s="23"/>
      <c r="C14" s="23">
        <v>15553</v>
      </c>
      <c r="D14" s="24">
        <v>75922078</v>
      </c>
      <c r="E14" s="401" t="s">
        <v>2068</v>
      </c>
      <c r="F14" s="23"/>
      <c r="G14" s="23">
        <v>24</v>
      </c>
      <c r="H14" s="23">
        <v>20.13</v>
      </c>
      <c r="I14" s="23">
        <v>23.35</v>
      </c>
      <c r="J14" s="508">
        <v>0.84</v>
      </c>
      <c r="K14" s="508">
        <v>0.97</v>
      </c>
      <c r="L14" s="508"/>
      <c r="M14" s="508">
        <v>1.2</v>
      </c>
      <c r="N14" s="508">
        <v>1.39</v>
      </c>
      <c r="O14" s="508">
        <v>0.3</v>
      </c>
      <c r="P14" s="508">
        <v>0</v>
      </c>
      <c r="Q14" s="508">
        <v>0.71</v>
      </c>
      <c r="R14" s="507">
        <f t="shared" si="0"/>
        <v>0.84523809523809523</v>
      </c>
      <c r="S14" s="497"/>
      <c r="T14" s="497">
        <f t="shared" si="1"/>
        <v>0</v>
      </c>
      <c r="V14" s="741"/>
      <c r="W14" s="741">
        <v>4.32</v>
      </c>
      <c r="X14" s="6">
        <f t="shared" si="2"/>
        <v>0</v>
      </c>
      <c r="Y14" s="44">
        <f t="shared" si="3"/>
        <v>0</v>
      </c>
    </row>
    <row r="15" spans="2:25" hidden="1">
      <c r="B15" s="23" t="s">
        <v>2069</v>
      </c>
      <c r="C15" s="23">
        <v>15767</v>
      </c>
      <c r="D15" s="24">
        <v>7591112000093</v>
      </c>
      <c r="E15" s="401" t="s">
        <v>2070</v>
      </c>
      <c r="F15" s="23"/>
      <c r="G15" s="23">
        <v>24</v>
      </c>
      <c r="H15" s="23">
        <v>12.02</v>
      </c>
      <c r="I15" s="23">
        <v>13.94</v>
      </c>
      <c r="J15" s="375">
        <v>0.5</v>
      </c>
      <c r="K15" s="23">
        <v>0.57999999999999996</v>
      </c>
      <c r="L15" s="23"/>
      <c r="M15" s="23">
        <v>0.72</v>
      </c>
      <c r="N15" s="23">
        <v>0.83</v>
      </c>
      <c r="O15" s="23">
        <v>0.3</v>
      </c>
      <c r="P15" s="23">
        <v>0</v>
      </c>
      <c r="Q15" s="23">
        <v>0.74</v>
      </c>
      <c r="R15" s="507">
        <f t="shared" si="0"/>
        <v>1.48</v>
      </c>
      <c r="S15" s="497"/>
      <c r="T15" s="497">
        <f t="shared" si="1"/>
        <v>0</v>
      </c>
      <c r="V15" s="741"/>
      <c r="W15" s="741"/>
      <c r="X15" s="6" t="e">
        <f t="shared" si="2"/>
        <v>#DIV/0!</v>
      </c>
      <c r="Y15" s="44" t="e">
        <f t="shared" si="3"/>
        <v>#DIV/0!</v>
      </c>
    </row>
    <row r="16" spans="2:25" hidden="1">
      <c r="B16" s="23"/>
      <c r="C16" s="23">
        <v>15707</v>
      </c>
      <c r="D16" s="24">
        <v>7591112460989</v>
      </c>
      <c r="E16" s="401" t="s">
        <v>2071</v>
      </c>
      <c r="F16" s="23"/>
      <c r="G16" s="23">
        <v>24</v>
      </c>
      <c r="H16" s="23">
        <v>20.13</v>
      </c>
      <c r="I16" s="23">
        <v>23.35</v>
      </c>
      <c r="J16" s="375">
        <v>0.84</v>
      </c>
      <c r="K16" s="23">
        <v>0.97</v>
      </c>
      <c r="L16" s="23"/>
      <c r="M16" s="23">
        <v>1.2</v>
      </c>
      <c r="N16" s="23">
        <v>1.39</v>
      </c>
      <c r="O16" s="23">
        <v>0.3</v>
      </c>
      <c r="P16" s="23">
        <v>0</v>
      </c>
      <c r="Q16" s="23">
        <v>1.03</v>
      </c>
      <c r="R16" s="507">
        <f t="shared" si="0"/>
        <v>1.2261904761904763</v>
      </c>
      <c r="S16" s="497"/>
      <c r="T16" s="497">
        <f t="shared" si="1"/>
        <v>0</v>
      </c>
      <c r="V16" s="741"/>
      <c r="W16" s="741"/>
      <c r="X16" s="6" t="e">
        <f t="shared" si="2"/>
        <v>#DIV/0!</v>
      </c>
      <c r="Y16" s="44" t="e">
        <f t="shared" si="3"/>
        <v>#DIV/0!</v>
      </c>
    </row>
    <row r="17" spans="2:25" hidden="1">
      <c r="B17" s="23"/>
      <c r="C17" s="23">
        <v>15232</v>
      </c>
      <c r="D17" s="24">
        <v>7591112023061</v>
      </c>
      <c r="E17" s="401" t="s">
        <v>2072</v>
      </c>
      <c r="F17" s="23"/>
      <c r="G17" s="23">
        <v>24</v>
      </c>
      <c r="H17" s="23">
        <v>15.06</v>
      </c>
      <c r="I17" s="23">
        <v>17.47</v>
      </c>
      <c r="J17" s="375">
        <v>0.63</v>
      </c>
      <c r="K17" s="23">
        <v>0.73</v>
      </c>
      <c r="L17" s="23"/>
      <c r="M17" s="23">
        <v>0.78</v>
      </c>
      <c r="N17" s="23">
        <v>0.91</v>
      </c>
      <c r="O17" s="23">
        <v>0.2</v>
      </c>
      <c r="P17" s="23">
        <v>0</v>
      </c>
      <c r="Q17" s="23">
        <v>0</v>
      </c>
      <c r="R17" s="507">
        <f t="shared" si="0"/>
        <v>0</v>
      </c>
      <c r="S17" s="497"/>
      <c r="T17" s="497">
        <f t="shared" si="1"/>
        <v>0</v>
      </c>
      <c r="V17" s="741"/>
      <c r="W17" s="741"/>
      <c r="X17" s="6" t="e">
        <f t="shared" si="2"/>
        <v>#DIV/0!</v>
      </c>
      <c r="Y17" s="44" t="e">
        <f t="shared" si="3"/>
        <v>#DIV/0!</v>
      </c>
    </row>
    <row r="18" spans="2:25" hidden="1">
      <c r="B18" s="23" t="s">
        <v>2073</v>
      </c>
      <c r="C18" s="23">
        <v>15266</v>
      </c>
      <c r="D18" s="24">
        <v>75916237</v>
      </c>
      <c r="E18" s="401" t="s">
        <v>2074</v>
      </c>
      <c r="F18" s="23"/>
      <c r="G18" s="23">
        <v>24</v>
      </c>
      <c r="H18" s="23">
        <v>12.02</v>
      </c>
      <c r="I18" s="23">
        <v>13.94</v>
      </c>
      <c r="J18" s="375">
        <v>0.5</v>
      </c>
      <c r="K18" s="23">
        <v>0.57999999999999996</v>
      </c>
      <c r="L18" s="23"/>
      <c r="M18" s="23">
        <v>0.72</v>
      </c>
      <c r="N18" s="23">
        <v>0.83</v>
      </c>
      <c r="O18" s="23">
        <v>0.3</v>
      </c>
      <c r="P18" s="23">
        <v>0</v>
      </c>
      <c r="Q18" s="23">
        <v>0.69</v>
      </c>
      <c r="R18" s="507">
        <f t="shared" si="0"/>
        <v>1.38</v>
      </c>
      <c r="S18" s="497"/>
      <c r="T18" s="497">
        <f t="shared" si="1"/>
        <v>0</v>
      </c>
      <c r="V18" s="741"/>
      <c r="W18" s="741"/>
      <c r="X18" s="6" t="e">
        <f t="shared" si="2"/>
        <v>#DIV/0!</v>
      </c>
      <c r="Y18" s="44" t="e">
        <f t="shared" si="3"/>
        <v>#DIV/0!</v>
      </c>
    </row>
    <row r="19" spans="2:25" hidden="1">
      <c r="B19" s="23"/>
      <c r="C19" s="23">
        <v>15267</v>
      </c>
      <c r="D19" s="24">
        <v>75916176</v>
      </c>
      <c r="E19" s="401" t="s">
        <v>2075</v>
      </c>
      <c r="F19" s="23"/>
      <c r="G19" s="23">
        <v>24</v>
      </c>
      <c r="H19" s="23">
        <v>20.13</v>
      </c>
      <c r="I19" s="23">
        <v>23.35</v>
      </c>
      <c r="J19" s="375">
        <v>0.84</v>
      </c>
      <c r="K19" s="23">
        <v>0.97</v>
      </c>
      <c r="L19" s="23"/>
      <c r="M19" s="23">
        <v>1.2</v>
      </c>
      <c r="N19" s="23">
        <v>1.39</v>
      </c>
      <c r="O19" s="23">
        <v>0.3</v>
      </c>
      <c r="P19" s="23">
        <v>0</v>
      </c>
      <c r="Q19" s="23">
        <v>1.08</v>
      </c>
      <c r="R19" s="507">
        <f t="shared" si="0"/>
        <v>1.2857142857142858</v>
      </c>
      <c r="S19" s="497"/>
      <c r="T19" s="497">
        <f t="shared" si="1"/>
        <v>0</v>
      </c>
      <c r="V19" s="741"/>
      <c r="W19" s="741"/>
      <c r="X19" s="6" t="e">
        <f t="shared" si="2"/>
        <v>#DIV/0!</v>
      </c>
      <c r="Y19" s="44" t="e">
        <f t="shared" si="3"/>
        <v>#DIV/0!</v>
      </c>
    </row>
    <row r="20" spans="2:25" hidden="1">
      <c r="B20" s="23" t="s">
        <v>2076</v>
      </c>
      <c r="C20" s="23">
        <v>15714</v>
      </c>
      <c r="D20" s="24">
        <v>7591112460842</v>
      </c>
      <c r="E20" s="401" t="s">
        <v>2077</v>
      </c>
      <c r="F20" s="23"/>
      <c r="G20" s="23">
        <v>24</v>
      </c>
      <c r="H20" s="23">
        <v>12.17</v>
      </c>
      <c r="I20" s="23">
        <v>14.11</v>
      </c>
      <c r="J20" s="375">
        <v>0.51</v>
      </c>
      <c r="K20" s="23">
        <v>0.59</v>
      </c>
      <c r="L20" s="23"/>
      <c r="M20" s="23">
        <v>0.72</v>
      </c>
      <c r="N20" s="23">
        <v>0.84</v>
      </c>
      <c r="O20" s="23">
        <v>0.3</v>
      </c>
      <c r="P20" s="23">
        <v>0</v>
      </c>
      <c r="Q20" s="23"/>
      <c r="R20" s="507">
        <f t="shared" si="0"/>
        <v>0</v>
      </c>
      <c r="S20" s="497"/>
      <c r="T20" s="497">
        <f t="shared" si="1"/>
        <v>0</v>
      </c>
      <c r="V20" s="741"/>
      <c r="W20" s="741"/>
      <c r="X20" s="6" t="e">
        <f t="shared" si="2"/>
        <v>#DIV/0!</v>
      </c>
      <c r="Y20" s="44" t="e">
        <f t="shared" si="3"/>
        <v>#DIV/0!</v>
      </c>
    </row>
    <row r="21" spans="2:25" hidden="1">
      <c r="B21" s="23"/>
      <c r="C21" s="23">
        <v>15258</v>
      </c>
      <c r="D21" s="24">
        <v>7591112041010</v>
      </c>
      <c r="E21" s="401" t="s">
        <v>2078</v>
      </c>
      <c r="F21" s="23"/>
      <c r="G21" s="23">
        <v>24</v>
      </c>
      <c r="H21" s="23">
        <v>18.25</v>
      </c>
      <c r="I21" s="23">
        <v>21.17</v>
      </c>
      <c r="J21" s="375">
        <v>0.76</v>
      </c>
      <c r="K21" s="23">
        <v>0.88</v>
      </c>
      <c r="L21" s="23"/>
      <c r="M21" s="23">
        <v>1.0900000000000001</v>
      </c>
      <c r="N21" s="23">
        <v>1.26</v>
      </c>
      <c r="O21" s="23">
        <v>0.3</v>
      </c>
      <c r="P21" s="23">
        <v>0</v>
      </c>
      <c r="Q21" s="23">
        <v>0.92</v>
      </c>
      <c r="R21" s="507">
        <f t="shared" si="0"/>
        <v>1.2105263157894737</v>
      </c>
      <c r="S21" s="497"/>
      <c r="T21" s="497">
        <f t="shared" si="1"/>
        <v>0</v>
      </c>
      <c r="V21" s="741"/>
      <c r="W21" s="741"/>
      <c r="X21" s="6" t="e">
        <f t="shared" si="2"/>
        <v>#DIV/0!</v>
      </c>
      <c r="Y21" s="44" t="e">
        <f t="shared" si="3"/>
        <v>#DIV/0!</v>
      </c>
    </row>
    <row r="22" spans="2:25">
      <c r="B22" s="23"/>
      <c r="C22" s="23">
        <v>15260</v>
      </c>
      <c r="D22" s="24">
        <v>7591112041041</v>
      </c>
      <c r="E22" s="401" t="s">
        <v>2079</v>
      </c>
      <c r="F22" s="23"/>
      <c r="G22" s="23">
        <v>12</v>
      </c>
      <c r="H22" s="23">
        <v>18.32</v>
      </c>
      <c r="I22" s="23">
        <v>21.25</v>
      </c>
      <c r="J22" s="375">
        <v>1.53</v>
      </c>
      <c r="K22" s="23">
        <v>1.77</v>
      </c>
      <c r="L22" s="23"/>
      <c r="M22" s="23">
        <v>2.1800000000000002</v>
      </c>
      <c r="N22" s="23">
        <v>2.5299999999999998</v>
      </c>
      <c r="O22" s="23">
        <v>0.3</v>
      </c>
      <c r="P22" s="23">
        <v>0</v>
      </c>
      <c r="Q22" s="56">
        <v>1.82</v>
      </c>
      <c r="R22" s="507">
        <f t="shared" si="0"/>
        <v>1.1895424836601307</v>
      </c>
      <c r="S22" s="497">
        <v>10</v>
      </c>
      <c r="T22" s="497">
        <f t="shared" si="1"/>
        <v>212.5</v>
      </c>
      <c r="V22" s="741">
        <v>771.5</v>
      </c>
      <c r="W22" s="741">
        <v>240</v>
      </c>
      <c r="X22" s="6">
        <f t="shared" si="2"/>
        <v>3.2145833333333331</v>
      </c>
      <c r="Y22" s="44">
        <f t="shared" si="3"/>
        <v>0.74411651234567888</v>
      </c>
    </row>
    <row r="23" spans="2:25" hidden="1">
      <c r="B23" s="23"/>
      <c r="C23" s="23">
        <v>15265</v>
      </c>
      <c r="D23" s="24">
        <v>7591112057042</v>
      </c>
      <c r="E23" s="401" t="s">
        <v>2080</v>
      </c>
      <c r="F23" s="23"/>
      <c r="G23" s="23">
        <v>12</v>
      </c>
      <c r="H23" s="23">
        <v>15.57</v>
      </c>
      <c r="I23" s="23">
        <v>18.059999999999999</v>
      </c>
      <c r="J23" s="375">
        <v>1.3</v>
      </c>
      <c r="K23" s="23">
        <v>1.51</v>
      </c>
      <c r="L23" s="23"/>
      <c r="M23" s="23">
        <v>1.85</v>
      </c>
      <c r="N23" s="23">
        <v>2.15</v>
      </c>
      <c r="O23" s="23">
        <v>0.3</v>
      </c>
      <c r="P23" s="23">
        <v>0</v>
      </c>
      <c r="Q23" s="23">
        <v>0</v>
      </c>
      <c r="R23" s="507">
        <f t="shared" si="0"/>
        <v>0</v>
      </c>
      <c r="S23" s="497"/>
      <c r="T23" s="497">
        <f t="shared" si="1"/>
        <v>0</v>
      </c>
      <c r="V23" s="741"/>
      <c r="W23" s="741"/>
      <c r="X23" s="6" t="e">
        <f t="shared" si="2"/>
        <v>#DIV/0!</v>
      </c>
      <c r="Y23" s="44" t="e">
        <f t="shared" si="3"/>
        <v>#DIV/0!</v>
      </c>
    </row>
    <row r="24" spans="2:25" hidden="1">
      <c r="B24" s="23"/>
      <c r="C24" s="23">
        <v>15261</v>
      </c>
      <c r="D24" s="24">
        <v>7591112041058</v>
      </c>
      <c r="E24" s="401" t="s">
        <v>2081</v>
      </c>
      <c r="F24" s="23"/>
      <c r="G24" s="23">
        <v>4</v>
      </c>
      <c r="H24" s="23">
        <v>44.73</v>
      </c>
      <c r="I24" s="23">
        <v>51.88</v>
      </c>
      <c r="J24" s="375">
        <v>11.18</v>
      </c>
      <c r="K24" s="23">
        <v>12.97</v>
      </c>
      <c r="L24" s="23"/>
      <c r="M24" s="23">
        <v>15.97</v>
      </c>
      <c r="N24" s="23">
        <v>18.53</v>
      </c>
      <c r="O24" s="23">
        <v>0.3</v>
      </c>
      <c r="P24" s="23">
        <v>0</v>
      </c>
      <c r="Q24" s="23">
        <v>0</v>
      </c>
      <c r="R24" s="507">
        <f t="shared" si="0"/>
        <v>0</v>
      </c>
      <c r="S24" s="497"/>
      <c r="T24" s="497">
        <f t="shared" si="1"/>
        <v>0</v>
      </c>
      <c r="V24" s="741"/>
      <c r="W24" s="741"/>
      <c r="X24" s="6" t="e">
        <f t="shared" si="2"/>
        <v>#DIV/0!</v>
      </c>
      <c r="Y24" s="44" t="e">
        <f t="shared" si="3"/>
        <v>#DIV/0!</v>
      </c>
    </row>
    <row r="25" spans="2:25" hidden="1">
      <c r="B25" s="23" t="s">
        <v>896</v>
      </c>
      <c r="C25" s="23">
        <v>15288</v>
      </c>
      <c r="D25" s="24">
        <v>7591112038010</v>
      </c>
      <c r="E25" s="401" t="s">
        <v>2082</v>
      </c>
      <c r="F25" s="23"/>
      <c r="G25" s="23">
        <v>24</v>
      </c>
      <c r="H25" s="23">
        <v>14.48</v>
      </c>
      <c r="I25" s="23">
        <v>16.8</v>
      </c>
      <c r="J25" s="375">
        <v>0.6</v>
      </c>
      <c r="K25" s="23">
        <v>0.7</v>
      </c>
      <c r="L25" s="23"/>
      <c r="M25" s="23">
        <v>0.86</v>
      </c>
      <c r="N25" s="23">
        <v>1</v>
      </c>
      <c r="O25" s="23">
        <v>0.3</v>
      </c>
      <c r="P25" s="23">
        <v>0</v>
      </c>
      <c r="Q25" s="23">
        <v>0</v>
      </c>
      <c r="R25" s="507">
        <f t="shared" si="0"/>
        <v>0</v>
      </c>
      <c r="S25" s="497"/>
      <c r="T25" s="497">
        <f t="shared" si="1"/>
        <v>0</v>
      </c>
      <c r="V25" s="741"/>
      <c r="W25" s="741"/>
      <c r="X25" s="6" t="e">
        <f t="shared" si="2"/>
        <v>#DIV/0!</v>
      </c>
      <c r="Y25" s="44" t="e">
        <f t="shared" si="3"/>
        <v>#DIV/0!</v>
      </c>
    </row>
    <row r="26" spans="2:25" hidden="1">
      <c r="B26" s="23"/>
      <c r="C26" s="23">
        <v>15566</v>
      </c>
      <c r="D26" s="24">
        <v>7591112155663</v>
      </c>
      <c r="E26" s="401" t="s">
        <v>2083</v>
      </c>
      <c r="F26" s="23"/>
      <c r="G26" s="23">
        <v>24</v>
      </c>
      <c r="H26" s="23">
        <v>17.38</v>
      </c>
      <c r="I26" s="23">
        <v>20.16</v>
      </c>
      <c r="J26" s="375">
        <v>0.72</v>
      </c>
      <c r="K26" s="23">
        <v>0.84</v>
      </c>
      <c r="L26" s="23"/>
      <c r="M26" s="23">
        <v>1.03</v>
      </c>
      <c r="N26" s="23">
        <v>1.2</v>
      </c>
      <c r="O26" s="23">
        <v>0.3</v>
      </c>
      <c r="P26" s="23">
        <v>0</v>
      </c>
      <c r="Q26" s="23">
        <v>0</v>
      </c>
      <c r="R26" s="507">
        <f t="shared" si="0"/>
        <v>0</v>
      </c>
      <c r="S26" s="497"/>
      <c r="T26" s="497">
        <f t="shared" si="1"/>
        <v>0</v>
      </c>
      <c r="V26" s="741"/>
      <c r="W26" s="741"/>
      <c r="X26" s="6" t="e">
        <f t="shared" si="2"/>
        <v>#DIV/0!</v>
      </c>
      <c r="Y26" s="44" t="e">
        <f t="shared" si="3"/>
        <v>#DIV/0!</v>
      </c>
    </row>
    <row r="27" spans="2:25" hidden="1">
      <c r="B27" s="23" t="s">
        <v>2084</v>
      </c>
      <c r="C27" s="23">
        <v>15281</v>
      </c>
      <c r="D27" s="24">
        <v>7591112025263</v>
      </c>
      <c r="E27" s="401" t="s">
        <v>2085</v>
      </c>
      <c r="F27" s="23"/>
      <c r="G27" s="23">
        <v>24</v>
      </c>
      <c r="H27" s="23">
        <v>14.34</v>
      </c>
      <c r="I27" s="23">
        <v>16.63</v>
      </c>
      <c r="J27" s="375">
        <v>0.6</v>
      </c>
      <c r="K27" s="23">
        <v>0.69</v>
      </c>
      <c r="L27" s="23"/>
      <c r="M27" s="23">
        <v>0.85</v>
      </c>
      <c r="N27" s="23">
        <v>0.99</v>
      </c>
      <c r="O27" s="23">
        <v>0.3</v>
      </c>
      <c r="P27" s="23">
        <v>0</v>
      </c>
      <c r="Q27" s="23">
        <v>0</v>
      </c>
      <c r="R27" s="507">
        <f t="shared" si="0"/>
        <v>0</v>
      </c>
      <c r="S27" s="497"/>
      <c r="T27" s="497">
        <f t="shared" si="1"/>
        <v>0</v>
      </c>
      <c r="V27" s="741"/>
      <c r="W27" s="741"/>
      <c r="X27" s="6" t="e">
        <f t="shared" si="2"/>
        <v>#DIV/0!</v>
      </c>
      <c r="Y27" s="44" t="e">
        <f t="shared" si="3"/>
        <v>#DIV/0!</v>
      </c>
    </row>
    <row r="28" spans="2:25">
      <c r="B28" s="23"/>
      <c r="C28" s="23">
        <v>15282</v>
      </c>
      <c r="D28" s="24">
        <v>7591112025287</v>
      </c>
      <c r="E28" s="401" t="s">
        <v>2086</v>
      </c>
      <c r="F28" s="23"/>
      <c r="G28" s="23">
        <v>24</v>
      </c>
      <c r="H28" s="23">
        <v>25.06</v>
      </c>
      <c r="I28" s="23">
        <v>29.06</v>
      </c>
      <c r="J28" s="375">
        <v>1.04</v>
      </c>
      <c r="K28" s="23">
        <v>1.21</v>
      </c>
      <c r="L28" s="23"/>
      <c r="M28" s="23">
        <v>1.49</v>
      </c>
      <c r="N28" s="23">
        <v>1.73</v>
      </c>
      <c r="O28" s="23">
        <v>0.3</v>
      </c>
      <c r="P28" s="23">
        <v>0</v>
      </c>
      <c r="Q28" s="23">
        <v>1</v>
      </c>
      <c r="R28" s="507">
        <f t="shared" si="0"/>
        <v>0.96153846153846145</v>
      </c>
      <c r="S28" s="497">
        <v>10</v>
      </c>
      <c r="T28" s="497">
        <f t="shared" si="1"/>
        <v>290.59999999999997</v>
      </c>
      <c r="V28" s="741">
        <v>1055.3</v>
      </c>
      <c r="W28" s="741">
        <v>240</v>
      </c>
      <c r="X28" s="6">
        <f t="shared" si="2"/>
        <v>4.3970833333333328</v>
      </c>
      <c r="Y28" s="44">
        <f t="shared" si="3"/>
        <v>1.0178433641975306</v>
      </c>
    </row>
    <row r="29" spans="2:25" hidden="1">
      <c r="B29" s="23"/>
      <c r="C29" s="23">
        <v>15284</v>
      </c>
      <c r="D29" s="24">
        <v>7591112025294</v>
      </c>
      <c r="E29" s="401" t="s">
        <v>2087</v>
      </c>
      <c r="F29" s="23"/>
      <c r="G29" s="23">
        <v>4</v>
      </c>
      <c r="H29" s="23">
        <v>41.76</v>
      </c>
      <c r="I29" s="23">
        <v>48.44</v>
      </c>
      <c r="J29" s="375">
        <v>10.44</v>
      </c>
      <c r="K29" s="23">
        <v>12.11</v>
      </c>
      <c r="L29" s="23"/>
      <c r="M29" s="23">
        <v>14.91</v>
      </c>
      <c r="N29" s="23">
        <v>17.3</v>
      </c>
      <c r="O29" s="23">
        <v>0.3</v>
      </c>
      <c r="P29" s="23">
        <v>0</v>
      </c>
      <c r="Q29" s="23">
        <v>0</v>
      </c>
      <c r="R29" s="507">
        <f t="shared" si="0"/>
        <v>0</v>
      </c>
      <c r="S29" s="497"/>
      <c r="T29" s="497">
        <f t="shared" si="1"/>
        <v>0</v>
      </c>
      <c r="V29" s="741"/>
      <c r="W29" s="741"/>
      <c r="X29" s="6" t="e">
        <f t="shared" si="2"/>
        <v>#DIV/0!</v>
      </c>
      <c r="Y29" s="44" t="e">
        <f t="shared" si="3"/>
        <v>#DIV/0!</v>
      </c>
    </row>
    <row r="30" spans="2:25" hidden="1">
      <c r="B30" s="23" t="s">
        <v>2088</v>
      </c>
      <c r="C30" s="23">
        <v>15286</v>
      </c>
      <c r="D30" s="24">
        <v>7591112055017</v>
      </c>
      <c r="E30" s="401" t="s">
        <v>2089</v>
      </c>
      <c r="F30" s="23"/>
      <c r="G30" s="23">
        <v>24</v>
      </c>
      <c r="H30" s="23">
        <v>12.31</v>
      </c>
      <c r="I30" s="23">
        <v>14.28</v>
      </c>
      <c r="J30" s="375">
        <v>0.51</v>
      </c>
      <c r="K30" s="23">
        <v>0.6</v>
      </c>
      <c r="L30" s="23"/>
      <c r="M30" s="23">
        <v>0.73</v>
      </c>
      <c r="N30" s="23">
        <v>0.85</v>
      </c>
      <c r="O30" s="23">
        <v>0.3</v>
      </c>
      <c r="P30" s="23">
        <v>0</v>
      </c>
      <c r="Q30" s="23">
        <v>0.41</v>
      </c>
      <c r="R30" s="507">
        <f t="shared" si="0"/>
        <v>0.8039215686274509</v>
      </c>
      <c r="S30" s="497"/>
      <c r="T30" s="497">
        <f t="shared" si="1"/>
        <v>0</v>
      </c>
      <c r="V30" s="741"/>
      <c r="W30" s="741"/>
      <c r="X30" s="6" t="e">
        <f t="shared" si="2"/>
        <v>#DIV/0!</v>
      </c>
      <c r="Y30" s="44" t="e">
        <f t="shared" si="3"/>
        <v>#DIV/0!</v>
      </c>
    </row>
    <row r="31" spans="2:25" hidden="1">
      <c r="B31" s="23"/>
      <c r="C31" s="23">
        <v>15287</v>
      </c>
      <c r="D31" s="24">
        <v>7591112055024</v>
      </c>
      <c r="E31" s="401" t="s">
        <v>2090</v>
      </c>
      <c r="F31" s="23"/>
      <c r="G31" s="23">
        <v>24</v>
      </c>
      <c r="H31" s="23">
        <v>21.29</v>
      </c>
      <c r="I31" s="23">
        <v>24.7</v>
      </c>
      <c r="J31" s="375">
        <v>0.89</v>
      </c>
      <c r="K31" s="23">
        <v>1.03</v>
      </c>
      <c r="L31" s="23"/>
      <c r="M31" s="23">
        <v>1.27</v>
      </c>
      <c r="N31" s="23">
        <v>1.47</v>
      </c>
      <c r="O31" s="23">
        <v>0.3</v>
      </c>
      <c r="P31" s="23">
        <v>0</v>
      </c>
      <c r="Q31" s="23">
        <v>1.05</v>
      </c>
      <c r="R31" s="507">
        <f t="shared" si="0"/>
        <v>1.1797752808988764</v>
      </c>
      <c r="S31" s="497">
        <v>0</v>
      </c>
      <c r="T31" s="497">
        <f t="shared" si="1"/>
        <v>0</v>
      </c>
      <c r="V31" s="741"/>
      <c r="W31" s="741"/>
      <c r="X31" s="6" t="e">
        <f t="shared" si="2"/>
        <v>#DIV/0!</v>
      </c>
      <c r="Y31" s="44" t="e">
        <f t="shared" si="3"/>
        <v>#DIV/0!</v>
      </c>
    </row>
    <row r="32" spans="2:25" hidden="1">
      <c r="B32" s="23"/>
      <c r="C32" s="23">
        <v>15280</v>
      </c>
      <c r="D32" s="24">
        <v>7591112025331</v>
      </c>
      <c r="E32" s="401" t="s">
        <v>2091</v>
      </c>
      <c r="F32" s="23"/>
      <c r="G32" s="23">
        <v>24</v>
      </c>
      <c r="H32" s="23">
        <v>10.14</v>
      </c>
      <c r="I32" s="23">
        <v>11.76</v>
      </c>
      <c r="J32" s="375">
        <v>0.42</v>
      </c>
      <c r="K32" s="23">
        <v>0.49</v>
      </c>
      <c r="L32" s="23"/>
      <c r="M32" s="23">
        <v>0.6</v>
      </c>
      <c r="N32" s="23">
        <v>0.7</v>
      </c>
      <c r="O32" s="23">
        <v>0.3</v>
      </c>
      <c r="P32" s="23">
        <v>0</v>
      </c>
      <c r="Q32" s="23">
        <v>0</v>
      </c>
      <c r="R32" s="507">
        <f t="shared" si="0"/>
        <v>0</v>
      </c>
      <c r="S32" s="497"/>
      <c r="T32" s="497">
        <f t="shared" si="1"/>
        <v>0</v>
      </c>
      <c r="V32" s="741"/>
      <c r="W32" s="741"/>
      <c r="X32" s="6" t="e">
        <f t="shared" si="2"/>
        <v>#DIV/0!</v>
      </c>
      <c r="Y32" s="44" t="e">
        <f t="shared" si="3"/>
        <v>#DIV/0!</v>
      </c>
    </row>
    <row r="33" spans="2:25" hidden="1">
      <c r="B33" s="23"/>
      <c r="C33" s="23">
        <v>15755</v>
      </c>
      <c r="D33" s="24">
        <v>7591112462136</v>
      </c>
      <c r="E33" s="401" t="s">
        <v>2092</v>
      </c>
      <c r="F33" s="23"/>
      <c r="G33" s="23">
        <v>4</v>
      </c>
      <c r="H33" s="23">
        <v>33.619999999999997</v>
      </c>
      <c r="I33" s="23">
        <v>39</v>
      </c>
      <c r="J33" s="375">
        <v>8.41</v>
      </c>
      <c r="K33" s="23">
        <v>9.75</v>
      </c>
      <c r="L33" s="23"/>
      <c r="M33" s="23">
        <v>12.01</v>
      </c>
      <c r="N33" s="23">
        <v>13.93</v>
      </c>
      <c r="O33" s="23">
        <v>0.3</v>
      </c>
      <c r="P33" s="23">
        <v>0</v>
      </c>
      <c r="Q33" s="23">
        <v>0</v>
      </c>
      <c r="R33" s="507">
        <f t="shared" si="0"/>
        <v>0</v>
      </c>
      <c r="S33" s="497"/>
      <c r="T33" s="497">
        <f t="shared" si="1"/>
        <v>0</v>
      </c>
      <c r="V33" s="741"/>
      <c r="W33" s="741"/>
      <c r="X33" s="6" t="e">
        <f t="shared" si="2"/>
        <v>#DIV/0!</v>
      </c>
      <c r="Y33" s="44" t="e">
        <f t="shared" si="3"/>
        <v>#DIV/0!</v>
      </c>
    </row>
    <row r="34" spans="2:25" hidden="1">
      <c r="B34" s="23" t="s">
        <v>2093</v>
      </c>
      <c r="C34" s="23">
        <v>15271</v>
      </c>
      <c r="D34" s="24">
        <v>7591112029018</v>
      </c>
      <c r="E34" s="401" t="s">
        <v>2094</v>
      </c>
      <c r="F34" s="23"/>
      <c r="G34" s="23">
        <v>24</v>
      </c>
      <c r="H34" s="23">
        <v>17.52</v>
      </c>
      <c r="I34" s="23">
        <v>20.329999999999998</v>
      </c>
      <c r="J34" s="375">
        <v>0.73</v>
      </c>
      <c r="K34" s="23">
        <v>0.85</v>
      </c>
      <c r="L34" s="23"/>
      <c r="M34" s="23">
        <v>1.04</v>
      </c>
      <c r="N34" s="23">
        <v>1.21</v>
      </c>
      <c r="O34" s="23">
        <v>0.3</v>
      </c>
      <c r="P34" s="23">
        <v>0</v>
      </c>
      <c r="Q34" s="23">
        <v>0</v>
      </c>
      <c r="R34" s="507">
        <f t="shared" si="0"/>
        <v>0</v>
      </c>
      <c r="S34" s="497"/>
      <c r="T34" s="497">
        <f t="shared" si="1"/>
        <v>0</v>
      </c>
      <c r="V34" s="741"/>
      <c r="W34" s="741"/>
      <c r="X34" s="6" t="e">
        <f t="shared" si="2"/>
        <v>#DIV/0!</v>
      </c>
      <c r="Y34" s="44" t="e">
        <f t="shared" si="3"/>
        <v>#DIV/0!</v>
      </c>
    </row>
    <row r="35" spans="2:25">
      <c r="B35" s="23"/>
      <c r="C35" s="23">
        <v>15272</v>
      </c>
      <c r="D35" s="24">
        <v>7591112029025</v>
      </c>
      <c r="E35" s="401" t="s">
        <v>2095</v>
      </c>
      <c r="F35" s="23"/>
      <c r="G35" s="23">
        <v>24</v>
      </c>
      <c r="H35" s="23">
        <v>30.41</v>
      </c>
      <c r="I35" s="23">
        <v>35.28</v>
      </c>
      <c r="J35" s="375">
        <v>1.27</v>
      </c>
      <c r="K35" s="23">
        <v>1.47</v>
      </c>
      <c r="L35" s="23"/>
      <c r="M35" s="23">
        <v>1.81</v>
      </c>
      <c r="N35" s="23">
        <v>2.1</v>
      </c>
      <c r="O35" s="23">
        <v>0.3</v>
      </c>
      <c r="P35" s="23">
        <v>0</v>
      </c>
      <c r="Q35" s="23">
        <v>1.48</v>
      </c>
      <c r="R35" s="507">
        <f t="shared" si="0"/>
        <v>1.1653543307086613</v>
      </c>
      <c r="S35" s="497">
        <v>10</v>
      </c>
      <c r="T35" s="497">
        <f t="shared" si="1"/>
        <v>352.8</v>
      </c>
      <c r="V35" s="741">
        <v>1280.5999999999999</v>
      </c>
      <c r="W35" s="741">
        <v>240</v>
      </c>
      <c r="X35" s="6">
        <f t="shared" si="2"/>
        <v>5.3358333333333325</v>
      </c>
      <c r="Y35" s="44">
        <f t="shared" si="3"/>
        <v>1.2351466049382713</v>
      </c>
    </row>
    <row r="36" spans="2:25" hidden="1">
      <c r="B36" s="23"/>
      <c r="C36" s="23">
        <v>15610</v>
      </c>
      <c r="D36" s="24">
        <v>7591112156103</v>
      </c>
      <c r="E36" s="401" t="s">
        <v>2096</v>
      </c>
      <c r="F36" s="23"/>
      <c r="G36" s="23">
        <v>4</v>
      </c>
      <c r="H36" s="23">
        <v>54.07</v>
      </c>
      <c r="I36" s="23">
        <v>62.72</v>
      </c>
      <c r="J36" s="375">
        <v>13.52</v>
      </c>
      <c r="K36" s="23">
        <v>15.68</v>
      </c>
      <c r="L36" s="23"/>
      <c r="M36" s="23">
        <v>19.309999999999999</v>
      </c>
      <c r="N36" s="23">
        <v>22.4</v>
      </c>
      <c r="O36" s="23">
        <v>0.3</v>
      </c>
      <c r="P36" s="23">
        <v>0</v>
      </c>
      <c r="Q36" s="23">
        <v>0</v>
      </c>
      <c r="R36" s="507">
        <f t="shared" si="0"/>
        <v>0</v>
      </c>
      <c r="S36" s="497"/>
      <c r="T36" s="497">
        <f t="shared" si="1"/>
        <v>0</v>
      </c>
      <c r="V36" s="741"/>
      <c r="W36" s="741"/>
      <c r="X36" s="741" t="e">
        <f t="shared" si="2"/>
        <v>#DIV/0!</v>
      </c>
      <c r="Y36" s="44" t="e">
        <f t="shared" si="3"/>
        <v>#DIV/0!</v>
      </c>
    </row>
    <row r="37" spans="2:25" hidden="1">
      <c r="B37" s="23"/>
      <c r="C37" s="23">
        <v>15275</v>
      </c>
      <c r="D37" s="24">
        <v>7591112056014</v>
      </c>
      <c r="E37" s="401" t="s">
        <v>2097</v>
      </c>
      <c r="F37" s="23"/>
      <c r="G37" s="23">
        <v>24</v>
      </c>
      <c r="H37" s="23">
        <v>14.92</v>
      </c>
      <c r="I37" s="23">
        <v>17.3</v>
      </c>
      <c r="J37" s="375">
        <v>0.62</v>
      </c>
      <c r="K37" s="23">
        <v>0.72</v>
      </c>
      <c r="L37" s="23"/>
      <c r="M37" s="23">
        <v>0.89</v>
      </c>
      <c r="N37" s="23">
        <v>1.03</v>
      </c>
      <c r="O37" s="23">
        <v>0.3</v>
      </c>
      <c r="P37" s="23">
        <v>0</v>
      </c>
      <c r="Q37" s="23">
        <v>0.85</v>
      </c>
      <c r="R37" s="507">
        <f t="shared" si="0"/>
        <v>1.3709677419354838</v>
      </c>
      <c r="S37" s="497"/>
      <c r="T37" s="497">
        <f t="shared" si="1"/>
        <v>0</v>
      </c>
      <c r="V37" s="741"/>
      <c r="W37" s="741"/>
      <c r="X37" s="741" t="e">
        <f t="shared" si="2"/>
        <v>#DIV/0!</v>
      </c>
      <c r="Y37" s="44" t="e">
        <f t="shared" si="3"/>
        <v>#DIV/0!</v>
      </c>
    </row>
    <row r="38" spans="2:25" hidden="1">
      <c r="B38" s="23"/>
      <c r="C38" s="23">
        <v>15276</v>
      </c>
      <c r="D38" s="24">
        <v>7591112056021</v>
      </c>
      <c r="E38" s="401" t="s">
        <v>2098</v>
      </c>
      <c r="F38" s="23"/>
      <c r="G38" s="23">
        <v>24</v>
      </c>
      <c r="H38" s="23">
        <v>25.92</v>
      </c>
      <c r="I38" s="23">
        <v>30.07</v>
      </c>
      <c r="J38" s="375">
        <v>1.08</v>
      </c>
      <c r="K38" s="23">
        <v>1.25</v>
      </c>
      <c r="L38" s="23"/>
      <c r="M38" s="23">
        <v>1.54</v>
      </c>
      <c r="N38" s="23">
        <v>1.79</v>
      </c>
      <c r="O38" s="23">
        <v>0.3</v>
      </c>
      <c r="P38" s="23">
        <v>0</v>
      </c>
      <c r="Q38" s="23">
        <v>1.52</v>
      </c>
      <c r="R38" s="507">
        <f t="shared" si="0"/>
        <v>1.4074074074074074</v>
      </c>
      <c r="S38" s="497">
        <v>0</v>
      </c>
      <c r="T38" s="497">
        <f t="shared" si="1"/>
        <v>0</v>
      </c>
      <c r="V38" s="741"/>
      <c r="W38" s="741"/>
      <c r="X38" s="741" t="e">
        <f t="shared" si="2"/>
        <v>#DIV/0!</v>
      </c>
      <c r="Y38" s="44" t="e">
        <f t="shared" si="3"/>
        <v>#DIV/0!</v>
      </c>
    </row>
    <row r="39" spans="2:25" hidden="1">
      <c r="B39" s="23"/>
      <c r="C39" s="23">
        <v>15274</v>
      </c>
      <c r="D39" s="24">
        <v>7591112029070</v>
      </c>
      <c r="E39" s="401" t="s">
        <v>2099</v>
      </c>
      <c r="F39" s="23"/>
      <c r="G39" s="23">
        <v>24</v>
      </c>
      <c r="H39" s="23">
        <v>12.31</v>
      </c>
      <c r="I39" s="23">
        <v>14.28</v>
      </c>
      <c r="J39" s="375">
        <v>0.51</v>
      </c>
      <c r="K39" s="23">
        <v>0.6</v>
      </c>
      <c r="L39" s="23"/>
      <c r="M39" s="23">
        <v>0.73</v>
      </c>
      <c r="N39" s="23">
        <v>0.85</v>
      </c>
      <c r="O39" s="23">
        <v>0.3</v>
      </c>
      <c r="P39" s="23">
        <v>0</v>
      </c>
      <c r="Q39" s="23">
        <v>0</v>
      </c>
      <c r="R39" s="507">
        <f t="shared" si="0"/>
        <v>0</v>
      </c>
      <c r="S39" s="497"/>
      <c r="T39" s="497">
        <f t="shared" si="1"/>
        <v>0</v>
      </c>
      <c r="V39" s="741"/>
      <c r="W39" s="741"/>
      <c r="X39" s="741" t="e">
        <f t="shared" si="2"/>
        <v>#DIV/0!</v>
      </c>
      <c r="Y39" s="44" t="e">
        <f t="shared" si="3"/>
        <v>#DIV/0!</v>
      </c>
    </row>
    <row r="40" spans="2:25" hidden="1">
      <c r="B40" s="23" t="s">
        <v>2100</v>
      </c>
      <c r="C40" s="23">
        <v>15430</v>
      </c>
      <c r="D40" s="24">
        <v>7591112029032</v>
      </c>
      <c r="E40" s="401" t="s">
        <v>2101</v>
      </c>
      <c r="F40" s="23"/>
      <c r="G40" s="23">
        <v>24</v>
      </c>
      <c r="H40" s="23">
        <v>15.93</v>
      </c>
      <c r="I40" s="23">
        <v>18.48</v>
      </c>
      <c r="J40" s="375">
        <v>0.66</v>
      </c>
      <c r="K40" s="23">
        <v>0.77</v>
      </c>
      <c r="L40" s="23"/>
      <c r="M40" s="23">
        <v>0.95</v>
      </c>
      <c r="N40" s="23">
        <v>1.1000000000000001</v>
      </c>
      <c r="O40" s="23">
        <v>0.3</v>
      </c>
      <c r="P40" s="23">
        <v>0</v>
      </c>
      <c r="Q40" s="23">
        <v>0</v>
      </c>
      <c r="R40" s="507">
        <f t="shared" si="0"/>
        <v>0</v>
      </c>
      <c r="S40" s="497"/>
      <c r="T40" s="497">
        <f t="shared" si="1"/>
        <v>0</v>
      </c>
      <c r="V40" s="741"/>
      <c r="W40" s="741"/>
      <c r="X40" s="741" t="e">
        <f t="shared" si="2"/>
        <v>#DIV/0!</v>
      </c>
      <c r="Y40" s="44" t="e">
        <f t="shared" si="3"/>
        <v>#DIV/0!</v>
      </c>
    </row>
    <row r="41" spans="2:25" hidden="1">
      <c r="B41" s="23" t="s">
        <v>2102</v>
      </c>
      <c r="C41" s="23">
        <v>15295</v>
      </c>
      <c r="D41" s="24">
        <v>7591112037013</v>
      </c>
      <c r="E41" s="401" t="s">
        <v>2103</v>
      </c>
      <c r="F41" s="23"/>
      <c r="G41" s="23">
        <v>24</v>
      </c>
      <c r="H41" s="23">
        <v>14.34</v>
      </c>
      <c r="I41" s="23">
        <v>16.63</v>
      </c>
      <c r="J41" s="375">
        <v>0.6</v>
      </c>
      <c r="K41" s="23">
        <v>0.69</v>
      </c>
      <c r="L41" s="23"/>
      <c r="M41" s="23">
        <v>0.85</v>
      </c>
      <c r="N41" s="23">
        <v>0.99</v>
      </c>
      <c r="O41" s="23">
        <v>0.3</v>
      </c>
      <c r="P41" s="23">
        <v>0</v>
      </c>
      <c r="Q41" s="23">
        <v>0</v>
      </c>
      <c r="R41" s="507">
        <f t="shared" si="0"/>
        <v>0</v>
      </c>
      <c r="S41" s="497"/>
      <c r="T41" s="497">
        <f t="shared" si="1"/>
        <v>0</v>
      </c>
      <c r="V41" s="741"/>
      <c r="W41" s="741"/>
      <c r="X41" s="741" t="e">
        <f t="shared" si="2"/>
        <v>#DIV/0!</v>
      </c>
      <c r="Y41" s="44" t="e">
        <f t="shared" si="3"/>
        <v>#DIV/0!</v>
      </c>
    </row>
    <row r="42" spans="2:25">
      <c r="B42" s="23"/>
      <c r="C42" s="23">
        <v>15296</v>
      </c>
      <c r="D42" s="24">
        <v>7591112037020</v>
      </c>
      <c r="E42" s="401" t="s">
        <v>2104</v>
      </c>
      <c r="F42" s="23"/>
      <c r="G42" s="23">
        <v>24</v>
      </c>
      <c r="H42" s="23">
        <v>25.06</v>
      </c>
      <c r="I42" s="23">
        <v>29.06</v>
      </c>
      <c r="J42" s="375">
        <v>1.04</v>
      </c>
      <c r="K42" s="23">
        <v>1.21</v>
      </c>
      <c r="L42" s="23"/>
      <c r="M42" s="23">
        <v>1.49</v>
      </c>
      <c r="N42" s="23">
        <v>1.73</v>
      </c>
      <c r="O42" s="23">
        <v>0.3</v>
      </c>
      <c r="P42" s="23">
        <v>0</v>
      </c>
      <c r="Q42" s="23">
        <v>1.24</v>
      </c>
      <c r="R42" s="507">
        <f t="shared" si="0"/>
        <v>1.1923076923076923</v>
      </c>
      <c r="S42" s="497">
        <v>0</v>
      </c>
      <c r="T42" s="497">
        <f t="shared" si="1"/>
        <v>0</v>
      </c>
      <c r="V42" s="741"/>
      <c r="W42" s="741" t="s">
        <v>72</v>
      </c>
      <c r="X42" s="741" t="s">
        <v>72</v>
      </c>
      <c r="Y42" s="740"/>
    </row>
    <row r="43" spans="2:25" hidden="1">
      <c r="B43" s="23"/>
      <c r="C43" s="23">
        <v>15588</v>
      </c>
      <c r="D43" s="24">
        <v>7591112025294</v>
      </c>
      <c r="E43" s="401" t="s">
        <v>2105</v>
      </c>
      <c r="F43" s="23"/>
      <c r="G43" s="23">
        <v>4</v>
      </c>
      <c r="H43" s="23">
        <v>41.76</v>
      </c>
      <c r="I43" s="23">
        <v>48.44</v>
      </c>
      <c r="J43" s="375">
        <v>10.44</v>
      </c>
      <c r="K43" s="23">
        <v>12.11</v>
      </c>
      <c r="L43" s="23"/>
      <c r="M43" s="23">
        <v>14.91</v>
      </c>
      <c r="N43" s="23">
        <v>17.3</v>
      </c>
      <c r="O43" s="23">
        <v>0.3</v>
      </c>
      <c r="P43" s="23">
        <v>0</v>
      </c>
      <c r="Q43" s="23">
        <v>0</v>
      </c>
      <c r="R43" s="507">
        <f t="shared" si="0"/>
        <v>0</v>
      </c>
      <c r="S43" s="497"/>
      <c r="T43" s="497">
        <f t="shared" si="1"/>
        <v>0</v>
      </c>
    </row>
    <row r="44" spans="2:25" hidden="1">
      <c r="B44" s="23"/>
      <c r="C44" s="23">
        <v>15298</v>
      </c>
      <c r="D44" s="24">
        <v>7591112052016</v>
      </c>
      <c r="E44" s="401" t="s">
        <v>2106</v>
      </c>
      <c r="F44" s="23"/>
      <c r="G44" s="23">
        <v>24</v>
      </c>
      <c r="H44" s="23">
        <v>12.31</v>
      </c>
      <c r="I44" s="23">
        <v>14.28</v>
      </c>
      <c r="J44" s="375">
        <v>0.51</v>
      </c>
      <c r="K44" s="23">
        <v>0.6</v>
      </c>
      <c r="L44" s="23"/>
      <c r="M44" s="23">
        <v>0.73</v>
      </c>
      <c r="N44" s="23">
        <v>0.85</v>
      </c>
      <c r="O44" s="23">
        <v>0.3</v>
      </c>
      <c r="P44" s="23">
        <v>0</v>
      </c>
      <c r="Q44" s="23">
        <v>0.41</v>
      </c>
      <c r="R44" s="507">
        <f t="shared" si="0"/>
        <v>0.8039215686274509</v>
      </c>
      <c r="S44" s="497"/>
      <c r="T44" s="497">
        <f t="shared" si="1"/>
        <v>0</v>
      </c>
    </row>
    <row r="45" spans="2:25" hidden="1">
      <c r="B45" s="23"/>
      <c r="C45" s="23">
        <v>15297</v>
      </c>
      <c r="D45" s="24">
        <v>7591112462013</v>
      </c>
      <c r="E45" s="401" t="s">
        <v>2107</v>
      </c>
      <c r="F45" s="23"/>
      <c r="G45" s="23">
        <v>24</v>
      </c>
      <c r="H45" s="23">
        <v>10.14</v>
      </c>
      <c r="I45" s="23">
        <v>11.76</v>
      </c>
      <c r="J45" s="375">
        <v>0.42</v>
      </c>
      <c r="K45" s="23">
        <v>0.49</v>
      </c>
      <c r="L45" s="23"/>
      <c r="M45" s="23">
        <v>0.6</v>
      </c>
      <c r="N45" s="23">
        <v>0.7</v>
      </c>
      <c r="O45" s="23">
        <v>0.3</v>
      </c>
      <c r="P45" s="23">
        <v>0</v>
      </c>
      <c r="Q45" s="23">
        <v>0</v>
      </c>
      <c r="R45" s="507">
        <f t="shared" si="0"/>
        <v>0</v>
      </c>
      <c r="S45" s="497"/>
      <c r="T45" s="497">
        <f t="shared" si="1"/>
        <v>0</v>
      </c>
    </row>
    <row r="46" spans="2:25" hidden="1">
      <c r="B46" s="23"/>
      <c r="C46" s="23">
        <v>15757</v>
      </c>
      <c r="D46" s="24">
        <v>7591112462129</v>
      </c>
      <c r="E46" s="401" t="s">
        <v>2108</v>
      </c>
      <c r="F46" s="23"/>
      <c r="G46" s="23">
        <v>4</v>
      </c>
      <c r="H46" s="23">
        <v>33.619999999999997</v>
      </c>
      <c r="I46" s="23">
        <v>39</v>
      </c>
      <c r="J46" s="375">
        <v>8.41</v>
      </c>
      <c r="K46" s="23">
        <v>9.75</v>
      </c>
      <c r="L46" s="23"/>
      <c r="M46" s="23">
        <v>12.01</v>
      </c>
      <c r="N46" s="23">
        <v>13.93</v>
      </c>
      <c r="O46" s="23">
        <v>0.3</v>
      </c>
      <c r="P46" s="23">
        <v>0</v>
      </c>
      <c r="Q46" s="23">
        <v>0</v>
      </c>
      <c r="R46" s="507">
        <f t="shared" si="0"/>
        <v>0</v>
      </c>
      <c r="S46" s="497"/>
      <c r="T46" s="497">
        <f t="shared" si="1"/>
        <v>0</v>
      </c>
    </row>
    <row r="47" spans="2:25" hidden="1">
      <c r="B47" s="23" t="s">
        <v>2109</v>
      </c>
      <c r="C47" s="23">
        <v>15231</v>
      </c>
      <c r="D47" s="24">
        <v>7591112059015</v>
      </c>
      <c r="E47" s="401" t="s">
        <v>2110</v>
      </c>
      <c r="F47" s="23"/>
      <c r="G47" s="23">
        <v>24</v>
      </c>
      <c r="H47" s="23">
        <v>18.68</v>
      </c>
      <c r="I47" s="23">
        <v>21.67</v>
      </c>
      <c r="J47" s="375">
        <v>0.78</v>
      </c>
      <c r="K47" s="23">
        <v>0.9</v>
      </c>
      <c r="L47" s="23"/>
      <c r="M47" s="23">
        <v>1.1100000000000001</v>
      </c>
      <c r="N47" s="23">
        <v>1.29</v>
      </c>
      <c r="O47" s="23">
        <v>0.3</v>
      </c>
      <c r="P47" s="23">
        <v>0</v>
      </c>
      <c r="Q47" s="23">
        <v>0.8</v>
      </c>
      <c r="R47" s="507">
        <f t="shared" si="0"/>
        <v>1.0256410256410258</v>
      </c>
      <c r="S47" s="497"/>
      <c r="T47" s="497">
        <f t="shared" si="1"/>
        <v>0</v>
      </c>
    </row>
    <row r="48" spans="2:25" hidden="1">
      <c r="B48" s="23" t="s">
        <v>840</v>
      </c>
      <c r="C48" s="23">
        <v>15289</v>
      </c>
      <c r="D48" s="24">
        <v>7591112015059</v>
      </c>
      <c r="E48" s="401" t="s">
        <v>2111</v>
      </c>
      <c r="F48" s="23"/>
      <c r="G48" s="23">
        <v>24</v>
      </c>
      <c r="H48" s="23">
        <v>11.88</v>
      </c>
      <c r="I48" s="23">
        <v>13.78</v>
      </c>
      <c r="J48" s="375">
        <v>0.49</v>
      </c>
      <c r="K48" s="23">
        <v>0.56999999999999995</v>
      </c>
      <c r="L48" s="23"/>
      <c r="M48" s="23">
        <v>0.71</v>
      </c>
      <c r="N48" s="23">
        <v>0.82</v>
      </c>
      <c r="O48" s="23">
        <v>0.3</v>
      </c>
      <c r="P48" s="23">
        <v>0</v>
      </c>
      <c r="Q48" s="23">
        <v>0.72</v>
      </c>
      <c r="R48" s="507">
        <f t="shared" si="0"/>
        <v>1.4693877551020409</v>
      </c>
      <c r="S48" s="497">
        <v>0</v>
      </c>
      <c r="T48" s="497">
        <f t="shared" si="1"/>
        <v>0</v>
      </c>
    </row>
    <row r="49" spans="2:20" hidden="1">
      <c r="B49" s="23"/>
      <c r="C49" s="23">
        <v>15290</v>
      </c>
      <c r="D49" s="24">
        <v>7591112015103</v>
      </c>
      <c r="E49" s="401" t="s">
        <v>2112</v>
      </c>
      <c r="F49" s="23"/>
      <c r="G49" s="23">
        <v>12</v>
      </c>
      <c r="H49" s="23">
        <v>10.28</v>
      </c>
      <c r="I49" s="23">
        <v>11.93</v>
      </c>
      <c r="J49" s="375">
        <v>0.86</v>
      </c>
      <c r="K49" s="23">
        <v>0.99</v>
      </c>
      <c r="L49" s="23"/>
      <c r="M49" s="23">
        <v>1.22</v>
      </c>
      <c r="N49" s="23">
        <v>1.42</v>
      </c>
      <c r="O49" s="23">
        <v>0.3</v>
      </c>
      <c r="P49" s="23">
        <v>0</v>
      </c>
      <c r="Q49" s="23">
        <v>1.2</v>
      </c>
      <c r="R49" s="507">
        <f t="shared" si="0"/>
        <v>1.3953488372093024</v>
      </c>
      <c r="S49" s="497">
        <v>0</v>
      </c>
      <c r="T49" s="497">
        <f t="shared" si="1"/>
        <v>0</v>
      </c>
    </row>
    <row r="50" spans="2:20" hidden="1">
      <c r="B50" s="23"/>
      <c r="C50" s="23">
        <v>15278</v>
      </c>
      <c r="D50" s="24">
        <v>7591112015141</v>
      </c>
      <c r="E50" s="401" t="s">
        <v>2113</v>
      </c>
      <c r="F50" s="23"/>
      <c r="G50" s="23">
        <v>4</v>
      </c>
      <c r="H50" s="23">
        <v>12.33</v>
      </c>
      <c r="I50" s="23">
        <v>14.31</v>
      </c>
      <c r="J50" s="375">
        <v>3.08</v>
      </c>
      <c r="K50" s="23">
        <v>3.58</v>
      </c>
      <c r="L50" s="23"/>
      <c r="M50" s="23">
        <v>4.41</v>
      </c>
      <c r="N50" s="23">
        <v>5.1100000000000003</v>
      </c>
      <c r="O50" s="23">
        <v>0.3</v>
      </c>
      <c r="P50" s="23">
        <v>0</v>
      </c>
      <c r="Q50" s="23">
        <v>0</v>
      </c>
      <c r="R50" s="507">
        <f t="shared" si="0"/>
        <v>0</v>
      </c>
      <c r="S50" s="497"/>
      <c r="T50" s="497">
        <f t="shared" si="1"/>
        <v>0</v>
      </c>
    </row>
    <row r="51" spans="2:20" hidden="1">
      <c r="B51" s="23"/>
      <c r="C51" s="23">
        <v>15292</v>
      </c>
      <c r="D51" s="24">
        <v>7591112049016</v>
      </c>
      <c r="E51" s="401" t="s">
        <v>2114</v>
      </c>
      <c r="F51" s="23"/>
      <c r="G51" s="23">
        <v>24</v>
      </c>
      <c r="H51" s="23">
        <v>10.57</v>
      </c>
      <c r="I51" s="23">
        <v>12.26</v>
      </c>
      <c r="J51" s="375">
        <v>0.44</v>
      </c>
      <c r="K51" s="23">
        <v>0.51</v>
      </c>
      <c r="L51" s="23"/>
      <c r="M51" s="23">
        <v>0.63</v>
      </c>
      <c r="N51" s="23">
        <v>0.73</v>
      </c>
      <c r="O51" s="23">
        <v>0.3</v>
      </c>
      <c r="P51" s="23">
        <v>0</v>
      </c>
      <c r="Q51" s="23">
        <v>0</v>
      </c>
      <c r="R51" s="507">
        <f t="shared" si="0"/>
        <v>0</v>
      </c>
      <c r="S51" s="497"/>
      <c r="T51" s="497">
        <f t="shared" si="1"/>
        <v>0</v>
      </c>
    </row>
    <row r="52" spans="2:20" hidden="1">
      <c r="B52" s="23"/>
      <c r="C52" s="23">
        <v>15293</v>
      </c>
      <c r="D52" s="24">
        <v>7591112049023</v>
      </c>
      <c r="E52" s="401" t="s">
        <v>2115</v>
      </c>
      <c r="F52" s="23"/>
      <c r="G52" s="23">
        <v>12</v>
      </c>
      <c r="H52" s="23">
        <v>9.27</v>
      </c>
      <c r="I52" s="23">
        <v>10.75</v>
      </c>
      <c r="J52" s="375">
        <v>0.77</v>
      </c>
      <c r="K52" s="23">
        <v>0.9</v>
      </c>
      <c r="L52" s="23"/>
      <c r="M52" s="23">
        <v>1.1000000000000001</v>
      </c>
      <c r="N52" s="23">
        <v>1.28</v>
      </c>
      <c r="O52" s="23">
        <v>0.3</v>
      </c>
      <c r="P52" s="23">
        <v>0</v>
      </c>
      <c r="Q52" s="23">
        <v>0</v>
      </c>
      <c r="R52" s="507">
        <f t="shared" si="0"/>
        <v>0</v>
      </c>
      <c r="S52" s="497">
        <v>0</v>
      </c>
      <c r="T52" s="497">
        <f t="shared" si="1"/>
        <v>0</v>
      </c>
    </row>
    <row r="53" spans="2:20" ht="13.5" hidden="1" customHeight="1">
      <c r="B53" s="23"/>
      <c r="C53" s="23">
        <v>15239</v>
      </c>
      <c r="D53" s="24">
        <v>7591112026154</v>
      </c>
      <c r="E53" s="401" t="s">
        <v>2116</v>
      </c>
      <c r="F53" s="23"/>
      <c r="G53" s="23">
        <v>24</v>
      </c>
      <c r="H53" s="23">
        <v>18.100000000000001</v>
      </c>
      <c r="I53" s="23">
        <v>21</v>
      </c>
      <c r="J53" s="375">
        <v>0.75</v>
      </c>
      <c r="K53" s="23">
        <v>0.88</v>
      </c>
      <c r="L53" s="23"/>
      <c r="M53" s="23">
        <v>1.08</v>
      </c>
      <c r="N53" s="23">
        <v>1.25</v>
      </c>
      <c r="O53" s="23">
        <v>0.3</v>
      </c>
      <c r="P53" s="23">
        <v>0</v>
      </c>
      <c r="Q53" s="23">
        <v>1</v>
      </c>
      <c r="R53" s="507">
        <f t="shared" si="0"/>
        <v>1.3333333333333333</v>
      </c>
      <c r="S53" s="497"/>
      <c r="T53" s="497">
        <f t="shared" si="1"/>
        <v>0</v>
      </c>
    </row>
    <row r="54" spans="2:20" hidden="1">
      <c r="B54" s="23" t="s">
        <v>2117</v>
      </c>
      <c r="C54" s="23">
        <v>15240</v>
      </c>
      <c r="D54" s="24">
        <v>7591112026161</v>
      </c>
      <c r="E54" s="401" t="s">
        <v>2118</v>
      </c>
      <c r="F54" s="23"/>
      <c r="G54" s="23">
        <v>12</v>
      </c>
      <c r="H54" s="23">
        <v>18.829999999999998</v>
      </c>
      <c r="I54" s="23">
        <v>21.84</v>
      </c>
      <c r="J54" s="375">
        <v>1.57</v>
      </c>
      <c r="K54" s="23">
        <v>1.82</v>
      </c>
      <c r="L54" s="23"/>
      <c r="M54" s="23">
        <v>2.2400000000000002</v>
      </c>
      <c r="N54" s="23">
        <v>2.6</v>
      </c>
      <c r="O54" s="23">
        <v>0.3</v>
      </c>
      <c r="P54" s="23">
        <v>0</v>
      </c>
      <c r="Q54" s="23">
        <v>2.1</v>
      </c>
      <c r="R54" s="507">
        <f t="shared" si="0"/>
        <v>1.3375796178343948</v>
      </c>
      <c r="S54" s="497">
        <v>0</v>
      </c>
      <c r="T54" s="497">
        <f t="shared" si="1"/>
        <v>0</v>
      </c>
    </row>
    <row r="55" spans="2:20" hidden="1">
      <c r="B55" s="23"/>
      <c r="C55" s="23">
        <v>15243</v>
      </c>
      <c r="D55" s="24">
        <v>7591112026420</v>
      </c>
      <c r="E55" s="401" t="s">
        <v>2119</v>
      </c>
      <c r="F55" s="23"/>
      <c r="G55" s="23">
        <v>24</v>
      </c>
      <c r="H55" s="23">
        <v>18.100000000000001</v>
      </c>
      <c r="I55" s="23">
        <v>21</v>
      </c>
      <c r="J55" s="375">
        <v>0.75</v>
      </c>
      <c r="K55" s="23">
        <v>0.88</v>
      </c>
      <c r="L55" s="23"/>
      <c r="M55" s="23">
        <v>1.08</v>
      </c>
      <c r="N55" s="23">
        <v>1.25</v>
      </c>
      <c r="O55" s="23">
        <v>0.3</v>
      </c>
      <c r="P55" s="23">
        <v>0</v>
      </c>
      <c r="Q55" s="23">
        <v>1</v>
      </c>
      <c r="R55" s="507">
        <f t="shared" si="0"/>
        <v>1.3333333333333333</v>
      </c>
      <c r="S55" s="497"/>
      <c r="T55" s="497">
        <f t="shared" si="1"/>
        <v>0</v>
      </c>
    </row>
    <row r="56" spans="2:20" hidden="1">
      <c r="B56" s="23"/>
      <c r="C56" s="23">
        <v>15244</v>
      </c>
      <c r="D56" s="24">
        <v>7591112026437</v>
      </c>
      <c r="E56" s="401" t="s">
        <v>2120</v>
      </c>
      <c r="F56" s="23"/>
      <c r="G56" s="23">
        <v>12</v>
      </c>
      <c r="H56" s="23">
        <v>18.829999999999998</v>
      </c>
      <c r="I56" s="23">
        <v>21.84</v>
      </c>
      <c r="J56" s="375">
        <v>1.57</v>
      </c>
      <c r="K56" s="23">
        <v>1.82</v>
      </c>
      <c r="L56" s="23"/>
      <c r="M56" s="23">
        <v>2.2400000000000002</v>
      </c>
      <c r="N56" s="23">
        <v>2.6</v>
      </c>
      <c r="O56" s="23">
        <v>0.3</v>
      </c>
      <c r="P56" s="23">
        <v>0</v>
      </c>
      <c r="Q56" s="23">
        <v>2.1</v>
      </c>
      <c r="R56" s="507">
        <f t="shared" si="0"/>
        <v>1.3375796178343948</v>
      </c>
      <c r="S56" s="497"/>
      <c r="T56" s="497">
        <f t="shared" si="1"/>
        <v>0</v>
      </c>
    </row>
    <row r="57" spans="2:20" hidden="1">
      <c r="B57" s="23"/>
      <c r="C57" s="23">
        <v>15245</v>
      </c>
      <c r="D57" s="24">
        <v>7591112026444</v>
      </c>
      <c r="E57" s="401" t="s">
        <v>2121</v>
      </c>
      <c r="F57" s="23"/>
      <c r="G57" s="23">
        <v>24</v>
      </c>
      <c r="H57" s="23">
        <v>18.100000000000001</v>
      </c>
      <c r="I57" s="23">
        <v>21</v>
      </c>
      <c r="J57" s="375">
        <v>0.75</v>
      </c>
      <c r="K57" s="23">
        <v>0.88</v>
      </c>
      <c r="L57" s="23"/>
      <c r="M57" s="23">
        <v>1.08</v>
      </c>
      <c r="N57" s="23">
        <v>1.25</v>
      </c>
      <c r="O57" s="23">
        <v>0.3</v>
      </c>
      <c r="P57" s="23">
        <v>0</v>
      </c>
      <c r="Q57" s="23">
        <v>1</v>
      </c>
      <c r="R57" s="507">
        <f t="shared" si="0"/>
        <v>1.3333333333333333</v>
      </c>
      <c r="S57" s="497"/>
      <c r="T57" s="497">
        <f t="shared" si="1"/>
        <v>0</v>
      </c>
    </row>
    <row r="58" spans="2:20" hidden="1">
      <c r="B58" s="23"/>
      <c r="C58" s="23">
        <v>15246</v>
      </c>
      <c r="D58" s="24">
        <v>7591112026451</v>
      </c>
      <c r="E58" s="401" t="s">
        <v>2122</v>
      </c>
      <c r="F58" s="23"/>
      <c r="G58" s="23">
        <v>12</v>
      </c>
      <c r="H58" s="23">
        <v>18.829999999999998</v>
      </c>
      <c r="I58" s="23">
        <v>21.84</v>
      </c>
      <c r="J58" s="375">
        <v>1.57</v>
      </c>
      <c r="K58" s="23">
        <v>1.82</v>
      </c>
      <c r="L58" s="23"/>
      <c r="M58" s="23">
        <v>2.2400000000000002</v>
      </c>
      <c r="N58" s="23">
        <v>2.6</v>
      </c>
      <c r="O58" s="23">
        <v>0.3</v>
      </c>
      <c r="P58" s="23">
        <v>0</v>
      </c>
      <c r="Q58" s="23">
        <v>2.1</v>
      </c>
      <c r="R58" s="507">
        <f t="shared" si="0"/>
        <v>1.3375796178343948</v>
      </c>
      <c r="S58" s="497"/>
      <c r="T58" s="497">
        <f t="shared" si="1"/>
        <v>0</v>
      </c>
    </row>
    <row r="59" spans="2:20" hidden="1">
      <c r="B59" s="23"/>
      <c r="C59" s="23">
        <v>15251</v>
      </c>
      <c r="D59" s="24">
        <v>7591112067027</v>
      </c>
      <c r="E59" s="401" t="s">
        <v>2123</v>
      </c>
      <c r="F59" s="23"/>
      <c r="G59" s="23">
        <v>12</v>
      </c>
      <c r="H59" s="23">
        <v>20.71</v>
      </c>
      <c r="I59" s="23">
        <v>24.02</v>
      </c>
      <c r="J59" s="375">
        <v>1.73</v>
      </c>
      <c r="K59" s="23">
        <v>2</v>
      </c>
      <c r="L59" s="23"/>
      <c r="M59" s="23">
        <v>2.4700000000000002</v>
      </c>
      <c r="N59" s="23">
        <v>2.86</v>
      </c>
      <c r="O59" s="23">
        <v>0.3</v>
      </c>
      <c r="P59" s="23">
        <v>0</v>
      </c>
      <c r="Q59" s="23">
        <v>0</v>
      </c>
      <c r="R59" s="507">
        <f t="shared" si="0"/>
        <v>0</v>
      </c>
      <c r="S59" s="497"/>
      <c r="T59" s="497">
        <f t="shared" si="1"/>
        <v>0</v>
      </c>
    </row>
    <row r="60" spans="2:20" hidden="1">
      <c r="B60" s="23" t="s">
        <v>2124</v>
      </c>
      <c r="C60" s="23">
        <v>15253</v>
      </c>
      <c r="D60" s="24">
        <v>75916145</v>
      </c>
      <c r="E60" s="401" t="s">
        <v>2125</v>
      </c>
      <c r="F60" s="23"/>
      <c r="G60" s="23">
        <v>24</v>
      </c>
      <c r="H60" s="23">
        <v>20.71</v>
      </c>
      <c r="I60" s="23">
        <v>24.02</v>
      </c>
      <c r="J60" s="375">
        <v>0.86</v>
      </c>
      <c r="K60" s="23">
        <v>1</v>
      </c>
      <c r="L60" s="23"/>
      <c r="M60" s="23">
        <v>2.4700000000000002</v>
      </c>
      <c r="N60" s="23">
        <v>2.86</v>
      </c>
      <c r="O60" s="23">
        <v>0.3</v>
      </c>
      <c r="P60" s="23">
        <v>0</v>
      </c>
      <c r="Q60" s="23">
        <v>0.95</v>
      </c>
      <c r="R60" s="507">
        <f t="shared" si="0"/>
        <v>1.1046511627906976</v>
      </c>
      <c r="S60" s="497"/>
      <c r="T60" s="497">
        <f t="shared" si="1"/>
        <v>0</v>
      </c>
    </row>
    <row r="61" spans="2:20" hidden="1">
      <c r="B61" s="23"/>
      <c r="C61" s="23">
        <v>15255</v>
      </c>
      <c r="D61" s="24">
        <v>75916169</v>
      </c>
      <c r="E61" s="401" t="s">
        <v>2126</v>
      </c>
      <c r="F61" s="23"/>
      <c r="G61" s="23">
        <v>24</v>
      </c>
      <c r="H61" s="23">
        <v>33.89</v>
      </c>
      <c r="I61" s="23">
        <v>39.31</v>
      </c>
      <c r="J61" s="508">
        <v>1.41</v>
      </c>
      <c r="K61" s="508">
        <v>1.64</v>
      </c>
      <c r="L61" s="508"/>
      <c r="M61" s="508">
        <v>2.02</v>
      </c>
      <c r="N61" s="508">
        <v>2.34</v>
      </c>
      <c r="O61" s="508">
        <v>0.3</v>
      </c>
      <c r="P61" s="508">
        <v>0</v>
      </c>
      <c r="Q61" s="508">
        <v>0.95</v>
      </c>
      <c r="R61" s="507">
        <f t="shared" si="0"/>
        <v>0.67375886524822692</v>
      </c>
      <c r="S61" s="497"/>
      <c r="T61" s="497">
        <f t="shared" si="1"/>
        <v>0</v>
      </c>
    </row>
    <row r="62" spans="2:20" hidden="1">
      <c r="B62" s="23"/>
      <c r="C62" s="23">
        <v>15254</v>
      </c>
      <c r="D62" s="24">
        <v>75916152</v>
      </c>
      <c r="E62" s="401" t="s">
        <v>2127</v>
      </c>
      <c r="F62" s="23"/>
      <c r="G62" s="23">
        <v>24</v>
      </c>
      <c r="H62" s="23">
        <v>8.18</v>
      </c>
      <c r="I62" s="23">
        <v>9.49</v>
      </c>
      <c r="J62" s="375">
        <v>0.34</v>
      </c>
      <c r="K62" s="23">
        <v>0.4</v>
      </c>
      <c r="L62" s="23"/>
      <c r="M62" s="23">
        <v>0.97</v>
      </c>
      <c r="N62" s="23">
        <v>1.1299999999999999</v>
      </c>
      <c r="O62" s="23">
        <v>0.3</v>
      </c>
      <c r="P62" s="23">
        <v>0</v>
      </c>
      <c r="Q62" s="23">
        <v>0.95</v>
      </c>
      <c r="R62" s="507">
        <f t="shared" si="0"/>
        <v>2.7941176470588234</v>
      </c>
      <c r="S62" s="497"/>
      <c r="T62" s="497">
        <f t="shared" si="1"/>
        <v>0</v>
      </c>
    </row>
    <row r="63" spans="2:20" hidden="1">
      <c r="B63" s="23" t="s">
        <v>2128</v>
      </c>
      <c r="C63" s="23">
        <v>15249</v>
      </c>
      <c r="D63" s="24">
        <v>7591112028042</v>
      </c>
      <c r="E63" s="401" t="s">
        <v>2129</v>
      </c>
      <c r="F63" s="23"/>
      <c r="G63" s="23">
        <v>12</v>
      </c>
      <c r="H63" s="23">
        <v>18.829999999999998</v>
      </c>
      <c r="I63" s="23">
        <v>21.84</v>
      </c>
      <c r="J63" s="375">
        <v>1.57</v>
      </c>
      <c r="K63" s="23">
        <v>1.82</v>
      </c>
      <c r="L63" s="23"/>
      <c r="M63" s="23">
        <v>2.2400000000000002</v>
      </c>
      <c r="N63" s="23">
        <v>2.6</v>
      </c>
      <c r="O63" s="23">
        <v>0.3</v>
      </c>
      <c r="P63" s="23">
        <v>0</v>
      </c>
      <c r="Q63" s="23"/>
      <c r="R63" s="507">
        <f t="shared" si="0"/>
        <v>0</v>
      </c>
      <c r="S63" s="497"/>
      <c r="T63" s="497">
        <f t="shared" si="1"/>
        <v>0</v>
      </c>
    </row>
    <row r="64" spans="2:20" hidden="1">
      <c r="B64" s="23" t="s">
        <v>2130</v>
      </c>
      <c r="C64" s="23">
        <v>15753</v>
      </c>
      <c r="D64" s="24">
        <v>7591112462150</v>
      </c>
      <c r="E64" s="401" t="s">
        <v>2131</v>
      </c>
      <c r="F64" s="23"/>
      <c r="G64" s="23">
        <v>24</v>
      </c>
      <c r="H64" s="23">
        <v>33.89</v>
      </c>
      <c r="I64" s="23">
        <v>39.31</v>
      </c>
      <c r="J64" s="375">
        <v>1.41</v>
      </c>
      <c r="K64" s="23">
        <v>1.64</v>
      </c>
      <c r="L64" s="23"/>
      <c r="M64" s="23">
        <v>2.02</v>
      </c>
      <c r="N64" s="23">
        <v>2.34</v>
      </c>
      <c r="O64" s="23">
        <v>0.3</v>
      </c>
      <c r="P64" s="23">
        <v>0</v>
      </c>
      <c r="Q64" s="23">
        <v>0</v>
      </c>
      <c r="R64" s="507">
        <f t="shared" si="0"/>
        <v>0</v>
      </c>
      <c r="S64" s="497"/>
      <c r="T64" s="497">
        <f t="shared" si="1"/>
        <v>0</v>
      </c>
    </row>
    <row r="65" spans="2:20" hidden="1">
      <c r="B65" s="23"/>
      <c r="C65" s="23">
        <v>15754</v>
      </c>
      <c r="D65" s="24">
        <v>7591112462112</v>
      </c>
      <c r="E65" s="401" t="s">
        <v>2132</v>
      </c>
      <c r="F65" s="23"/>
      <c r="G65" s="23">
        <v>12</v>
      </c>
      <c r="H65" s="23">
        <v>8.18</v>
      </c>
      <c r="I65" s="23">
        <v>9.49</v>
      </c>
      <c r="J65" s="375">
        <v>0.68</v>
      </c>
      <c r="K65" s="23">
        <v>0.79</v>
      </c>
      <c r="L65" s="23"/>
      <c r="M65" s="23">
        <v>0.97</v>
      </c>
      <c r="N65" s="23">
        <v>1.1299999999999999</v>
      </c>
      <c r="O65" s="23">
        <v>0.3</v>
      </c>
      <c r="P65" s="23">
        <v>0</v>
      </c>
      <c r="Q65" s="23">
        <v>0</v>
      </c>
      <c r="R65" s="507">
        <f t="shared" si="0"/>
        <v>0</v>
      </c>
      <c r="S65" s="497"/>
      <c r="T65" s="497">
        <f t="shared" si="1"/>
        <v>0</v>
      </c>
    </row>
    <row r="66" spans="2:20" hidden="1">
      <c r="B66" s="23" t="s">
        <v>2133</v>
      </c>
      <c r="C66" s="23">
        <v>15736</v>
      </c>
      <c r="D66" s="24">
        <v>7591112462020</v>
      </c>
      <c r="E66" s="401" t="s">
        <v>2134</v>
      </c>
      <c r="F66" s="23"/>
      <c r="G66" s="23">
        <v>12</v>
      </c>
      <c r="H66" s="23">
        <v>17.809999999999999</v>
      </c>
      <c r="I66" s="23">
        <v>20.66</v>
      </c>
      <c r="J66" s="375">
        <v>1.48</v>
      </c>
      <c r="K66" s="23">
        <v>1.72</v>
      </c>
      <c r="L66" s="23"/>
      <c r="M66" s="23">
        <v>2.12</v>
      </c>
      <c r="N66" s="23">
        <v>2.46</v>
      </c>
      <c r="O66" s="23">
        <v>0.3</v>
      </c>
      <c r="P66" s="23">
        <v>0</v>
      </c>
      <c r="Q66" s="23">
        <v>2.06</v>
      </c>
      <c r="R66" s="507">
        <f t="shared" si="0"/>
        <v>1.3918918918918919</v>
      </c>
      <c r="S66" s="497"/>
      <c r="T66" s="497">
        <f t="shared" si="1"/>
        <v>0</v>
      </c>
    </row>
    <row r="67" spans="2:20" hidden="1">
      <c r="B67" s="23" t="s">
        <v>2135</v>
      </c>
      <c r="C67" s="23">
        <v>15218</v>
      </c>
      <c r="D67" s="24">
        <v>7591112021852</v>
      </c>
      <c r="E67" s="401" t="s">
        <v>2136</v>
      </c>
      <c r="F67" s="23"/>
      <c r="G67" s="23">
        <v>24</v>
      </c>
      <c r="H67" s="23">
        <v>19.12</v>
      </c>
      <c r="I67" s="23">
        <v>22.18</v>
      </c>
      <c r="J67" s="375">
        <v>0.8</v>
      </c>
      <c r="K67" s="23">
        <v>0.92</v>
      </c>
      <c r="L67" s="23"/>
      <c r="M67" s="23">
        <v>1.1399999999999999</v>
      </c>
      <c r="N67" s="23">
        <v>1.32</v>
      </c>
      <c r="O67" s="23">
        <v>0.3</v>
      </c>
      <c r="P67" s="23">
        <v>0</v>
      </c>
      <c r="Q67" s="23">
        <v>0</v>
      </c>
      <c r="R67" s="507">
        <f t="shared" si="0"/>
        <v>0</v>
      </c>
      <c r="S67" s="497"/>
      <c r="T67" s="497">
        <f t="shared" si="1"/>
        <v>0</v>
      </c>
    </row>
    <row r="68" spans="2:20" hidden="1">
      <c r="B68" s="23"/>
      <c r="C68" s="23">
        <v>15217</v>
      </c>
      <c r="D68" s="24">
        <v>7591112021845</v>
      </c>
      <c r="E68" s="401" t="s">
        <v>2137</v>
      </c>
      <c r="F68" s="23"/>
      <c r="G68" s="23">
        <v>12</v>
      </c>
      <c r="H68" s="23">
        <v>19.77</v>
      </c>
      <c r="I68" s="23">
        <v>22.93</v>
      </c>
      <c r="J68" s="375">
        <v>1.65</v>
      </c>
      <c r="K68" s="23">
        <v>1.91</v>
      </c>
      <c r="L68" s="23"/>
      <c r="M68" s="23">
        <v>2.35</v>
      </c>
      <c r="N68" s="23">
        <v>2.73</v>
      </c>
      <c r="O68" s="23">
        <v>0.3</v>
      </c>
      <c r="P68" s="23">
        <v>0</v>
      </c>
      <c r="Q68" s="23">
        <v>0</v>
      </c>
      <c r="R68" s="507">
        <f t="shared" si="0"/>
        <v>0</v>
      </c>
      <c r="S68" s="497"/>
      <c r="T68" s="497">
        <f t="shared" si="1"/>
        <v>0</v>
      </c>
    </row>
    <row r="69" spans="2:20" hidden="1">
      <c r="B69" s="23" t="s">
        <v>2138</v>
      </c>
      <c r="C69" s="23">
        <v>15219</v>
      </c>
      <c r="D69" s="24">
        <v>7591112022675</v>
      </c>
      <c r="E69" s="401" t="s">
        <v>2139</v>
      </c>
      <c r="F69" s="23"/>
      <c r="G69" s="23">
        <v>24</v>
      </c>
      <c r="H69" s="23">
        <v>27.08</v>
      </c>
      <c r="I69" s="23">
        <v>31.42</v>
      </c>
      <c r="J69" s="375">
        <v>1.1299999999999999</v>
      </c>
      <c r="K69" s="23">
        <v>1.31</v>
      </c>
      <c r="L69" s="23"/>
      <c r="M69" s="23">
        <v>1.61</v>
      </c>
      <c r="N69" s="23">
        <v>1.87</v>
      </c>
      <c r="O69" s="23">
        <v>0.3</v>
      </c>
      <c r="P69" s="23">
        <v>0</v>
      </c>
      <c r="Q69" s="23">
        <v>1.51</v>
      </c>
      <c r="R69" s="507">
        <f t="shared" si="0"/>
        <v>1.336283185840708</v>
      </c>
      <c r="S69" s="497"/>
      <c r="T69" s="497">
        <f t="shared" si="1"/>
        <v>0</v>
      </c>
    </row>
    <row r="70" spans="2:20" hidden="1">
      <c r="B70" s="23"/>
      <c r="C70" s="23">
        <v>15220</v>
      </c>
      <c r="D70" s="24">
        <v>7591112022682</v>
      </c>
      <c r="E70" s="401" t="s">
        <v>2140</v>
      </c>
      <c r="F70" s="23"/>
      <c r="G70" s="23">
        <v>12</v>
      </c>
      <c r="H70" s="23">
        <v>28.24</v>
      </c>
      <c r="I70" s="23">
        <v>32.76</v>
      </c>
      <c r="J70" s="375">
        <v>2.35</v>
      </c>
      <c r="K70" s="23">
        <v>2.73</v>
      </c>
      <c r="L70" s="23"/>
      <c r="M70" s="23">
        <v>3.36</v>
      </c>
      <c r="N70" s="23">
        <v>3.9</v>
      </c>
      <c r="O70" s="23">
        <v>0.3</v>
      </c>
      <c r="P70" s="23">
        <v>0</v>
      </c>
      <c r="Q70" s="23">
        <v>3.21</v>
      </c>
      <c r="R70" s="507">
        <f t="shared" si="0"/>
        <v>1.3659574468085105</v>
      </c>
      <c r="S70" s="497"/>
      <c r="T70" s="497">
        <f t="shared" si="1"/>
        <v>0</v>
      </c>
    </row>
    <row r="71" spans="2:20" hidden="1">
      <c r="B71" s="23"/>
      <c r="C71" s="23">
        <v>15229</v>
      </c>
      <c r="D71" s="24">
        <v>7591112048019</v>
      </c>
      <c r="E71" s="401" t="s">
        <v>2141</v>
      </c>
      <c r="F71" s="23"/>
      <c r="G71" s="23">
        <v>24</v>
      </c>
      <c r="H71" s="23">
        <v>24.33</v>
      </c>
      <c r="I71" s="23">
        <v>28.22</v>
      </c>
      <c r="J71" s="375">
        <v>1.01</v>
      </c>
      <c r="K71" s="23">
        <v>1.18</v>
      </c>
      <c r="L71" s="23"/>
      <c r="M71" s="23">
        <v>1.45</v>
      </c>
      <c r="N71" s="23">
        <v>1.68</v>
      </c>
      <c r="O71" s="23">
        <v>0.3</v>
      </c>
      <c r="P71" s="23">
        <v>0</v>
      </c>
      <c r="Q71" s="23">
        <v>0</v>
      </c>
      <c r="R71" s="507">
        <f t="shared" si="0"/>
        <v>0</v>
      </c>
      <c r="S71" s="497"/>
      <c r="T71" s="497">
        <f t="shared" si="1"/>
        <v>0</v>
      </c>
    </row>
    <row r="72" spans="2:20" hidden="1">
      <c r="B72" s="23"/>
      <c r="C72" s="23">
        <v>15230</v>
      </c>
      <c r="D72" s="24">
        <v>7591112048026</v>
      </c>
      <c r="E72" s="401" t="s">
        <v>2142</v>
      </c>
      <c r="F72" s="23"/>
      <c r="G72" s="23">
        <v>12</v>
      </c>
      <c r="H72" s="23">
        <v>25.42</v>
      </c>
      <c r="I72" s="23">
        <v>29.48</v>
      </c>
      <c r="J72" s="375">
        <v>2.12</v>
      </c>
      <c r="K72" s="23">
        <v>2.46</v>
      </c>
      <c r="L72" s="23"/>
      <c r="M72" s="23">
        <v>3.03</v>
      </c>
      <c r="N72" s="23">
        <v>3.51</v>
      </c>
      <c r="O72" s="23">
        <v>0.3</v>
      </c>
      <c r="P72" s="23">
        <v>0</v>
      </c>
      <c r="Q72" s="23">
        <v>0</v>
      </c>
      <c r="R72" s="507">
        <f t="shared" si="0"/>
        <v>0</v>
      </c>
      <c r="S72" s="497"/>
      <c r="T72" s="497">
        <f t="shared" si="1"/>
        <v>0</v>
      </c>
    </row>
    <row r="73" spans="2:20" hidden="1">
      <c r="B73" s="23" t="s">
        <v>2143</v>
      </c>
      <c r="C73" s="23">
        <v>15156</v>
      </c>
      <c r="D73" s="24">
        <v>75916084</v>
      </c>
      <c r="E73" s="401" t="s">
        <v>2144</v>
      </c>
      <c r="F73" s="23"/>
      <c r="G73" s="23">
        <v>24</v>
      </c>
      <c r="H73" s="23">
        <v>10.86</v>
      </c>
      <c r="I73" s="23">
        <v>12.6</v>
      </c>
      <c r="J73" s="375">
        <v>0.45</v>
      </c>
      <c r="K73" s="23">
        <v>0.53</v>
      </c>
      <c r="L73" s="23"/>
      <c r="M73" s="23">
        <v>0.65</v>
      </c>
      <c r="N73" s="23">
        <v>0.75</v>
      </c>
      <c r="O73" s="23">
        <v>0.3</v>
      </c>
      <c r="P73" s="23">
        <v>0</v>
      </c>
      <c r="Q73" s="23"/>
      <c r="R73" s="507">
        <f t="shared" si="0"/>
        <v>0</v>
      </c>
      <c r="S73" s="497">
        <v>0</v>
      </c>
      <c r="T73" s="497">
        <f t="shared" si="1"/>
        <v>0</v>
      </c>
    </row>
    <row r="74" spans="2:20" hidden="1">
      <c r="B74" s="23"/>
      <c r="C74" s="23">
        <v>15761</v>
      </c>
      <c r="D74" s="24">
        <v>759111000017</v>
      </c>
      <c r="E74" s="401" t="s">
        <v>2145</v>
      </c>
      <c r="F74" s="23"/>
      <c r="G74" s="23">
        <v>24</v>
      </c>
      <c r="H74" s="23">
        <v>13.47</v>
      </c>
      <c r="I74" s="23">
        <v>15.62</v>
      </c>
      <c r="J74" s="375">
        <v>0.56000000000000005</v>
      </c>
      <c r="K74" s="23">
        <v>0.65</v>
      </c>
      <c r="L74" s="23"/>
      <c r="M74" s="23">
        <v>0.8</v>
      </c>
      <c r="N74" s="23">
        <v>0.93</v>
      </c>
      <c r="O74" s="23">
        <v>0.3</v>
      </c>
      <c r="P74" s="23">
        <v>0</v>
      </c>
      <c r="Q74" s="23"/>
      <c r="R74" s="507">
        <f t="shared" ref="R74:R115" si="4">Q74/J74</f>
        <v>0</v>
      </c>
      <c r="S74" s="497">
        <v>0</v>
      </c>
      <c r="T74" s="497">
        <f t="shared" ref="T74:T115" si="5">I74*S74</f>
        <v>0</v>
      </c>
    </row>
    <row r="75" spans="2:20" hidden="1">
      <c r="B75" s="23"/>
      <c r="C75" s="23">
        <v>15157</v>
      </c>
      <c r="D75" s="24">
        <v>75916091</v>
      </c>
      <c r="E75" s="401" t="s">
        <v>2146</v>
      </c>
      <c r="F75" s="23"/>
      <c r="G75" s="23">
        <v>24</v>
      </c>
      <c r="H75" s="23">
        <v>10.86</v>
      </c>
      <c r="I75" s="23">
        <v>12.6</v>
      </c>
      <c r="J75" s="375">
        <v>0.45</v>
      </c>
      <c r="K75" s="23">
        <v>0.53</v>
      </c>
      <c r="L75" s="23"/>
      <c r="M75" s="23">
        <v>0.65</v>
      </c>
      <c r="N75" s="23">
        <v>0.75</v>
      </c>
      <c r="O75" s="23">
        <v>0.3</v>
      </c>
      <c r="P75" s="23">
        <v>0</v>
      </c>
      <c r="Q75" s="23"/>
      <c r="R75" s="507">
        <f t="shared" si="4"/>
        <v>0</v>
      </c>
      <c r="S75" s="497">
        <v>0</v>
      </c>
      <c r="T75" s="497">
        <f t="shared" si="5"/>
        <v>0</v>
      </c>
    </row>
    <row r="76" spans="2:20" hidden="1">
      <c r="B76" s="23"/>
      <c r="C76" s="23">
        <v>15760</v>
      </c>
      <c r="D76" s="24">
        <v>759111000024</v>
      </c>
      <c r="E76" s="401" t="s">
        <v>2147</v>
      </c>
      <c r="F76" s="23"/>
      <c r="G76" s="23">
        <v>24</v>
      </c>
      <c r="H76" s="23">
        <v>13.47</v>
      </c>
      <c r="I76" s="23">
        <v>15.62</v>
      </c>
      <c r="J76" s="375">
        <v>0.56000000000000005</v>
      </c>
      <c r="K76" s="23">
        <v>0.65</v>
      </c>
      <c r="L76" s="23"/>
      <c r="M76" s="23">
        <v>0.8</v>
      </c>
      <c r="N76" s="23">
        <v>0.93</v>
      </c>
      <c r="O76" s="23">
        <v>0.3</v>
      </c>
      <c r="P76" s="23">
        <v>0</v>
      </c>
      <c r="Q76" s="23"/>
      <c r="R76" s="507">
        <f t="shared" si="4"/>
        <v>0</v>
      </c>
      <c r="S76" s="497">
        <v>0</v>
      </c>
      <c r="T76" s="497">
        <f t="shared" si="5"/>
        <v>0</v>
      </c>
    </row>
    <row r="77" spans="2:20" hidden="1">
      <c r="B77" s="23"/>
      <c r="C77" s="23">
        <v>15152</v>
      </c>
      <c r="D77" s="24">
        <v>75916053</v>
      </c>
      <c r="E77" s="401" t="s">
        <v>2148</v>
      </c>
      <c r="F77" s="23"/>
      <c r="G77" s="23">
        <v>24</v>
      </c>
      <c r="H77" s="23">
        <v>10.86</v>
      </c>
      <c r="I77" s="23">
        <v>12.6</v>
      </c>
      <c r="J77" s="375">
        <v>0.45</v>
      </c>
      <c r="K77" s="23">
        <v>0.53</v>
      </c>
      <c r="L77" s="23"/>
      <c r="M77" s="23">
        <v>0.65</v>
      </c>
      <c r="N77" s="23">
        <v>0.75</v>
      </c>
      <c r="O77" s="23">
        <v>0.3</v>
      </c>
      <c r="P77" s="23">
        <v>0</v>
      </c>
      <c r="Q77" s="23"/>
      <c r="R77" s="507">
        <f t="shared" si="4"/>
        <v>0</v>
      </c>
      <c r="S77" s="497"/>
      <c r="T77" s="497">
        <f t="shared" si="5"/>
        <v>0</v>
      </c>
    </row>
    <row r="78" spans="2:20" hidden="1">
      <c r="B78" s="23"/>
      <c r="C78" s="23">
        <v>15765</v>
      </c>
      <c r="D78" s="24">
        <v>759111000062</v>
      </c>
      <c r="E78" s="401" t="s">
        <v>2149</v>
      </c>
      <c r="F78" s="23"/>
      <c r="G78" s="23">
        <v>24</v>
      </c>
      <c r="H78" s="23">
        <v>13.47</v>
      </c>
      <c r="I78" s="23">
        <v>15.62</v>
      </c>
      <c r="J78" s="375">
        <v>0.56000000000000005</v>
      </c>
      <c r="K78" s="23">
        <v>0.65</v>
      </c>
      <c r="L78" s="23"/>
      <c r="M78" s="23">
        <v>0.8</v>
      </c>
      <c r="N78" s="23">
        <v>0.93</v>
      </c>
      <c r="O78" s="23">
        <v>0.3</v>
      </c>
      <c r="P78" s="23">
        <v>0</v>
      </c>
      <c r="Q78" s="23"/>
      <c r="R78" s="507">
        <f t="shared" si="4"/>
        <v>0</v>
      </c>
      <c r="S78" s="497">
        <v>0</v>
      </c>
      <c r="T78" s="497">
        <f t="shared" si="5"/>
        <v>0</v>
      </c>
    </row>
    <row r="79" spans="2:20" hidden="1">
      <c r="B79" s="23"/>
      <c r="C79" s="23">
        <v>15158</v>
      </c>
      <c r="D79" s="24">
        <v>75916909</v>
      </c>
      <c r="E79" s="401" t="s">
        <v>2150</v>
      </c>
      <c r="F79" s="23"/>
      <c r="G79" s="23">
        <v>24</v>
      </c>
      <c r="H79" s="23">
        <v>10.86</v>
      </c>
      <c r="I79" s="23">
        <v>12.6</v>
      </c>
      <c r="J79" s="375">
        <v>0.45</v>
      </c>
      <c r="K79" s="23">
        <v>0.53</v>
      </c>
      <c r="L79" s="23"/>
      <c r="M79" s="23">
        <v>0.65</v>
      </c>
      <c r="N79" s="23">
        <v>0.75</v>
      </c>
      <c r="O79" s="23">
        <v>0.3</v>
      </c>
      <c r="P79" s="23">
        <v>0</v>
      </c>
      <c r="Q79" s="23"/>
      <c r="R79" s="507">
        <f t="shared" si="4"/>
        <v>0</v>
      </c>
      <c r="S79" s="497"/>
      <c r="T79" s="497">
        <f t="shared" si="5"/>
        <v>0</v>
      </c>
    </row>
    <row r="80" spans="2:20" hidden="1">
      <c r="B80" s="23"/>
      <c r="C80" s="23">
        <v>15762</v>
      </c>
      <c r="D80" s="24">
        <v>759111000055</v>
      </c>
      <c r="E80" s="401" t="s">
        <v>2151</v>
      </c>
      <c r="F80" s="23"/>
      <c r="G80" s="23">
        <v>24</v>
      </c>
      <c r="H80" s="23">
        <v>13.47</v>
      </c>
      <c r="I80" s="23">
        <v>15.62</v>
      </c>
      <c r="J80" s="375">
        <v>0.56000000000000005</v>
      </c>
      <c r="K80" s="23">
        <v>0.65</v>
      </c>
      <c r="L80" s="23"/>
      <c r="M80" s="23">
        <v>0.8</v>
      </c>
      <c r="N80" s="23">
        <v>0.93</v>
      </c>
      <c r="O80" s="23">
        <v>0.3</v>
      </c>
      <c r="P80" s="23">
        <v>0</v>
      </c>
      <c r="Q80" s="23"/>
      <c r="R80" s="507">
        <f t="shared" si="4"/>
        <v>0</v>
      </c>
      <c r="S80" s="497"/>
      <c r="T80" s="497">
        <f t="shared" si="5"/>
        <v>0</v>
      </c>
    </row>
    <row r="81" spans="2:20" hidden="1">
      <c r="B81" s="23"/>
      <c r="C81" s="23">
        <v>15172</v>
      </c>
      <c r="D81" s="24">
        <v>75920128</v>
      </c>
      <c r="E81" s="401" t="s">
        <v>2152</v>
      </c>
      <c r="F81" s="23"/>
      <c r="G81" s="23">
        <v>24</v>
      </c>
      <c r="H81" s="23">
        <v>10.86</v>
      </c>
      <c r="I81" s="23">
        <v>12.6</v>
      </c>
      <c r="J81" s="375">
        <v>0.45</v>
      </c>
      <c r="K81" s="23">
        <v>0.53</v>
      </c>
      <c r="L81" s="23"/>
      <c r="M81" s="23">
        <v>0.65</v>
      </c>
      <c r="N81" s="23">
        <v>0.75</v>
      </c>
      <c r="O81" s="23">
        <v>0.3</v>
      </c>
      <c r="P81" s="23">
        <v>0</v>
      </c>
      <c r="Q81" s="23"/>
      <c r="R81" s="507">
        <f t="shared" si="4"/>
        <v>0</v>
      </c>
      <c r="S81" s="497"/>
      <c r="T81" s="497">
        <f t="shared" si="5"/>
        <v>0</v>
      </c>
    </row>
    <row r="82" spans="2:20" hidden="1">
      <c r="B82" s="23"/>
      <c r="C82" s="23">
        <v>15153</v>
      </c>
      <c r="D82" s="24">
        <v>75916060</v>
      </c>
      <c r="E82" s="401" t="s">
        <v>2153</v>
      </c>
      <c r="F82" s="23"/>
      <c r="G82" s="23">
        <v>24</v>
      </c>
      <c r="H82" s="23">
        <v>10.86</v>
      </c>
      <c r="I82" s="23">
        <v>12.6</v>
      </c>
      <c r="J82" s="375">
        <v>0.45</v>
      </c>
      <c r="K82" s="23">
        <v>0.53</v>
      </c>
      <c r="L82" s="23"/>
      <c r="M82" s="23">
        <v>0.65</v>
      </c>
      <c r="N82" s="23">
        <v>0.75</v>
      </c>
      <c r="O82" s="23">
        <v>0.3</v>
      </c>
      <c r="P82" s="23">
        <v>0</v>
      </c>
      <c r="Q82" s="23"/>
      <c r="R82" s="507">
        <f t="shared" si="4"/>
        <v>0</v>
      </c>
      <c r="S82" s="497"/>
      <c r="T82" s="497">
        <f t="shared" si="5"/>
        <v>0</v>
      </c>
    </row>
    <row r="83" spans="2:20" hidden="1">
      <c r="B83" s="23"/>
      <c r="C83" s="23"/>
      <c r="D83" s="24"/>
      <c r="E83" s="401"/>
      <c r="F83" s="23"/>
      <c r="G83" s="23"/>
      <c r="H83" s="23"/>
      <c r="I83" s="23"/>
      <c r="J83" s="375"/>
      <c r="K83" s="23"/>
      <c r="L83" s="23"/>
      <c r="M83" s="23"/>
      <c r="N83" s="23"/>
      <c r="O83" s="23"/>
      <c r="P83" s="23"/>
      <c r="Q83" s="23"/>
      <c r="R83" s="507" t="e">
        <f t="shared" si="4"/>
        <v>#DIV/0!</v>
      </c>
      <c r="S83" s="497"/>
      <c r="T83" s="497">
        <f t="shared" si="5"/>
        <v>0</v>
      </c>
    </row>
    <row r="84" spans="2:20" hidden="1">
      <c r="B84" s="23"/>
      <c r="C84" s="23">
        <v>15766</v>
      </c>
      <c r="D84" s="24">
        <v>759111000079</v>
      </c>
      <c r="E84" s="401" t="s">
        <v>2154</v>
      </c>
      <c r="F84" s="23"/>
      <c r="G84" s="23">
        <v>24</v>
      </c>
      <c r="H84" s="23">
        <v>13.47</v>
      </c>
      <c r="I84" s="23">
        <v>15.62</v>
      </c>
      <c r="J84" s="375">
        <v>0.56000000000000005</v>
      </c>
      <c r="K84" s="23">
        <v>0.65</v>
      </c>
      <c r="L84" s="23"/>
      <c r="M84" s="23">
        <v>0.8</v>
      </c>
      <c r="N84" s="23">
        <v>0.93</v>
      </c>
      <c r="O84" s="23">
        <v>0.3</v>
      </c>
      <c r="P84" s="23">
        <v>0</v>
      </c>
      <c r="Q84" s="23"/>
      <c r="R84" s="507">
        <f t="shared" si="4"/>
        <v>0</v>
      </c>
      <c r="S84" s="497">
        <v>0</v>
      </c>
      <c r="T84" s="497">
        <f t="shared" si="5"/>
        <v>0</v>
      </c>
    </row>
    <row r="85" spans="2:20" hidden="1">
      <c r="B85" s="23"/>
      <c r="C85" s="23">
        <v>15149</v>
      </c>
      <c r="D85" s="24">
        <v>75916022</v>
      </c>
      <c r="E85" s="503" t="s">
        <v>2155</v>
      </c>
      <c r="F85" s="23"/>
      <c r="G85" s="23">
        <v>24</v>
      </c>
      <c r="H85" s="23">
        <v>10.86</v>
      </c>
      <c r="I85" s="23">
        <v>12.6</v>
      </c>
      <c r="J85" s="375">
        <v>0.45</v>
      </c>
      <c r="K85" s="23">
        <v>0.53</v>
      </c>
      <c r="L85" s="23"/>
      <c r="M85" s="23">
        <v>0.65</v>
      </c>
      <c r="N85" s="23">
        <v>0.75</v>
      </c>
      <c r="O85" s="23">
        <v>0.3</v>
      </c>
      <c r="P85" s="23">
        <v>0</v>
      </c>
      <c r="Q85" s="23"/>
      <c r="R85" s="507">
        <f t="shared" si="4"/>
        <v>0</v>
      </c>
      <c r="S85" s="497"/>
      <c r="T85" s="497">
        <f t="shared" si="5"/>
        <v>0</v>
      </c>
    </row>
    <row r="86" spans="2:20" hidden="1">
      <c r="B86" s="23"/>
      <c r="C86" s="23">
        <v>15764</v>
      </c>
      <c r="D86" s="24">
        <v>759111000031</v>
      </c>
      <c r="E86" s="503" t="s">
        <v>2156</v>
      </c>
      <c r="F86" s="23"/>
      <c r="G86" s="23">
        <v>24</v>
      </c>
      <c r="H86" s="23">
        <v>13.47</v>
      </c>
      <c r="I86" s="23">
        <v>15.62</v>
      </c>
      <c r="J86" s="375">
        <v>0.56000000000000005</v>
      </c>
      <c r="K86" s="23">
        <v>0.65</v>
      </c>
      <c r="L86" s="23"/>
      <c r="M86" s="23">
        <v>0.8</v>
      </c>
      <c r="N86" s="23">
        <v>0.93</v>
      </c>
      <c r="O86" s="23">
        <v>0.3</v>
      </c>
      <c r="P86" s="23">
        <v>0</v>
      </c>
      <c r="Q86" s="23"/>
      <c r="R86" s="507">
        <f t="shared" si="4"/>
        <v>0</v>
      </c>
      <c r="S86" s="497"/>
      <c r="T86" s="497">
        <f t="shared" si="5"/>
        <v>0</v>
      </c>
    </row>
    <row r="87" spans="2:20" hidden="1">
      <c r="B87" s="23"/>
      <c r="C87" s="23">
        <v>15154</v>
      </c>
      <c r="D87" s="24">
        <v>75916077</v>
      </c>
      <c r="E87" s="503" t="s">
        <v>2157</v>
      </c>
      <c r="F87" s="23"/>
      <c r="G87" s="23">
        <v>24</v>
      </c>
      <c r="H87" s="23">
        <v>10.86</v>
      </c>
      <c r="I87" s="23">
        <v>12.6</v>
      </c>
      <c r="J87" s="375">
        <v>0.45</v>
      </c>
      <c r="K87" s="23">
        <v>0.53</v>
      </c>
      <c r="L87" s="23"/>
      <c r="M87" s="23">
        <v>0.65</v>
      </c>
      <c r="N87" s="23">
        <v>0.75</v>
      </c>
      <c r="O87" s="23">
        <v>0.3</v>
      </c>
      <c r="P87" s="23">
        <v>0</v>
      </c>
      <c r="Q87" s="23"/>
      <c r="R87" s="507">
        <f t="shared" si="4"/>
        <v>0</v>
      </c>
      <c r="S87" s="497"/>
      <c r="T87" s="497">
        <f t="shared" si="5"/>
        <v>0</v>
      </c>
    </row>
    <row r="88" spans="2:20" hidden="1">
      <c r="B88" s="23"/>
      <c r="C88" s="23">
        <v>15768</v>
      </c>
      <c r="D88" s="24">
        <v>7591112000185</v>
      </c>
      <c r="E88" s="503" t="s">
        <v>2158</v>
      </c>
      <c r="F88" s="23"/>
      <c r="G88" s="23">
        <v>24</v>
      </c>
      <c r="H88" s="23">
        <v>13.47</v>
      </c>
      <c r="I88" s="23">
        <v>15.62</v>
      </c>
      <c r="J88" s="375">
        <v>0.56000000000000005</v>
      </c>
      <c r="K88" s="23">
        <v>0.65</v>
      </c>
      <c r="L88" s="23"/>
      <c r="M88" s="23">
        <v>0.8</v>
      </c>
      <c r="N88" s="23">
        <v>0.93</v>
      </c>
      <c r="O88" s="23">
        <v>0.3</v>
      </c>
      <c r="P88" s="23">
        <v>0.33</v>
      </c>
      <c r="Q88" s="23"/>
      <c r="R88" s="507">
        <f t="shared" si="4"/>
        <v>0</v>
      </c>
      <c r="S88" s="497"/>
      <c r="T88" s="497">
        <f t="shared" si="5"/>
        <v>0</v>
      </c>
    </row>
    <row r="89" spans="2:20" hidden="1">
      <c r="B89" s="23" t="s">
        <v>2159</v>
      </c>
      <c r="C89" s="23">
        <v>15557</v>
      </c>
      <c r="D89" s="24">
        <v>75930776</v>
      </c>
      <c r="E89" s="339" t="s">
        <v>2160</v>
      </c>
      <c r="F89" s="23"/>
      <c r="G89" s="23">
        <v>24</v>
      </c>
      <c r="H89" s="23">
        <v>12.74</v>
      </c>
      <c r="I89" s="23">
        <v>14.78</v>
      </c>
      <c r="J89" s="375">
        <v>0.53</v>
      </c>
      <c r="K89" s="23">
        <v>0.62</v>
      </c>
      <c r="L89" s="23"/>
      <c r="M89" s="23">
        <v>0.76</v>
      </c>
      <c r="N89" s="23">
        <v>0.88</v>
      </c>
      <c r="O89" s="23">
        <v>0.3</v>
      </c>
      <c r="P89" s="23">
        <v>0</v>
      </c>
      <c r="Q89" s="23"/>
      <c r="R89" s="507">
        <f t="shared" si="4"/>
        <v>0</v>
      </c>
      <c r="S89" s="497"/>
      <c r="T89" s="497">
        <f t="shared" si="5"/>
        <v>0</v>
      </c>
    </row>
    <row r="90" spans="2:20" hidden="1">
      <c r="B90" s="23"/>
      <c r="C90" s="23">
        <v>15558</v>
      </c>
      <c r="D90" s="24">
        <v>75930790</v>
      </c>
      <c r="E90" s="339" t="s">
        <v>2161</v>
      </c>
      <c r="F90" s="23"/>
      <c r="G90" s="23">
        <v>24</v>
      </c>
      <c r="H90" s="23">
        <v>12.74</v>
      </c>
      <c r="I90" s="23">
        <v>14.78</v>
      </c>
      <c r="J90" s="375">
        <v>0.53</v>
      </c>
      <c r="K90" s="23">
        <v>0.62</v>
      </c>
      <c r="L90" s="23"/>
      <c r="M90" s="23">
        <v>0.76</v>
      </c>
      <c r="N90" s="23">
        <v>0.88</v>
      </c>
      <c r="O90" s="23">
        <v>0.3</v>
      </c>
      <c r="P90" s="23">
        <v>0</v>
      </c>
      <c r="Q90" s="23"/>
      <c r="R90" s="507">
        <f t="shared" si="4"/>
        <v>0</v>
      </c>
      <c r="S90" s="497"/>
      <c r="T90" s="497">
        <f t="shared" si="5"/>
        <v>0</v>
      </c>
    </row>
    <row r="91" spans="2:20" hidden="1">
      <c r="B91" s="23" t="s">
        <v>2162</v>
      </c>
      <c r="C91" s="23">
        <v>15679</v>
      </c>
      <c r="D91" s="24">
        <v>7591112156493</v>
      </c>
      <c r="E91" s="339" t="s">
        <v>2163</v>
      </c>
      <c r="F91" s="23"/>
      <c r="G91" s="23">
        <v>24</v>
      </c>
      <c r="H91" s="23">
        <v>16.079999999999998</v>
      </c>
      <c r="I91" s="23">
        <v>18.649999999999999</v>
      </c>
      <c r="J91" s="375">
        <v>0.67</v>
      </c>
      <c r="K91" s="23">
        <v>0.78</v>
      </c>
      <c r="L91" s="23"/>
      <c r="M91" s="23">
        <v>0.96</v>
      </c>
      <c r="N91" s="23">
        <v>1.1100000000000001</v>
      </c>
      <c r="O91" s="23">
        <v>0.3</v>
      </c>
      <c r="P91" s="23">
        <v>0</v>
      </c>
      <c r="Q91" s="23"/>
      <c r="R91" s="507">
        <f t="shared" si="4"/>
        <v>0</v>
      </c>
      <c r="S91" s="497"/>
      <c r="T91" s="497">
        <f t="shared" si="5"/>
        <v>0</v>
      </c>
    </row>
    <row r="92" spans="2:20" hidden="1">
      <c r="B92" s="23"/>
      <c r="C92" s="23">
        <v>15678</v>
      </c>
      <c r="D92" s="24">
        <v>7591112156486</v>
      </c>
      <c r="E92" s="339" t="s">
        <v>2164</v>
      </c>
      <c r="F92" s="23"/>
      <c r="G92" s="23">
        <v>24</v>
      </c>
      <c r="H92" s="23">
        <v>16.079999999999998</v>
      </c>
      <c r="I92" s="23">
        <v>18.649999999999999</v>
      </c>
      <c r="J92" s="375">
        <v>0.67</v>
      </c>
      <c r="K92" s="23">
        <v>0.78</v>
      </c>
      <c r="L92" s="23"/>
      <c r="M92" s="23">
        <v>0.96</v>
      </c>
      <c r="N92" s="23">
        <v>1.1100000000000001</v>
      </c>
      <c r="O92" s="23">
        <v>0.3</v>
      </c>
      <c r="P92" s="23">
        <v>0</v>
      </c>
      <c r="Q92" s="23"/>
      <c r="R92" s="507">
        <f t="shared" si="4"/>
        <v>0</v>
      </c>
      <c r="S92" s="497"/>
      <c r="T92" s="497">
        <f t="shared" si="5"/>
        <v>0</v>
      </c>
    </row>
    <row r="93" spans="2:20" hidden="1">
      <c r="B93" s="23"/>
      <c r="C93" s="23">
        <v>15380</v>
      </c>
      <c r="D93" s="24">
        <v>7591112004435</v>
      </c>
      <c r="E93" s="503" t="s">
        <v>2165</v>
      </c>
      <c r="F93" s="23"/>
      <c r="G93" s="23">
        <v>12</v>
      </c>
      <c r="H93" s="23">
        <v>8.32</v>
      </c>
      <c r="I93" s="23">
        <v>8.32</v>
      </c>
      <c r="J93" s="375">
        <v>0.69</v>
      </c>
      <c r="K93" s="23">
        <v>0.69</v>
      </c>
      <c r="L93" s="23"/>
      <c r="M93" s="23">
        <v>0.99</v>
      </c>
      <c r="N93" s="23">
        <v>0.99</v>
      </c>
      <c r="O93" s="23">
        <v>0.3</v>
      </c>
      <c r="P93" s="23">
        <v>0</v>
      </c>
      <c r="Q93" s="23">
        <v>0</v>
      </c>
      <c r="R93" s="507">
        <f t="shared" si="4"/>
        <v>0</v>
      </c>
      <c r="S93" s="497"/>
      <c r="T93" s="497">
        <f t="shared" si="5"/>
        <v>0</v>
      </c>
    </row>
    <row r="94" spans="2:20" hidden="1">
      <c r="B94" s="23"/>
      <c r="C94" s="23">
        <v>15372</v>
      </c>
      <c r="D94" s="24">
        <v>7591112004039</v>
      </c>
      <c r="E94" s="503" t="s">
        <v>2166</v>
      </c>
      <c r="F94" s="23"/>
      <c r="G94" s="23">
        <v>12</v>
      </c>
      <c r="H94" s="23">
        <v>13.1</v>
      </c>
      <c r="I94" s="23">
        <v>13.1</v>
      </c>
      <c r="J94" s="375">
        <v>1.0900000000000001</v>
      </c>
      <c r="K94" s="23">
        <v>1.0900000000000001</v>
      </c>
      <c r="L94" s="23"/>
      <c r="M94" s="23">
        <v>1.56</v>
      </c>
      <c r="N94" s="23">
        <v>1.56</v>
      </c>
      <c r="O94" s="23">
        <v>0.3</v>
      </c>
      <c r="P94" s="23">
        <v>0</v>
      </c>
      <c r="Q94" s="23">
        <v>1.3</v>
      </c>
      <c r="R94" s="507">
        <f t="shared" si="4"/>
        <v>1.1926605504587156</v>
      </c>
      <c r="S94" s="497"/>
      <c r="T94" s="497">
        <f t="shared" si="5"/>
        <v>0</v>
      </c>
    </row>
    <row r="95" spans="2:20" hidden="1">
      <c r="B95" s="23"/>
      <c r="C95" s="23">
        <v>15379</v>
      </c>
      <c r="D95" s="24">
        <v>7591112004428</v>
      </c>
      <c r="E95" s="339" t="s">
        <v>2167</v>
      </c>
      <c r="F95" s="23"/>
      <c r="G95" s="23">
        <v>4</v>
      </c>
      <c r="H95" s="23">
        <v>8.5399999999999991</v>
      </c>
      <c r="I95" s="23">
        <v>8.5399999999999991</v>
      </c>
      <c r="J95" s="375">
        <v>2.14</v>
      </c>
      <c r="K95" s="23">
        <v>2.14</v>
      </c>
      <c r="L95" s="23"/>
      <c r="M95" s="23">
        <v>3.05</v>
      </c>
      <c r="N95" s="23">
        <v>3.05</v>
      </c>
      <c r="O95" s="23">
        <v>0.3</v>
      </c>
      <c r="P95" s="23">
        <v>0</v>
      </c>
      <c r="Q95" s="23"/>
      <c r="R95" s="507">
        <f t="shared" si="4"/>
        <v>0</v>
      </c>
      <c r="S95" s="497"/>
      <c r="T95" s="497">
        <f t="shared" si="5"/>
        <v>0</v>
      </c>
    </row>
    <row r="96" spans="2:20" hidden="1">
      <c r="B96" s="23" t="s">
        <v>2168</v>
      </c>
      <c r="C96" s="23">
        <v>15758</v>
      </c>
      <c r="D96" s="24">
        <v>7591112462235</v>
      </c>
      <c r="E96" s="339" t="s">
        <v>2169</v>
      </c>
      <c r="F96" s="23"/>
      <c r="G96" s="23">
        <v>12</v>
      </c>
      <c r="H96" s="23">
        <v>16.22</v>
      </c>
      <c r="I96" s="23">
        <v>18.82</v>
      </c>
      <c r="J96" s="375">
        <v>1.35</v>
      </c>
      <c r="K96" s="23">
        <v>1.57</v>
      </c>
      <c r="L96" s="23"/>
      <c r="M96" s="23">
        <v>1.93</v>
      </c>
      <c r="N96" s="23">
        <v>2.2400000000000002</v>
      </c>
      <c r="O96" s="23">
        <v>0.3</v>
      </c>
      <c r="P96" s="23">
        <v>0</v>
      </c>
      <c r="Q96" s="23">
        <v>1.66</v>
      </c>
      <c r="R96" s="507">
        <f t="shared" si="4"/>
        <v>1.2296296296296294</v>
      </c>
      <c r="S96" s="497"/>
      <c r="T96" s="497">
        <f t="shared" si="5"/>
        <v>0</v>
      </c>
    </row>
    <row r="97" spans="2:20" hidden="1">
      <c r="B97" s="23" t="s">
        <v>2170</v>
      </c>
      <c r="C97" s="23">
        <v>15704</v>
      </c>
      <c r="D97" s="24">
        <v>7591112462105</v>
      </c>
      <c r="E97" s="339" t="s">
        <v>2171</v>
      </c>
      <c r="F97" s="23"/>
      <c r="G97" s="23">
        <v>12</v>
      </c>
      <c r="H97" s="23">
        <v>21</v>
      </c>
      <c r="I97" s="23">
        <v>24.36</v>
      </c>
      <c r="J97" s="375">
        <v>1.75</v>
      </c>
      <c r="K97" s="23">
        <v>2.0299999999999998</v>
      </c>
      <c r="L97" s="23"/>
      <c r="M97" s="23">
        <v>2.5</v>
      </c>
      <c r="N97" s="23">
        <v>2.9</v>
      </c>
      <c r="O97" s="23">
        <v>0.3</v>
      </c>
      <c r="P97" s="23">
        <v>0</v>
      </c>
      <c r="Q97" s="23"/>
      <c r="R97" s="507">
        <f t="shared" si="4"/>
        <v>0</v>
      </c>
      <c r="S97" s="497"/>
      <c r="T97" s="497">
        <f t="shared" si="5"/>
        <v>0</v>
      </c>
    </row>
    <row r="98" spans="2:20" hidden="1">
      <c r="B98" s="23" t="s">
        <v>2172</v>
      </c>
      <c r="C98" s="23">
        <v>15336</v>
      </c>
      <c r="D98" s="24">
        <v>7591112061667</v>
      </c>
      <c r="E98" s="503" t="s">
        <v>2173</v>
      </c>
      <c r="F98" s="23"/>
      <c r="G98" s="23">
        <v>48</v>
      </c>
      <c r="H98" s="23">
        <v>31.86</v>
      </c>
      <c r="I98" s="23">
        <v>36.96</v>
      </c>
      <c r="J98" s="375">
        <v>0.66</v>
      </c>
      <c r="K98" s="23">
        <v>0.77</v>
      </c>
      <c r="L98" s="23"/>
      <c r="M98" s="23">
        <v>0.95</v>
      </c>
      <c r="N98" s="23">
        <v>1.1000000000000001</v>
      </c>
      <c r="O98" s="23">
        <v>0.3</v>
      </c>
      <c r="P98" s="23">
        <v>0</v>
      </c>
      <c r="Q98" s="23">
        <v>0.89</v>
      </c>
      <c r="R98" s="507">
        <f t="shared" si="4"/>
        <v>1.3484848484848484</v>
      </c>
      <c r="S98" s="497"/>
      <c r="T98" s="497">
        <f t="shared" si="5"/>
        <v>0</v>
      </c>
    </row>
    <row r="99" spans="2:20" hidden="1">
      <c r="B99" s="23"/>
      <c r="C99" s="23">
        <v>15340</v>
      </c>
      <c r="D99" s="24">
        <v>7591112061902</v>
      </c>
      <c r="E99" s="503" t="s">
        <v>2174</v>
      </c>
      <c r="F99" s="23"/>
      <c r="G99" s="23">
        <v>48</v>
      </c>
      <c r="H99" s="23">
        <v>31.86</v>
      </c>
      <c r="I99" s="23">
        <v>36.96</v>
      </c>
      <c r="J99" s="375">
        <v>0.66</v>
      </c>
      <c r="K99" s="23">
        <v>0.77</v>
      </c>
      <c r="L99" s="23"/>
      <c r="M99" s="23">
        <v>0.95</v>
      </c>
      <c r="N99" s="23">
        <v>1.1000000000000001</v>
      </c>
      <c r="O99" s="23">
        <v>0.3</v>
      </c>
      <c r="P99" s="23">
        <v>0</v>
      </c>
      <c r="Q99" s="23">
        <v>0.89</v>
      </c>
      <c r="R99" s="507">
        <f t="shared" si="4"/>
        <v>1.3484848484848484</v>
      </c>
      <c r="S99" s="497"/>
      <c r="T99" s="497">
        <f t="shared" si="5"/>
        <v>0</v>
      </c>
    </row>
    <row r="100" spans="2:20" hidden="1">
      <c r="B100" s="23"/>
      <c r="C100" s="23">
        <v>15329</v>
      </c>
      <c r="D100" s="24">
        <v>7591112061421</v>
      </c>
      <c r="E100" s="503" t="s">
        <v>2175</v>
      </c>
      <c r="F100" s="23"/>
      <c r="G100" s="23">
        <v>48</v>
      </c>
      <c r="H100" s="23">
        <v>31.86</v>
      </c>
      <c r="I100" s="23">
        <v>36.96</v>
      </c>
      <c r="J100" s="375">
        <v>0.66</v>
      </c>
      <c r="K100" s="23">
        <v>0.77</v>
      </c>
      <c r="L100" s="23"/>
      <c r="M100" s="23">
        <v>0.95</v>
      </c>
      <c r="N100" s="23">
        <v>1.1000000000000001</v>
      </c>
      <c r="O100" s="23">
        <v>0.3</v>
      </c>
      <c r="P100" s="23">
        <v>0</v>
      </c>
      <c r="Q100" s="23">
        <v>0.89</v>
      </c>
      <c r="R100" s="507">
        <f t="shared" si="4"/>
        <v>1.3484848484848484</v>
      </c>
      <c r="S100" s="497"/>
      <c r="T100" s="497">
        <f t="shared" si="5"/>
        <v>0</v>
      </c>
    </row>
    <row r="101" spans="2:20" hidden="1">
      <c r="B101" s="23"/>
      <c r="C101" s="23">
        <v>15740</v>
      </c>
      <c r="D101" s="24">
        <v>7591112462174</v>
      </c>
      <c r="E101" s="503" t="s">
        <v>2176</v>
      </c>
      <c r="F101" s="23"/>
      <c r="G101" s="23">
        <v>48</v>
      </c>
      <c r="H101" s="23">
        <v>31.86</v>
      </c>
      <c r="I101" s="23">
        <v>36.96</v>
      </c>
      <c r="J101" s="375">
        <v>0.66</v>
      </c>
      <c r="K101" s="23">
        <v>0.77</v>
      </c>
      <c r="L101" s="23"/>
      <c r="M101" s="23">
        <v>0.95</v>
      </c>
      <c r="N101" s="23">
        <v>1.1000000000000001</v>
      </c>
      <c r="O101" s="23">
        <v>0.3</v>
      </c>
      <c r="P101" s="23">
        <v>0</v>
      </c>
      <c r="Q101" s="23">
        <v>0.89</v>
      </c>
      <c r="R101" s="507">
        <f t="shared" si="4"/>
        <v>1.3484848484848484</v>
      </c>
      <c r="S101" s="497"/>
      <c r="T101" s="497">
        <f t="shared" si="5"/>
        <v>0</v>
      </c>
    </row>
    <row r="102" spans="2:20" hidden="1">
      <c r="B102" s="23"/>
      <c r="C102" s="23">
        <v>15752</v>
      </c>
      <c r="D102" s="24">
        <v>759112462167</v>
      </c>
      <c r="E102" s="503" t="s">
        <v>2177</v>
      </c>
      <c r="F102" s="23"/>
      <c r="G102" s="23">
        <v>48</v>
      </c>
      <c r="H102" s="23">
        <v>31.86</v>
      </c>
      <c r="I102" s="23">
        <v>36.96</v>
      </c>
      <c r="J102" s="375">
        <v>0.66</v>
      </c>
      <c r="K102" s="23">
        <v>0.77</v>
      </c>
      <c r="L102" s="23"/>
      <c r="M102" s="23">
        <v>0.95</v>
      </c>
      <c r="N102" s="23">
        <v>1.1000000000000001</v>
      </c>
      <c r="O102" s="23">
        <v>0.3</v>
      </c>
      <c r="P102" s="23">
        <v>0</v>
      </c>
      <c r="Q102" s="23">
        <v>0.89</v>
      </c>
      <c r="R102" s="507">
        <f t="shared" si="4"/>
        <v>1.3484848484848484</v>
      </c>
      <c r="S102" s="497"/>
      <c r="T102" s="497">
        <f t="shared" si="5"/>
        <v>0</v>
      </c>
    </row>
    <row r="103" spans="2:20" hidden="1">
      <c r="B103" s="23"/>
      <c r="C103" s="23">
        <v>15339</v>
      </c>
      <c r="D103" s="24">
        <v>759112061896</v>
      </c>
      <c r="E103" s="503" t="s">
        <v>2178</v>
      </c>
      <c r="F103" s="23"/>
      <c r="G103" s="23">
        <v>48</v>
      </c>
      <c r="H103" s="23">
        <v>31.86</v>
      </c>
      <c r="I103" s="23">
        <v>36.96</v>
      </c>
      <c r="J103" s="375">
        <v>0.66</v>
      </c>
      <c r="K103" s="23">
        <v>0.77</v>
      </c>
      <c r="L103" s="23"/>
      <c r="M103" s="23">
        <v>0.95</v>
      </c>
      <c r="N103" s="23">
        <v>1.1000000000000001</v>
      </c>
      <c r="O103" s="23">
        <v>0.3</v>
      </c>
      <c r="P103" s="23">
        <v>0</v>
      </c>
      <c r="Q103" s="23">
        <v>0.89</v>
      </c>
      <c r="R103" s="507">
        <f t="shared" si="4"/>
        <v>1.3484848484848484</v>
      </c>
      <c r="S103" s="497"/>
      <c r="T103" s="497">
        <f t="shared" si="5"/>
        <v>0</v>
      </c>
    </row>
    <row r="104" spans="2:20" hidden="1">
      <c r="B104" s="23"/>
      <c r="C104" s="23">
        <v>15770</v>
      </c>
      <c r="D104" s="24">
        <v>7591112000161</v>
      </c>
      <c r="E104" s="503" t="s">
        <v>2179</v>
      </c>
      <c r="F104" s="23"/>
      <c r="G104" s="23">
        <v>48</v>
      </c>
      <c r="H104" s="23">
        <v>31.86</v>
      </c>
      <c r="I104" s="23">
        <v>36.96</v>
      </c>
      <c r="J104" s="375">
        <v>0.66</v>
      </c>
      <c r="K104" s="23">
        <v>0.77</v>
      </c>
      <c r="L104" s="23"/>
      <c r="M104" s="23">
        <v>0.95</v>
      </c>
      <c r="N104" s="23">
        <v>1.1000000000000001</v>
      </c>
      <c r="O104" s="23">
        <v>0.3</v>
      </c>
      <c r="P104" s="23">
        <v>0</v>
      </c>
      <c r="Q104" s="23">
        <v>0.89</v>
      </c>
      <c r="R104" s="507">
        <f t="shared" si="4"/>
        <v>1.3484848484848484</v>
      </c>
      <c r="S104" s="497"/>
      <c r="T104" s="497">
        <f t="shared" si="5"/>
        <v>0</v>
      </c>
    </row>
    <row r="105" spans="2:20" hidden="1">
      <c r="B105" s="23"/>
      <c r="C105" s="23">
        <v>15320</v>
      </c>
      <c r="D105" s="24">
        <v>7591112061193</v>
      </c>
      <c r="E105" s="503" t="s">
        <v>2180</v>
      </c>
      <c r="F105" s="23"/>
      <c r="G105" s="23">
        <v>48</v>
      </c>
      <c r="H105" s="23">
        <v>50.98</v>
      </c>
      <c r="I105" s="23">
        <v>59.14</v>
      </c>
      <c r="J105" s="375">
        <v>1.06</v>
      </c>
      <c r="K105" s="23">
        <v>1.23</v>
      </c>
      <c r="L105" s="23"/>
      <c r="M105" s="23">
        <v>1.52</v>
      </c>
      <c r="N105" s="23">
        <v>1.76</v>
      </c>
      <c r="O105" s="23">
        <v>0.3</v>
      </c>
      <c r="P105" s="23">
        <v>0</v>
      </c>
      <c r="Q105" s="23">
        <v>0</v>
      </c>
      <c r="R105" s="507">
        <f t="shared" si="4"/>
        <v>0</v>
      </c>
      <c r="S105" s="497"/>
      <c r="T105" s="497">
        <f t="shared" si="5"/>
        <v>0</v>
      </c>
    </row>
    <row r="106" spans="2:20" hidden="1">
      <c r="B106" s="23"/>
      <c r="C106" s="23">
        <v>15322</v>
      </c>
      <c r="D106" s="24">
        <v>7591112061230</v>
      </c>
      <c r="E106" s="503" t="s">
        <v>2181</v>
      </c>
      <c r="F106" s="23"/>
      <c r="G106" s="23">
        <v>48</v>
      </c>
      <c r="H106" s="23">
        <v>50.98</v>
      </c>
      <c r="I106" s="23">
        <v>59.14</v>
      </c>
      <c r="J106" s="375">
        <v>1.06</v>
      </c>
      <c r="K106" s="23">
        <v>1.23</v>
      </c>
      <c r="L106" s="23"/>
      <c r="M106" s="23">
        <v>1.52</v>
      </c>
      <c r="N106" s="23">
        <v>1.76</v>
      </c>
      <c r="O106" s="23">
        <v>0.3</v>
      </c>
      <c r="P106" s="23">
        <v>0</v>
      </c>
      <c r="Q106" s="23">
        <v>0</v>
      </c>
      <c r="R106" s="507">
        <f t="shared" si="4"/>
        <v>0</v>
      </c>
      <c r="S106" s="497"/>
      <c r="T106" s="497">
        <f t="shared" si="5"/>
        <v>0</v>
      </c>
    </row>
    <row r="107" spans="2:20" hidden="1">
      <c r="B107" s="23"/>
      <c r="C107" s="23">
        <v>15326</v>
      </c>
      <c r="D107" s="24">
        <v>7591112061315</v>
      </c>
      <c r="E107" s="503" t="s">
        <v>2182</v>
      </c>
      <c r="F107" s="23"/>
      <c r="G107" s="23">
        <v>48</v>
      </c>
      <c r="H107" s="23">
        <v>50.98</v>
      </c>
      <c r="I107" s="23">
        <v>59.14</v>
      </c>
      <c r="J107" s="375">
        <v>1.06</v>
      </c>
      <c r="K107" s="23">
        <v>1.23</v>
      </c>
      <c r="L107" s="23"/>
      <c r="M107" s="23">
        <v>1.52</v>
      </c>
      <c r="N107" s="23">
        <v>1.76</v>
      </c>
      <c r="O107" s="23">
        <v>0.3</v>
      </c>
      <c r="P107" s="23">
        <v>0</v>
      </c>
      <c r="Q107" s="23">
        <v>0</v>
      </c>
      <c r="R107" s="507">
        <f t="shared" si="4"/>
        <v>0</v>
      </c>
      <c r="S107" s="497"/>
      <c r="T107" s="497">
        <f t="shared" si="5"/>
        <v>0</v>
      </c>
    </row>
    <row r="108" spans="2:20" hidden="1">
      <c r="B108" s="23"/>
      <c r="C108" s="23">
        <v>15324</v>
      </c>
      <c r="D108" s="24">
        <v>7591112061278</v>
      </c>
      <c r="E108" s="503" t="s">
        <v>2183</v>
      </c>
      <c r="F108" s="23"/>
      <c r="G108" s="23">
        <v>48</v>
      </c>
      <c r="H108" s="23">
        <v>50.98</v>
      </c>
      <c r="I108" s="23">
        <v>59.14</v>
      </c>
      <c r="J108" s="375">
        <v>1.06</v>
      </c>
      <c r="K108" s="23">
        <v>1.23</v>
      </c>
      <c r="L108" s="23"/>
      <c r="M108" s="23">
        <v>1.52</v>
      </c>
      <c r="N108" s="23">
        <v>1.76</v>
      </c>
      <c r="O108" s="23">
        <v>0.3</v>
      </c>
      <c r="P108" s="23">
        <v>0</v>
      </c>
      <c r="Q108" s="23">
        <v>0</v>
      </c>
      <c r="R108" s="507">
        <f t="shared" si="4"/>
        <v>0</v>
      </c>
      <c r="S108" s="497"/>
      <c r="T108" s="497">
        <f t="shared" si="5"/>
        <v>0</v>
      </c>
    </row>
    <row r="109" spans="2:20" hidden="1">
      <c r="B109" s="23"/>
      <c r="C109" s="23">
        <v>15330</v>
      </c>
      <c r="D109" s="24">
        <v>7591112061438</v>
      </c>
      <c r="E109" s="503" t="s">
        <v>2184</v>
      </c>
      <c r="F109" s="23"/>
      <c r="G109" s="23">
        <v>48</v>
      </c>
      <c r="H109" s="23">
        <v>50.98</v>
      </c>
      <c r="I109" s="23">
        <v>59.14</v>
      </c>
      <c r="J109" s="375">
        <v>1.06</v>
      </c>
      <c r="K109" s="23">
        <v>1.23</v>
      </c>
      <c r="L109" s="23"/>
      <c r="M109" s="23">
        <v>1.52</v>
      </c>
      <c r="N109" s="23">
        <v>1.76</v>
      </c>
      <c r="O109" s="23">
        <v>0.3</v>
      </c>
      <c r="P109" s="23">
        <v>0</v>
      </c>
      <c r="Q109" s="23">
        <v>0</v>
      </c>
      <c r="R109" s="507">
        <f t="shared" si="4"/>
        <v>0</v>
      </c>
      <c r="S109" s="497"/>
      <c r="T109" s="497">
        <f t="shared" si="5"/>
        <v>0</v>
      </c>
    </row>
    <row r="110" spans="2:20" hidden="1">
      <c r="B110" s="23"/>
      <c r="C110" s="23">
        <v>15338</v>
      </c>
      <c r="D110" s="24">
        <v>7591112061827</v>
      </c>
      <c r="E110" s="503" t="s">
        <v>2185</v>
      </c>
      <c r="F110" s="23"/>
      <c r="G110" s="23">
        <v>48</v>
      </c>
      <c r="H110" s="23">
        <v>52.72</v>
      </c>
      <c r="I110" s="23">
        <v>61.15</v>
      </c>
      <c r="J110" s="375">
        <v>1.1000000000000001</v>
      </c>
      <c r="K110" s="23">
        <v>1.27</v>
      </c>
      <c r="L110" s="23"/>
      <c r="M110" s="23">
        <v>1.57</v>
      </c>
      <c r="N110" s="23">
        <v>1.82</v>
      </c>
      <c r="O110" s="23">
        <v>0.3</v>
      </c>
      <c r="P110" s="23">
        <v>0</v>
      </c>
      <c r="Q110" s="23">
        <v>0</v>
      </c>
      <c r="R110" s="507">
        <f t="shared" si="4"/>
        <v>0</v>
      </c>
      <c r="S110" s="497"/>
      <c r="T110" s="497">
        <f t="shared" si="5"/>
        <v>0</v>
      </c>
    </row>
    <row r="111" spans="2:20" hidden="1">
      <c r="B111" s="23"/>
      <c r="C111" s="23">
        <v>15348</v>
      </c>
      <c r="D111" s="24">
        <v>7591112062183</v>
      </c>
      <c r="E111" s="503" t="s">
        <v>2186</v>
      </c>
      <c r="F111" s="23"/>
      <c r="G111" s="23">
        <v>48</v>
      </c>
      <c r="H111" s="23">
        <v>26.07</v>
      </c>
      <c r="I111" s="23">
        <v>30.24</v>
      </c>
      <c r="J111" s="375">
        <v>0.54</v>
      </c>
      <c r="K111" s="23">
        <v>0.63</v>
      </c>
      <c r="L111" s="23"/>
      <c r="M111" s="23">
        <v>0.78</v>
      </c>
      <c r="N111" s="23">
        <v>0.9</v>
      </c>
      <c r="O111" s="23">
        <v>0.3</v>
      </c>
      <c r="P111" s="23">
        <v>0</v>
      </c>
      <c r="Q111" s="23">
        <v>0</v>
      </c>
      <c r="R111" s="507">
        <f t="shared" si="4"/>
        <v>0</v>
      </c>
      <c r="S111" s="497"/>
      <c r="T111" s="497">
        <f t="shared" si="5"/>
        <v>0</v>
      </c>
    </row>
    <row r="112" spans="2:20" hidden="1">
      <c r="B112" s="23"/>
      <c r="C112" s="23">
        <v>15352</v>
      </c>
      <c r="D112" s="24">
        <v>7591112062213</v>
      </c>
      <c r="E112" s="503" t="s">
        <v>2187</v>
      </c>
      <c r="F112" s="23"/>
      <c r="G112" s="23">
        <v>48</v>
      </c>
      <c r="H112" s="23">
        <v>26.07</v>
      </c>
      <c r="I112" s="23">
        <v>30.24</v>
      </c>
      <c r="J112" s="375">
        <v>0.54</v>
      </c>
      <c r="K112" s="23">
        <v>0.63</v>
      </c>
      <c r="L112" s="23"/>
      <c r="M112" s="23">
        <v>0.78</v>
      </c>
      <c r="N112" s="23">
        <v>0.9</v>
      </c>
      <c r="O112" s="23">
        <v>0.3</v>
      </c>
      <c r="P112" s="23">
        <v>0</v>
      </c>
      <c r="Q112" s="23">
        <v>0</v>
      </c>
      <c r="R112" s="507">
        <f t="shared" si="4"/>
        <v>0</v>
      </c>
      <c r="S112" s="497"/>
      <c r="T112" s="497">
        <f t="shared" si="5"/>
        <v>0</v>
      </c>
    </row>
    <row r="113" spans="2:21" hidden="1">
      <c r="B113" s="23"/>
      <c r="C113" s="23">
        <v>15350</v>
      </c>
      <c r="D113" s="24">
        <v>7591112062206</v>
      </c>
      <c r="E113" s="503" t="s">
        <v>2188</v>
      </c>
      <c r="F113" s="23"/>
      <c r="G113" s="23">
        <v>48</v>
      </c>
      <c r="H113" s="23">
        <v>26.07</v>
      </c>
      <c r="I113" s="23">
        <v>30.24</v>
      </c>
      <c r="J113" s="375">
        <v>0.54</v>
      </c>
      <c r="K113" s="23">
        <v>0.63</v>
      </c>
      <c r="L113" s="23"/>
      <c r="M113" s="23">
        <v>0.78</v>
      </c>
      <c r="N113" s="23">
        <v>0.9</v>
      </c>
      <c r="O113" s="23">
        <v>0.3</v>
      </c>
      <c r="P113" s="23">
        <v>0</v>
      </c>
      <c r="Q113" s="23">
        <v>0</v>
      </c>
      <c r="R113" s="507">
        <f t="shared" si="4"/>
        <v>0</v>
      </c>
      <c r="S113" s="497"/>
      <c r="T113" s="497">
        <f t="shared" si="5"/>
        <v>0</v>
      </c>
    </row>
    <row r="114" spans="2:21" hidden="1">
      <c r="B114" s="23" t="s">
        <v>2189</v>
      </c>
      <c r="C114" s="23">
        <v>15353</v>
      </c>
      <c r="D114" s="24">
        <v>7591112063081</v>
      </c>
      <c r="E114" s="503" t="s">
        <v>2190</v>
      </c>
      <c r="F114" s="23"/>
      <c r="G114" s="23">
        <v>48</v>
      </c>
      <c r="H114" s="23">
        <v>30.12</v>
      </c>
      <c r="I114" s="23">
        <v>34.94</v>
      </c>
      <c r="J114" s="375">
        <v>0.63</v>
      </c>
      <c r="K114" s="23">
        <v>0.73</v>
      </c>
      <c r="L114" s="23"/>
      <c r="M114" s="23">
        <v>0.9</v>
      </c>
      <c r="N114" s="23">
        <v>1.04</v>
      </c>
      <c r="O114" s="23">
        <v>0.3</v>
      </c>
      <c r="P114" s="23">
        <v>0</v>
      </c>
      <c r="Q114" s="23">
        <v>0</v>
      </c>
      <c r="R114" s="507">
        <f t="shared" si="4"/>
        <v>0</v>
      </c>
      <c r="S114" s="497"/>
      <c r="T114" s="497">
        <f t="shared" si="5"/>
        <v>0</v>
      </c>
    </row>
    <row r="115" spans="2:21" hidden="1">
      <c r="B115" s="23"/>
      <c r="C115" s="23">
        <v>15355</v>
      </c>
      <c r="D115" s="24">
        <v>7591112063098</v>
      </c>
      <c r="E115" s="503" t="s">
        <v>2191</v>
      </c>
      <c r="F115" s="23"/>
      <c r="G115" s="23">
        <v>48</v>
      </c>
      <c r="H115" s="23">
        <v>50.98</v>
      </c>
      <c r="I115" s="23">
        <v>59.14</v>
      </c>
      <c r="J115" s="508">
        <v>1.06</v>
      </c>
      <c r="K115" s="508">
        <v>1.23</v>
      </c>
      <c r="L115" s="508"/>
      <c r="M115" s="508">
        <v>1.52</v>
      </c>
      <c r="N115" s="508">
        <v>1.76</v>
      </c>
      <c r="O115" s="508">
        <v>0.3</v>
      </c>
      <c r="P115" s="508">
        <v>0</v>
      </c>
      <c r="Q115" s="508">
        <v>0.86</v>
      </c>
      <c r="R115" s="507">
        <f t="shared" si="4"/>
        <v>0.81132075471698106</v>
      </c>
      <c r="S115" s="497"/>
      <c r="T115" s="497">
        <f t="shared" si="5"/>
        <v>0</v>
      </c>
    </row>
    <row r="116" spans="2:21" hidden="1">
      <c r="B116" s="23"/>
      <c r="C116" s="23"/>
      <c r="D116" s="24"/>
      <c r="E116" s="339"/>
      <c r="F116" s="23"/>
      <c r="G116" s="23"/>
      <c r="H116" s="23"/>
      <c r="I116" s="23"/>
      <c r="J116" s="375"/>
      <c r="K116" s="23"/>
      <c r="L116" s="23"/>
      <c r="M116" s="23"/>
      <c r="N116" s="23"/>
      <c r="O116" s="23"/>
      <c r="P116" s="23"/>
      <c r="Q116" s="23"/>
      <c r="R116" s="506"/>
      <c r="S116" s="497"/>
      <c r="T116" s="497">
        <f>SUM(T10:T84)</f>
        <v>1674.7499999999998</v>
      </c>
    </row>
    <row r="117" spans="2:21">
      <c r="T117" s="496">
        <f>T10+T12+T22+T28+T31+T35+T38+T42+T49+T52+T78+T84</f>
        <v>1674.7499999999998</v>
      </c>
    </row>
    <row r="118" spans="2:21" hidden="1">
      <c r="S118" s="16" t="s">
        <v>1662</v>
      </c>
      <c r="T118" s="546">
        <v>4.18</v>
      </c>
    </row>
    <row r="119" spans="2:21" hidden="1">
      <c r="T119" s="547">
        <f>T117*T118</f>
        <v>7000.454999999999</v>
      </c>
      <c r="U119" s="115" t="s">
        <v>2278</v>
      </c>
    </row>
    <row r="120" spans="2:21">
      <c r="S120" s="496" t="s">
        <v>1662</v>
      </c>
      <c r="T120" s="496">
        <v>4.17</v>
      </c>
    </row>
    <row r="121" spans="2:21">
      <c r="T121" s="499">
        <f>T117*T120</f>
        <v>6983.7074999999986</v>
      </c>
    </row>
  </sheetData>
  <mergeCells count="1">
    <mergeCell ref="B7:G7"/>
  </mergeCells>
  <pageMargins left="0" right="0" top="0" bottom="0" header="0" footer="0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N34"/>
  <sheetViews>
    <sheetView workbookViewId="0">
      <selection activeCell="B15" sqref="B15"/>
    </sheetView>
  </sheetViews>
  <sheetFormatPr baseColWidth="10" defaultRowHeight="15"/>
  <cols>
    <col min="1" max="1" width="11.42578125" style="72"/>
    <col min="2" max="2" width="39.42578125" customWidth="1"/>
    <col min="3" max="3" width="12.28515625" customWidth="1"/>
    <col min="6" max="6" width="12.42578125" customWidth="1"/>
    <col min="10" max="10" width="17.28515625" bestFit="1" customWidth="1"/>
    <col min="11" max="11" width="11.5703125" bestFit="1" customWidth="1"/>
  </cols>
  <sheetData>
    <row r="2" spans="1:14" ht="57.75" customHeight="1"/>
    <row r="3" spans="1:14" ht="39">
      <c r="A3" s="2" t="s">
        <v>745</v>
      </c>
      <c r="B3" s="74" t="s">
        <v>1593</v>
      </c>
      <c r="C3" s="75" t="s">
        <v>719</v>
      </c>
      <c r="D3" s="75" t="s">
        <v>720</v>
      </c>
      <c r="E3" s="75" t="s">
        <v>721</v>
      </c>
      <c r="F3" s="75" t="s">
        <v>722</v>
      </c>
      <c r="G3" s="75" t="s">
        <v>723</v>
      </c>
      <c r="H3" s="75" t="s">
        <v>724</v>
      </c>
      <c r="I3" s="75" t="s">
        <v>725</v>
      </c>
      <c r="J3" s="75" t="s">
        <v>726</v>
      </c>
    </row>
    <row r="4" spans="1:14">
      <c r="A4" s="72">
        <v>1531</v>
      </c>
      <c r="B4" s="76" t="s">
        <v>727</v>
      </c>
      <c r="C4" s="77">
        <v>31</v>
      </c>
      <c r="D4" s="77">
        <v>9</v>
      </c>
      <c r="E4" s="77">
        <v>65</v>
      </c>
      <c r="F4" s="77">
        <v>32</v>
      </c>
      <c r="G4" s="77">
        <v>8</v>
      </c>
      <c r="H4" s="77">
        <v>6</v>
      </c>
      <c r="I4" s="77">
        <v>13</v>
      </c>
      <c r="J4" s="77">
        <v>19</v>
      </c>
      <c r="K4" s="78"/>
    </row>
    <row r="5" spans="1:14">
      <c r="A5" s="72">
        <v>909</v>
      </c>
      <c r="B5" s="79" t="s">
        <v>728</v>
      </c>
      <c r="C5" s="77">
        <v>3</v>
      </c>
      <c r="D5" s="77">
        <v>7</v>
      </c>
      <c r="E5" s="77">
        <v>26</v>
      </c>
      <c r="F5" s="77">
        <v>27</v>
      </c>
      <c r="G5" s="77">
        <v>1</v>
      </c>
      <c r="H5" s="77">
        <v>3</v>
      </c>
      <c r="I5" s="77">
        <v>5</v>
      </c>
      <c r="J5" s="77">
        <v>14</v>
      </c>
      <c r="K5" s="78"/>
      <c r="N5" s="77"/>
    </row>
    <row r="6" spans="1:14">
      <c r="A6" s="72">
        <v>913</v>
      </c>
      <c r="B6" s="80" t="s">
        <v>729</v>
      </c>
      <c r="C6" s="81">
        <v>237</v>
      </c>
      <c r="D6" s="81">
        <v>47</v>
      </c>
      <c r="E6" s="81">
        <v>139</v>
      </c>
      <c r="F6" s="81">
        <v>83</v>
      </c>
      <c r="G6" s="81">
        <v>34</v>
      </c>
      <c r="H6" s="81">
        <v>25</v>
      </c>
      <c r="I6" s="81">
        <v>59</v>
      </c>
      <c r="J6" s="81">
        <v>42</v>
      </c>
      <c r="K6" s="78"/>
      <c r="N6" s="77"/>
    </row>
    <row r="7" spans="1:14">
      <c r="A7" s="72">
        <v>916</v>
      </c>
      <c r="B7" s="80" t="s">
        <v>730</v>
      </c>
      <c r="C7" s="81">
        <v>2</v>
      </c>
      <c r="D7" s="81">
        <v>0</v>
      </c>
      <c r="E7" s="81">
        <v>5</v>
      </c>
      <c r="F7" s="81">
        <v>4</v>
      </c>
      <c r="G7" s="81">
        <v>0</v>
      </c>
      <c r="H7" s="81">
        <v>0</v>
      </c>
      <c r="I7" s="81">
        <v>1</v>
      </c>
      <c r="J7" s="81">
        <v>0</v>
      </c>
      <c r="K7" s="82" t="s">
        <v>731</v>
      </c>
      <c r="N7" s="81"/>
    </row>
    <row r="8" spans="1:14">
      <c r="B8" s="83"/>
      <c r="C8" s="81">
        <f t="shared" ref="C8:J8" si="0">SUM(C4:C7)</f>
        <v>273</v>
      </c>
      <c r="D8" s="81">
        <f t="shared" si="0"/>
        <v>63</v>
      </c>
      <c r="E8" s="81">
        <f t="shared" si="0"/>
        <v>235</v>
      </c>
      <c r="F8" s="81">
        <f t="shared" si="0"/>
        <v>146</v>
      </c>
      <c r="G8" s="81">
        <f t="shared" si="0"/>
        <v>43</v>
      </c>
      <c r="H8" s="81">
        <f t="shared" si="0"/>
        <v>34</v>
      </c>
      <c r="I8" s="81">
        <f t="shared" si="0"/>
        <v>78</v>
      </c>
      <c r="J8" s="81">
        <f t="shared" si="0"/>
        <v>75</v>
      </c>
      <c r="K8" s="84">
        <f>SUM(C8:J8)</f>
        <v>947</v>
      </c>
      <c r="N8" s="81"/>
    </row>
    <row r="9" spans="1:14" ht="30">
      <c r="C9" s="85"/>
      <c r="D9" s="85"/>
      <c r="E9" s="85"/>
      <c r="F9" s="85"/>
      <c r="G9" s="85"/>
      <c r="H9" s="85"/>
      <c r="I9" s="85"/>
      <c r="J9" s="86"/>
      <c r="K9" s="87" t="s">
        <v>732</v>
      </c>
      <c r="L9" s="88">
        <f>K8/6</f>
        <v>157.83333333333334</v>
      </c>
    </row>
    <row r="10" spans="1:14">
      <c r="C10" s="72"/>
      <c r="D10" s="72"/>
      <c r="E10" s="72"/>
      <c r="F10" s="72"/>
      <c r="G10" s="72"/>
      <c r="H10" s="72"/>
      <c r="I10" s="72"/>
      <c r="J10" s="72"/>
      <c r="K10" s="72"/>
    </row>
    <row r="11" spans="1:14">
      <c r="C11" s="72"/>
      <c r="D11" s="72"/>
      <c r="E11" s="72"/>
      <c r="F11" s="72"/>
      <c r="G11" s="72"/>
      <c r="H11" s="72"/>
      <c r="I11" s="72"/>
      <c r="J11" s="72"/>
      <c r="K11" s="72"/>
    </row>
    <row r="12" spans="1:14">
      <c r="B12" s="78" t="s">
        <v>72</v>
      </c>
      <c r="C12" s="78"/>
      <c r="D12" s="78"/>
      <c r="E12" s="78"/>
      <c r="F12" s="78"/>
      <c r="G12" s="78"/>
      <c r="H12" s="78"/>
      <c r="I12" s="78"/>
    </row>
    <row r="13" spans="1:14">
      <c r="B13" s="89" t="s">
        <v>733</v>
      </c>
      <c r="C13" s="937" t="s">
        <v>72</v>
      </c>
      <c r="D13" s="891"/>
      <c r="F13" s="940" t="s">
        <v>744</v>
      </c>
      <c r="G13" s="940"/>
      <c r="H13" s="940"/>
      <c r="I13" s="940"/>
    </row>
    <row r="14" spans="1:14" ht="15.75" thickBot="1">
      <c r="B14" s="6">
        <v>8.34</v>
      </c>
      <c r="C14" s="930" t="s">
        <v>636</v>
      </c>
      <c r="D14" s="930"/>
      <c r="F14" s="939" t="s">
        <v>1594</v>
      </c>
      <c r="G14" s="939"/>
      <c r="H14" s="939"/>
      <c r="I14" s="939"/>
      <c r="J14" t="s">
        <v>72</v>
      </c>
    </row>
    <row r="15" spans="1:14" ht="15.75" thickBot="1">
      <c r="B15" s="6">
        <f>B14*5%</f>
        <v>0.41700000000000004</v>
      </c>
      <c r="C15" s="930" t="s">
        <v>734</v>
      </c>
      <c r="D15" s="930"/>
      <c r="E15" s="78"/>
      <c r="F15" s="941" t="s">
        <v>736</v>
      </c>
      <c r="G15" s="942"/>
      <c r="H15" s="943" t="s">
        <v>737</v>
      </c>
      <c r="I15" s="944"/>
    </row>
    <row r="16" spans="1:14" ht="15.75" thickBot="1">
      <c r="B16" s="6">
        <f>B14-B15</f>
        <v>7.923</v>
      </c>
      <c r="C16" s="930" t="s">
        <v>636</v>
      </c>
      <c r="D16" s="930"/>
      <c r="E16" s="78"/>
      <c r="F16" s="945">
        <f>B17*5%</f>
        <v>6.6025E-2</v>
      </c>
      <c r="G16" s="946"/>
      <c r="H16" s="947">
        <f>K8</f>
        <v>947</v>
      </c>
      <c r="I16" s="948"/>
    </row>
    <row r="17" spans="2:12" ht="15.75" thickBot="1">
      <c r="B17" s="6">
        <f>B16/6</f>
        <v>1.3205</v>
      </c>
      <c r="C17" s="950" t="s">
        <v>735</v>
      </c>
      <c r="D17" s="950"/>
      <c r="E17" s="78"/>
      <c r="F17" s="78"/>
      <c r="G17" s="91"/>
      <c r="H17" s="91"/>
      <c r="I17" s="78"/>
    </row>
    <row r="18" spans="2:12" ht="15.75" thickBot="1">
      <c r="B18" s="6">
        <f>B17*24.4%</f>
        <v>0.32220199999999999</v>
      </c>
      <c r="C18" s="930" t="s">
        <v>738</v>
      </c>
      <c r="D18" s="930"/>
      <c r="E18" s="931" t="s">
        <v>740</v>
      </c>
      <c r="F18" s="932"/>
      <c r="G18" s="932"/>
      <c r="H18" s="932"/>
      <c r="I18" s="933"/>
    </row>
    <row r="19" spans="2:12" ht="15.75" thickBot="1">
      <c r="B19" s="6">
        <f>B17+B18</f>
        <v>1.6427019999999999</v>
      </c>
      <c r="C19" s="930" t="s">
        <v>739</v>
      </c>
      <c r="D19" s="930"/>
      <c r="E19" s="934">
        <f>F16*H16</f>
        <v>62.525675</v>
      </c>
      <c r="F19" s="935"/>
      <c r="G19" s="936"/>
      <c r="H19" s="92" t="s">
        <v>742</v>
      </c>
      <c r="I19" s="78"/>
    </row>
    <row r="20" spans="2:12">
      <c r="B20" s="6">
        <f>B19*16%</f>
        <v>0.26283232000000001</v>
      </c>
      <c r="C20" s="930" t="s">
        <v>68</v>
      </c>
      <c r="D20" s="930"/>
      <c r="E20" s="78"/>
      <c r="F20" s="78"/>
      <c r="G20" s="78"/>
      <c r="H20" s="78"/>
      <c r="I20" s="78"/>
    </row>
    <row r="21" spans="2:12">
      <c r="B21" s="6">
        <f>B19+B20</f>
        <v>1.9055343199999999</v>
      </c>
      <c r="C21" s="930" t="s">
        <v>741</v>
      </c>
      <c r="D21" s="930"/>
      <c r="I21" s="90"/>
    </row>
    <row r="22" spans="2:12">
      <c r="B22" s="5" t="s">
        <v>72</v>
      </c>
      <c r="C22" s="930" t="s">
        <v>72</v>
      </c>
      <c r="D22" s="930"/>
    </row>
    <row r="23" spans="2:12">
      <c r="B23" s="72"/>
    </row>
    <row r="24" spans="2:12">
      <c r="B24" s="72"/>
    </row>
    <row r="25" spans="2:12">
      <c r="B25" s="72"/>
      <c r="E25" s="949">
        <f>E19*4057528.65</f>
        <v>253699717.67308873</v>
      </c>
      <c r="F25" s="949"/>
      <c r="G25" s="949"/>
      <c r="H25" s="93" t="s">
        <v>743</v>
      </c>
      <c r="J25" s="107">
        <v>235860000</v>
      </c>
      <c r="K25" s="567">
        <f>J25/4057528.65</f>
        <v>58.128979569866992</v>
      </c>
    </row>
    <row r="26" spans="2:12">
      <c r="D26" s="96" t="s">
        <v>68</v>
      </c>
      <c r="E26" s="937">
        <f>E25*16%</f>
        <v>40591954.8276942</v>
      </c>
      <c r="F26" s="937"/>
      <c r="G26" s="937"/>
      <c r="J26" s="107"/>
      <c r="K26" s="107"/>
    </row>
    <row r="27" spans="2:12">
      <c r="E27" s="938">
        <f>E25+E26</f>
        <v>294291672.50078291</v>
      </c>
      <c r="F27" s="938"/>
      <c r="G27" s="938"/>
      <c r="J27" s="107"/>
      <c r="K27" s="107">
        <f>K25-E19</f>
        <v>-4.3966954301330077</v>
      </c>
      <c r="L27" t="s">
        <v>283</v>
      </c>
    </row>
    <row r="29" spans="2:12">
      <c r="J29" s="107">
        <v>244580000</v>
      </c>
      <c r="K29" s="569">
        <f>J29/4057528.65</f>
        <v>60.278070987865981</v>
      </c>
      <c r="L29" s="108"/>
    </row>
    <row r="30" spans="2:12">
      <c r="J30" s="107"/>
      <c r="K30" s="107">
        <f>K29-62.97</f>
        <v>-2.6919290121340183</v>
      </c>
      <c r="L30" s="108"/>
    </row>
    <row r="31" spans="2:12">
      <c r="J31" s="107"/>
      <c r="K31" s="108"/>
      <c r="L31" s="108"/>
    </row>
    <row r="32" spans="2:12">
      <c r="J32" s="107"/>
      <c r="K32" s="108"/>
      <c r="L32" s="108"/>
    </row>
    <row r="33" spans="10:12">
      <c r="J33" s="107"/>
      <c r="K33" s="108"/>
      <c r="L33" s="108"/>
    </row>
    <row r="34" spans="10:12">
      <c r="J34" s="107"/>
      <c r="K34" s="107"/>
      <c r="L34" s="107"/>
    </row>
  </sheetData>
  <mergeCells count="21">
    <mergeCell ref="E26:G26"/>
    <mergeCell ref="E27:G27"/>
    <mergeCell ref="C14:D14"/>
    <mergeCell ref="F14:I14"/>
    <mergeCell ref="C13:D13"/>
    <mergeCell ref="F13:I13"/>
    <mergeCell ref="C15:D15"/>
    <mergeCell ref="F15:G15"/>
    <mergeCell ref="H15:I15"/>
    <mergeCell ref="C16:D16"/>
    <mergeCell ref="F16:G16"/>
    <mergeCell ref="H16:I16"/>
    <mergeCell ref="C21:D21"/>
    <mergeCell ref="C22:D22"/>
    <mergeCell ref="E25:G25"/>
    <mergeCell ref="C17:D17"/>
    <mergeCell ref="C18:D18"/>
    <mergeCell ref="E18:I18"/>
    <mergeCell ref="C19:D19"/>
    <mergeCell ref="E19:G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2"/>
  <sheetViews>
    <sheetView workbookViewId="0">
      <selection activeCell="B19" sqref="B1:I1048576"/>
    </sheetView>
  </sheetViews>
  <sheetFormatPr baseColWidth="10" defaultRowHeight="15"/>
  <cols>
    <col min="4" max="5" width="11.42578125" customWidth="1"/>
    <col min="6" max="6" width="38.28515625" customWidth="1"/>
    <col min="8" max="9" width="6.5703125" customWidth="1"/>
    <col min="11" max="11" width="7.140625" customWidth="1"/>
    <col min="12" max="12" width="6.7109375" customWidth="1"/>
    <col min="14" max="14" width="6.42578125" customWidth="1"/>
    <col min="15" max="15" width="6" customWidth="1"/>
  </cols>
  <sheetData>
    <row r="2" spans="2:6">
      <c r="D2" t="s">
        <v>2022</v>
      </c>
    </row>
    <row r="5" spans="2:6">
      <c r="B5" s="495" t="s">
        <v>308</v>
      </c>
      <c r="C5" s="495" t="s">
        <v>0</v>
      </c>
      <c r="D5" s="495" t="s">
        <v>159</v>
      </c>
      <c r="E5" s="495" t="s">
        <v>620</v>
      </c>
      <c r="F5" s="495" t="s">
        <v>1</v>
      </c>
    </row>
    <row r="6" spans="2:6">
      <c r="B6" s="495" t="s">
        <v>2023</v>
      </c>
      <c r="C6" s="495">
        <v>10564</v>
      </c>
      <c r="D6" s="495">
        <v>30</v>
      </c>
      <c r="E6" s="495">
        <v>0.75</v>
      </c>
      <c r="F6" s="495" t="s">
        <v>2024</v>
      </c>
    </row>
    <row r="7" spans="2:6">
      <c r="B7" s="495" t="s">
        <v>2023</v>
      </c>
      <c r="C7" s="495">
        <v>10565</v>
      </c>
      <c r="D7" s="495">
        <v>25</v>
      </c>
      <c r="E7" s="495">
        <v>0.72</v>
      </c>
      <c r="F7" s="495" t="s">
        <v>2025</v>
      </c>
    </row>
    <row r="8" spans="2:6">
      <c r="B8" s="495" t="s">
        <v>2023</v>
      </c>
      <c r="C8" s="495">
        <v>10566</v>
      </c>
      <c r="D8" s="495">
        <v>25</v>
      </c>
      <c r="E8" s="495">
        <v>0.6</v>
      </c>
      <c r="F8" s="495" t="s">
        <v>2026</v>
      </c>
    </row>
    <row r="9" spans="2:6">
      <c r="B9" s="495" t="s">
        <v>2023</v>
      </c>
      <c r="C9" s="495">
        <v>10567</v>
      </c>
      <c r="D9" s="495">
        <v>30</v>
      </c>
      <c r="E9" s="495">
        <v>0.65</v>
      </c>
      <c r="F9" s="495" t="s">
        <v>2027</v>
      </c>
    </row>
    <row r="10" spans="2:6">
      <c r="B10" s="495" t="s">
        <v>2023</v>
      </c>
      <c r="C10" s="495">
        <v>10568</v>
      </c>
      <c r="D10" s="495">
        <v>20</v>
      </c>
      <c r="E10" s="495">
        <v>0.82</v>
      </c>
      <c r="F10" s="495" t="s">
        <v>2028</v>
      </c>
    </row>
    <row r="11" spans="2:6" s="494" customFormat="1">
      <c r="B11" s="495"/>
      <c r="C11" s="495"/>
      <c r="D11" s="495"/>
      <c r="E11" s="495"/>
      <c r="F11" s="495"/>
    </row>
    <row r="12" spans="2:6">
      <c r="B12" s="495" t="s">
        <v>2029</v>
      </c>
      <c r="C12" s="495">
        <v>10565</v>
      </c>
      <c r="D12" s="495">
        <v>25</v>
      </c>
      <c r="E12" s="495">
        <v>216000</v>
      </c>
      <c r="F12" s="495" t="s">
        <v>2025</v>
      </c>
    </row>
    <row r="13" spans="2:6">
      <c r="B13" s="495" t="s">
        <v>2029</v>
      </c>
      <c r="C13" s="495">
        <v>10566</v>
      </c>
      <c r="D13" s="495">
        <v>25</v>
      </c>
      <c r="E13" s="495">
        <v>180000</v>
      </c>
      <c r="F13" s="495" t="s">
        <v>2026</v>
      </c>
    </row>
    <row r="14" spans="2:6">
      <c r="B14" s="495" t="s">
        <v>2029</v>
      </c>
      <c r="C14" s="495">
        <v>10568</v>
      </c>
      <c r="D14" s="495">
        <v>20</v>
      </c>
      <c r="E14" s="495">
        <v>247500</v>
      </c>
      <c r="F14" s="495" t="s">
        <v>2028</v>
      </c>
    </row>
    <row r="15" spans="2:6" s="494" customFormat="1">
      <c r="B15" s="495"/>
      <c r="C15" s="495"/>
      <c r="D15" s="495"/>
      <c r="E15" s="495"/>
      <c r="F15" s="495"/>
    </row>
    <row r="16" spans="2:6">
      <c r="B16" s="495" t="s">
        <v>2030</v>
      </c>
      <c r="C16" s="495">
        <v>10567</v>
      </c>
      <c r="D16" s="495">
        <v>60</v>
      </c>
      <c r="E16" s="495">
        <v>227500</v>
      </c>
      <c r="F16" s="495" t="s">
        <v>2027</v>
      </c>
    </row>
    <row r="17" spans="2:6" s="494" customFormat="1">
      <c r="B17" s="495"/>
      <c r="C17" s="495"/>
      <c r="D17" s="495"/>
      <c r="E17" s="495"/>
      <c r="F17" s="495"/>
    </row>
    <row r="18" spans="2:6">
      <c r="B18" s="495" t="s">
        <v>2031</v>
      </c>
      <c r="C18" s="495">
        <v>10565</v>
      </c>
      <c r="D18" s="495">
        <v>25</v>
      </c>
      <c r="E18" s="495">
        <v>0.86</v>
      </c>
      <c r="F18" s="495" t="s">
        <v>2025</v>
      </c>
    </row>
    <row r="19" spans="2:6">
      <c r="B19" s="495" t="s">
        <v>2031</v>
      </c>
      <c r="C19" s="495">
        <v>10566</v>
      </c>
      <c r="D19" s="495">
        <v>25</v>
      </c>
      <c r="E19" s="495">
        <v>0.72</v>
      </c>
      <c r="F19" s="495" t="s">
        <v>2026</v>
      </c>
    </row>
    <row r="20" spans="2:6">
      <c r="B20" s="495" t="s">
        <v>2031</v>
      </c>
      <c r="C20" s="495">
        <v>10567</v>
      </c>
      <c r="D20" s="495">
        <v>30</v>
      </c>
      <c r="E20" s="495">
        <v>0.78</v>
      </c>
      <c r="F20" s="495" t="s">
        <v>2027</v>
      </c>
    </row>
    <row r="21" spans="2:6">
      <c r="B21" s="495" t="s">
        <v>2031</v>
      </c>
      <c r="C21" s="495">
        <v>10568</v>
      </c>
      <c r="D21" s="495">
        <v>20</v>
      </c>
      <c r="E21" s="495">
        <v>0.99</v>
      </c>
      <c r="F21" s="495" t="s">
        <v>2028</v>
      </c>
    </row>
    <row r="22" spans="2:6">
      <c r="B22" s="495" t="s">
        <v>2031</v>
      </c>
      <c r="C22" s="495">
        <v>12902</v>
      </c>
      <c r="D22" s="495">
        <v>30</v>
      </c>
      <c r="E22" s="495">
        <v>0.9</v>
      </c>
      <c r="F22" s="495" t="s">
        <v>2032</v>
      </c>
    </row>
    <row r="23" spans="2:6" s="494" customFormat="1">
      <c r="B23" s="495"/>
      <c r="C23" s="495"/>
      <c r="D23" s="495"/>
      <c r="E23" s="495"/>
      <c r="F23" s="495"/>
    </row>
    <row r="24" spans="2:6">
      <c r="B24" s="495" t="s">
        <v>2033</v>
      </c>
      <c r="C24" s="495">
        <v>10565</v>
      </c>
      <c r="D24" s="495">
        <v>50</v>
      </c>
      <c r="E24" s="495">
        <v>0.78</v>
      </c>
      <c r="F24" s="495" t="s">
        <v>2025</v>
      </c>
    </row>
    <row r="25" spans="2:6">
      <c r="B25" s="495" t="s">
        <v>2033</v>
      </c>
      <c r="C25" s="495">
        <v>10566</v>
      </c>
      <c r="D25" s="495">
        <v>50</v>
      </c>
      <c r="E25" s="495">
        <v>0.64</v>
      </c>
      <c r="F25" s="495" t="s">
        <v>2026</v>
      </c>
    </row>
    <row r="26" spans="2:6">
      <c r="B26" s="495" t="s">
        <v>2033</v>
      </c>
      <c r="C26" s="495">
        <v>10567</v>
      </c>
      <c r="D26" s="495">
        <v>60</v>
      </c>
      <c r="E26" s="495">
        <v>0.7</v>
      </c>
      <c r="F26" s="495" t="s">
        <v>2027</v>
      </c>
    </row>
    <row r="27" spans="2:6">
      <c r="B27" s="495" t="s">
        <v>2033</v>
      </c>
      <c r="C27" s="495">
        <v>10568</v>
      </c>
      <c r="D27" s="495">
        <v>40</v>
      </c>
      <c r="E27" s="495">
        <v>0.9</v>
      </c>
      <c r="F27" s="495" t="s">
        <v>2028</v>
      </c>
    </row>
    <row r="28" spans="2:6">
      <c r="B28" s="495" t="s">
        <v>2033</v>
      </c>
      <c r="C28" s="495">
        <v>12902</v>
      </c>
      <c r="D28" s="495">
        <v>30</v>
      </c>
      <c r="E28" s="495">
        <v>1.5</v>
      </c>
      <c r="F28" s="495" t="s">
        <v>2032</v>
      </c>
    </row>
    <row r="29" spans="2:6" s="494" customFormat="1">
      <c r="B29" s="495"/>
      <c r="C29" s="495"/>
      <c r="D29" s="495"/>
      <c r="E29" s="495"/>
      <c r="F29" s="495"/>
    </row>
    <row r="30" spans="2:6">
      <c r="B30" s="495" t="s">
        <v>1990</v>
      </c>
      <c r="C30" s="495">
        <v>10566</v>
      </c>
      <c r="D30" s="495">
        <v>75</v>
      </c>
      <c r="E30" s="495">
        <v>1.45</v>
      </c>
      <c r="F30" s="495" t="s">
        <v>2026</v>
      </c>
    </row>
    <row r="31" spans="2:6">
      <c r="B31" s="495" t="s">
        <v>1990</v>
      </c>
      <c r="C31" s="495">
        <v>10568</v>
      </c>
      <c r="D31" s="495">
        <v>60</v>
      </c>
      <c r="E31" s="495">
        <v>1.97</v>
      </c>
      <c r="F31" s="495" t="s">
        <v>2028</v>
      </c>
    </row>
    <row r="32" spans="2:6">
      <c r="B32" s="495" t="s">
        <v>1990</v>
      </c>
      <c r="C32" s="495">
        <v>12902</v>
      </c>
      <c r="D32" s="495">
        <v>60</v>
      </c>
      <c r="E32" s="495">
        <v>1.64</v>
      </c>
      <c r="F32" s="495" t="s">
        <v>2032</v>
      </c>
    </row>
    <row r="37" spans="2:16" ht="75">
      <c r="C37" s="495" t="s">
        <v>0</v>
      </c>
      <c r="D37" s="495" t="s">
        <v>159</v>
      </c>
      <c r="E37" s="495" t="s">
        <v>620</v>
      </c>
      <c r="F37" s="495" t="s">
        <v>1</v>
      </c>
      <c r="G37" s="102" t="s">
        <v>24</v>
      </c>
      <c r="H37" s="102" t="s">
        <v>2034</v>
      </c>
      <c r="I37" s="102" t="s">
        <v>117</v>
      </c>
      <c r="J37" s="102" t="s">
        <v>25</v>
      </c>
      <c r="K37" s="102" t="s">
        <v>2034</v>
      </c>
      <c r="L37" s="102" t="s">
        <v>117</v>
      </c>
      <c r="M37" s="102" t="s">
        <v>26</v>
      </c>
      <c r="N37" s="102" t="s">
        <v>2034</v>
      </c>
      <c r="O37" s="102" t="s">
        <v>117</v>
      </c>
      <c r="P37" s="494"/>
    </row>
    <row r="38" spans="2:16">
      <c r="B38" s="495"/>
      <c r="C38" s="495">
        <v>10565</v>
      </c>
      <c r="D38" s="495">
        <v>25</v>
      </c>
      <c r="E38" s="495">
        <v>0.86</v>
      </c>
      <c r="F38" s="495" t="s">
        <v>2025</v>
      </c>
      <c r="G38" s="495"/>
      <c r="H38" s="495"/>
      <c r="I38" s="495"/>
      <c r="J38" s="495"/>
      <c r="K38" s="495"/>
      <c r="L38" s="495"/>
      <c r="M38" s="495"/>
      <c r="N38" s="495"/>
      <c r="O38" s="495"/>
    </row>
    <row r="39" spans="2:16">
      <c r="B39" s="495"/>
      <c r="C39" s="495">
        <v>10566</v>
      </c>
      <c r="D39" s="495">
        <v>25</v>
      </c>
      <c r="E39" s="495">
        <v>0.72</v>
      </c>
      <c r="F39" s="495" t="s">
        <v>2026</v>
      </c>
      <c r="G39" s="495"/>
      <c r="H39" s="495"/>
      <c r="I39" s="495"/>
      <c r="J39" s="495"/>
      <c r="K39" s="495"/>
      <c r="L39" s="495"/>
      <c r="M39" s="495"/>
      <c r="N39" s="495"/>
      <c r="O39" s="495"/>
    </row>
    <row r="40" spans="2:16">
      <c r="B40" s="495"/>
      <c r="C40" s="495">
        <v>10567</v>
      </c>
      <c r="D40" s="495">
        <v>30</v>
      </c>
      <c r="E40" s="495">
        <v>0.78</v>
      </c>
      <c r="F40" s="495" t="s">
        <v>2027</v>
      </c>
      <c r="G40" s="495"/>
      <c r="H40" s="495"/>
      <c r="I40" s="495"/>
      <c r="J40" s="495"/>
      <c r="K40" s="495"/>
      <c r="L40" s="495"/>
      <c r="M40" s="495"/>
      <c r="N40" s="495"/>
      <c r="O40" s="495"/>
    </row>
    <row r="41" spans="2:16">
      <c r="B41" s="495"/>
      <c r="C41" s="495">
        <v>10568</v>
      </c>
      <c r="D41" s="495">
        <v>20</v>
      </c>
      <c r="E41" s="495">
        <v>0.99</v>
      </c>
      <c r="F41" s="495" t="s">
        <v>2028</v>
      </c>
      <c r="G41" s="495"/>
      <c r="H41" s="495"/>
      <c r="I41" s="495"/>
      <c r="J41" s="495"/>
      <c r="K41" s="495"/>
      <c r="L41" s="495"/>
      <c r="M41" s="495"/>
      <c r="N41" s="495"/>
      <c r="O41" s="495"/>
    </row>
    <row r="42" spans="2:16">
      <c r="B42" s="495"/>
      <c r="C42" s="495">
        <v>12902</v>
      </c>
      <c r="D42" s="495">
        <v>30</v>
      </c>
      <c r="E42" s="495">
        <v>0.9</v>
      </c>
      <c r="F42" s="495" t="s">
        <v>2032</v>
      </c>
      <c r="G42" s="495"/>
      <c r="H42" s="495"/>
      <c r="I42" s="495"/>
      <c r="J42" s="495"/>
      <c r="K42" s="495"/>
      <c r="L42" s="495"/>
      <c r="M42" s="495"/>
      <c r="N42" s="495"/>
      <c r="O42" s="495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baseColWidth="10" defaultRowHeight="15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L43"/>
  <sheetViews>
    <sheetView topLeftCell="A3" workbookViewId="0">
      <selection activeCell="C6" sqref="C6:E21"/>
    </sheetView>
  </sheetViews>
  <sheetFormatPr baseColWidth="10" defaultRowHeight="15"/>
  <cols>
    <col min="2" max="2" width="11.42578125" style="400"/>
    <col min="3" max="3" width="44.140625" customWidth="1"/>
    <col min="4" max="4" width="8.42578125" style="400" customWidth="1"/>
  </cols>
  <sheetData>
    <row r="1" spans="2:12">
      <c r="C1" t="s">
        <v>1702</v>
      </c>
    </row>
    <row r="2" spans="2:12" s="119" customFormat="1">
      <c r="B2" s="404"/>
      <c r="D2" s="404"/>
      <c r="K2" s="495"/>
      <c r="L2" s="495"/>
    </row>
    <row r="3" spans="2:12" s="119" customFormat="1">
      <c r="B3" s="404"/>
      <c r="D3" s="404"/>
      <c r="K3" s="495"/>
      <c r="L3" s="495"/>
    </row>
    <row r="4" spans="2:12">
      <c r="K4" s="495"/>
      <c r="L4" s="495"/>
    </row>
    <row r="5" spans="2:12">
      <c r="K5" s="495"/>
      <c r="L5" s="495"/>
    </row>
    <row r="6" spans="2:12" s="119" customFormat="1" ht="51" customHeight="1">
      <c r="B6" s="95"/>
      <c r="C6" s="95"/>
      <c r="D6" s="95" t="s">
        <v>75</v>
      </c>
      <c r="K6" s="495"/>
      <c r="L6" s="495"/>
    </row>
    <row r="7" spans="2:12" s="119" customFormat="1" hidden="1">
      <c r="B7" s="495">
        <v>3228</v>
      </c>
      <c r="C7" s="495" t="s">
        <v>1660</v>
      </c>
      <c r="D7" s="95" t="s">
        <v>72</v>
      </c>
      <c r="E7" s="119" t="s">
        <v>1701</v>
      </c>
      <c r="K7" s="495"/>
      <c r="L7" s="495"/>
    </row>
    <row r="8" spans="2:12" hidden="1">
      <c r="B8" s="495">
        <v>15121</v>
      </c>
      <c r="C8" s="495" t="s">
        <v>1654</v>
      </c>
      <c r="D8" s="95" t="s">
        <v>72</v>
      </c>
      <c r="E8" s="119" t="s">
        <v>1701</v>
      </c>
      <c r="K8" s="495"/>
      <c r="L8" s="495"/>
    </row>
    <row r="9" spans="2:12">
      <c r="B9" s="495">
        <v>19921</v>
      </c>
      <c r="C9" s="495" t="s">
        <v>2830</v>
      </c>
      <c r="D9" s="95">
        <v>30</v>
      </c>
      <c r="E9" s="119" t="s">
        <v>1701</v>
      </c>
      <c r="K9" s="495"/>
      <c r="L9" s="495"/>
    </row>
    <row r="10" spans="2:12" s="494" customFormat="1">
      <c r="B10" s="495">
        <v>10172</v>
      </c>
      <c r="C10" s="495" t="s">
        <v>1653</v>
      </c>
      <c r="D10" s="685">
        <v>20</v>
      </c>
      <c r="E10" s="494" t="s">
        <v>1701</v>
      </c>
      <c r="K10" s="495"/>
      <c r="L10" s="495"/>
    </row>
    <row r="11" spans="2:12">
      <c r="B11" s="495">
        <v>14490</v>
      </c>
      <c r="C11" s="495" t="s">
        <v>1648</v>
      </c>
      <c r="D11" s="95">
        <v>50</v>
      </c>
      <c r="E11" s="494" t="s">
        <v>1701</v>
      </c>
      <c r="K11" s="495"/>
      <c r="L11" s="495"/>
    </row>
    <row r="12" spans="2:12" hidden="1">
      <c r="B12" s="495">
        <v>14657</v>
      </c>
      <c r="C12" s="495" t="s">
        <v>1652</v>
      </c>
      <c r="D12" s="95" t="s">
        <v>72</v>
      </c>
      <c r="E12" s="494" t="s">
        <v>1701</v>
      </c>
      <c r="K12" s="495"/>
      <c r="L12" s="495"/>
    </row>
    <row r="13" spans="2:12" hidden="1">
      <c r="B13" s="495">
        <v>15716</v>
      </c>
      <c r="C13" s="495" t="s">
        <v>1659</v>
      </c>
      <c r="D13" s="95"/>
      <c r="E13" s="494" t="s">
        <v>1701</v>
      </c>
      <c r="K13" s="495"/>
      <c r="L13" s="495"/>
    </row>
    <row r="14" spans="2:12" hidden="1">
      <c r="B14" s="495">
        <v>14543</v>
      </c>
      <c r="C14" s="495" t="s">
        <v>1650</v>
      </c>
      <c r="D14" s="95"/>
      <c r="E14" s="494" t="s">
        <v>1701</v>
      </c>
      <c r="K14" s="495"/>
      <c r="L14" s="495"/>
    </row>
    <row r="15" spans="2:12" hidden="1">
      <c r="B15" s="495">
        <v>14548</v>
      </c>
      <c r="C15" s="495" t="s">
        <v>1651</v>
      </c>
      <c r="D15" s="95" t="s">
        <v>72</v>
      </c>
      <c r="E15" s="494" t="s">
        <v>1701</v>
      </c>
      <c r="K15" s="495"/>
      <c r="L15" s="495"/>
    </row>
    <row r="16" spans="2:12" hidden="1">
      <c r="B16" s="495">
        <v>14489</v>
      </c>
      <c r="C16" s="495" t="s">
        <v>1647</v>
      </c>
      <c r="D16" s="95" t="s">
        <v>72</v>
      </c>
      <c r="E16" s="494" t="s">
        <v>1701</v>
      </c>
      <c r="K16" s="495"/>
      <c r="L16" s="495"/>
    </row>
    <row r="17" spans="2:12">
      <c r="B17" s="495">
        <v>14495</v>
      </c>
      <c r="C17" s="495" t="s">
        <v>1649</v>
      </c>
      <c r="D17" s="95">
        <v>20</v>
      </c>
      <c r="E17" s="494" t="s">
        <v>1701</v>
      </c>
      <c r="K17" s="495"/>
      <c r="L17" s="495"/>
    </row>
    <row r="18" spans="2:12" s="494" customFormat="1" ht="15.75" thickBot="1">
      <c r="B18" s="495"/>
      <c r="C18" s="410" t="s">
        <v>2981</v>
      </c>
      <c r="D18" s="685">
        <v>20</v>
      </c>
      <c r="E18" s="494" t="s">
        <v>1701</v>
      </c>
      <c r="K18" s="495"/>
      <c r="L18" s="495"/>
    </row>
    <row r="19" spans="2:12" s="494" customFormat="1" ht="15.75" thickBot="1">
      <c r="B19" s="495"/>
      <c r="C19" s="410" t="s">
        <v>2982</v>
      </c>
      <c r="D19" s="685">
        <v>20</v>
      </c>
      <c r="E19" s="494" t="s">
        <v>1701</v>
      </c>
      <c r="K19" s="495"/>
      <c r="L19" s="495"/>
    </row>
    <row r="20" spans="2:12" s="119" customFormat="1">
      <c r="B20" s="495">
        <v>15221</v>
      </c>
      <c r="C20" s="495" t="s">
        <v>1656</v>
      </c>
      <c r="D20" s="95">
        <v>10</v>
      </c>
      <c r="E20" s="494" t="s">
        <v>1701</v>
      </c>
      <c r="K20" s="495"/>
      <c r="L20" s="495"/>
    </row>
    <row r="21" spans="2:12">
      <c r="B21" s="495">
        <v>15222</v>
      </c>
      <c r="C21" s="495" t="s">
        <v>1657</v>
      </c>
      <c r="D21" s="95">
        <v>10</v>
      </c>
      <c r="E21" s="494" t="s">
        <v>1701</v>
      </c>
    </row>
    <row r="22" spans="2:12" hidden="1">
      <c r="B22" s="495">
        <v>7858</v>
      </c>
      <c r="C22" s="495" t="s">
        <v>1658</v>
      </c>
      <c r="D22" s="95" t="s">
        <v>72</v>
      </c>
    </row>
    <row r="23" spans="2:12" hidden="1">
      <c r="B23" s="495">
        <v>9914</v>
      </c>
      <c r="C23" s="495" t="s">
        <v>1655</v>
      </c>
      <c r="D23" s="95" t="s">
        <v>72</v>
      </c>
    </row>
    <row r="24" spans="2:12" hidden="1">
      <c r="B24" s="685">
        <v>9914</v>
      </c>
      <c r="C24" s="495" t="s">
        <v>1655</v>
      </c>
      <c r="D24" s="95" t="s">
        <v>72</v>
      </c>
    </row>
    <row r="25" spans="2:12" hidden="1">
      <c r="B25" s="495"/>
      <c r="C25" s="120"/>
      <c r="D25" s="95" t="s">
        <v>72</v>
      </c>
    </row>
    <row r="27" spans="2:12" s="119" customFormat="1" ht="15.75">
      <c r="B27" s="406"/>
    </row>
    <row r="28" spans="2:12" ht="39" thickBot="1">
      <c r="B28" s="407" t="s">
        <v>1674</v>
      </c>
      <c r="C28" s="408" t="s">
        <v>1675</v>
      </c>
      <c r="D28" s="408" t="s">
        <v>2978</v>
      </c>
      <c r="E28" s="408" t="s">
        <v>1676</v>
      </c>
    </row>
    <row r="29" spans="2:12" ht="15.75" thickBot="1">
      <c r="B29" s="409" t="s">
        <v>1677</v>
      </c>
      <c r="C29" s="410" t="s">
        <v>1678</v>
      </c>
      <c r="D29" s="694">
        <v>24</v>
      </c>
      <c r="E29" s="693">
        <v>0.59</v>
      </c>
    </row>
    <row r="30" spans="2:12" ht="15.75" thickBot="1">
      <c r="B30" s="409" t="s">
        <v>1679</v>
      </c>
      <c r="C30" s="410" t="s">
        <v>1680</v>
      </c>
      <c r="D30" s="694">
        <v>24</v>
      </c>
      <c r="E30" s="693">
        <v>0.59</v>
      </c>
    </row>
    <row r="31" spans="2:12" ht="15.75" thickBot="1">
      <c r="B31" s="409" t="s">
        <v>1681</v>
      </c>
      <c r="C31" s="410" t="s">
        <v>1682</v>
      </c>
      <c r="D31" s="694">
        <v>12</v>
      </c>
      <c r="E31" s="693">
        <v>1.39</v>
      </c>
    </row>
    <row r="32" spans="2:12" ht="15.75" thickBot="1">
      <c r="B32" s="409" t="s">
        <v>1683</v>
      </c>
      <c r="C32" s="410" t="s">
        <v>1684</v>
      </c>
      <c r="D32" s="694">
        <v>10</v>
      </c>
      <c r="E32" s="693">
        <v>1.39</v>
      </c>
    </row>
    <row r="33" spans="2:5" ht="26.25" thickBot="1">
      <c r="B33" s="409" t="s">
        <v>1685</v>
      </c>
      <c r="C33" s="410" t="s">
        <v>1686</v>
      </c>
      <c r="D33" s="694">
        <v>12</v>
      </c>
      <c r="E33" s="693">
        <v>1.39</v>
      </c>
    </row>
    <row r="34" spans="2:5" ht="15.75" thickBot="1">
      <c r="B34" s="409" t="s">
        <v>1687</v>
      </c>
      <c r="C34" s="410" t="s">
        <v>1688</v>
      </c>
      <c r="D34" s="694">
        <v>10</v>
      </c>
      <c r="E34" s="693">
        <v>1.39</v>
      </c>
    </row>
    <row r="35" spans="2:5" ht="15.75" thickBot="1">
      <c r="B35" s="409" t="s">
        <v>1689</v>
      </c>
      <c r="C35" s="410" t="s">
        <v>1690</v>
      </c>
      <c r="D35" s="694">
        <v>10</v>
      </c>
      <c r="E35" s="693">
        <v>1.39</v>
      </c>
    </row>
    <row r="36" spans="2:5" s="494" customFormat="1" ht="15.75" thickBot="1">
      <c r="B36" s="409"/>
      <c r="C36" s="410" t="s">
        <v>2979</v>
      </c>
      <c r="D36" s="694">
        <v>10</v>
      </c>
      <c r="E36" s="693">
        <v>1.17</v>
      </c>
    </row>
    <row r="37" spans="2:5" s="494" customFormat="1" ht="15.75" thickBot="1">
      <c r="B37" s="409"/>
      <c r="C37" s="410" t="s">
        <v>2980</v>
      </c>
      <c r="D37" s="694">
        <v>10</v>
      </c>
      <c r="E37" s="693">
        <v>1.17</v>
      </c>
    </row>
    <row r="38" spans="2:5" ht="15.75" thickBot="1">
      <c r="B38" s="409" t="s">
        <v>1691</v>
      </c>
      <c r="C38" s="410" t="s">
        <v>1692</v>
      </c>
      <c r="D38" s="694">
        <v>20</v>
      </c>
      <c r="E38" s="693">
        <v>0.94</v>
      </c>
    </row>
    <row r="39" spans="2:5" ht="15.75" thickBot="1">
      <c r="B39" s="409" t="s">
        <v>1693</v>
      </c>
      <c r="C39" s="410" t="s">
        <v>1694</v>
      </c>
      <c r="D39" s="694">
        <v>20</v>
      </c>
      <c r="E39" s="693">
        <v>1.02</v>
      </c>
    </row>
    <row r="40" spans="2:5" ht="15.75" thickBot="1">
      <c r="B40" s="409">
        <v>19313</v>
      </c>
      <c r="C40" s="410" t="s">
        <v>1695</v>
      </c>
      <c r="D40" s="694">
        <v>12</v>
      </c>
      <c r="E40" s="693">
        <v>2.2999999999999998</v>
      </c>
    </row>
    <row r="41" spans="2:5" ht="15.75" thickBot="1">
      <c r="B41" s="409">
        <v>19113</v>
      </c>
      <c r="C41" s="410" t="s">
        <v>1696</v>
      </c>
      <c r="D41" s="694">
        <v>12</v>
      </c>
      <c r="E41" s="693">
        <v>2.19</v>
      </c>
    </row>
    <row r="42" spans="2:5" ht="15.75" thickBot="1">
      <c r="B42" s="409" t="s">
        <v>1697</v>
      </c>
      <c r="C42" s="410" t="s">
        <v>1698</v>
      </c>
      <c r="D42" s="694">
        <v>24</v>
      </c>
      <c r="E42" s="693">
        <v>1.17</v>
      </c>
    </row>
    <row r="43" spans="2:5" ht="15.75" thickBot="1">
      <c r="B43" s="409" t="s">
        <v>1699</v>
      </c>
      <c r="C43" s="410" t="s">
        <v>1700</v>
      </c>
      <c r="D43" s="694">
        <v>20</v>
      </c>
      <c r="E43" s="693">
        <v>2.27</v>
      </c>
    </row>
  </sheetData>
  <sortState ref="B7:C23">
    <sortCondition ref="C7:C23"/>
  </sortState>
  <pageMargins left="0.7" right="0.7" top="0.75" bottom="0.75" header="0.3" footer="0.3"/>
  <pageSetup paperSize="11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80"/>
  <sheetViews>
    <sheetView workbookViewId="0">
      <selection activeCell="F79" sqref="F79"/>
    </sheetView>
  </sheetViews>
  <sheetFormatPr baseColWidth="10" defaultRowHeight="15"/>
  <cols>
    <col min="5" max="6" width="11.42578125" style="542"/>
    <col min="7" max="7" width="9.7109375" customWidth="1"/>
  </cols>
  <sheetData>
    <row r="5" spans="2:7">
      <c r="B5" s="544" t="s">
        <v>0</v>
      </c>
      <c r="C5" s="544" t="s">
        <v>620</v>
      </c>
      <c r="D5" s="951" t="s">
        <v>1</v>
      </c>
      <c r="E5" s="952"/>
      <c r="F5" s="952"/>
      <c r="G5" s="953"/>
    </row>
    <row r="6" spans="2:7" hidden="1">
      <c r="B6" s="23">
        <v>3814</v>
      </c>
      <c r="C6" s="23">
        <v>1.58</v>
      </c>
      <c r="D6" s="22" t="s">
        <v>2326</v>
      </c>
      <c r="E6" s="23"/>
      <c r="F6" s="23"/>
      <c r="G6" s="22"/>
    </row>
    <row r="7" spans="2:7" hidden="1">
      <c r="B7" s="23">
        <v>1590</v>
      </c>
      <c r="C7" s="23">
        <v>4.34</v>
      </c>
      <c r="D7" s="22" t="s">
        <v>2327</v>
      </c>
      <c r="E7" s="23"/>
      <c r="F7" s="23"/>
      <c r="G7" s="22"/>
    </row>
    <row r="8" spans="2:7" hidden="1">
      <c r="B8" s="23">
        <v>9100</v>
      </c>
      <c r="C8" s="23">
        <v>0.54</v>
      </c>
      <c r="D8" s="22" t="s">
        <v>2328</v>
      </c>
      <c r="E8" s="23"/>
      <c r="F8" s="23"/>
      <c r="G8" s="22"/>
    </row>
    <row r="9" spans="2:7" hidden="1">
      <c r="B9" s="23">
        <v>1293</v>
      </c>
      <c r="C9" s="23">
        <v>0.9</v>
      </c>
      <c r="D9" s="22" t="s">
        <v>2329</v>
      </c>
      <c r="E9" s="23"/>
      <c r="F9" s="23"/>
      <c r="G9" s="22"/>
    </row>
    <row r="10" spans="2:7" hidden="1">
      <c r="B10" s="23">
        <v>2024</v>
      </c>
      <c r="C10" s="23">
        <v>1.62</v>
      </c>
      <c r="D10" s="22" t="s">
        <v>2315</v>
      </c>
      <c r="E10" s="23"/>
      <c r="F10" s="23"/>
      <c r="G10" s="22"/>
    </row>
    <row r="11" spans="2:7" hidden="1">
      <c r="B11" s="23">
        <v>13056</v>
      </c>
      <c r="C11" s="23">
        <v>2.15</v>
      </c>
      <c r="D11" s="22" t="s">
        <v>2319</v>
      </c>
      <c r="E11" s="23"/>
      <c r="F11" s="23"/>
      <c r="G11" s="22"/>
    </row>
    <row r="12" spans="2:7" hidden="1">
      <c r="B12" s="23">
        <v>823</v>
      </c>
      <c r="C12" s="23">
        <v>1.56</v>
      </c>
      <c r="D12" s="22" t="s">
        <v>2318</v>
      </c>
      <c r="E12" s="23"/>
      <c r="F12" s="23"/>
      <c r="G12" s="22"/>
    </row>
    <row r="13" spans="2:7" hidden="1">
      <c r="B13" s="23">
        <v>824</v>
      </c>
      <c r="C13" s="23">
        <v>2.15</v>
      </c>
      <c r="D13" s="22" t="s">
        <v>639</v>
      </c>
      <c r="E13" s="23"/>
      <c r="F13" s="23"/>
      <c r="G13" s="22"/>
    </row>
    <row r="14" spans="2:7" hidden="1">
      <c r="B14" s="23">
        <v>784</v>
      </c>
      <c r="C14" s="23">
        <v>2.83</v>
      </c>
      <c r="D14" s="22" t="s">
        <v>2306</v>
      </c>
      <c r="E14" s="23"/>
      <c r="F14" s="23"/>
      <c r="G14" s="22"/>
    </row>
    <row r="15" spans="2:7" hidden="1">
      <c r="B15" s="23">
        <v>2465</v>
      </c>
      <c r="C15" s="23">
        <v>0.63</v>
      </c>
      <c r="D15" s="22" t="s">
        <v>2304</v>
      </c>
      <c r="E15" s="23"/>
      <c r="F15" s="23"/>
      <c r="G15" s="22"/>
    </row>
    <row r="16" spans="2:7" hidden="1">
      <c r="B16" s="23">
        <v>4356</v>
      </c>
      <c r="C16" s="23">
        <v>0.63</v>
      </c>
      <c r="D16" s="22" t="s">
        <v>2303</v>
      </c>
      <c r="E16" s="23"/>
      <c r="F16" s="23"/>
      <c r="G16" s="22"/>
    </row>
    <row r="17" spans="2:7" hidden="1">
      <c r="B17" s="23">
        <v>9704</v>
      </c>
      <c r="C17" s="23">
        <v>0.31</v>
      </c>
      <c r="D17" s="22" t="s">
        <v>2311</v>
      </c>
      <c r="E17" s="23"/>
      <c r="F17" s="23"/>
      <c r="G17" s="22"/>
    </row>
    <row r="18" spans="2:7" hidden="1">
      <c r="B18" s="23">
        <v>9831</v>
      </c>
      <c r="C18" s="23">
        <v>0.31</v>
      </c>
      <c r="D18" s="22" t="s">
        <v>2330</v>
      </c>
      <c r="E18" s="23"/>
      <c r="F18" s="23"/>
      <c r="G18" s="22"/>
    </row>
    <row r="19" spans="2:7" hidden="1">
      <c r="B19" s="23">
        <v>9253</v>
      </c>
      <c r="C19" s="23">
        <v>0.85</v>
      </c>
      <c r="D19" s="22" t="s">
        <v>2320</v>
      </c>
      <c r="E19" s="23"/>
      <c r="F19" s="23"/>
      <c r="G19" s="22"/>
    </row>
    <row r="20" spans="2:7" hidden="1">
      <c r="B20" s="23">
        <v>5855</v>
      </c>
      <c r="C20" s="23">
        <v>2.34</v>
      </c>
      <c r="D20" s="22" t="s">
        <v>2331</v>
      </c>
      <c r="E20" s="23"/>
      <c r="F20" s="23"/>
      <c r="G20" s="22"/>
    </row>
    <row r="21" spans="2:7" hidden="1">
      <c r="B21" s="23">
        <v>1422</v>
      </c>
      <c r="C21" s="23">
        <v>1.53</v>
      </c>
      <c r="D21" s="22" t="s">
        <v>2332</v>
      </c>
      <c r="E21" s="23"/>
      <c r="F21" s="23"/>
      <c r="G21" s="22"/>
    </row>
    <row r="22" spans="2:7" hidden="1">
      <c r="B22" s="23">
        <v>2467</v>
      </c>
      <c r="C22" s="23">
        <v>2.65</v>
      </c>
      <c r="D22" s="22" t="s">
        <v>2333</v>
      </c>
      <c r="E22" s="23"/>
      <c r="F22" s="23"/>
      <c r="G22" s="22"/>
    </row>
    <row r="23" spans="2:7" hidden="1">
      <c r="B23" s="23">
        <v>3056</v>
      </c>
      <c r="C23" s="23">
        <v>0.52</v>
      </c>
      <c r="D23" s="22" t="s">
        <v>2314</v>
      </c>
      <c r="E23" s="23"/>
      <c r="F23" s="23"/>
      <c r="G23" s="22"/>
    </row>
    <row r="24" spans="2:7">
      <c r="B24" s="23">
        <v>2033</v>
      </c>
      <c r="C24" s="23">
        <v>0.96</v>
      </c>
      <c r="D24" s="954" t="s">
        <v>2334</v>
      </c>
      <c r="E24" s="955"/>
      <c r="F24" s="955"/>
      <c r="G24" s="956"/>
    </row>
    <row r="25" spans="2:7">
      <c r="B25" s="23">
        <v>7465</v>
      </c>
      <c r="C25" s="23">
        <v>0.96</v>
      </c>
      <c r="D25" s="954" t="s">
        <v>2335</v>
      </c>
      <c r="E25" s="955"/>
      <c r="F25" s="955"/>
      <c r="G25" s="956"/>
    </row>
    <row r="26" spans="2:7">
      <c r="B26" s="23">
        <v>6199</v>
      </c>
      <c r="C26" s="23">
        <v>0.87</v>
      </c>
      <c r="D26" s="954" t="s">
        <v>2336</v>
      </c>
      <c r="E26" s="955"/>
      <c r="F26" s="955"/>
      <c r="G26" s="956"/>
    </row>
    <row r="27" spans="2:7" hidden="1">
      <c r="E27" s="543">
        <v>12104</v>
      </c>
      <c r="F27" s="543">
        <v>1.32</v>
      </c>
      <c r="G27" s="495" t="s">
        <v>2337</v>
      </c>
    </row>
    <row r="28" spans="2:7" hidden="1">
      <c r="E28" s="543">
        <v>9097</v>
      </c>
      <c r="F28" s="543">
        <v>0.87</v>
      </c>
      <c r="G28" s="495" t="s">
        <v>2338</v>
      </c>
    </row>
    <row r="29" spans="2:7" hidden="1">
      <c r="E29" s="543">
        <v>8656</v>
      </c>
      <c r="F29" s="543">
        <v>1.32</v>
      </c>
      <c r="G29" s="495" t="s">
        <v>2308</v>
      </c>
    </row>
    <row r="30" spans="2:7" hidden="1">
      <c r="E30" s="543">
        <v>3504</v>
      </c>
      <c r="F30" s="543">
        <v>1.32</v>
      </c>
      <c r="G30" s="495" t="s">
        <v>2339</v>
      </c>
    </row>
    <row r="31" spans="2:7" hidden="1">
      <c r="E31" s="543">
        <v>8089</v>
      </c>
      <c r="F31" s="543">
        <v>0.68</v>
      </c>
      <c r="G31" s="495" t="s">
        <v>2340</v>
      </c>
    </row>
    <row r="32" spans="2:7" hidden="1">
      <c r="E32" s="543">
        <v>8090</v>
      </c>
      <c r="F32" s="543">
        <v>0.68</v>
      </c>
      <c r="G32" s="495" t="s">
        <v>2341</v>
      </c>
    </row>
    <row r="33" spans="5:7" hidden="1">
      <c r="E33" s="543">
        <v>2644</v>
      </c>
      <c r="F33" s="543">
        <v>1.32</v>
      </c>
      <c r="G33" s="495" t="s">
        <v>2309</v>
      </c>
    </row>
    <row r="34" spans="5:7" hidden="1">
      <c r="E34" s="543">
        <v>12532</v>
      </c>
      <c r="F34" s="543">
        <v>1.32</v>
      </c>
      <c r="G34" s="495" t="s">
        <v>2310</v>
      </c>
    </row>
    <row r="35" spans="5:7" hidden="1">
      <c r="E35" s="543">
        <v>2470</v>
      </c>
      <c r="F35" s="543">
        <v>4.28</v>
      </c>
      <c r="G35" s="495" t="s">
        <v>2313</v>
      </c>
    </row>
    <row r="36" spans="5:7" hidden="1">
      <c r="E36" s="543">
        <v>2469</v>
      </c>
      <c r="F36" s="543">
        <v>2.2599999999999998</v>
      </c>
      <c r="G36" s="495" t="s">
        <v>2316</v>
      </c>
    </row>
    <row r="37" spans="5:7" hidden="1">
      <c r="E37" s="543">
        <v>9254</v>
      </c>
      <c r="F37" s="543">
        <v>1.08</v>
      </c>
      <c r="G37" s="495" t="s">
        <v>2342</v>
      </c>
    </row>
    <row r="38" spans="5:7" hidden="1">
      <c r="E38" s="543">
        <v>3546</v>
      </c>
      <c r="F38" s="543">
        <v>15.59</v>
      </c>
      <c r="G38" s="495" t="s">
        <v>2317</v>
      </c>
    </row>
    <row r="39" spans="5:7" hidden="1">
      <c r="E39" s="543">
        <v>15364</v>
      </c>
      <c r="F39" s="543">
        <v>0.68</v>
      </c>
      <c r="G39" s="495" t="s">
        <v>2321</v>
      </c>
    </row>
    <row r="40" spans="5:7" hidden="1">
      <c r="E40" s="543">
        <v>15581</v>
      </c>
      <c r="F40" s="543">
        <v>1.37</v>
      </c>
      <c r="G40" s="495" t="s">
        <v>2322</v>
      </c>
    </row>
    <row r="41" spans="5:7" hidden="1">
      <c r="E41" s="543">
        <v>6324</v>
      </c>
      <c r="F41" s="543">
        <v>1.88</v>
      </c>
      <c r="G41" s="495" t="s">
        <v>2343</v>
      </c>
    </row>
    <row r="42" spans="5:7" hidden="1">
      <c r="E42" s="543">
        <v>6373</v>
      </c>
      <c r="F42" s="543">
        <v>1.1200000000000001</v>
      </c>
      <c r="G42" s="495" t="s">
        <v>2323</v>
      </c>
    </row>
    <row r="43" spans="5:7" hidden="1">
      <c r="E43" s="543">
        <v>9253</v>
      </c>
      <c r="F43" s="543">
        <v>0.85</v>
      </c>
      <c r="G43" s="495" t="s">
        <v>2320</v>
      </c>
    </row>
    <row r="44" spans="5:7" hidden="1">
      <c r="E44" s="543">
        <v>15364</v>
      </c>
      <c r="F44" s="543">
        <v>0.68</v>
      </c>
      <c r="G44" s="495" t="s">
        <v>2321</v>
      </c>
    </row>
    <row r="45" spans="5:7" hidden="1">
      <c r="E45" s="543">
        <v>15581</v>
      </c>
      <c r="F45" s="543">
        <v>1.37</v>
      </c>
      <c r="G45" s="495" t="s">
        <v>2322</v>
      </c>
    </row>
    <row r="46" spans="5:7" hidden="1">
      <c r="E46" s="543">
        <v>13382</v>
      </c>
      <c r="F46" s="543">
        <v>2.44</v>
      </c>
      <c r="G46" s="495" t="s">
        <v>2324</v>
      </c>
    </row>
    <row r="47" spans="5:7" hidden="1">
      <c r="E47" s="543">
        <v>14162</v>
      </c>
      <c r="F47" s="543">
        <v>2.44</v>
      </c>
      <c r="G47" s="495" t="s">
        <v>2325</v>
      </c>
    </row>
    <row r="48" spans="5:7" hidden="1">
      <c r="E48" s="543">
        <v>1218</v>
      </c>
      <c r="F48" s="543">
        <v>2.36</v>
      </c>
      <c r="G48" s="495" t="s">
        <v>2344</v>
      </c>
    </row>
    <row r="49" spans="5:7" hidden="1">
      <c r="E49" s="543">
        <v>9100</v>
      </c>
      <c r="F49" s="543">
        <v>0.54</v>
      </c>
      <c r="G49" s="495" t="s">
        <v>2328</v>
      </c>
    </row>
    <row r="50" spans="5:7" hidden="1">
      <c r="E50" s="543">
        <v>1293</v>
      </c>
      <c r="F50" s="543">
        <v>0.9</v>
      </c>
      <c r="G50" s="495" t="s">
        <v>2329</v>
      </c>
    </row>
    <row r="51" spans="5:7" hidden="1">
      <c r="E51" s="543">
        <v>3814</v>
      </c>
      <c r="F51" s="543">
        <v>1.63</v>
      </c>
      <c r="G51" s="495" t="s">
        <v>2326</v>
      </c>
    </row>
    <row r="52" spans="5:7" hidden="1">
      <c r="E52" s="543">
        <v>771</v>
      </c>
      <c r="F52" s="543">
        <v>1.37</v>
      </c>
      <c r="G52" s="495" t="s">
        <v>2345</v>
      </c>
    </row>
    <row r="53" spans="5:7" hidden="1">
      <c r="E53" s="543">
        <v>3213</v>
      </c>
      <c r="F53" s="543">
        <v>1.05</v>
      </c>
      <c r="G53" s="495" t="s">
        <v>2302</v>
      </c>
    </row>
    <row r="54" spans="5:7" hidden="1">
      <c r="E54" s="543">
        <v>2033</v>
      </c>
      <c r="F54" s="543">
        <v>0.96</v>
      </c>
      <c r="G54" s="495" t="s">
        <v>2334</v>
      </c>
    </row>
    <row r="55" spans="5:7" hidden="1">
      <c r="E55" s="543">
        <v>7465</v>
      </c>
      <c r="F55" s="543">
        <v>0.96</v>
      </c>
      <c r="G55" s="495" t="s">
        <v>2335</v>
      </c>
    </row>
    <row r="56" spans="5:7" hidden="1">
      <c r="E56" s="543">
        <v>3214</v>
      </c>
      <c r="F56" s="543">
        <v>1.0900000000000001</v>
      </c>
      <c r="G56" s="495" t="s">
        <v>2305</v>
      </c>
    </row>
    <row r="57" spans="5:7" hidden="1">
      <c r="E57" s="543">
        <v>6199</v>
      </c>
      <c r="F57" s="543">
        <v>0.87</v>
      </c>
      <c r="G57" s="495" t="s">
        <v>2336</v>
      </c>
    </row>
    <row r="58" spans="5:7" hidden="1">
      <c r="E58" s="543">
        <v>784</v>
      </c>
      <c r="F58" s="543">
        <v>2.83</v>
      </c>
      <c r="G58" s="495" t="s">
        <v>2306</v>
      </c>
    </row>
    <row r="59" spans="5:7" hidden="1">
      <c r="E59" s="543">
        <v>6745</v>
      </c>
      <c r="F59" s="543">
        <v>1.41</v>
      </c>
      <c r="G59" s="495" t="s">
        <v>2307</v>
      </c>
    </row>
    <row r="60" spans="5:7" hidden="1">
      <c r="E60" s="543">
        <v>5432</v>
      </c>
      <c r="F60" s="543">
        <v>1.32</v>
      </c>
      <c r="G60" s="495" t="s">
        <v>2346</v>
      </c>
    </row>
    <row r="61" spans="5:7" hidden="1">
      <c r="E61" s="543">
        <v>9704</v>
      </c>
      <c r="F61" s="543">
        <v>0.31</v>
      </c>
      <c r="G61" s="495" t="s">
        <v>2311</v>
      </c>
    </row>
    <row r="62" spans="5:7" hidden="1">
      <c r="E62" s="543">
        <v>9831</v>
      </c>
      <c r="F62" s="543">
        <v>0.31</v>
      </c>
      <c r="G62" s="495" t="s">
        <v>2330</v>
      </c>
    </row>
    <row r="63" spans="5:7" hidden="1">
      <c r="E63" s="543">
        <v>14039</v>
      </c>
      <c r="F63" s="543">
        <v>0.31</v>
      </c>
      <c r="G63" s="495" t="s">
        <v>2312</v>
      </c>
    </row>
    <row r="64" spans="5:7" hidden="1">
      <c r="E64" s="543">
        <v>2024</v>
      </c>
      <c r="F64" s="543">
        <v>1.62</v>
      </c>
      <c r="G64" s="495" t="s">
        <v>2315</v>
      </c>
    </row>
    <row r="65" spans="2:7" hidden="1">
      <c r="E65" s="543">
        <v>8652</v>
      </c>
      <c r="F65" s="543">
        <v>1.48</v>
      </c>
      <c r="G65" s="495" t="s">
        <v>2347</v>
      </c>
    </row>
    <row r="66" spans="2:7" hidden="1">
      <c r="E66" s="543">
        <v>2469</v>
      </c>
      <c r="F66" s="543">
        <v>2.2599999999999998</v>
      </c>
      <c r="G66" s="495" t="s">
        <v>2316</v>
      </c>
    </row>
    <row r="67" spans="2:7" hidden="1">
      <c r="E67" s="543">
        <v>3516</v>
      </c>
      <c r="F67" s="543">
        <v>1.52</v>
      </c>
      <c r="G67" s="495" t="s">
        <v>2348</v>
      </c>
    </row>
    <row r="68" spans="2:7" hidden="1">
      <c r="E68" s="543">
        <v>3546</v>
      </c>
      <c r="F68" s="543">
        <v>15.6</v>
      </c>
      <c r="G68" s="495" t="s">
        <v>2317</v>
      </c>
    </row>
    <row r="69" spans="2:7" hidden="1">
      <c r="E69" s="543">
        <v>824</v>
      </c>
      <c r="F69" s="543">
        <v>2.15</v>
      </c>
      <c r="G69" s="495" t="s">
        <v>639</v>
      </c>
    </row>
    <row r="73" spans="2:7">
      <c r="E73" s="385"/>
    </row>
    <row r="76" spans="2:7" ht="30">
      <c r="B76" s="20" t="s">
        <v>2349</v>
      </c>
      <c r="C76" s="20" t="s">
        <v>2350</v>
      </c>
      <c r="D76" s="544" t="s">
        <v>1662</v>
      </c>
      <c r="E76" s="544" t="s">
        <v>2351</v>
      </c>
    </row>
    <row r="77" spans="2:7">
      <c r="B77" s="23">
        <v>80.599999999999994</v>
      </c>
      <c r="C77" s="23">
        <f>B77/20</f>
        <v>4.0299999999999994</v>
      </c>
      <c r="D77" s="23">
        <v>4.1900000000000004</v>
      </c>
      <c r="E77" s="56">
        <f>C77/D77</f>
        <v>0.9618138424821</v>
      </c>
    </row>
    <row r="78" spans="2:7">
      <c r="B78" s="23">
        <v>73</v>
      </c>
      <c r="C78" s="23">
        <f>B78/20</f>
        <v>3.65</v>
      </c>
      <c r="D78" s="23">
        <v>4.1900000000000004</v>
      </c>
      <c r="E78" s="56">
        <f>C78/D78</f>
        <v>0.87112171837708818</v>
      </c>
    </row>
    <row r="79" spans="2:7">
      <c r="B79" s="23"/>
      <c r="C79" s="23"/>
      <c r="D79" s="23"/>
      <c r="E79" s="23"/>
    </row>
    <row r="80" spans="2:7">
      <c r="B80" s="23"/>
      <c r="C80" s="23"/>
      <c r="D80" s="23"/>
      <c r="E80" s="23"/>
    </row>
  </sheetData>
  <mergeCells count="4">
    <mergeCell ref="D5:G5"/>
    <mergeCell ref="D24:G24"/>
    <mergeCell ref="D25:G25"/>
    <mergeCell ref="D26:G26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"/>
  <sheetViews>
    <sheetView workbookViewId="0">
      <selection activeCell="B2" sqref="B2:K7"/>
    </sheetView>
  </sheetViews>
  <sheetFormatPr baseColWidth="10" defaultRowHeight="15"/>
  <cols>
    <col min="2" max="2" width="25" customWidth="1"/>
    <col min="3" max="3" width="8" customWidth="1"/>
    <col min="4" max="4" width="11.5703125" bestFit="1" customWidth="1"/>
    <col min="6" max="6" width="7.85546875" customWidth="1"/>
  </cols>
  <sheetData>
    <row r="2" spans="2:11">
      <c r="C2" t="s">
        <v>2821</v>
      </c>
      <c r="D2" s="476">
        <v>0.15</v>
      </c>
    </row>
    <row r="3" spans="2:11" ht="75">
      <c r="B3" s="687"/>
      <c r="C3" s="688" t="s">
        <v>2279</v>
      </c>
      <c r="D3" s="687" t="s">
        <v>734</v>
      </c>
      <c r="E3" s="688" t="s">
        <v>2825</v>
      </c>
      <c r="F3" s="688" t="s">
        <v>2651</v>
      </c>
      <c r="G3" s="688" t="s">
        <v>2822</v>
      </c>
      <c r="H3" s="688" t="s">
        <v>2823</v>
      </c>
      <c r="I3" s="688" t="s">
        <v>2824</v>
      </c>
      <c r="J3" s="688" t="s">
        <v>75</v>
      </c>
      <c r="K3" s="688" t="s">
        <v>637</v>
      </c>
    </row>
    <row r="4" spans="2:11">
      <c r="B4" s="15" t="s">
        <v>2976</v>
      </c>
      <c r="C4" s="681">
        <v>5.21</v>
      </c>
      <c r="D4" s="6">
        <f>C4*15%</f>
        <v>0.78149999999999997</v>
      </c>
      <c r="E4" s="6">
        <f>C4-D4</f>
        <v>4.4284999999999997</v>
      </c>
      <c r="F4" s="685">
        <v>6</v>
      </c>
      <c r="G4" s="384">
        <f>E4/F4</f>
        <v>0.73808333333333331</v>
      </c>
      <c r="H4" s="6">
        <f>G4*1.16</f>
        <v>0.85617666666666659</v>
      </c>
      <c r="I4" s="6">
        <f>H4*1.3</f>
        <v>1.1130296666666666</v>
      </c>
      <c r="J4" s="685">
        <v>100</v>
      </c>
      <c r="K4" s="6">
        <f>E4*J4</f>
        <v>442.84999999999997</v>
      </c>
    </row>
    <row r="5" spans="2:11">
      <c r="B5" s="15" t="s">
        <v>2975</v>
      </c>
      <c r="C5" s="681">
        <v>8.36</v>
      </c>
      <c r="D5" s="6">
        <f>C5*15%</f>
        <v>1.2539999999999998</v>
      </c>
      <c r="E5" s="6">
        <f>C5-D5</f>
        <v>7.1059999999999999</v>
      </c>
      <c r="F5" s="685">
        <v>12</v>
      </c>
      <c r="G5" s="384">
        <f>E5/F5</f>
        <v>0.59216666666666662</v>
      </c>
      <c r="H5" s="6">
        <f>G5*1.16</f>
        <v>0.68691333333333326</v>
      </c>
      <c r="I5" s="6">
        <f>H5*1.3</f>
        <v>0.89298733333333324</v>
      </c>
      <c r="J5" s="685">
        <v>220</v>
      </c>
      <c r="K5" s="6">
        <f>E5*J5</f>
        <v>1563.32</v>
      </c>
    </row>
    <row r="6" spans="2:11">
      <c r="B6" s="495" t="s">
        <v>2977</v>
      </c>
      <c r="C6" s="685">
        <v>6.1</v>
      </c>
      <c r="D6" s="6">
        <f>C6*15%</f>
        <v>0.91499999999999992</v>
      </c>
      <c r="E6" s="6">
        <f>C6-D6</f>
        <v>5.1849999999999996</v>
      </c>
      <c r="F6" s="685">
        <v>12</v>
      </c>
      <c r="G6" s="384">
        <f>E6/F6</f>
        <v>0.43208333333333332</v>
      </c>
      <c r="H6" s="6">
        <f>G6*1.16</f>
        <v>0.50121666666666664</v>
      </c>
      <c r="I6" s="6">
        <f>H6*1.3</f>
        <v>0.65158166666666661</v>
      </c>
      <c r="J6" s="685">
        <v>50</v>
      </c>
      <c r="K6" s="6">
        <f>E6*J6</f>
        <v>259.25</v>
      </c>
    </row>
    <row r="7" spans="2:11">
      <c r="K7" s="63">
        <f>+K4+K5+K6</f>
        <v>2265.42</v>
      </c>
    </row>
  </sheetData>
  <pageMargins left="0.7" right="0.7" top="0.75" bottom="0.75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6"/>
  <sheetViews>
    <sheetView topLeftCell="C13" workbookViewId="0">
      <selection activeCell="C2" sqref="C2"/>
    </sheetView>
  </sheetViews>
  <sheetFormatPr baseColWidth="10" defaultRowHeight="15"/>
  <cols>
    <col min="2" max="2" width="11.42578125" style="835"/>
    <col min="3" max="3" width="62" customWidth="1"/>
    <col min="5" max="5" width="19.5703125" customWidth="1"/>
    <col min="6" max="6" width="18.140625" customWidth="1"/>
    <col min="7" max="7" width="17.28515625" customWidth="1"/>
    <col min="8" max="8" width="16.85546875" customWidth="1"/>
    <col min="10" max="10" width="19.42578125" customWidth="1"/>
    <col min="11" max="11" width="40.140625" customWidth="1"/>
  </cols>
  <sheetData>
    <row r="2" spans="2:9">
      <c r="C2" s="865" t="s">
        <v>1662</v>
      </c>
      <c r="D2" s="343"/>
      <c r="E2" s="469">
        <v>4104217.99</v>
      </c>
      <c r="F2" s="469" t="s">
        <v>1934</v>
      </c>
    </row>
    <row r="3" spans="2:9" ht="60">
      <c r="B3" s="842" t="s">
        <v>0</v>
      </c>
      <c r="C3" s="312" t="s">
        <v>1</v>
      </c>
      <c r="D3" s="475" t="s">
        <v>1944</v>
      </c>
      <c r="E3" s="472" t="s">
        <v>1941</v>
      </c>
      <c r="F3" s="473" t="s">
        <v>1942</v>
      </c>
      <c r="G3" s="472" t="s">
        <v>1943</v>
      </c>
      <c r="H3" s="455" t="s">
        <v>1664</v>
      </c>
      <c r="I3" s="456" t="s">
        <v>1940</v>
      </c>
    </row>
    <row r="4" spans="2:9">
      <c r="B4" s="842">
        <v>872</v>
      </c>
      <c r="C4" s="411" t="s">
        <v>1963</v>
      </c>
      <c r="D4" s="474">
        <f>E4/1000000</f>
        <v>0</v>
      </c>
      <c r="E4" s="474"/>
      <c r="F4" s="474">
        <f>E4*16%</f>
        <v>0</v>
      </c>
      <c r="G4" s="474">
        <f>E4+F4</f>
        <v>0</v>
      </c>
      <c r="H4" s="470">
        <v>3.97</v>
      </c>
      <c r="I4" s="470">
        <f>H4*1.16</f>
        <v>4.6052</v>
      </c>
    </row>
    <row r="5" spans="2:9">
      <c r="B5" s="842">
        <v>1524</v>
      </c>
      <c r="C5" s="411" t="s">
        <v>1964</v>
      </c>
      <c r="D5" s="474">
        <f t="shared" ref="D5:D22" si="0">E5/1000000</f>
        <v>0</v>
      </c>
      <c r="E5" s="474"/>
      <c r="F5" s="474">
        <f t="shared" ref="F5:F22" si="1">E5*16%</f>
        <v>0</v>
      </c>
      <c r="G5" s="474">
        <f t="shared" ref="G5:G22" si="2">E5+F5</f>
        <v>0</v>
      </c>
      <c r="H5" s="470">
        <v>4.4000000000000004</v>
      </c>
      <c r="I5" s="470">
        <f t="shared" ref="I5:I22" si="3">H5*1.16</f>
        <v>5.1040000000000001</v>
      </c>
    </row>
    <row r="6" spans="2:9">
      <c r="B6" s="842">
        <v>841</v>
      </c>
      <c r="C6" s="411" t="s">
        <v>1962</v>
      </c>
      <c r="D6" s="474">
        <f t="shared" si="0"/>
        <v>0</v>
      </c>
      <c r="E6" s="474"/>
      <c r="F6" s="474">
        <f t="shared" si="1"/>
        <v>0</v>
      </c>
      <c r="G6" s="474">
        <f t="shared" si="2"/>
        <v>0</v>
      </c>
      <c r="H6" s="470">
        <v>5.52</v>
      </c>
      <c r="I6" s="470">
        <f t="shared" si="3"/>
        <v>6.4031999999999991</v>
      </c>
    </row>
    <row r="7" spans="2:9" s="412" customFormat="1">
      <c r="B7" s="842"/>
      <c r="C7" s="411" t="s">
        <v>1965</v>
      </c>
      <c r="D7" s="474">
        <f t="shared" si="0"/>
        <v>0</v>
      </c>
      <c r="E7" s="474"/>
      <c r="F7" s="474">
        <f t="shared" si="1"/>
        <v>0</v>
      </c>
      <c r="G7" s="474">
        <f t="shared" si="2"/>
        <v>0</v>
      </c>
      <c r="H7" s="470">
        <v>2.93</v>
      </c>
      <c r="I7" s="470">
        <f t="shared" si="3"/>
        <v>3.3988</v>
      </c>
    </row>
    <row r="8" spans="2:9">
      <c r="B8" s="842">
        <v>6245</v>
      </c>
      <c r="C8" s="411" t="s">
        <v>1960</v>
      </c>
      <c r="D8" s="474">
        <f t="shared" si="0"/>
        <v>0</v>
      </c>
      <c r="E8" s="474"/>
      <c r="F8" s="474">
        <f t="shared" si="1"/>
        <v>0</v>
      </c>
      <c r="G8" s="474">
        <f t="shared" si="2"/>
        <v>0</v>
      </c>
      <c r="H8" s="470">
        <v>8.7100000000000009</v>
      </c>
      <c r="I8" s="470">
        <f t="shared" si="3"/>
        <v>10.1036</v>
      </c>
    </row>
    <row r="9" spans="2:9">
      <c r="B9" s="842">
        <v>6248</v>
      </c>
      <c r="C9" s="411" t="s">
        <v>1954</v>
      </c>
      <c r="D9" s="474">
        <f t="shared" si="0"/>
        <v>0</v>
      </c>
      <c r="E9" s="474"/>
      <c r="F9" s="474">
        <f t="shared" si="1"/>
        <v>0</v>
      </c>
      <c r="G9" s="474">
        <f t="shared" si="2"/>
        <v>0</v>
      </c>
      <c r="H9" s="470">
        <v>8.7100000000000009</v>
      </c>
      <c r="I9" s="470">
        <f t="shared" si="3"/>
        <v>10.1036</v>
      </c>
    </row>
    <row r="10" spans="2:9">
      <c r="B10" s="842">
        <v>6246</v>
      </c>
      <c r="C10" s="411" t="s">
        <v>1961</v>
      </c>
      <c r="D10" s="474">
        <f t="shared" si="0"/>
        <v>0</v>
      </c>
      <c r="E10" s="474"/>
      <c r="F10" s="474">
        <f t="shared" si="1"/>
        <v>0</v>
      </c>
      <c r="G10" s="474">
        <f t="shared" si="2"/>
        <v>0</v>
      </c>
      <c r="H10" s="470">
        <v>8.7100000000000009</v>
      </c>
      <c r="I10" s="470">
        <f t="shared" si="3"/>
        <v>10.1036</v>
      </c>
    </row>
    <row r="11" spans="2:9">
      <c r="B11" s="842">
        <v>13916</v>
      </c>
      <c r="C11" s="411" t="s">
        <v>1959</v>
      </c>
      <c r="D11" s="474">
        <f t="shared" si="0"/>
        <v>0</v>
      </c>
      <c r="E11" s="474"/>
      <c r="F11" s="474">
        <f t="shared" si="1"/>
        <v>0</v>
      </c>
      <c r="G11" s="474">
        <f t="shared" si="2"/>
        <v>0</v>
      </c>
      <c r="H11" s="470">
        <v>5.09</v>
      </c>
      <c r="I11" s="470">
        <f t="shared" si="3"/>
        <v>5.9043999999999999</v>
      </c>
    </row>
    <row r="12" spans="2:9">
      <c r="B12" s="842">
        <v>14046</v>
      </c>
      <c r="C12" s="411" t="s">
        <v>1958</v>
      </c>
      <c r="D12" s="474">
        <f t="shared" si="0"/>
        <v>0</v>
      </c>
      <c r="E12" s="474"/>
      <c r="F12" s="474">
        <f t="shared" si="1"/>
        <v>0</v>
      </c>
      <c r="G12" s="474">
        <f t="shared" si="2"/>
        <v>0</v>
      </c>
      <c r="H12" s="470">
        <v>5.09</v>
      </c>
      <c r="I12" s="470">
        <f t="shared" si="3"/>
        <v>5.9043999999999999</v>
      </c>
    </row>
    <row r="13" spans="2:9">
      <c r="B13" s="842">
        <v>8540</v>
      </c>
      <c r="C13" s="411" t="s">
        <v>1952</v>
      </c>
      <c r="D13" s="474">
        <f t="shared" si="0"/>
        <v>0</v>
      </c>
      <c r="E13" s="474"/>
      <c r="F13" s="474">
        <f t="shared" si="1"/>
        <v>0</v>
      </c>
      <c r="G13" s="474">
        <f t="shared" si="2"/>
        <v>0</v>
      </c>
      <c r="H13" s="470">
        <v>5.09</v>
      </c>
      <c r="I13" s="470">
        <f t="shared" si="3"/>
        <v>5.9043999999999999</v>
      </c>
    </row>
    <row r="14" spans="2:9">
      <c r="B14" s="842">
        <v>3865</v>
      </c>
      <c r="C14" s="411" t="s">
        <v>1949</v>
      </c>
      <c r="D14" s="474">
        <f t="shared" si="0"/>
        <v>0</v>
      </c>
      <c r="E14" s="474"/>
      <c r="F14" s="474">
        <f t="shared" si="1"/>
        <v>0</v>
      </c>
      <c r="G14" s="474">
        <f t="shared" si="2"/>
        <v>0</v>
      </c>
      <c r="H14" s="470">
        <v>7.24</v>
      </c>
      <c r="I14" s="470">
        <f t="shared" si="3"/>
        <v>8.3984000000000005</v>
      </c>
    </row>
    <row r="15" spans="2:9">
      <c r="B15" s="842">
        <v>1529</v>
      </c>
      <c r="C15" s="411" t="s">
        <v>1953</v>
      </c>
      <c r="D15" s="474">
        <f t="shared" si="0"/>
        <v>0</v>
      </c>
      <c r="E15" s="474"/>
      <c r="F15" s="474">
        <f t="shared" si="1"/>
        <v>0</v>
      </c>
      <c r="G15" s="474">
        <f t="shared" si="2"/>
        <v>0</v>
      </c>
      <c r="H15" s="470">
        <v>7.24</v>
      </c>
      <c r="I15" s="470">
        <f t="shared" si="3"/>
        <v>8.3984000000000005</v>
      </c>
    </row>
    <row r="16" spans="2:9">
      <c r="B16" s="842">
        <v>990</v>
      </c>
      <c r="C16" s="411" t="s">
        <v>1955</v>
      </c>
      <c r="D16" s="474">
        <f t="shared" si="0"/>
        <v>0</v>
      </c>
      <c r="E16" s="474"/>
      <c r="F16" s="474">
        <f t="shared" si="1"/>
        <v>0</v>
      </c>
      <c r="G16" s="474">
        <f t="shared" si="2"/>
        <v>0</v>
      </c>
      <c r="H16" s="470">
        <v>7.24</v>
      </c>
      <c r="I16" s="470">
        <f t="shared" si="3"/>
        <v>8.3984000000000005</v>
      </c>
    </row>
    <row r="17" spans="2:13">
      <c r="B17" s="842">
        <v>7526</v>
      </c>
      <c r="C17" s="411" t="s">
        <v>1951</v>
      </c>
      <c r="D17" s="474">
        <f t="shared" si="0"/>
        <v>0</v>
      </c>
      <c r="E17" s="474"/>
      <c r="F17" s="474">
        <f t="shared" si="1"/>
        <v>0</v>
      </c>
      <c r="G17" s="474">
        <f t="shared" si="2"/>
        <v>0</v>
      </c>
      <c r="H17" s="470">
        <v>7.24</v>
      </c>
      <c r="I17" s="470">
        <f t="shared" si="3"/>
        <v>8.3984000000000005</v>
      </c>
    </row>
    <row r="18" spans="2:13">
      <c r="B18" s="842">
        <v>994</v>
      </c>
      <c r="C18" s="411" t="s">
        <v>1945</v>
      </c>
      <c r="D18" s="474">
        <f t="shared" si="0"/>
        <v>0</v>
      </c>
      <c r="E18" s="474"/>
      <c r="F18" s="474">
        <f t="shared" si="1"/>
        <v>0</v>
      </c>
      <c r="G18" s="474">
        <f t="shared" si="2"/>
        <v>0</v>
      </c>
      <c r="H18" s="470">
        <v>7.24</v>
      </c>
      <c r="I18" s="470">
        <f t="shared" si="3"/>
        <v>8.3984000000000005</v>
      </c>
    </row>
    <row r="19" spans="2:13">
      <c r="B19" s="842">
        <v>3301</v>
      </c>
      <c r="C19" s="411" t="s">
        <v>1948</v>
      </c>
      <c r="D19" s="474">
        <f t="shared" si="0"/>
        <v>0</v>
      </c>
      <c r="E19" s="474"/>
      <c r="F19" s="474">
        <f t="shared" si="1"/>
        <v>0</v>
      </c>
      <c r="G19" s="474">
        <f t="shared" si="2"/>
        <v>0</v>
      </c>
      <c r="H19" s="470">
        <v>9.31</v>
      </c>
      <c r="I19" s="470">
        <f t="shared" si="3"/>
        <v>10.7996</v>
      </c>
    </row>
    <row r="20" spans="2:13">
      <c r="B20" s="842">
        <v>6244</v>
      </c>
      <c r="C20" s="411" t="s">
        <v>1950</v>
      </c>
      <c r="D20" s="474">
        <f t="shared" si="0"/>
        <v>0</v>
      </c>
      <c r="E20" s="474"/>
      <c r="F20" s="474">
        <f t="shared" si="1"/>
        <v>0</v>
      </c>
      <c r="G20" s="474">
        <f t="shared" si="2"/>
        <v>0</v>
      </c>
      <c r="H20" s="470">
        <v>9.31</v>
      </c>
      <c r="I20" s="470">
        <f t="shared" si="3"/>
        <v>10.7996</v>
      </c>
    </row>
    <row r="21" spans="2:13">
      <c r="B21" s="842">
        <v>1528</v>
      </c>
      <c r="C21" s="411" t="s">
        <v>1946</v>
      </c>
      <c r="D21" s="474">
        <f t="shared" si="0"/>
        <v>0</v>
      </c>
      <c r="E21" s="474"/>
      <c r="F21" s="474">
        <f t="shared" si="1"/>
        <v>0</v>
      </c>
      <c r="G21" s="474">
        <f t="shared" si="2"/>
        <v>0</v>
      </c>
      <c r="H21" s="470">
        <v>9.31</v>
      </c>
      <c r="I21" s="470">
        <f t="shared" si="3"/>
        <v>10.7996</v>
      </c>
    </row>
    <row r="22" spans="2:13">
      <c r="B22" s="842">
        <v>1530</v>
      </c>
      <c r="C22" s="411" t="s">
        <v>1947</v>
      </c>
      <c r="D22" s="474">
        <f t="shared" si="0"/>
        <v>0</v>
      </c>
      <c r="E22" s="474"/>
      <c r="F22" s="474">
        <f t="shared" si="1"/>
        <v>0</v>
      </c>
      <c r="G22" s="474">
        <f t="shared" si="2"/>
        <v>0</v>
      </c>
      <c r="H22" s="470">
        <v>9.31</v>
      </c>
      <c r="I22" s="470">
        <f t="shared" si="3"/>
        <v>10.7996</v>
      </c>
    </row>
    <row r="23" spans="2:13" ht="15.75" thickBot="1"/>
    <row r="24" spans="2:13" ht="30">
      <c r="B24" s="837"/>
      <c r="C24" s="454"/>
      <c r="D24" s="449" t="s">
        <v>72</v>
      </c>
      <c r="E24" s="450" t="s">
        <v>67</v>
      </c>
      <c r="F24" s="450" t="s">
        <v>68</v>
      </c>
      <c r="G24" s="451" t="s">
        <v>1663</v>
      </c>
      <c r="H24" s="455" t="s">
        <v>1664</v>
      </c>
      <c r="I24" s="456" t="s">
        <v>743</v>
      </c>
      <c r="J24" s="458" t="s">
        <v>1838</v>
      </c>
      <c r="K24" s="460" t="s">
        <v>1666</v>
      </c>
      <c r="L24" s="460" t="s">
        <v>123</v>
      </c>
      <c r="M24" s="461" t="s">
        <v>1665</v>
      </c>
    </row>
    <row r="25" spans="2:13">
      <c r="B25" s="842">
        <v>13299</v>
      </c>
      <c r="C25" s="411" t="s">
        <v>1957</v>
      </c>
      <c r="D25" s="397">
        <f t="shared" ref="D25:D26" si="4">E25/1000000</f>
        <v>3.0659999999999998</v>
      </c>
      <c r="E25" s="397">
        <v>3066000</v>
      </c>
      <c r="F25" s="384">
        <f>E25*16%</f>
        <v>490560</v>
      </c>
      <c r="G25" s="384">
        <f>E25+F25</f>
        <v>3556560</v>
      </c>
      <c r="H25" s="6">
        <f>E25/E2</f>
        <v>0.74703634345699066</v>
      </c>
      <c r="I25" s="6">
        <f>G25/E2</f>
        <v>0.8665621584101092</v>
      </c>
      <c r="J25" s="384">
        <f>M25/I25</f>
        <v>1.3040033989866611</v>
      </c>
      <c r="K25" s="411" t="s">
        <v>1619</v>
      </c>
      <c r="L25" s="95">
        <v>13299</v>
      </c>
      <c r="M25" s="463">
        <v>1.1299999999999999</v>
      </c>
    </row>
    <row r="26" spans="2:13">
      <c r="B26" s="842">
        <v>13120</v>
      </c>
      <c r="C26" s="411" t="s">
        <v>1956</v>
      </c>
      <c r="D26" s="397">
        <f t="shared" si="4"/>
        <v>5.0274000000000001</v>
      </c>
      <c r="E26" s="397">
        <v>5027400</v>
      </c>
      <c r="F26" s="384">
        <f>E26*16%</f>
        <v>804384</v>
      </c>
      <c r="G26" s="384">
        <f>E26+F26</f>
        <v>5831784</v>
      </c>
      <c r="H26" s="6">
        <f>E26/E2</f>
        <v>1.2249349357781065</v>
      </c>
      <c r="I26" s="6">
        <f>G26/E2</f>
        <v>1.4209245255026037</v>
      </c>
      <c r="J26" s="384">
        <f>M26/I26</f>
        <v>1.2245548364960019</v>
      </c>
      <c r="K26" s="411" t="s">
        <v>1661</v>
      </c>
      <c r="L26" s="95">
        <v>13120</v>
      </c>
      <c r="M26" s="463">
        <v>1.74</v>
      </c>
    </row>
  </sheetData>
  <sortState ref="B4:C24">
    <sortCondition ref="C4:C24"/>
  </sortState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workbookViewId="0">
      <selection activeCell="M115" sqref="M115"/>
    </sheetView>
  </sheetViews>
  <sheetFormatPr baseColWidth="10" defaultRowHeight="15"/>
  <cols>
    <col min="3" max="3" width="14" customWidth="1"/>
    <col min="5" max="5" width="26" customWidth="1"/>
    <col min="6" max="6" width="12.85546875" customWidth="1"/>
    <col min="7" max="7" width="15" customWidth="1"/>
  </cols>
  <sheetData>
    <row r="1" spans="1:15" ht="15.75" thickBot="1"/>
    <row r="2" spans="1:15" s="494" customFormat="1" ht="30">
      <c r="C2" s="650"/>
      <c r="H2" s="672" t="s">
        <v>2804</v>
      </c>
    </row>
    <row r="3" spans="1:15" ht="15.75" thickBot="1">
      <c r="B3" s="958" t="s">
        <v>24</v>
      </c>
      <c r="C3" s="957"/>
      <c r="D3" s="957"/>
      <c r="E3" s="957"/>
      <c r="F3" s="957"/>
      <c r="H3" s="673">
        <f>D19+D35+D54+D69+D89+D105</f>
        <v>1912</v>
      </c>
    </row>
    <row r="4" spans="1:15">
      <c r="A4" s="575" t="s">
        <v>644</v>
      </c>
      <c r="B4" s="575" t="s">
        <v>2775</v>
      </c>
      <c r="C4" s="575" t="s">
        <v>2773</v>
      </c>
      <c r="D4" s="575" t="s">
        <v>2774</v>
      </c>
      <c r="E4" s="575" t="s">
        <v>636</v>
      </c>
      <c r="F4" s="671" t="s">
        <v>951</v>
      </c>
      <c r="J4" s="652"/>
      <c r="K4" s="494"/>
      <c r="L4" s="652"/>
      <c r="M4" s="652"/>
      <c r="N4" s="652"/>
      <c r="O4" s="495"/>
    </row>
    <row r="5" spans="1:15">
      <c r="A5" s="670" t="s">
        <v>1998</v>
      </c>
      <c r="B5" s="652">
        <v>3540022801</v>
      </c>
      <c r="C5" s="652">
        <v>15721</v>
      </c>
      <c r="D5" s="652">
        <v>120</v>
      </c>
      <c r="E5" s="652">
        <v>0.63</v>
      </c>
      <c r="F5" s="403" t="s">
        <v>1619</v>
      </c>
      <c r="J5" s="669"/>
      <c r="K5" s="494"/>
      <c r="L5" s="494"/>
      <c r="M5" s="494"/>
      <c r="N5" s="494"/>
      <c r="O5" s="669"/>
    </row>
    <row r="6" spans="1:15">
      <c r="A6" s="670" t="s">
        <v>1998</v>
      </c>
      <c r="B6" s="652">
        <v>3540022803</v>
      </c>
      <c r="C6" s="652">
        <v>15721</v>
      </c>
      <c r="D6" s="652">
        <v>12</v>
      </c>
      <c r="E6" s="652">
        <v>0.63</v>
      </c>
      <c r="F6" s="403" t="s">
        <v>1619</v>
      </c>
      <c r="J6" s="669"/>
      <c r="K6" s="494"/>
      <c r="L6" s="494"/>
      <c r="M6" s="494"/>
      <c r="N6" s="494"/>
      <c r="O6" s="669"/>
    </row>
    <row r="7" spans="1:15">
      <c r="A7" s="670" t="s">
        <v>2713</v>
      </c>
      <c r="B7" s="652">
        <v>3540023240</v>
      </c>
      <c r="C7" s="652">
        <v>15721</v>
      </c>
      <c r="D7" s="652">
        <v>120</v>
      </c>
      <c r="E7" s="652">
        <v>0.62</v>
      </c>
      <c r="F7" s="403" t="s">
        <v>1619</v>
      </c>
      <c r="J7" s="669"/>
      <c r="K7" s="494"/>
      <c r="L7" s="494"/>
      <c r="M7" s="494"/>
      <c r="N7" s="494"/>
      <c r="O7" s="669"/>
    </row>
    <row r="8" spans="1:15">
      <c r="A8" s="670" t="s">
        <v>2713</v>
      </c>
      <c r="B8" s="652">
        <v>3540023241</v>
      </c>
      <c r="C8" s="652">
        <v>15721</v>
      </c>
      <c r="D8" s="652">
        <v>120</v>
      </c>
      <c r="E8" s="652">
        <v>0.62</v>
      </c>
      <c r="F8" s="403" t="s">
        <v>1619</v>
      </c>
      <c r="J8" s="669"/>
      <c r="K8" s="494"/>
      <c r="L8" s="494"/>
      <c r="M8" s="494"/>
      <c r="N8" s="494"/>
      <c r="O8" s="669"/>
    </row>
    <row r="9" spans="1:15">
      <c r="A9" s="670" t="s">
        <v>2772</v>
      </c>
      <c r="B9" s="652">
        <v>3540024087</v>
      </c>
      <c r="C9" s="652">
        <v>15721</v>
      </c>
      <c r="D9" s="652">
        <v>120</v>
      </c>
      <c r="E9" s="652">
        <v>0.62</v>
      </c>
      <c r="F9" s="403" t="s">
        <v>1619</v>
      </c>
      <c r="J9" s="669"/>
      <c r="K9" s="494"/>
      <c r="L9" s="494"/>
      <c r="M9" s="494"/>
      <c r="N9" s="494"/>
      <c r="O9" s="669"/>
    </row>
    <row r="10" spans="1:15">
      <c r="A10" s="670" t="s">
        <v>2008</v>
      </c>
      <c r="B10" s="652">
        <v>3540021818</v>
      </c>
      <c r="C10" s="652">
        <v>15721</v>
      </c>
      <c r="D10" s="652">
        <v>240</v>
      </c>
      <c r="E10" s="652">
        <v>0.68</v>
      </c>
      <c r="F10" s="403" t="s">
        <v>1619</v>
      </c>
      <c r="J10" s="669"/>
      <c r="K10" s="494"/>
      <c r="L10" s="494"/>
      <c r="M10" s="494"/>
      <c r="N10" s="494"/>
      <c r="O10" s="669"/>
    </row>
    <row r="11" spans="1:15">
      <c r="A11" s="670" t="s">
        <v>2008</v>
      </c>
      <c r="B11" s="652">
        <v>3540021817</v>
      </c>
      <c r="C11" s="652">
        <v>15721</v>
      </c>
      <c r="D11" s="652">
        <v>300</v>
      </c>
      <c r="E11" s="652">
        <v>0.68</v>
      </c>
      <c r="F11" s="403" t="s">
        <v>1619</v>
      </c>
      <c r="J11" s="669"/>
      <c r="K11" s="494"/>
      <c r="L11" s="494"/>
      <c r="M11" s="494"/>
      <c r="N11" s="494"/>
      <c r="O11" s="669"/>
    </row>
    <row r="12" spans="1:15">
      <c r="A12" s="670" t="s">
        <v>2768</v>
      </c>
      <c r="B12" s="652">
        <v>3540021536</v>
      </c>
      <c r="C12" s="652">
        <v>15721</v>
      </c>
      <c r="D12" s="652">
        <v>180</v>
      </c>
      <c r="E12" s="652">
        <v>0.65</v>
      </c>
      <c r="F12" s="403" t="s">
        <v>1619</v>
      </c>
      <c r="J12" s="669"/>
      <c r="K12" s="494"/>
      <c r="L12" s="494"/>
      <c r="M12" s="494"/>
      <c r="N12" s="494"/>
      <c r="O12" s="669"/>
    </row>
    <row r="13" spans="1:15">
      <c r="A13" s="670" t="s">
        <v>2768</v>
      </c>
      <c r="B13" s="652">
        <v>3540021537</v>
      </c>
      <c r="C13" s="652">
        <v>15721</v>
      </c>
      <c r="D13" s="652">
        <v>300</v>
      </c>
      <c r="E13" s="652">
        <v>0.65</v>
      </c>
      <c r="F13" s="403" t="s">
        <v>1619</v>
      </c>
      <c r="J13" s="669"/>
      <c r="K13" s="494"/>
      <c r="L13" s="494"/>
      <c r="M13" s="494"/>
      <c r="N13" s="494"/>
      <c r="O13" s="669"/>
    </row>
    <row r="14" spans="1:15">
      <c r="A14" s="670" t="s">
        <v>2006</v>
      </c>
      <c r="B14" s="652">
        <v>3540020973</v>
      </c>
      <c r="C14" s="652">
        <v>15721</v>
      </c>
      <c r="D14" s="652">
        <v>360</v>
      </c>
      <c r="E14" s="652">
        <v>0.65</v>
      </c>
      <c r="F14" s="403" t="s">
        <v>1619</v>
      </c>
      <c r="J14" s="669"/>
      <c r="K14" s="494"/>
      <c r="L14" s="494"/>
      <c r="M14" s="494"/>
      <c r="N14" s="494"/>
      <c r="O14" s="669"/>
    </row>
    <row r="15" spans="1:15">
      <c r="A15" s="670" t="s">
        <v>2770</v>
      </c>
      <c r="B15" s="652">
        <v>3540019306</v>
      </c>
      <c r="C15" s="652">
        <v>15721</v>
      </c>
      <c r="D15" s="652">
        <v>360</v>
      </c>
      <c r="E15" s="652">
        <v>0.66</v>
      </c>
      <c r="F15" s="403" t="s">
        <v>1619</v>
      </c>
      <c r="J15" s="669"/>
      <c r="K15" s="494"/>
      <c r="L15" s="494"/>
      <c r="M15" s="494"/>
      <c r="N15" s="494"/>
      <c r="O15" s="669"/>
    </row>
    <row r="16" spans="1:15">
      <c r="A16" s="670" t="s">
        <v>2771</v>
      </c>
      <c r="B16" s="652">
        <v>3540018759</v>
      </c>
      <c r="C16" s="652">
        <v>15721</v>
      </c>
      <c r="D16" s="652">
        <v>240</v>
      </c>
      <c r="E16" s="652">
        <v>0.7</v>
      </c>
      <c r="F16" s="403" t="s">
        <v>1619</v>
      </c>
      <c r="J16" s="669"/>
      <c r="K16" s="494"/>
      <c r="L16" s="494"/>
      <c r="M16" s="494"/>
      <c r="N16" s="494"/>
      <c r="O16" s="669"/>
    </row>
    <row r="17" spans="1:15">
      <c r="A17" s="670" t="s">
        <v>2769</v>
      </c>
      <c r="B17" s="652">
        <v>3540020516</v>
      </c>
      <c r="C17" s="652">
        <v>15721</v>
      </c>
      <c r="D17" s="652">
        <v>420</v>
      </c>
      <c r="E17" s="652">
        <v>0.65</v>
      </c>
      <c r="F17" s="403" t="s">
        <v>1619</v>
      </c>
      <c r="J17" s="669"/>
      <c r="K17" s="494"/>
      <c r="L17" s="494"/>
      <c r="M17" s="494"/>
      <c r="N17" s="494"/>
      <c r="O17" s="669"/>
    </row>
    <row r="18" spans="1:15">
      <c r="A18" s="651"/>
      <c r="B18" s="651"/>
      <c r="C18" s="674" t="s">
        <v>300</v>
      </c>
      <c r="D18" s="674">
        <f>SUM(D5:D17)</f>
        <v>2892</v>
      </c>
      <c r="E18" s="651"/>
      <c r="F18" s="494"/>
    </row>
    <row r="19" spans="1:15">
      <c r="A19" s="651"/>
      <c r="B19" s="651"/>
      <c r="C19" s="575" t="s">
        <v>627</v>
      </c>
      <c r="D19" s="575">
        <f>D18/6</f>
        <v>482</v>
      </c>
      <c r="E19" s="651"/>
      <c r="F19" s="494"/>
    </row>
    <row r="20" spans="1:15">
      <c r="A20" s="651"/>
      <c r="B20" s="651"/>
      <c r="C20" s="651"/>
      <c r="D20" s="651"/>
      <c r="E20" s="651"/>
    </row>
    <row r="22" spans="1:15">
      <c r="A22" s="957" t="s">
        <v>25</v>
      </c>
      <c r="B22" s="957"/>
      <c r="C22" s="957"/>
      <c r="D22" s="957"/>
      <c r="E22" s="957"/>
      <c r="F22" s="957"/>
    </row>
    <row r="23" spans="1:15">
      <c r="A23" s="575" t="s">
        <v>644</v>
      </c>
      <c r="B23" s="575" t="s">
        <v>2775</v>
      </c>
      <c r="C23" s="575" t="s">
        <v>2773</v>
      </c>
      <c r="D23" s="575" t="s">
        <v>2774</v>
      </c>
      <c r="E23" s="575" t="s">
        <v>636</v>
      </c>
      <c r="F23" s="671" t="s">
        <v>951</v>
      </c>
    </row>
    <row r="24" spans="1:15">
      <c r="A24" s="652" t="s">
        <v>2711</v>
      </c>
      <c r="B24" s="652">
        <v>3540019048</v>
      </c>
      <c r="C24" s="652">
        <v>15721</v>
      </c>
      <c r="D24" s="652">
        <v>180</v>
      </c>
      <c r="E24" s="652">
        <v>0.66</v>
      </c>
      <c r="F24" s="15" t="s">
        <v>1619</v>
      </c>
    </row>
    <row r="25" spans="1:15">
      <c r="A25" s="652" t="s">
        <v>1967</v>
      </c>
      <c r="B25" s="652">
        <v>3540019880</v>
      </c>
      <c r="C25" s="652">
        <v>15721</v>
      </c>
      <c r="D25" s="652">
        <v>78</v>
      </c>
      <c r="E25" s="652">
        <v>0.65</v>
      </c>
      <c r="F25" s="15" t="s">
        <v>1619</v>
      </c>
    </row>
    <row r="26" spans="1:15">
      <c r="A26" s="652" t="s">
        <v>2769</v>
      </c>
      <c r="B26" s="652">
        <v>3540020513</v>
      </c>
      <c r="C26" s="652">
        <v>15721</v>
      </c>
      <c r="D26" s="652">
        <v>120</v>
      </c>
      <c r="E26" s="652">
        <v>0.65</v>
      </c>
      <c r="F26" s="15" t="s">
        <v>1619</v>
      </c>
    </row>
    <row r="27" spans="1:15">
      <c r="A27" s="652" t="s">
        <v>2769</v>
      </c>
      <c r="B27" s="652">
        <v>3540020514</v>
      </c>
      <c r="C27" s="652">
        <v>15721</v>
      </c>
      <c r="D27" s="652">
        <v>120</v>
      </c>
      <c r="E27" s="652">
        <v>0.65</v>
      </c>
      <c r="F27" s="15" t="s">
        <v>1619</v>
      </c>
    </row>
    <row r="28" spans="1:15">
      <c r="A28" s="652" t="s">
        <v>2006</v>
      </c>
      <c r="B28" s="652">
        <v>3540020971</v>
      </c>
      <c r="C28" s="652">
        <v>15721</v>
      </c>
      <c r="D28" s="652">
        <v>180</v>
      </c>
      <c r="E28" s="652">
        <v>0.65</v>
      </c>
      <c r="F28" s="15" t="s">
        <v>1619</v>
      </c>
    </row>
    <row r="29" spans="1:15">
      <c r="A29" s="652" t="s">
        <v>2008</v>
      </c>
      <c r="B29" s="652">
        <v>3540021814</v>
      </c>
      <c r="C29" s="652">
        <v>15721</v>
      </c>
      <c r="D29" s="652">
        <v>240</v>
      </c>
      <c r="E29" s="652">
        <v>0.67</v>
      </c>
      <c r="F29" s="15" t="s">
        <v>1619</v>
      </c>
    </row>
    <row r="30" spans="1:15">
      <c r="A30" s="652" t="s">
        <v>2768</v>
      </c>
      <c r="B30" s="652">
        <v>3540021535</v>
      </c>
      <c r="C30" s="652">
        <v>15721</v>
      </c>
      <c r="D30" s="652">
        <v>180</v>
      </c>
      <c r="E30" s="652">
        <v>0.65</v>
      </c>
      <c r="F30" s="15" t="s">
        <v>1619</v>
      </c>
    </row>
    <row r="31" spans="1:15">
      <c r="A31" s="652" t="s">
        <v>1998</v>
      </c>
      <c r="B31" s="652">
        <v>3540022799</v>
      </c>
      <c r="C31" s="652">
        <v>15721</v>
      </c>
      <c r="D31" s="652">
        <v>60</v>
      </c>
      <c r="E31" s="652">
        <v>0.63</v>
      </c>
      <c r="F31" s="15" t="s">
        <v>1619</v>
      </c>
    </row>
    <row r="32" spans="1:15">
      <c r="A32" s="652" t="s">
        <v>2713</v>
      </c>
      <c r="B32" s="652">
        <v>3540023239</v>
      </c>
      <c r="C32" s="652">
        <v>15721</v>
      </c>
      <c r="D32" s="652">
        <v>6</v>
      </c>
      <c r="E32" s="652">
        <v>0.62</v>
      </c>
      <c r="F32" s="15" t="s">
        <v>1619</v>
      </c>
    </row>
    <row r="33" spans="1:11">
      <c r="A33" s="652" t="s">
        <v>2772</v>
      </c>
      <c r="B33" s="652">
        <v>3540024085</v>
      </c>
      <c r="C33" s="652">
        <v>15721</v>
      </c>
      <c r="D33" s="652">
        <v>60</v>
      </c>
      <c r="E33" s="652">
        <v>0.62</v>
      </c>
      <c r="F33" s="15" t="s">
        <v>1619</v>
      </c>
    </row>
    <row r="34" spans="1:11">
      <c r="C34" s="667" t="s">
        <v>300</v>
      </c>
      <c r="D34" s="667">
        <f>SUM(D24:D33)</f>
        <v>1224</v>
      </c>
    </row>
    <row r="35" spans="1:11">
      <c r="C35" s="575" t="s">
        <v>627</v>
      </c>
      <c r="D35" s="575">
        <f>D34/6</f>
        <v>204</v>
      </c>
    </row>
    <row r="36" spans="1:11">
      <c r="D36" s="651"/>
      <c r="K36" t="s">
        <v>2792</v>
      </c>
    </row>
    <row r="37" spans="1:11">
      <c r="A37" s="957" t="s">
        <v>26</v>
      </c>
      <c r="B37" s="957"/>
      <c r="C37" s="957"/>
      <c r="D37" s="957"/>
      <c r="E37" s="957"/>
      <c r="F37" s="957"/>
    </row>
    <row r="38" spans="1:11">
      <c r="A38" s="575" t="s">
        <v>644</v>
      </c>
      <c r="B38" s="575" t="s">
        <v>2775</v>
      </c>
      <c r="C38" s="575" t="s">
        <v>2773</v>
      </c>
      <c r="D38" s="575" t="s">
        <v>2774</v>
      </c>
      <c r="E38" s="575" t="s">
        <v>636</v>
      </c>
      <c r="F38" s="671" t="s">
        <v>951</v>
      </c>
    </row>
    <row r="39" spans="1:11">
      <c r="A39" s="652" t="s">
        <v>2776</v>
      </c>
      <c r="B39" s="652" t="s">
        <v>2777</v>
      </c>
      <c r="C39" s="652">
        <v>15721</v>
      </c>
      <c r="D39" s="652">
        <v>240</v>
      </c>
      <c r="E39" s="652">
        <v>0.66</v>
      </c>
      <c r="F39" s="495" t="s">
        <v>1619</v>
      </c>
    </row>
    <row r="40" spans="1:11">
      <c r="A40" s="652" t="s">
        <v>2771</v>
      </c>
      <c r="B40" s="652" t="s">
        <v>2778</v>
      </c>
      <c r="C40" s="652">
        <v>15721</v>
      </c>
      <c r="D40" s="652">
        <v>180</v>
      </c>
      <c r="E40" s="652">
        <v>0.7</v>
      </c>
      <c r="F40" s="495" t="s">
        <v>1619</v>
      </c>
    </row>
    <row r="41" spans="1:11">
      <c r="A41" s="652" t="s">
        <v>2779</v>
      </c>
      <c r="B41" s="652" t="s">
        <v>2780</v>
      </c>
      <c r="C41" s="652">
        <v>15721</v>
      </c>
      <c r="D41" s="652">
        <v>120</v>
      </c>
      <c r="E41" s="652">
        <v>0.65</v>
      </c>
      <c r="F41" s="495" t="s">
        <v>1619</v>
      </c>
    </row>
    <row r="42" spans="1:11">
      <c r="A42" s="652" t="s">
        <v>2779</v>
      </c>
      <c r="B42" s="652" t="s">
        <v>2781</v>
      </c>
      <c r="C42" s="652">
        <v>15721</v>
      </c>
      <c r="D42" s="652">
        <v>240</v>
      </c>
      <c r="E42" s="652">
        <v>0.65</v>
      </c>
      <c r="F42" s="495" t="s">
        <v>1619</v>
      </c>
    </row>
    <row r="43" spans="1:11">
      <c r="A43" s="652" t="s">
        <v>2006</v>
      </c>
      <c r="B43" s="652" t="s">
        <v>2782</v>
      </c>
      <c r="C43" s="652">
        <v>15721</v>
      </c>
      <c r="D43" s="652">
        <v>360</v>
      </c>
      <c r="E43" s="652">
        <v>0.65</v>
      </c>
      <c r="F43" s="495" t="s">
        <v>1619</v>
      </c>
    </row>
    <row r="44" spans="1:11">
      <c r="A44" s="652" t="s">
        <v>2008</v>
      </c>
      <c r="B44" s="652" t="s">
        <v>2783</v>
      </c>
      <c r="C44" s="652">
        <v>15721</v>
      </c>
      <c r="D44" s="652">
        <v>180</v>
      </c>
      <c r="E44" s="652">
        <v>0.68</v>
      </c>
      <c r="F44" s="495" t="s">
        <v>1619</v>
      </c>
    </row>
    <row r="45" spans="1:11">
      <c r="A45" s="652" t="s">
        <v>2008</v>
      </c>
      <c r="B45" s="652" t="s">
        <v>2784</v>
      </c>
      <c r="C45" s="652">
        <v>15721</v>
      </c>
      <c r="D45" s="652">
        <v>180</v>
      </c>
      <c r="E45" s="652">
        <v>0.68</v>
      </c>
      <c r="F45" s="495" t="s">
        <v>1619</v>
      </c>
    </row>
    <row r="46" spans="1:11">
      <c r="A46" s="652" t="s">
        <v>2768</v>
      </c>
      <c r="B46" s="652" t="s">
        <v>2785</v>
      </c>
      <c r="C46" s="652">
        <v>15721</v>
      </c>
      <c r="D46" s="652">
        <v>180</v>
      </c>
      <c r="E46" s="652">
        <v>0.66</v>
      </c>
      <c r="F46" s="495" t="s">
        <v>1619</v>
      </c>
    </row>
    <row r="47" spans="1:11">
      <c r="A47" s="652" t="s">
        <v>2768</v>
      </c>
      <c r="B47" s="652" t="s">
        <v>2786</v>
      </c>
      <c r="C47" s="652">
        <v>15721</v>
      </c>
      <c r="D47" s="652">
        <v>180</v>
      </c>
      <c r="E47" s="652">
        <v>0.66</v>
      </c>
      <c r="F47" s="495" t="s">
        <v>1619</v>
      </c>
    </row>
    <row r="48" spans="1:11">
      <c r="A48" s="652" t="s">
        <v>2713</v>
      </c>
      <c r="B48" s="652" t="s">
        <v>2787</v>
      </c>
      <c r="C48" s="652">
        <v>15721</v>
      </c>
      <c r="D48" s="652">
        <v>300</v>
      </c>
      <c r="E48" s="652">
        <v>0.62</v>
      </c>
      <c r="F48" s="495" t="s">
        <v>1619</v>
      </c>
    </row>
    <row r="49" spans="1:6">
      <c r="A49" s="652" t="s">
        <v>1998</v>
      </c>
      <c r="B49" s="652" t="s">
        <v>2788</v>
      </c>
      <c r="C49" s="652">
        <v>15721</v>
      </c>
      <c r="D49" s="652">
        <v>120</v>
      </c>
      <c r="E49" s="652">
        <v>0.63</v>
      </c>
      <c r="F49" s="495" t="s">
        <v>1619</v>
      </c>
    </row>
    <row r="50" spans="1:6">
      <c r="A50" s="652" t="s">
        <v>2772</v>
      </c>
      <c r="B50" s="652" t="s">
        <v>2789</v>
      </c>
      <c r="C50" s="652">
        <v>15721</v>
      </c>
      <c r="D50" s="652">
        <v>6</v>
      </c>
      <c r="E50" s="652">
        <v>0.62</v>
      </c>
      <c r="F50" s="495" t="s">
        <v>1619</v>
      </c>
    </row>
    <row r="51" spans="1:6">
      <c r="A51" s="652" t="s">
        <v>2772</v>
      </c>
      <c r="B51" s="652" t="s">
        <v>2790</v>
      </c>
      <c r="C51" s="652">
        <v>15721</v>
      </c>
      <c r="D51" s="652">
        <v>60</v>
      </c>
      <c r="E51" s="652">
        <v>0.62</v>
      </c>
      <c r="F51" s="495" t="s">
        <v>1619</v>
      </c>
    </row>
    <row r="52" spans="1:6" ht="15.75" thickBot="1">
      <c r="A52" s="652" t="s">
        <v>2772</v>
      </c>
      <c r="B52" s="652" t="s">
        <v>2791</v>
      </c>
      <c r="C52" s="483">
        <v>15721</v>
      </c>
      <c r="D52" s="483">
        <v>60</v>
      </c>
      <c r="E52" s="652">
        <v>0.62</v>
      </c>
      <c r="F52" s="495" t="s">
        <v>1619</v>
      </c>
    </row>
    <row r="53" spans="1:6">
      <c r="C53" s="675" t="s">
        <v>300</v>
      </c>
      <c r="D53" s="676">
        <f>SUM(D39:D52)</f>
        <v>2406</v>
      </c>
    </row>
    <row r="54" spans="1:6" ht="15.75" thickBot="1">
      <c r="C54" s="677" t="s">
        <v>627</v>
      </c>
      <c r="D54" s="678">
        <f>D53/6</f>
        <v>401</v>
      </c>
    </row>
    <row r="56" spans="1:6">
      <c r="A56" s="957" t="s">
        <v>2794</v>
      </c>
      <c r="B56" s="957"/>
      <c r="C56" s="957"/>
      <c r="D56" s="957"/>
      <c r="E56" s="957"/>
      <c r="F56" s="957"/>
    </row>
    <row r="57" spans="1:6">
      <c r="A57" s="575" t="s">
        <v>644</v>
      </c>
      <c r="B57" s="575" t="s">
        <v>2775</v>
      </c>
      <c r="C57" s="575" t="s">
        <v>2773</v>
      </c>
      <c r="D57" s="575" t="s">
        <v>2774</v>
      </c>
      <c r="E57" s="575" t="s">
        <v>636</v>
      </c>
      <c r="F57" s="671" t="s">
        <v>951</v>
      </c>
    </row>
    <row r="58" spans="1:6">
      <c r="A58" s="668" t="s">
        <v>2771</v>
      </c>
      <c r="B58" s="668">
        <v>3540018812</v>
      </c>
      <c r="C58" s="668">
        <v>15721</v>
      </c>
      <c r="D58" s="668">
        <v>150</v>
      </c>
      <c r="E58" s="668">
        <v>0</v>
      </c>
      <c r="F58" s="495" t="s">
        <v>1619</v>
      </c>
    </row>
    <row r="59" spans="1:6">
      <c r="A59" s="668" t="s">
        <v>2779</v>
      </c>
      <c r="B59" s="668">
        <v>81377814</v>
      </c>
      <c r="C59" s="668">
        <v>15721</v>
      </c>
      <c r="D59" s="668">
        <v>150</v>
      </c>
      <c r="E59" s="668">
        <v>0</v>
      </c>
      <c r="F59" s="495" t="s">
        <v>1619</v>
      </c>
    </row>
    <row r="60" spans="1:6">
      <c r="A60" s="668" t="s">
        <v>2779</v>
      </c>
      <c r="B60" s="668">
        <v>81377815</v>
      </c>
      <c r="C60" s="668">
        <v>15721</v>
      </c>
      <c r="D60" s="668">
        <v>84</v>
      </c>
      <c r="E60" s="668">
        <v>0</v>
      </c>
      <c r="F60" s="495" t="s">
        <v>1619</v>
      </c>
    </row>
    <row r="61" spans="1:6">
      <c r="A61" s="668" t="s">
        <v>2769</v>
      </c>
      <c r="B61" s="668">
        <v>81378478</v>
      </c>
      <c r="C61" s="668">
        <v>15721</v>
      </c>
      <c r="D61" s="668">
        <v>90</v>
      </c>
      <c r="E61" s="668">
        <v>0</v>
      </c>
      <c r="F61" s="495" t="s">
        <v>1619</v>
      </c>
    </row>
    <row r="62" spans="1:6">
      <c r="A62" s="668" t="s">
        <v>2007</v>
      </c>
      <c r="B62" s="668">
        <v>81378990</v>
      </c>
      <c r="C62" s="668">
        <v>15721</v>
      </c>
      <c r="D62" s="668">
        <v>60</v>
      </c>
      <c r="E62" s="668">
        <v>0</v>
      </c>
      <c r="F62" s="495" t="s">
        <v>1619</v>
      </c>
    </row>
    <row r="63" spans="1:6">
      <c r="A63" s="668" t="s">
        <v>2768</v>
      </c>
      <c r="B63" s="668">
        <v>3540021498</v>
      </c>
      <c r="C63" s="668">
        <v>15721</v>
      </c>
      <c r="D63" s="668">
        <v>180</v>
      </c>
      <c r="E63" s="668">
        <v>0</v>
      </c>
      <c r="F63" s="495" t="s">
        <v>1619</v>
      </c>
    </row>
    <row r="64" spans="1:6">
      <c r="A64" s="668" t="s">
        <v>2013</v>
      </c>
      <c r="B64" s="668">
        <v>3540021892</v>
      </c>
      <c r="C64" s="668">
        <v>15721</v>
      </c>
      <c r="D64" s="668">
        <v>72</v>
      </c>
      <c r="E64" s="668">
        <v>0</v>
      </c>
      <c r="F64" s="495" t="s">
        <v>1619</v>
      </c>
    </row>
    <row r="65" spans="1:6">
      <c r="A65" s="668" t="s">
        <v>1998</v>
      </c>
      <c r="B65" s="668">
        <v>3540022786</v>
      </c>
      <c r="C65" s="668">
        <v>15721</v>
      </c>
      <c r="D65" s="668">
        <v>6</v>
      </c>
      <c r="E65" s="668">
        <v>0</v>
      </c>
      <c r="F65" s="495" t="s">
        <v>1619</v>
      </c>
    </row>
    <row r="66" spans="1:6">
      <c r="A66" s="668" t="s">
        <v>2793</v>
      </c>
      <c r="B66" s="668">
        <v>3540023236</v>
      </c>
      <c r="C66" s="668">
        <v>15721</v>
      </c>
      <c r="D66" s="668">
        <v>30</v>
      </c>
      <c r="E66" s="668">
        <v>0</v>
      </c>
      <c r="F66" s="495" t="s">
        <v>1619</v>
      </c>
    </row>
    <row r="67" spans="1:6">
      <c r="A67" s="668" t="s">
        <v>2793</v>
      </c>
      <c r="B67" s="668">
        <v>3540023235</v>
      </c>
      <c r="C67" s="668">
        <v>15721</v>
      </c>
      <c r="D67" s="668">
        <v>60</v>
      </c>
      <c r="E67" s="668">
        <v>0</v>
      </c>
      <c r="F67" s="495" t="s">
        <v>1619</v>
      </c>
    </row>
    <row r="68" spans="1:6">
      <c r="C68" s="667" t="s">
        <v>300</v>
      </c>
      <c r="D68" s="667">
        <f>SUM(D58:D67)</f>
        <v>882</v>
      </c>
    </row>
    <row r="69" spans="1:6">
      <c r="C69" s="575" t="s">
        <v>627</v>
      </c>
      <c r="D69" s="667">
        <f>D68/6</f>
        <v>147</v>
      </c>
    </row>
    <row r="71" spans="1:6">
      <c r="A71" s="915" t="s">
        <v>29</v>
      </c>
      <c r="B71" s="915"/>
      <c r="C71" s="915"/>
      <c r="D71" s="915"/>
      <c r="E71" s="915"/>
      <c r="F71" s="915"/>
    </row>
    <row r="72" spans="1:6">
      <c r="A72" s="575" t="s">
        <v>644</v>
      </c>
      <c r="B72" s="575" t="s">
        <v>2775</v>
      </c>
      <c r="C72" s="575" t="s">
        <v>2773</v>
      </c>
      <c r="D72" s="575" t="s">
        <v>2774</v>
      </c>
      <c r="E72" s="575" t="s">
        <v>636</v>
      </c>
      <c r="F72" s="671" t="s">
        <v>951</v>
      </c>
    </row>
    <row r="73" spans="1:6">
      <c r="A73" s="381" t="s">
        <v>2771</v>
      </c>
      <c r="B73" s="381">
        <v>3540018798</v>
      </c>
      <c r="C73" s="668">
        <v>15721</v>
      </c>
      <c r="D73" s="668">
        <v>180</v>
      </c>
      <c r="E73" s="668">
        <v>0</v>
      </c>
      <c r="F73" s="495" t="s">
        <v>1619</v>
      </c>
    </row>
    <row r="74" spans="1:6">
      <c r="A74" s="381" t="s">
        <v>2795</v>
      </c>
      <c r="B74" s="381">
        <v>3540018993</v>
      </c>
      <c r="C74" s="668">
        <v>15721</v>
      </c>
      <c r="D74" s="668">
        <v>30</v>
      </c>
      <c r="E74" s="668">
        <v>0</v>
      </c>
      <c r="F74" s="495" t="s">
        <v>1619</v>
      </c>
    </row>
    <row r="75" spans="1:6">
      <c r="A75" s="381" t="s">
        <v>1969</v>
      </c>
      <c r="B75" s="381">
        <v>3540020148</v>
      </c>
      <c r="C75" s="668">
        <v>15721</v>
      </c>
      <c r="D75" s="668">
        <v>120</v>
      </c>
      <c r="E75" s="668">
        <v>0</v>
      </c>
      <c r="F75" s="495" t="s">
        <v>1619</v>
      </c>
    </row>
    <row r="76" spans="1:6">
      <c r="A76" s="381" t="s">
        <v>1969</v>
      </c>
      <c r="B76" s="381">
        <v>3540020147</v>
      </c>
      <c r="C76" s="668">
        <v>15721</v>
      </c>
      <c r="D76" s="668">
        <v>240</v>
      </c>
      <c r="E76" s="668">
        <v>0</v>
      </c>
      <c r="F76" s="495" t="s">
        <v>1619</v>
      </c>
    </row>
    <row r="77" spans="1:6">
      <c r="A77" s="381" t="s">
        <v>2796</v>
      </c>
      <c r="B77" s="381">
        <v>3540020289</v>
      </c>
      <c r="C77" s="668">
        <v>15721</v>
      </c>
      <c r="D77" s="668">
        <v>240</v>
      </c>
      <c r="E77" s="668">
        <v>0</v>
      </c>
      <c r="F77" s="495" t="s">
        <v>1619</v>
      </c>
    </row>
    <row r="78" spans="1:6">
      <c r="A78" s="381" t="s">
        <v>2797</v>
      </c>
      <c r="B78" s="381">
        <v>3540020752</v>
      </c>
      <c r="C78" s="668">
        <v>15721</v>
      </c>
      <c r="D78" s="668">
        <v>90</v>
      </c>
      <c r="E78" s="668">
        <v>0</v>
      </c>
      <c r="F78" s="495" t="s">
        <v>1619</v>
      </c>
    </row>
    <row r="79" spans="1:6">
      <c r="A79" s="381" t="s">
        <v>2798</v>
      </c>
      <c r="B79" s="381">
        <v>3540020919</v>
      </c>
      <c r="C79" s="668">
        <v>15721</v>
      </c>
      <c r="D79" s="668">
        <v>360</v>
      </c>
      <c r="E79" s="668">
        <v>0</v>
      </c>
      <c r="F79" s="495" t="s">
        <v>1619</v>
      </c>
    </row>
    <row r="80" spans="1:6">
      <c r="A80" s="381" t="s">
        <v>2799</v>
      </c>
      <c r="B80" s="381">
        <v>3540021665</v>
      </c>
      <c r="C80" s="668">
        <v>15721</v>
      </c>
      <c r="D80" s="668">
        <v>600</v>
      </c>
      <c r="E80" s="668">
        <v>0</v>
      </c>
      <c r="F80" s="495" t="s">
        <v>1619</v>
      </c>
    </row>
    <row r="81" spans="1:6">
      <c r="A81" s="381" t="s">
        <v>2799</v>
      </c>
      <c r="B81" s="381">
        <v>3540021666</v>
      </c>
      <c r="C81" s="668">
        <v>15721</v>
      </c>
      <c r="D81" s="668">
        <v>300</v>
      </c>
      <c r="E81" s="668">
        <v>0</v>
      </c>
      <c r="F81" s="495" t="s">
        <v>1619</v>
      </c>
    </row>
    <row r="82" spans="1:6">
      <c r="A82" s="381" t="s">
        <v>2800</v>
      </c>
      <c r="B82" s="381">
        <v>3540023100</v>
      </c>
      <c r="C82" s="668">
        <v>15721</v>
      </c>
      <c r="D82" s="668">
        <v>240</v>
      </c>
      <c r="E82" s="668">
        <v>0</v>
      </c>
      <c r="F82" s="495" t="s">
        <v>1619</v>
      </c>
    </row>
    <row r="83" spans="1:6">
      <c r="A83" s="381" t="s">
        <v>2800</v>
      </c>
      <c r="B83" s="381">
        <v>3540023101</v>
      </c>
      <c r="C83" s="668">
        <v>15721</v>
      </c>
      <c r="D83" s="668">
        <v>6</v>
      </c>
      <c r="E83" s="668">
        <v>0</v>
      </c>
      <c r="F83" s="495" t="s">
        <v>1619</v>
      </c>
    </row>
    <row r="84" spans="1:6">
      <c r="A84" s="381" t="s">
        <v>2801</v>
      </c>
      <c r="B84" s="381">
        <v>3540023510</v>
      </c>
      <c r="C84" s="668">
        <v>15721</v>
      </c>
      <c r="D84" s="668">
        <v>120</v>
      </c>
      <c r="E84" s="668">
        <v>0</v>
      </c>
      <c r="F84" s="495" t="s">
        <v>1619</v>
      </c>
    </row>
    <row r="85" spans="1:6">
      <c r="A85" s="381" t="s">
        <v>2801</v>
      </c>
      <c r="B85" s="381">
        <v>3540023511</v>
      </c>
      <c r="C85" s="668">
        <v>15721</v>
      </c>
      <c r="D85" s="668">
        <v>60</v>
      </c>
      <c r="E85" s="668">
        <v>0</v>
      </c>
      <c r="F85" s="495" t="s">
        <v>1619</v>
      </c>
    </row>
    <row r="86" spans="1:6">
      <c r="A86" s="381" t="s">
        <v>2802</v>
      </c>
      <c r="B86" s="381">
        <v>3540023582</v>
      </c>
      <c r="C86" s="668">
        <v>15721</v>
      </c>
      <c r="D86" s="668">
        <v>120</v>
      </c>
      <c r="E86" s="668">
        <v>0</v>
      </c>
      <c r="F86" s="495" t="s">
        <v>1619</v>
      </c>
    </row>
    <row r="87" spans="1:6" ht="15.75" thickBot="1">
      <c r="A87" s="381" t="s">
        <v>2803</v>
      </c>
      <c r="B87" s="381">
        <v>3540023880</v>
      </c>
      <c r="C87" s="483">
        <v>15721</v>
      </c>
      <c r="D87" s="483">
        <v>60</v>
      </c>
      <c r="E87" s="668">
        <v>0</v>
      </c>
      <c r="F87" s="495" t="s">
        <v>1619</v>
      </c>
    </row>
    <row r="88" spans="1:6">
      <c r="C88" s="675" t="s">
        <v>300</v>
      </c>
      <c r="D88" s="676">
        <f>SUM(D73:D87)</f>
        <v>2766</v>
      </c>
    </row>
    <row r="89" spans="1:6" ht="15.75" thickBot="1">
      <c r="C89" s="677" t="s">
        <v>627</v>
      </c>
      <c r="D89" s="678">
        <f>D88/6</f>
        <v>461</v>
      </c>
    </row>
    <row r="91" spans="1:6">
      <c r="A91" s="957" t="s">
        <v>778</v>
      </c>
      <c r="B91" s="957"/>
      <c r="C91" s="957"/>
      <c r="D91" s="957"/>
      <c r="E91" s="957"/>
      <c r="F91" s="957"/>
    </row>
    <row r="92" spans="1:6">
      <c r="A92" s="575" t="s">
        <v>644</v>
      </c>
      <c r="B92" s="575" t="s">
        <v>2775</v>
      </c>
      <c r="C92" s="575" t="s">
        <v>2773</v>
      </c>
      <c r="D92" s="575" t="s">
        <v>2774</v>
      </c>
      <c r="E92" s="575" t="s">
        <v>636</v>
      </c>
      <c r="F92" s="671" t="s">
        <v>951</v>
      </c>
    </row>
    <row r="93" spans="1:6">
      <c r="A93" s="668" t="s">
        <v>2711</v>
      </c>
      <c r="B93" s="668">
        <v>3540019053</v>
      </c>
      <c r="C93" s="668">
        <v>15721</v>
      </c>
      <c r="D93" s="668">
        <v>180</v>
      </c>
      <c r="E93" s="668">
        <v>0.66</v>
      </c>
      <c r="F93" s="495" t="s">
        <v>1619</v>
      </c>
    </row>
    <row r="94" spans="1:6">
      <c r="A94" s="668" t="s">
        <v>1969</v>
      </c>
      <c r="B94" s="668">
        <v>3540020168</v>
      </c>
      <c r="C94" s="668">
        <v>15721</v>
      </c>
      <c r="D94" s="668">
        <v>120</v>
      </c>
      <c r="E94" s="668">
        <v>0.65</v>
      </c>
      <c r="F94" s="495" t="s">
        <v>1619</v>
      </c>
    </row>
    <row r="95" spans="1:6">
      <c r="A95" s="668" t="s">
        <v>1969</v>
      </c>
      <c r="B95" s="668">
        <v>3540020167</v>
      </c>
      <c r="C95" s="668">
        <v>15721</v>
      </c>
      <c r="D95" s="668">
        <v>60</v>
      </c>
      <c r="E95" s="668">
        <v>0.65</v>
      </c>
      <c r="F95" s="495" t="s">
        <v>1619</v>
      </c>
    </row>
    <row r="96" spans="1:6">
      <c r="A96" s="668" t="s">
        <v>2805</v>
      </c>
      <c r="B96" s="668">
        <v>3540020672</v>
      </c>
      <c r="C96" s="668">
        <v>15721</v>
      </c>
      <c r="D96" s="668">
        <v>90</v>
      </c>
      <c r="E96" s="668">
        <v>0.65</v>
      </c>
      <c r="F96" s="495" t="s">
        <v>1619</v>
      </c>
    </row>
    <row r="97" spans="1:7">
      <c r="A97" s="668" t="s">
        <v>2806</v>
      </c>
      <c r="B97" s="668">
        <v>3540021320</v>
      </c>
      <c r="C97" s="668">
        <v>15721</v>
      </c>
      <c r="D97" s="668">
        <v>180</v>
      </c>
      <c r="E97" s="668">
        <v>0.66</v>
      </c>
      <c r="F97" s="495" t="s">
        <v>1619</v>
      </c>
    </row>
    <row r="98" spans="1:7">
      <c r="A98" s="668" t="s">
        <v>2807</v>
      </c>
      <c r="B98" s="668">
        <v>3540022480</v>
      </c>
      <c r="C98" s="668">
        <v>15721</v>
      </c>
      <c r="D98" s="668">
        <v>300</v>
      </c>
      <c r="E98" s="668">
        <v>0.67</v>
      </c>
      <c r="F98" s="495" t="s">
        <v>1619</v>
      </c>
    </row>
    <row r="99" spans="1:7">
      <c r="A99" s="668" t="s">
        <v>2808</v>
      </c>
      <c r="B99" s="668">
        <v>3540023023</v>
      </c>
      <c r="C99" s="668">
        <v>15721</v>
      </c>
      <c r="D99" s="668">
        <v>30</v>
      </c>
      <c r="E99" s="668">
        <v>0.63</v>
      </c>
      <c r="F99" s="495" t="s">
        <v>1619</v>
      </c>
    </row>
    <row r="100" spans="1:7">
      <c r="A100" s="668" t="s">
        <v>2809</v>
      </c>
      <c r="B100" s="668">
        <v>3540023429</v>
      </c>
      <c r="C100" s="668">
        <v>15721</v>
      </c>
      <c r="D100" s="668">
        <v>180</v>
      </c>
      <c r="E100" s="668">
        <v>0.62</v>
      </c>
      <c r="F100" s="495" t="s">
        <v>1619</v>
      </c>
    </row>
    <row r="101" spans="1:7">
      <c r="A101" s="668" t="s">
        <v>2809</v>
      </c>
      <c r="B101" s="668">
        <v>3540023430</v>
      </c>
      <c r="C101" s="668">
        <v>15721</v>
      </c>
      <c r="D101" s="668">
        <v>60</v>
      </c>
      <c r="E101" s="668">
        <v>0.62</v>
      </c>
      <c r="F101" s="495" t="s">
        <v>1619</v>
      </c>
    </row>
    <row r="102" spans="1:7">
      <c r="A102" s="668" t="s">
        <v>2810</v>
      </c>
      <c r="B102" s="668">
        <v>3540023805</v>
      </c>
      <c r="C102" s="668">
        <v>15721</v>
      </c>
      <c r="D102" s="668">
        <v>12</v>
      </c>
      <c r="E102" s="668">
        <v>0.62</v>
      </c>
      <c r="F102" s="495" t="s">
        <v>1619</v>
      </c>
    </row>
    <row r="103" spans="1:7" ht="15.75" thickBot="1">
      <c r="A103" s="668" t="s">
        <v>2810</v>
      </c>
      <c r="B103" s="668">
        <v>3540023804</v>
      </c>
      <c r="C103" s="483">
        <v>15721</v>
      </c>
      <c r="D103" s="483">
        <v>90</v>
      </c>
      <c r="E103" s="668">
        <v>0.62</v>
      </c>
      <c r="F103" s="495" t="s">
        <v>1619</v>
      </c>
    </row>
    <row r="104" spans="1:7">
      <c r="A104" s="495"/>
      <c r="B104" s="28"/>
      <c r="C104" s="675" t="s">
        <v>300</v>
      </c>
      <c r="D104" s="676">
        <f>SUM(D93:D103)</f>
        <v>1302</v>
      </c>
      <c r="E104" s="36"/>
      <c r="F104" s="495"/>
    </row>
    <row r="105" spans="1:7" ht="15.75" thickBot="1">
      <c r="C105" s="677" t="s">
        <v>627</v>
      </c>
      <c r="D105" s="678">
        <f>D104/6</f>
        <v>217</v>
      </c>
    </row>
    <row r="110" spans="1:7" ht="45">
      <c r="E110" s="767" t="s">
        <v>3173</v>
      </c>
      <c r="F110" s="768" t="s">
        <v>3171</v>
      </c>
      <c r="G110" s="768" t="s">
        <v>3172</v>
      </c>
    </row>
    <row r="111" spans="1:7">
      <c r="E111" s="317" t="s">
        <v>29</v>
      </c>
      <c r="F111" s="317">
        <v>29</v>
      </c>
      <c r="G111" s="783">
        <v>44579</v>
      </c>
    </row>
    <row r="112" spans="1:7">
      <c r="E112" s="354" t="s">
        <v>3174</v>
      </c>
      <c r="F112" s="354">
        <v>17</v>
      </c>
      <c r="G112" s="784">
        <v>44579</v>
      </c>
    </row>
    <row r="113" spans="5:7">
      <c r="E113" s="354" t="s">
        <v>3174</v>
      </c>
      <c r="F113" s="354">
        <v>20</v>
      </c>
      <c r="G113" s="784">
        <v>44629</v>
      </c>
    </row>
    <row r="114" spans="5:7" s="494" customFormat="1">
      <c r="E114" s="355" t="s">
        <v>637</v>
      </c>
      <c r="F114" s="354">
        <f>SUM(F112:F113)</f>
        <v>37</v>
      </c>
      <c r="G114" s="784"/>
    </row>
    <row r="115" spans="5:7">
      <c r="E115" s="60" t="s">
        <v>3175</v>
      </c>
      <c r="F115" s="60">
        <v>9</v>
      </c>
      <c r="G115" s="785">
        <v>44579</v>
      </c>
    </row>
    <row r="116" spans="5:7">
      <c r="E116" s="769" t="s">
        <v>3176</v>
      </c>
      <c r="F116" s="769">
        <v>61</v>
      </c>
      <c r="G116" s="786">
        <v>44579</v>
      </c>
    </row>
    <row r="117" spans="5:7">
      <c r="E117" s="787" t="s">
        <v>3177</v>
      </c>
      <c r="F117" s="787">
        <v>25</v>
      </c>
      <c r="G117" s="788">
        <v>44579</v>
      </c>
    </row>
    <row r="118" spans="5:7" ht="30">
      <c r="E118" s="789" t="s">
        <v>3178</v>
      </c>
      <c r="F118" s="790">
        <v>40</v>
      </c>
      <c r="G118" s="791">
        <v>44576</v>
      </c>
    </row>
    <row r="119" spans="5:7" ht="30">
      <c r="E119" s="789" t="s">
        <v>3178</v>
      </c>
      <c r="F119" s="790">
        <v>51</v>
      </c>
      <c r="G119" s="791">
        <v>44585</v>
      </c>
    </row>
    <row r="120" spans="5:7" s="494" customFormat="1">
      <c r="E120" s="789" t="s">
        <v>637</v>
      </c>
      <c r="F120" s="790">
        <f>SUM(F118:F119)</f>
        <v>91</v>
      </c>
      <c r="G120" s="791"/>
    </row>
    <row r="121" spans="5:7">
      <c r="E121" s="375" t="s">
        <v>26</v>
      </c>
      <c r="F121" s="375">
        <v>63</v>
      </c>
      <c r="G121" s="792">
        <v>44579</v>
      </c>
    </row>
    <row r="122" spans="5:7">
      <c r="E122" s="787" t="s">
        <v>25</v>
      </c>
      <c r="F122" s="787">
        <v>10</v>
      </c>
      <c r="G122" s="788">
        <v>44576</v>
      </c>
    </row>
    <row r="123" spans="5:7">
      <c r="E123" s="787" t="s">
        <v>25</v>
      </c>
      <c r="F123" s="787">
        <v>5</v>
      </c>
      <c r="G123" s="788">
        <v>44577</v>
      </c>
    </row>
    <row r="124" spans="5:7">
      <c r="E124" s="787" t="s">
        <v>25</v>
      </c>
      <c r="F124" s="787">
        <v>7</v>
      </c>
      <c r="G124" s="788">
        <v>44578</v>
      </c>
    </row>
    <row r="125" spans="5:7">
      <c r="E125" s="787" t="s">
        <v>25</v>
      </c>
      <c r="F125" s="787">
        <v>59</v>
      </c>
      <c r="G125" s="788">
        <v>44579</v>
      </c>
    </row>
    <row r="126" spans="5:7">
      <c r="E126" s="568" t="s">
        <v>637</v>
      </c>
      <c r="F126" s="787">
        <f>SUM(F122:F125)</f>
        <v>81</v>
      </c>
      <c r="G126" s="793"/>
    </row>
  </sheetData>
  <mergeCells count="6">
    <mergeCell ref="A91:F91"/>
    <mergeCell ref="B3:F3"/>
    <mergeCell ref="A22:F22"/>
    <mergeCell ref="A37:F37"/>
    <mergeCell ref="A56:F56"/>
    <mergeCell ref="A71:F71"/>
  </mergeCells>
  <pageMargins left="0.7" right="0.7" top="0.75" bottom="0.75" header="0.3" footer="0.3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B1:M84"/>
  <sheetViews>
    <sheetView topLeftCell="A46" workbookViewId="0">
      <selection activeCell="C36" sqref="C36"/>
    </sheetView>
  </sheetViews>
  <sheetFormatPr baseColWidth="10" defaultRowHeight="15"/>
  <cols>
    <col min="3" max="3" width="55.85546875" customWidth="1"/>
    <col min="4" max="4" width="19.42578125" style="385" customWidth="1"/>
    <col min="5" max="5" width="11.42578125" style="107" customWidth="1"/>
    <col min="6" max="6" width="15" style="107" customWidth="1"/>
    <col min="7" max="7" width="13.28515625" style="107" customWidth="1"/>
    <col min="8" max="8" width="38" customWidth="1"/>
    <col min="9" max="10" width="11.42578125" customWidth="1"/>
    <col min="11" max="11" width="16.140625" customWidth="1"/>
  </cols>
  <sheetData>
    <row r="1" spans="2:13" s="119" customFormat="1">
      <c r="D1" s="385"/>
      <c r="E1" s="701"/>
      <c r="F1" s="702"/>
      <c r="G1" s="107"/>
    </row>
    <row r="2" spans="2:13">
      <c r="C2" s="452" t="s">
        <v>1662</v>
      </c>
      <c r="D2" s="705"/>
      <c r="E2" s="702"/>
      <c r="F2" s="703"/>
    </row>
    <row r="3" spans="2:13" ht="30">
      <c r="D3" s="455" t="s">
        <v>2988</v>
      </c>
      <c r="E3" s="704"/>
      <c r="F3" s="704"/>
      <c r="K3" s="684" t="s">
        <v>2829</v>
      </c>
      <c r="L3" s="684" t="s">
        <v>25</v>
      </c>
      <c r="M3" s="684" t="s">
        <v>26</v>
      </c>
    </row>
    <row r="4" spans="2:13">
      <c r="B4" s="120" t="s">
        <v>0</v>
      </c>
      <c r="C4" s="120" t="s">
        <v>1</v>
      </c>
      <c r="D4" s="6"/>
      <c r="E4" s="405"/>
      <c r="K4" s="495"/>
      <c r="L4" s="495"/>
      <c r="M4" s="495"/>
    </row>
    <row r="5" spans="2:13">
      <c r="B5" s="120">
        <v>884</v>
      </c>
      <c r="C5" s="120" t="s">
        <v>1595</v>
      </c>
      <c r="D5" s="6">
        <v>0.57999999999999996</v>
      </c>
      <c r="E5" s="405"/>
      <c r="K5" s="495">
        <v>10</v>
      </c>
      <c r="L5" s="495"/>
      <c r="M5" s="495"/>
    </row>
    <row r="6" spans="2:13">
      <c r="B6" s="120">
        <v>850</v>
      </c>
      <c r="C6" s="120" t="s">
        <v>1596</v>
      </c>
      <c r="D6" s="6">
        <v>0.25</v>
      </c>
      <c r="E6" s="405"/>
      <c r="K6" s="495">
        <v>10</v>
      </c>
      <c r="L6" s="495"/>
      <c r="M6" s="495"/>
    </row>
    <row r="7" spans="2:13">
      <c r="B7" s="120">
        <v>891</v>
      </c>
      <c r="C7" s="120" t="s">
        <v>1597</v>
      </c>
      <c r="D7" s="6">
        <v>1.85</v>
      </c>
      <c r="E7" s="405"/>
      <c r="K7" s="495">
        <v>40</v>
      </c>
      <c r="L7" s="495"/>
      <c r="M7" s="495"/>
    </row>
    <row r="8" spans="2:13">
      <c r="B8" s="120">
        <v>847</v>
      </c>
      <c r="C8" s="120" t="s">
        <v>1598</v>
      </c>
      <c r="D8" s="6"/>
      <c r="E8" s="405"/>
      <c r="K8" s="495"/>
      <c r="L8" s="495"/>
      <c r="M8" s="495"/>
    </row>
    <row r="9" spans="2:13">
      <c r="B9" s="120">
        <v>9757</v>
      </c>
      <c r="C9" s="120" t="s">
        <v>1599</v>
      </c>
      <c r="D9" s="6">
        <v>0.56999999999999995</v>
      </c>
      <c r="E9" s="405"/>
      <c r="K9" s="495"/>
      <c r="L9" s="495"/>
      <c r="M9" s="495"/>
    </row>
    <row r="10" spans="2:13">
      <c r="B10" s="120">
        <v>13415</v>
      </c>
      <c r="C10" s="120" t="s">
        <v>1600</v>
      </c>
      <c r="D10" s="6">
        <v>0.56999999999999995</v>
      </c>
      <c r="E10" s="405"/>
      <c r="K10" s="495"/>
      <c r="L10" s="495"/>
      <c r="M10" s="495"/>
    </row>
    <row r="11" spans="2:13">
      <c r="B11" s="120">
        <v>8794</v>
      </c>
      <c r="C11" s="120" t="s">
        <v>1938</v>
      </c>
      <c r="D11" s="6">
        <v>0.56999999999999995</v>
      </c>
      <c r="E11" s="405"/>
      <c r="H11" s="63" t="s">
        <v>72</v>
      </c>
      <c r="K11" s="495"/>
      <c r="L11" s="495"/>
      <c r="M11" s="495"/>
    </row>
    <row r="12" spans="2:13">
      <c r="B12" s="120">
        <v>3418</v>
      </c>
      <c r="C12" s="120" t="s">
        <v>1601</v>
      </c>
      <c r="D12" s="6"/>
      <c r="E12" s="405"/>
      <c r="K12" s="495"/>
      <c r="L12" s="495"/>
      <c r="M12" s="495"/>
    </row>
    <row r="13" spans="2:13">
      <c r="B13" s="120">
        <v>3417</v>
      </c>
      <c r="C13" s="120" t="s">
        <v>1602</v>
      </c>
      <c r="D13" s="6"/>
      <c r="E13" s="405"/>
      <c r="K13" s="495"/>
      <c r="L13" s="495"/>
      <c r="M13" s="495"/>
    </row>
    <row r="14" spans="2:13">
      <c r="B14" s="120">
        <v>3512</v>
      </c>
      <c r="C14" s="120" t="s">
        <v>1603</v>
      </c>
      <c r="D14" s="6"/>
      <c r="E14" s="405"/>
      <c r="K14" s="495"/>
      <c r="L14" s="495"/>
      <c r="M14" s="495"/>
    </row>
    <row r="15" spans="2:13">
      <c r="B15" s="120">
        <v>3230</v>
      </c>
      <c r="C15" s="120" t="s">
        <v>1604</v>
      </c>
      <c r="D15" s="6">
        <v>0.98</v>
      </c>
      <c r="E15" s="405"/>
      <c r="K15" s="495">
        <v>4</v>
      </c>
      <c r="L15" s="495"/>
      <c r="M15" s="495"/>
    </row>
    <row r="16" spans="2:13">
      <c r="B16" s="120">
        <v>1628</v>
      </c>
      <c r="C16" s="120" t="s">
        <v>1605</v>
      </c>
      <c r="D16" s="6">
        <v>0.98</v>
      </c>
      <c r="E16" s="405"/>
      <c r="H16" s="107" t="s">
        <v>72</v>
      </c>
      <c r="K16" s="495">
        <v>4</v>
      </c>
      <c r="L16" s="495"/>
      <c r="M16" s="495"/>
    </row>
    <row r="17" spans="2:13">
      <c r="B17" s="120">
        <v>3231</v>
      </c>
      <c r="C17" s="120" t="s">
        <v>1606</v>
      </c>
      <c r="D17" s="6">
        <v>0.98</v>
      </c>
      <c r="E17" s="405"/>
      <c r="K17" s="495">
        <v>5</v>
      </c>
      <c r="L17" s="495"/>
      <c r="M17" s="495"/>
    </row>
    <row r="18" spans="2:13">
      <c r="B18" s="120">
        <v>4282</v>
      </c>
      <c r="C18" s="120" t="s">
        <v>1607</v>
      </c>
      <c r="D18" s="6">
        <v>0.73</v>
      </c>
      <c r="E18" s="405"/>
      <c r="K18" s="495">
        <v>1</v>
      </c>
      <c r="L18" s="495"/>
      <c r="M18" s="495"/>
    </row>
    <row r="19" spans="2:13">
      <c r="B19" s="120">
        <v>4283</v>
      </c>
      <c r="C19" s="120" t="s">
        <v>1608</v>
      </c>
      <c r="D19" s="6">
        <v>0.73</v>
      </c>
      <c r="E19" s="405"/>
      <c r="K19" s="495" t="s">
        <v>72</v>
      </c>
      <c r="L19" s="495"/>
      <c r="M19" s="495"/>
    </row>
    <row r="20" spans="2:13" ht="18" customHeight="1">
      <c r="B20" s="120">
        <v>9488</v>
      </c>
      <c r="C20" s="120" t="s">
        <v>1609</v>
      </c>
      <c r="D20" s="6">
        <v>2</v>
      </c>
      <c r="E20" s="405"/>
      <c r="H20" s="120"/>
      <c r="I20" s="95"/>
      <c r="J20" s="642"/>
      <c r="K20" s="495"/>
      <c r="L20" s="495"/>
      <c r="M20" s="495"/>
    </row>
    <row r="21" spans="2:13">
      <c r="B21" s="120">
        <v>10233</v>
      </c>
      <c r="C21" s="120" t="s">
        <v>1610</v>
      </c>
      <c r="D21" s="6">
        <v>2</v>
      </c>
      <c r="E21" s="405"/>
      <c r="H21" s="120"/>
      <c r="I21" s="95"/>
      <c r="J21" s="29"/>
      <c r="K21" s="495">
        <v>2</v>
      </c>
      <c r="L21" s="495"/>
      <c r="M21" s="495"/>
    </row>
    <row r="22" spans="2:13">
      <c r="B22" s="120">
        <v>1532</v>
      </c>
      <c r="C22" s="120" t="s">
        <v>1611</v>
      </c>
      <c r="D22" s="6">
        <v>2</v>
      </c>
      <c r="E22" s="405"/>
      <c r="H22" s="120"/>
      <c r="I22" s="95"/>
      <c r="J22" s="29"/>
      <c r="K22" s="495">
        <v>5</v>
      </c>
      <c r="L22" s="495"/>
      <c r="M22" s="495"/>
    </row>
    <row r="23" spans="2:13">
      <c r="B23" s="120">
        <v>14381</v>
      </c>
      <c r="C23" s="120" t="s">
        <v>1612</v>
      </c>
      <c r="D23" s="6">
        <v>2</v>
      </c>
      <c r="E23" s="405"/>
      <c r="K23" s="495"/>
      <c r="L23" s="495"/>
      <c r="M23" s="495"/>
    </row>
    <row r="24" spans="2:13">
      <c r="B24" s="120">
        <v>11400</v>
      </c>
      <c r="C24" s="120" t="s">
        <v>1613</v>
      </c>
      <c r="D24" s="6">
        <v>2</v>
      </c>
      <c r="E24" s="405"/>
      <c r="K24" s="495">
        <v>2</v>
      </c>
      <c r="L24" s="495"/>
      <c r="M24" s="495"/>
    </row>
    <row r="25" spans="2:13">
      <c r="B25" s="120">
        <v>1624</v>
      </c>
      <c r="C25" s="120" t="s">
        <v>1614</v>
      </c>
      <c r="D25" s="6">
        <v>0.49</v>
      </c>
      <c r="E25" s="405"/>
      <c r="K25" s="495">
        <v>2</v>
      </c>
      <c r="L25" s="495"/>
      <c r="M25" s="495"/>
    </row>
    <row r="26" spans="2:13">
      <c r="B26" s="120">
        <v>3746</v>
      </c>
      <c r="C26" s="120" t="s">
        <v>1615</v>
      </c>
      <c r="D26" s="6">
        <v>0.49</v>
      </c>
      <c r="E26" s="405"/>
      <c r="K26" s="495"/>
      <c r="L26" s="495"/>
      <c r="M26" s="495"/>
    </row>
    <row r="27" spans="2:13">
      <c r="B27" s="120">
        <v>1623</v>
      </c>
      <c r="C27" s="120" t="s">
        <v>1616</v>
      </c>
      <c r="D27" s="6">
        <v>0.49</v>
      </c>
      <c r="E27" s="405"/>
      <c r="K27" s="495"/>
      <c r="L27" s="495"/>
      <c r="M27" s="495"/>
    </row>
    <row r="28" spans="2:13">
      <c r="B28" s="120">
        <v>9228</v>
      </c>
      <c r="C28" s="120" t="s">
        <v>1617</v>
      </c>
      <c r="D28" s="6">
        <v>0.49</v>
      </c>
      <c r="E28" s="405"/>
      <c r="K28" s="495">
        <v>2</v>
      </c>
      <c r="L28" s="495"/>
      <c r="M28" s="495"/>
    </row>
    <row r="29" spans="2:13" s="412" customFormat="1" ht="15.75" thickBot="1">
      <c r="B29" s="387">
        <v>9770</v>
      </c>
      <c r="C29" s="387" t="s">
        <v>1618</v>
      </c>
      <c r="D29" s="6" t="s">
        <v>72</v>
      </c>
      <c r="E29" s="453"/>
      <c r="F29" s="107"/>
      <c r="G29" s="107"/>
      <c r="K29" s="495"/>
      <c r="L29" s="495"/>
      <c r="M29" s="495"/>
    </row>
    <row r="30" spans="2:13" ht="102" customHeight="1">
      <c r="B30" s="454"/>
      <c r="C30" s="454"/>
      <c r="D30" s="455" t="s">
        <v>2988</v>
      </c>
      <c r="E30" s="706" t="s">
        <v>2828</v>
      </c>
      <c r="F30" s="707" t="s">
        <v>2992</v>
      </c>
      <c r="G30" s="459" t="s">
        <v>2993</v>
      </c>
      <c r="H30" s="460" t="s">
        <v>1666</v>
      </c>
      <c r="I30" s="460" t="s">
        <v>123</v>
      </c>
      <c r="J30" s="709" t="s">
        <v>2995</v>
      </c>
      <c r="K30" s="689" t="s">
        <v>3015</v>
      </c>
      <c r="L30" s="714" t="s">
        <v>3016</v>
      </c>
      <c r="M30" s="495"/>
    </row>
    <row r="31" spans="2:13">
      <c r="B31" s="462">
        <v>15721</v>
      </c>
      <c r="C31" s="402" t="s">
        <v>3013</v>
      </c>
      <c r="D31" s="6">
        <v>0.63</v>
      </c>
      <c r="E31" s="6">
        <f>D31*16%</f>
        <v>0.1008</v>
      </c>
      <c r="F31" s="6">
        <f>D31+E31</f>
        <v>0.73080000000000001</v>
      </c>
      <c r="G31" s="6">
        <f>F31*1.16</f>
        <v>0.84772799999999993</v>
      </c>
      <c r="H31" s="36" t="s">
        <v>1619</v>
      </c>
      <c r="I31" s="95">
        <v>15721</v>
      </c>
      <c r="J31" s="29">
        <v>0.91</v>
      </c>
      <c r="K31" s="495">
        <v>0.85</v>
      </c>
      <c r="L31" s="495">
        <v>0.9</v>
      </c>
      <c r="M31" s="495"/>
    </row>
    <row r="32" spans="2:13" s="119" customFormat="1">
      <c r="B32" s="462">
        <v>15722</v>
      </c>
      <c r="C32" s="402" t="s">
        <v>3014</v>
      </c>
      <c r="D32" s="6">
        <f>0.63+0.4</f>
        <v>1.03</v>
      </c>
      <c r="E32" s="6">
        <f>D32*16%</f>
        <v>0.1648</v>
      </c>
      <c r="F32" s="6">
        <f>D32+E32</f>
        <v>1.1948000000000001</v>
      </c>
      <c r="G32" s="6">
        <v>1.4</v>
      </c>
      <c r="H32" s="36" t="s">
        <v>1661</v>
      </c>
      <c r="I32" s="95">
        <v>15722</v>
      </c>
      <c r="J32" s="29">
        <v>1.4</v>
      </c>
      <c r="K32" s="495">
        <v>1.39</v>
      </c>
      <c r="L32" s="495">
        <v>1.39</v>
      </c>
      <c r="M32" s="495"/>
    </row>
    <row r="33" spans="2:13" s="494" customFormat="1">
      <c r="B33" s="570"/>
      <c r="C33" s="571" t="s">
        <v>3012</v>
      </c>
      <c r="D33" s="6">
        <v>0.4</v>
      </c>
      <c r="E33" s="6" t="s">
        <v>72</v>
      </c>
      <c r="F33" s="384"/>
      <c r="G33" s="6"/>
      <c r="H33" s="113"/>
      <c r="I33" s="9"/>
      <c r="J33" s="686"/>
      <c r="K33" s="495"/>
      <c r="L33" s="495"/>
      <c r="M33" s="495"/>
    </row>
    <row r="34" spans="2:13" s="494" customFormat="1">
      <c r="B34" s="120">
        <v>2863</v>
      </c>
      <c r="C34" s="120" t="s">
        <v>2994</v>
      </c>
      <c r="D34" s="6">
        <v>0.94</v>
      </c>
      <c r="E34" s="6">
        <f>D34*16%</f>
        <v>0.15040000000000001</v>
      </c>
      <c r="F34" s="6">
        <f>D34+E34</f>
        <v>1.0904</v>
      </c>
      <c r="G34" s="6">
        <f>F34*1.24</f>
        <v>1.352096</v>
      </c>
      <c r="H34" s="36" t="s">
        <v>1626</v>
      </c>
      <c r="I34" s="685">
        <v>2863</v>
      </c>
      <c r="J34" s="29">
        <v>1.35</v>
      </c>
      <c r="K34" s="6" t="s">
        <v>72</v>
      </c>
      <c r="L34" s="495"/>
      <c r="M34" s="495"/>
    </row>
    <row r="35" spans="2:13" s="494" customFormat="1">
      <c r="B35" s="120">
        <v>913</v>
      </c>
      <c r="C35" s="120" t="s">
        <v>1627</v>
      </c>
      <c r="D35" s="6">
        <v>1.32</v>
      </c>
      <c r="E35" s="6">
        <f>D35*16%</f>
        <v>0.21120000000000003</v>
      </c>
      <c r="F35" s="6">
        <f>D35+E35</f>
        <v>1.5312000000000001</v>
      </c>
      <c r="G35" s="6">
        <v>1.8</v>
      </c>
      <c r="H35" s="36" t="s">
        <v>1627</v>
      </c>
      <c r="I35" s="685">
        <v>913</v>
      </c>
      <c r="J35" s="424">
        <v>1.8</v>
      </c>
      <c r="K35" s="6" t="s">
        <v>72</v>
      </c>
      <c r="L35" s="495"/>
      <c r="M35" s="495"/>
    </row>
    <row r="36" spans="2:13" s="494" customFormat="1">
      <c r="B36" s="570"/>
      <c r="C36" s="571"/>
      <c r="D36" s="6"/>
      <c r="E36" s="708"/>
      <c r="F36" s="394"/>
      <c r="G36" s="448"/>
      <c r="H36" s="113"/>
      <c r="I36" s="686"/>
      <c r="J36" s="686"/>
      <c r="K36" s="495"/>
      <c r="L36" s="495"/>
      <c r="M36" s="495"/>
    </row>
    <row r="37" spans="2:13" s="494" customFormat="1">
      <c r="B37" s="570"/>
      <c r="C37" s="571"/>
      <c r="D37" s="6"/>
      <c r="E37" s="453"/>
      <c r="F37" s="394"/>
      <c r="G37" s="448" t="s">
        <v>72</v>
      </c>
      <c r="H37" s="113"/>
      <c r="I37" s="686"/>
      <c r="J37" s="686"/>
      <c r="K37" s="495"/>
      <c r="L37" s="495"/>
      <c r="M37" s="495"/>
    </row>
    <row r="38" spans="2:13" s="494" customFormat="1">
      <c r="B38" s="570"/>
      <c r="C38" s="571"/>
      <c r="D38" s="6"/>
      <c r="E38" s="453"/>
      <c r="F38" s="394"/>
      <c r="G38" s="448"/>
      <c r="H38" s="113"/>
      <c r="I38" s="686"/>
      <c r="J38" s="686"/>
      <c r="K38" s="495"/>
      <c r="L38" s="495"/>
      <c r="M38" s="495"/>
    </row>
    <row r="39" spans="2:13" s="494" customFormat="1">
      <c r="B39" s="570"/>
      <c r="C39" s="571"/>
      <c r="D39" s="6"/>
      <c r="E39" s="453"/>
      <c r="F39" s="394"/>
      <c r="G39" s="448"/>
      <c r="H39" s="113"/>
      <c r="I39" s="686"/>
      <c r="J39" s="686"/>
      <c r="K39" s="495"/>
      <c r="L39" s="495"/>
      <c r="M39" s="495"/>
    </row>
    <row r="40" spans="2:13" s="494" customFormat="1">
      <c r="B40" s="570"/>
      <c r="C40" s="571"/>
      <c r="D40" s="6"/>
      <c r="E40" s="453"/>
      <c r="F40" s="394"/>
      <c r="G40" s="448"/>
      <c r="H40" s="113"/>
      <c r="I40" s="686"/>
      <c r="J40" s="686"/>
      <c r="K40" s="495"/>
      <c r="L40" s="495"/>
      <c r="M40" s="495"/>
    </row>
    <row r="41" spans="2:13" ht="15.75" thickBot="1">
      <c r="B41" s="464">
        <v>5356</v>
      </c>
      <c r="C41" s="465" t="s">
        <v>1936</v>
      </c>
      <c r="D41" s="6"/>
      <c r="E41" s="466"/>
      <c r="F41" s="467"/>
      <c r="G41" s="467"/>
      <c r="H41" s="468" t="s">
        <v>72</v>
      </c>
      <c r="I41" s="468"/>
      <c r="J41" s="468"/>
      <c r="K41" s="495"/>
      <c r="L41" s="495"/>
      <c r="M41" s="495"/>
    </row>
    <row r="42" spans="2:13" s="412" customFormat="1" hidden="1">
      <c r="B42" s="312"/>
      <c r="C42" s="312"/>
      <c r="D42" s="6"/>
      <c r="E42" s="457"/>
      <c r="F42" s="107"/>
      <c r="G42" s="107"/>
      <c r="K42" s="495"/>
      <c r="L42" s="495"/>
      <c r="M42" s="495"/>
    </row>
    <row r="43" spans="2:13">
      <c r="B43" s="120">
        <v>10411</v>
      </c>
      <c r="C43" s="120" t="s">
        <v>1937</v>
      </c>
      <c r="D43" s="6">
        <v>0.37</v>
      </c>
      <c r="E43" s="405"/>
      <c r="H43" t="s">
        <v>72</v>
      </c>
      <c r="K43" s="495"/>
      <c r="L43" s="495"/>
      <c r="M43" s="495"/>
    </row>
    <row r="44" spans="2:13" s="494" customFormat="1">
      <c r="B44" s="495"/>
      <c r="C44" s="495" t="s">
        <v>2991</v>
      </c>
      <c r="D44" s="6">
        <v>0.37</v>
      </c>
      <c r="E44" s="405"/>
      <c r="F44" s="107"/>
      <c r="G44" s="107"/>
      <c r="K44" s="495"/>
      <c r="L44" s="495"/>
      <c r="M44" s="495"/>
    </row>
    <row r="45" spans="2:13" ht="14.25" customHeight="1">
      <c r="B45" s="120">
        <v>6357</v>
      </c>
      <c r="C45" s="120" t="s">
        <v>1935</v>
      </c>
      <c r="D45" s="6">
        <v>0.99</v>
      </c>
      <c r="E45" s="405"/>
      <c r="K45" s="495"/>
      <c r="L45" s="495"/>
      <c r="M45" s="495"/>
    </row>
    <row r="46" spans="2:13">
      <c r="B46" s="120">
        <v>911</v>
      </c>
      <c r="C46" s="120" t="s">
        <v>1620</v>
      </c>
      <c r="D46" s="6">
        <v>0.99</v>
      </c>
      <c r="E46" s="405"/>
      <c r="K46" s="495"/>
      <c r="L46" s="495"/>
      <c r="M46" s="495"/>
    </row>
    <row r="47" spans="2:13">
      <c r="B47" s="120">
        <v>1531</v>
      </c>
      <c r="C47" s="120" t="s">
        <v>1621</v>
      </c>
      <c r="D47" s="6">
        <v>1.39</v>
      </c>
      <c r="E47" s="405"/>
      <c r="K47" s="495"/>
      <c r="L47" s="495"/>
      <c r="M47" s="495"/>
    </row>
    <row r="48" spans="2:13">
      <c r="B48" s="120">
        <v>900</v>
      </c>
      <c r="C48" s="120" t="s">
        <v>1622</v>
      </c>
      <c r="D48" s="6">
        <v>0.59</v>
      </c>
      <c r="E48" s="405"/>
      <c r="K48" s="495"/>
      <c r="L48" s="495"/>
      <c r="M48" s="495"/>
    </row>
    <row r="49" spans="2:13">
      <c r="B49" s="120">
        <v>2414</v>
      </c>
      <c r="C49" s="120" t="s">
        <v>1623</v>
      </c>
      <c r="D49" s="6">
        <v>0.99</v>
      </c>
      <c r="E49" s="405"/>
      <c r="K49" s="495"/>
      <c r="L49" s="495"/>
      <c r="M49" s="495"/>
    </row>
    <row r="50" spans="2:13">
      <c r="B50" s="120">
        <v>909</v>
      </c>
      <c r="C50" s="120" t="s">
        <v>728</v>
      </c>
      <c r="D50" s="6">
        <v>1.39</v>
      </c>
      <c r="E50" s="405"/>
      <c r="K50" s="495"/>
      <c r="L50" s="495"/>
      <c r="M50" s="495"/>
    </row>
    <row r="51" spans="2:13">
      <c r="B51" s="120">
        <v>897</v>
      </c>
      <c r="C51" s="120" t="s">
        <v>1624</v>
      </c>
      <c r="D51" s="6">
        <v>0.59</v>
      </c>
      <c r="E51" s="405"/>
      <c r="K51" s="495"/>
      <c r="L51" s="495"/>
      <c r="M51" s="495"/>
    </row>
    <row r="52" spans="2:13">
      <c r="B52" s="120">
        <v>12705</v>
      </c>
      <c r="C52" s="120" t="s">
        <v>1625</v>
      </c>
      <c r="D52" s="6">
        <v>0.59</v>
      </c>
      <c r="E52" s="405"/>
      <c r="K52" s="495"/>
      <c r="L52" s="495"/>
      <c r="M52" s="495"/>
    </row>
    <row r="53" spans="2:13">
      <c r="C53" s="495" t="s">
        <v>2990</v>
      </c>
      <c r="D53" s="385">
        <v>0.74</v>
      </c>
      <c r="E53" s="405"/>
      <c r="K53" s="495"/>
      <c r="L53" s="495"/>
      <c r="M53" s="495"/>
    </row>
    <row r="54" spans="2:13">
      <c r="C54" s="495" t="s">
        <v>2989</v>
      </c>
      <c r="D54" s="385">
        <v>0.74</v>
      </c>
      <c r="E54" s="405"/>
      <c r="K54" s="495"/>
      <c r="L54" s="495"/>
      <c r="M54" s="495"/>
    </row>
    <row r="55" spans="2:13">
      <c r="B55" s="120">
        <v>13746</v>
      </c>
      <c r="C55" s="120" t="s">
        <v>1628</v>
      </c>
      <c r="D55" s="6">
        <v>0.74</v>
      </c>
      <c r="E55" s="405"/>
      <c r="K55" s="495"/>
      <c r="L55" s="495"/>
      <c r="M55" s="495"/>
    </row>
    <row r="56" spans="2:13">
      <c r="B56" s="120">
        <v>3513</v>
      </c>
      <c r="C56" s="120" t="s">
        <v>1629</v>
      </c>
      <c r="D56" s="6">
        <v>0.59</v>
      </c>
      <c r="E56" s="405"/>
      <c r="K56" s="495"/>
      <c r="L56" s="495"/>
      <c r="M56" s="495"/>
    </row>
    <row r="57" spans="2:13">
      <c r="B57" s="120">
        <v>13416</v>
      </c>
      <c r="C57" s="120" t="s">
        <v>1630</v>
      </c>
      <c r="D57" s="6">
        <v>0.59</v>
      </c>
      <c r="E57" s="405"/>
      <c r="K57" s="495"/>
      <c r="L57" s="495"/>
      <c r="M57" s="495"/>
    </row>
    <row r="58" spans="2:13">
      <c r="B58" s="120">
        <v>916</v>
      </c>
      <c r="C58" s="120" t="s">
        <v>730</v>
      </c>
      <c r="D58" s="6">
        <v>1.39</v>
      </c>
      <c r="E58" s="405"/>
      <c r="K58" s="495"/>
      <c r="L58" s="495"/>
      <c r="M58" s="495"/>
    </row>
    <row r="59" spans="2:13">
      <c r="B59" s="120">
        <v>903</v>
      </c>
      <c r="C59" s="120" t="s">
        <v>1631</v>
      </c>
      <c r="D59" s="6">
        <v>0.59</v>
      </c>
      <c r="E59" s="405"/>
      <c r="K59" s="495"/>
      <c r="L59" s="495"/>
      <c r="M59" s="495"/>
    </row>
    <row r="60" spans="2:13">
      <c r="B60" s="120">
        <v>12592</v>
      </c>
      <c r="C60" s="120" t="s">
        <v>1632</v>
      </c>
      <c r="D60" s="6">
        <v>0.99</v>
      </c>
      <c r="E60" s="405"/>
      <c r="K60" s="495"/>
      <c r="L60" s="495"/>
      <c r="M60" s="495"/>
    </row>
    <row r="61" spans="2:13">
      <c r="B61" s="120">
        <v>3427</v>
      </c>
      <c r="C61" s="120" t="s">
        <v>1633</v>
      </c>
      <c r="D61" s="6">
        <v>0.99</v>
      </c>
      <c r="E61" s="405"/>
      <c r="K61" s="495"/>
      <c r="L61" s="495"/>
      <c r="M61" s="495"/>
    </row>
    <row r="62" spans="2:13">
      <c r="B62" s="120">
        <v>1621</v>
      </c>
      <c r="C62" s="120" t="s">
        <v>1634</v>
      </c>
      <c r="D62" s="6">
        <v>0.62</v>
      </c>
      <c r="E62" s="405"/>
      <c r="K62" s="495"/>
      <c r="L62" s="495"/>
      <c r="M62" s="495"/>
    </row>
    <row r="63" spans="2:13">
      <c r="B63" s="120">
        <v>1005</v>
      </c>
      <c r="C63" s="120" t="s">
        <v>1635</v>
      </c>
      <c r="D63" s="6">
        <v>0.37</v>
      </c>
      <c r="E63" s="405"/>
      <c r="K63" s="495"/>
      <c r="L63" s="495"/>
      <c r="M63" s="495"/>
    </row>
    <row r="64" spans="2:13">
      <c r="B64" s="120">
        <v>6300</v>
      </c>
      <c r="C64" s="120" t="s">
        <v>1636</v>
      </c>
      <c r="D64" s="6">
        <v>0.83</v>
      </c>
      <c r="E64" s="405"/>
      <c r="K64" s="495"/>
      <c r="L64" s="495"/>
      <c r="M64" s="495"/>
    </row>
    <row r="65" spans="2:13">
      <c r="B65" s="120">
        <v>6299</v>
      </c>
      <c r="C65" s="120" t="s">
        <v>1637</v>
      </c>
      <c r="D65" s="6" t="e">
        <f>#REF!/#REF!</f>
        <v>#REF!</v>
      </c>
      <c r="E65" s="405"/>
      <c r="K65" s="495"/>
      <c r="L65" s="495"/>
      <c r="M65" s="495"/>
    </row>
    <row r="66" spans="2:13">
      <c r="B66" s="120">
        <v>6563</v>
      </c>
      <c r="C66" s="120" t="s">
        <v>1939</v>
      </c>
      <c r="D66" s="6" t="e">
        <f>#REF!/#REF!</f>
        <v>#REF!</v>
      </c>
      <c r="E66" s="405"/>
      <c r="H66" s="120" t="s">
        <v>72</v>
      </c>
      <c r="K66" s="495"/>
      <c r="L66" s="495"/>
      <c r="M66" s="495"/>
    </row>
    <row r="67" spans="2:13">
      <c r="B67" s="120">
        <v>1629</v>
      </c>
      <c r="C67" s="120" t="s">
        <v>1638</v>
      </c>
      <c r="D67" s="6" t="e">
        <f>#REF!/#REF!</f>
        <v>#REF!</v>
      </c>
      <c r="E67" s="405"/>
      <c r="K67" s="495"/>
      <c r="L67" s="495"/>
      <c r="M67" s="495"/>
    </row>
    <row r="68" spans="2:13">
      <c r="B68" s="120">
        <v>4410</v>
      </c>
      <c r="C68" s="120" t="s">
        <v>1639</v>
      </c>
      <c r="D68" s="6" t="e">
        <f>#REF!/#REF!</f>
        <v>#REF!</v>
      </c>
      <c r="E68" s="405"/>
      <c r="K68" s="495"/>
      <c r="L68" s="495"/>
      <c r="M68" s="495"/>
    </row>
    <row r="69" spans="2:13">
      <c r="B69" s="120">
        <v>1630</v>
      </c>
      <c r="C69" s="120" t="s">
        <v>1640</v>
      </c>
      <c r="D69" s="6" t="e">
        <f>#REF!/#REF!</f>
        <v>#REF!</v>
      </c>
      <c r="E69" s="405"/>
      <c r="K69" s="495"/>
      <c r="L69" s="495"/>
      <c r="M69" s="495"/>
    </row>
    <row r="70" spans="2:13">
      <c r="B70" s="120">
        <v>11851</v>
      </c>
      <c r="C70" s="120" t="s">
        <v>1641</v>
      </c>
      <c r="D70" s="6">
        <v>0.49</v>
      </c>
      <c r="E70" s="405"/>
      <c r="K70" s="495"/>
      <c r="L70" s="495"/>
      <c r="M70" s="495"/>
    </row>
    <row r="71" spans="2:13">
      <c r="B71" s="120">
        <v>3876</v>
      </c>
      <c r="C71" s="120" t="s">
        <v>1642</v>
      </c>
      <c r="D71" s="6">
        <v>0.49</v>
      </c>
      <c r="E71" s="405"/>
      <c r="K71" s="495"/>
      <c r="L71" s="495"/>
      <c r="M71" s="495"/>
    </row>
    <row r="72" spans="2:13">
      <c r="B72" s="120">
        <v>4031</v>
      </c>
      <c r="C72" s="120" t="s">
        <v>1643</v>
      </c>
      <c r="D72" s="6">
        <v>0.49</v>
      </c>
      <c r="E72" s="405"/>
      <c r="K72" s="495"/>
      <c r="L72" s="495"/>
      <c r="M72" s="495"/>
    </row>
    <row r="73" spans="2:13">
      <c r="B73" s="120">
        <v>9153</v>
      </c>
      <c r="C73" s="120" t="s">
        <v>1644</v>
      </c>
      <c r="D73" s="6">
        <v>0.49</v>
      </c>
      <c r="E73" s="405"/>
    </row>
    <row r="80" spans="2:13">
      <c r="C80" s="118"/>
      <c r="D80" s="549"/>
      <c r="E80" s="692"/>
      <c r="F80" s="691"/>
    </row>
    <row r="81" spans="2:7">
      <c r="B81" s="495"/>
      <c r="C81" s="495"/>
      <c r="D81" s="6"/>
      <c r="E81" s="6"/>
      <c r="F81" s="6"/>
      <c r="G81" s="63"/>
    </row>
    <row r="82" spans="2:7">
      <c r="B82" s="495"/>
      <c r="C82" s="495"/>
      <c r="D82" s="6"/>
      <c r="E82" s="6"/>
      <c r="F82" s="6"/>
      <c r="G82" s="63"/>
    </row>
    <row r="83" spans="2:7">
      <c r="E83" s="63"/>
      <c r="F83" s="63"/>
      <c r="G83" s="63"/>
    </row>
    <row r="84" spans="2:7">
      <c r="E84" s="63"/>
      <c r="F84" s="63"/>
      <c r="G84" s="63"/>
    </row>
  </sheetData>
  <pageMargins left="0.7" right="0.7" top="0.75" bottom="0.75" header="0.3" footer="0.3"/>
  <pageSetup paperSize="9" orientation="portrait" r:id="rId1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7"/>
  <sheetViews>
    <sheetView topLeftCell="A41" workbookViewId="0">
      <selection activeCell="J4" sqref="J4:J15"/>
    </sheetView>
  </sheetViews>
  <sheetFormatPr baseColWidth="10" defaultRowHeight="15"/>
  <cols>
    <col min="1" max="1" width="5.140625" customWidth="1"/>
    <col min="3" max="3" width="42.42578125" customWidth="1"/>
    <col min="4" max="4" width="11.42578125" customWidth="1"/>
    <col min="5" max="5" width="20.42578125" style="494" customWidth="1"/>
  </cols>
  <sheetData>
    <row r="3" spans="2:10" ht="27.75" customHeight="1">
      <c r="B3" s="484" t="s">
        <v>123</v>
      </c>
      <c r="C3" s="484" t="s">
        <v>3165</v>
      </c>
      <c r="D3" s="484" t="s">
        <v>636</v>
      </c>
      <c r="E3" s="117" t="s">
        <v>3166</v>
      </c>
      <c r="F3" s="117" t="s">
        <v>3154</v>
      </c>
      <c r="G3" s="484" t="s">
        <v>2001</v>
      </c>
      <c r="H3" s="117" t="s">
        <v>3164</v>
      </c>
    </row>
    <row r="4" spans="2:10">
      <c r="B4" s="764">
        <v>321</v>
      </c>
      <c r="C4" s="764" t="s">
        <v>3153</v>
      </c>
      <c r="D4" s="764">
        <v>3.43</v>
      </c>
      <c r="E4" s="773">
        <f>F4/D4</f>
        <v>1.282798833819242</v>
      </c>
      <c r="F4" s="764">
        <v>4.4000000000000004</v>
      </c>
      <c r="G4" s="764">
        <v>1.5</v>
      </c>
      <c r="H4" s="794">
        <f>F4*G4</f>
        <v>6.6000000000000005</v>
      </c>
      <c r="J4">
        <f>D4*G4</f>
        <v>5.1450000000000005</v>
      </c>
    </row>
    <row r="5" spans="2:10">
      <c r="B5" s="764">
        <v>373</v>
      </c>
      <c r="C5" s="764" t="s">
        <v>3155</v>
      </c>
      <c r="D5" s="764">
        <v>2.4</v>
      </c>
      <c r="E5" s="773">
        <f t="shared" ref="E5:E14" si="0">F5/D5</f>
        <v>1.3166666666666669</v>
      </c>
      <c r="F5" s="764">
        <v>3.16</v>
      </c>
      <c r="G5" s="764">
        <v>0.5</v>
      </c>
      <c r="H5" s="794">
        <f t="shared" ref="H5:H14" si="1">F5*G5</f>
        <v>1.58</v>
      </c>
      <c r="J5" s="494">
        <f t="shared" ref="J5:J14" si="2">D5*G5</f>
        <v>1.2</v>
      </c>
    </row>
    <row r="6" spans="2:10">
      <c r="B6" s="764">
        <v>379</v>
      </c>
      <c r="C6" s="764" t="s">
        <v>3156</v>
      </c>
      <c r="D6" s="764">
        <v>5.95</v>
      </c>
      <c r="E6" s="773">
        <f t="shared" si="0"/>
        <v>1.3327731092436974</v>
      </c>
      <c r="F6" s="764">
        <v>7.93</v>
      </c>
      <c r="G6" s="764">
        <v>1.5</v>
      </c>
      <c r="H6" s="794">
        <f t="shared" si="1"/>
        <v>11.895</v>
      </c>
      <c r="J6" s="494">
        <f t="shared" si="2"/>
        <v>8.9250000000000007</v>
      </c>
    </row>
    <row r="7" spans="2:10">
      <c r="B7" s="764">
        <v>326</v>
      </c>
      <c r="C7" s="764" t="s">
        <v>3157</v>
      </c>
      <c r="D7" s="764">
        <v>2.1</v>
      </c>
      <c r="E7" s="773">
        <f t="shared" si="0"/>
        <v>1.1714285714285713</v>
      </c>
      <c r="F7" s="764">
        <v>2.46</v>
      </c>
      <c r="G7" s="764">
        <v>2.8</v>
      </c>
      <c r="H7" s="794">
        <f t="shared" si="1"/>
        <v>6.8879999999999999</v>
      </c>
      <c r="J7" s="494">
        <f t="shared" si="2"/>
        <v>5.88</v>
      </c>
    </row>
    <row r="8" spans="2:10">
      <c r="B8" s="764">
        <v>836</v>
      </c>
      <c r="C8" s="764" t="s">
        <v>3158</v>
      </c>
      <c r="D8" s="764">
        <v>3.66</v>
      </c>
      <c r="E8" s="773">
        <f t="shared" si="0"/>
        <v>1.3251366120218577</v>
      </c>
      <c r="F8" s="764">
        <v>4.8499999999999996</v>
      </c>
      <c r="G8" s="764">
        <v>0.5</v>
      </c>
      <c r="H8" s="794">
        <f t="shared" si="1"/>
        <v>2.4249999999999998</v>
      </c>
      <c r="J8" s="494">
        <f t="shared" si="2"/>
        <v>1.83</v>
      </c>
    </row>
    <row r="9" spans="2:10">
      <c r="B9" s="764">
        <v>630</v>
      </c>
      <c r="C9" s="764" t="s">
        <v>3159</v>
      </c>
      <c r="D9" s="764">
        <v>2.1800000000000002</v>
      </c>
      <c r="E9" s="773">
        <f t="shared" si="0"/>
        <v>1.4036697247706422</v>
      </c>
      <c r="F9" s="764">
        <v>3.06</v>
      </c>
      <c r="G9" s="764">
        <v>0.5</v>
      </c>
      <c r="H9" s="794">
        <f t="shared" si="1"/>
        <v>1.53</v>
      </c>
      <c r="J9" s="494">
        <f t="shared" si="2"/>
        <v>1.0900000000000001</v>
      </c>
    </row>
    <row r="10" spans="2:10">
      <c r="B10" s="764">
        <v>840</v>
      </c>
      <c r="C10" s="764" t="s">
        <v>3160</v>
      </c>
      <c r="D10" s="764">
        <v>2.14</v>
      </c>
      <c r="E10" s="773">
        <f t="shared" si="0"/>
        <v>1.3317757009345794</v>
      </c>
      <c r="F10" s="764">
        <v>2.85</v>
      </c>
      <c r="G10" s="764">
        <v>0.5</v>
      </c>
      <c r="H10" s="794">
        <f t="shared" si="1"/>
        <v>1.425</v>
      </c>
      <c r="J10" s="494">
        <f t="shared" si="2"/>
        <v>1.07</v>
      </c>
    </row>
    <row r="11" spans="2:10">
      <c r="B11" s="764">
        <v>479</v>
      </c>
      <c r="C11" s="764" t="s">
        <v>1574</v>
      </c>
      <c r="D11" s="764">
        <v>0.22</v>
      </c>
      <c r="E11" s="773">
        <f t="shared" si="0"/>
        <v>1.4090909090909092</v>
      </c>
      <c r="F11" s="764">
        <v>0.31</v>
      </c>
      <c r="G11" s="764">
        <v>2</v>
      </c>
      <c r="H11" s="794">
        <f t="shared" si="1"/>
        <v>0.62</v>
      </c>
      <c r="J11" s="494">
        <f t="shared" si="2"/>
        <v>0.44</v>
      </c>
    </row>
    <row r="12" spans="2:10">
      <c r="B12" s="764">
        <v>2033</v>
      </c>
      <c r="C12" s="764" t="s">
        <v>3161</v>
      </c>
      <c r="D12" s="764">
        <v>0.98</v>
      </c>
      <c r="E12" s="773">
        <f t="shared" si="0"/>
        <v>1.0714285714285714</v>
      </c>
      <c r="F12" s="764">
        <v>1.05</v>
      </c>
      <c r="G12" s="764">
        <v>4</v>
      </c>
      <c r="H12" s="794">
        <f t="shared" si="1"/>
        <v>4.2</v>
      </c>
      <c r="J12" s="494">
        <f t="shared" si="2"/>
        <v>3.92</v>
      </c>
    </row>
    <row r="13" spans="2:10">
      <c r="B13" s="764">
        <v>20749</v>
      </c>
      <c r="C13" s="764" t="s">
        <v>3162</v>
      </c>
      <c r="D13" s="764">
        <v>1.7</v>
      </c>
      <c r="E13" s="773">
        <f t="shared" si="0"/>
        <v>1.6470588235294117</v>
      </c>
      <c r="F13" s="764">
        <v>2.8</v>
      </c>
      <c r="G13" s="764">
        <v>1</v>
      </c>
      <c r="H13" s="794">
        <f t="shared" si="1"/>
        <v>2.8</v>
      </c>
      <c r="J13" s="494">
        <f t="shared" si="2"/>
        <v>1.7</v>
      </c>
    </row>
    <row r="14" spans="2:10">
      <c r="B14" s="764">
        <v>441</v>
      </c>
      <c r="C14" s="764" t="s">
        <v>3163</v>
      </c>
      <c r="D14" s="764">
        <v>2.66</v>
      </c>
      <c r="E14" s="773">
        <f t="shared" si="0"/>
        <v>1.3007518796992481</v>
      </c>
      <c r="F14" s="764">
        <v>3.46</v>
      </c>
      <c r="G14" s="764">
        <v>1</v>
      </c>
      <c r="H14" s="794">
        <f t="shared" si="1"/>
        <v>3.46</v>
      </c>
      <c r="J14" s="494">
        <f t="shared" si="2"/>
        <v>2.66</v>
      </c>
    </row>
    <row r="15" spans="2:10" ht="15.75" thickBot="1">
      <c r="B15" s="764"/>
      <c r="C15" s="764"/>
      <c r="D15" s="764">
        <f>SUM(D4:D14)</f>
        <v>27.419999999999998</v>
      </c>
      <c r="E15" s="764"/>
      <c r="F15" s="764"/>
      <c r="G15" s="483"/>
      <c r="H15" s="795">
        <f>SUM(H4:H14)</f>
        <v>43.423000000000002</v>
      </c>
      <c r="J15">
        <f>SUM(J4:J14)</f>
        <v>33.860000000000007</v>
      </c>
    </row>
    <row r="16" spans="2:10" s="494" customFormat="1" ht="30.75" thickBot="1">
      <c r="B16" s="781"/>
      <c r="C16" s="781"/>
      <c r="D16" s="781"/>
      <c r="E16" s="781"/>
      <c r="F16" s="781"/>
      <c r="G16" s="800" t="s">
        <v>3179</v>
      </c>
      <c r="H16" s="801">
        <f>H15*8%</f>
        <v>3.47384</v>
      </c>
    </row>
    <row r="17" spans="2:10" s="494" customFormat="1" ht="15.75" thickBot="1">
      <c r="B17" s="781"/>
      <c r="C17" s="781"/>
      <c r="D17" s="781"/>
      <c r="E17" s="781"/>
      <c r="F17" s="781"/>
      <c r="G17" s="781"/>
      <c r="H17" s="799">
        <f>+H15-H16</f>
        <v>39.949159999999999</v>
      </c>
    </row>
    <row r="18" spans="2:10">
      <c r="D18" s="765"/>
      <c r="E18" s="765"/>
      <c r="F18" s="765"/>
      <c r="G18" s="765"/>
      <c r="H18" s="765"/>
    </row>
    <row r="19" spans="2:10" hidden="1"/>
    <row r="20" spans="2:10" ht="31.5" customHeight="1">
      <c r="B20" s="484" t="s">
        <v>123</v>
      </c>
      <c r="C20" s="484" t="s">
        <v>3170</v>
      </c>
      <c r="D20" s="484" t="s">
        <v>636</v>
      </c>
      <c r="E20" s="117" t="s">
        <v>3166</v>
      </c>
      <c r="F20" s="117" t="s">
        <v>3154</v>
      </c>
      <c r="G20" s="484" t="s">
        <v>2001</v>
      </c>
      <c r="H20" s="117" t="s">
        <v>3164</v>
      </c>
    </row>
    <row r="21" spans="2:10">
      <c r="B21" s="764">
        <v>326</v>
      </c>
      <c r="C21" s="15" t="s">
        <v>3157</v>
      </c>
      <c r="D21" s="764">
        <v>2.1</v>
      </c>
      <c r="E21" s="773">
        <f t="shared" ref="E21" si="3">F21/D21</f>
        <v>1.1714285714285713</v>
      </c>
      <c r="F21" s="764">
        <v>2.46</v>
      </c>
      <c r="G21" s="764">
        <v>2.8</v>
      </c>
      <c r="H21" s="6">
        <f t="shared" ref="H21:H34" si="4">F21*G21</f>
        <v>6.8879999999999999</v>
      </c>
      <c r="J21">
        <f>D21*G21</f>
        <v>5.88</v>
      </c>
    </row>
    <row r="22" spans="2:10">
      <c r="B22" s="764">
        <v>321</v>
      </c>
      <c r="C22" s="15" t="s">
        <v>3153</v>
      </c>
      <c r="D22" s="764">
        <v>3.43</v>
      </c>
      <c r="E22" s="773">
        <f>F22/D22</f>
        <v>1.282798833819242</v>
      </c>
      <c r="F22" s="764">
        <v>4.4000000000000004</v>
      </c>
      <c r="G22" s="764">
        <v>1</v>
      </c>
      <c r="H22" s="6">
        <f t="shared" si="4"/>
        <v>4.4000000000000004</v>
      </c>
      <c r="J22" s="494">
        <f t="shared" ref="J22:J34" si="5">D22*G22</f>
        <v>3.43</v>
      </c>
    </row>
    <row r="23" spans="2:10">
      <c r="B23" s="764">
        <v>379</v>
      </c>
      <c r="C23" s="15" t="s">
        <v>3156</v>
      </c>
      <c r="D23" s="764">
        <v>5.95</v>
      </c>
      <c r="E23" s="773">
        <f t="shared" ref="E23:E34" si="6">F23/D23</f>
        <v>1.3327731092436974</v>
      </c>
      <c r="F23" s="764">
        <v>7.93</v>
      </c>
      <c r="G23" s="764">
        <v>1</v>
      </c>
      <c r="H23" s="6">
        <f t="shared" si="4"/>
        <v>7.93</v>
      </c>
      <c r="J23" s="494">
        <f t="shared" si="5"/>
        <v>5.95</v>
      </c>
    </row>
    <row r="24" spans="2:10">
      <c r="B24" s="764">
        <v>2033</v>
      </c>
      <c r="C24" s="15" t="s">
        <v>3161</v>
      </c>
      <c r="D24" s="764">
        <v>0.98</v>
      </c>
      <c r="E24" s="773">
        <f t="shared" si="6"/>
        <v>1.0714285714285714</v>
      </c>
      <c r="F24" s="764">
        <v>1.05</v>
      </c>
      <c r="G24" s="764">
        <v>2</v>
      </c>
      <c r="H24" s="6">
        <f t="shared" si="4"/>
        <v>2.1</v>
      </c>
      <c r="J24" s="494">
        <f t="shared" si="5"/>
        <v>1.96</v>
      </c>
    </row>
    <row r="25" spans="2:10">
      <c r="B25" s="351">
        <v>19921</v>
      </c>
      <c r="C25" s="15" t="s">
        <v>2830</v>
      </c>
      <c r="D25" s="351">
        <v>2.27</v>
      </c>
      <c r="E25" s="774">
        <f t="shared" si="6"/>
        <v>1.2995594713656389</v>
      </c>
      <c r="F25" s="351">
        <v>2.95</v>
      </c>
      <c r="G25" s="764">
        <v>1</v>
      </c>
      <c r="H25" s="6">
        <f t="shared" si="4"/>
        <v>2.95</v>
      </c>
      <c r="J25" s="494">
        <f t="shared" si="5"/>
        <v>2.27</v>
      </c>
    </row>
    <row r="26" spans="2:10">
      <c r="B26" s="764">
        <v>836</v>
      </c>
      <c r="C26" s="15" t="s">
        <v>3158</v>
      </c>
      <c r="D26" s="764">
        <v>3.66</v>
      </c>
      <c r="E26" s="773">
        <f t="shared" si="6"/>
        <v>1.3251366120218577</v>
      </c>
      <c r="F26" s="764">
        <v>4.8499999999999996</v>
      </c>
      <c r="G26" s="764">
        <v>0.35</v>
      </c>
      <c r="H26" s="6">
        <f t="shared" si="4"/>
        <v>1.6974999999999998</v>
      </c>
      <c r="J26" s="494">
        <f t="shared" si="5"/>
        <v>1.2809999999999999</v>
      </c>
    </row>
    <row r="27" spans="2:10">
      <c r="B27" s="764">
        <v>840</v>
      </c>
      <c r="C27" s="15" t="s">
        <v>3160</v>
      </c>
      <c r="D27" s="764">
        <v>2.14</v>
      </c>
      <c r="E27" s="773">
        <f t="shared" si="6"/>
        <v>1.3317757009345794</v>
      </c>
      <c r="F27" s="764">
        <v>2.85</v>
      </c>
      <c r="G27" s="764">
        <v>0.15</v>
      </c>
      <c r="H27" s="6">
        <f t="shared" si="4"/>
        <v>0.42749999999999999</v>
      </c>
      <c r="J27" s="494">
        <f t="shared" si="5"/>
        <v>0.32100000000000001</v>
      </c>
    </row>
    <row r="28" spans="2:10">
      <c r="B28" s="764">
        <v>630</v>
      </c>
      <c r="C28" s="15" t="s">
        <v>3159</v>
      </c>
      <c r="D28" s="764">
        <v>2.1800000000000002</v>
      </c>
      <c r="E28" s="773">
        <f t="shared" si="6"/>
        <v>1.5091743119266054</v>
      </c>
      <c r="F28" s="764">
        <v>3.29</v>
      </c>
      <c r="G28" s="764">
        <v>0.15</v>
      </c>
      <c r="H28" s="6">
        <f t="shared" si="4"/>
        <v>0.49349999999999999</v>
      </c>
      <c r="J28" s="494">
        <f t="shared" si="5"/>
        <v>0.32700000000000001</v>
      </c>
    </row>
    <row r="29" spans="2:10">
      <c r="B29" s="351">
        <v>61</v>
      </c>
      <c r="C29" s="15" t="s">
        <v>3167</v>
      </c>
      <c r="D29" s="351">
        <v>1.39</v>
      </c>
      <c r="E29" s="774">
        <f t="shared" si="6"/>
        <v>1.6690647482014389</v>
      </c>
      <c r="F29" s="351">
        <v>2.3199999999999998</v>
      </c>
      <c r="G29" s="764">
        <v>0.5</v>
      </c>
      <c r="H29" s="6">
        <f t="shared" si="4"/>
        <v>1.1599999999999999</v>
      </c>
      <c r="J29" s="494">
        <f t="shared" si="5"/>
        <v>0.69499999999999995</v>
      </c>
    </row>
    <row r="30" spans="2:10">
      <c r="B30" s="351">
        <v>156</v>
      </c>
      <c r="C30" s="15" t="s">
        <v>1918</v>
      </c>
      <c r="D30" s="351">
        <v>0.56000000000000005</v>
      </c>
      <c r="E30" s="774">
        <f t="shared" si="6"/>
        <v>1.7857142857142856</v>
      </c>
      <c r="F30" s="351">
        <v>1</v>
      </c>
      <c r="G30" s="764">
        <v>0.5</v>
      </c>
      <c r="H30" s="6">
        <f t="shared" si="4"/>
        <v>0.5</v>
      </c>
      <c r="J30" s="494">
        <f t="shared" si="5"/>
        <v>0.28000000000000003</v>
      </c>
    </row>
    <row r="31" spans="2:10">
      <c r="B31" s="351">
        <v>865</v>
      </c>
      <c r="C31" s="15" t="s">
        <v>3168</v>
      </c>
      <c r="D31" s="351">
        <v>1.1200000000000001</v>
      </c>
      <c r="E31" s="774">
        <f t="shared" si="6"/>
        <v>1.669642857142857</v>
      </c>
      <c r="F31" s="351">
        <v>1.87</v>
      </c>
      <c r="G31" s="764">
        <v>0.3</v>
      </c>
      <c r="H31" s="6">
        <f t="shared" si="4"/>
        <v>0.56100000000000005</v>
      </c>
      <c r="J31" s="494">
        <f t="shared" si="5"/>
        <v>0.33600000000000002</v>
      </c>
    </row>
    <row r="32" spans="2:10" s="494" customFormat="1">
      <c r="B32" s="776">
        <v>20749</v>
      </c>
      <c r="C32" s="15" t="s">
        <v>3162</v>
      </c>
      <c r="D32" s="776">
        <v>1.7</v>
      </c>
      <c r="E32" s="773">
        <f t="shared" si="6"/>
        <v>1.6470588235294117</v>
      </c>
      <c r="F32" s="776">
        <v>2.8</v>
      </c>
      <c r="G32" s="776">
        <v>1</v>
      </c>
      <c r="H32" s="794">
        <f t="shared" si="4"/>
        <v>2.8</v>
      </c>
      <c r="J32" s="494">
        <f t="shared" si="5"/>
        <v>1.7</v>
      </c>
    </row>
    <row r="33" spans="2:10">
      <c r="B33" s="351">
        <v>20</v>
      </c>
      <c r="C33" s="15" t="s">
        <v>3169</v>
      </c>
      <c r="D33" s="351">
        <v>1</v>
      </c>
      <c r="E33" s="774">
        <f t="shared" si="6"/>
        <v>1.82</v>
      </c>
      <c r="F33" s="351">
        <v>1.82</v>
      </c>
      <c r="G33" s="764">
        <v>0.2</v>
      </c>
      <c r="H33" s="6">
        <f t="shared" si="4"/>
        <v>0.36400000000000005</v>
      </c>
      <c r="J33" s="494">
        <f t="shared" si="5"/>
        <v>0.2</v>
      </c>
    </row>
    <row r="34" spans="2:10">
      <c r="B34" s="764">
        <v>479</v>
      </c>
      <c r="C34" s="15" t="s">
        <v>1574</v>
      </c>
      <c r="D34" s="764">
        <v>0.22</v>
      </c>
      <c r="E34" s="773">
        <f t="shared" si="6"/>
        <v>1.4090909090909092</v>
      </c>
      <c r="F34" s="764">
        <v>0.31</v>
      </c>
      <c r="G34" s="764">
        <v>1</v>
      </c>
      <c r="H34" s="6">
        <f t="shared" si="4"/>
        <v>0.31</v>
      </c>
      <c r="J34" s="494">
        <f t="shared" si="5"/>
        <v>0.22</v>
      </c>
    </row>
    <row r="35" spans="2:10" ht="15.75" thickBot="1">
      <c r="D35">
        <f>SUM(D21:D34)</f>
        <v>28.7</v>
      </c>
      <c r="H35" s="775">
        <f>H21+H22+H23+H24+H25+H26+H27+H28+H29+H30+H31+H32+H33+H34</f>
        <v>32.581499999999998</v>
      </c>
      <c r="J35">
        <f>SUM(J21:J34)</f>
        <v>24.85</v>
      </c>
    </row>
    <row r="36" spans="2:10" ht="30.75" thickBot="1">
      <c r="G36" s="797" t="s">
        <v>3179</v>
      </c>
      <c r="H36" s="798">
        <f>H35*8%</f>
        <v>2.6065199999999997</v>
      </c>
    </row>
    <row r="37" spans="2:10" ht="15.75" thickBot="1">
      <c r="H37" s="796">
        <f>H35-H36</f>
        <v>29.974979999999999</v>
      </c>
    </row>
  </sheetData>
  <pageMargins left="0.25" right="0.25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8:P38"/>
  <sheetViews>
    <sheetView topLeftCell="F2" workbookViewId="0">
      <selection activeCell="F19" sqref="F19"/>
    </sheetView>
  </sheetViews>
  <sheetFormatPr baseColWidth="10" defaultRowHeight="15"/>
  <cols>
    <col min="1" max="1" width="44.7109375" hidden="1" customWidth="1"/>
    <col min="2" max="2" width="13.5703125" hidden="1" customWidth="1"/>
    <col min="3" max="5" width="0" hidden="1" customWidth="1"/>
    <col min="7" max="7" width="27.5703125" style="73" customWidth="1"/>
    <col min="8" max="8" width="34.140625" style="73" customWidth="1"/>
  </cols>
  <sheetData>
    <row r="8" spans="1:16">
      <c r="B8" t="s">
        <v>301</v>
      </c>
      <c r="F8" t="s">
        <v>718</v>
      </c>
      <c r="G8" s="73" t="s">
        <v>717</v>
      </c>
      <c r="H8" s="73" t="s">
        <v>1470</v>
      </c>
    </row>
    <row r="9" spans="1:16">
      <c r="F9" s="377" t="s">
        <v>123</v>
      </c>
      <c r="G9" s="378" t="s">
        <v>113</v>
      </c>
      <c r="H9" s="378"/>
      <c r="I9" s="5" t="s">
        <v>712</v>
      </c>
      <c r="J9" s="5" t="s">
        <v>713</v>
      </c>
      <c r="K9" s="5" t="s">
        <v>714</v>
      </c>
      <c r="L9" s="5" t="s">
        <v>715</v>
      </c>
      <c r="M9" s="5" t="s">
        <v>706</v>
      </c>
      <c r="N9" s="5" t="s">
        <v>716</v>
      </c>
      <c r="O9" s="5"/>
      <c r="P9" s="351" t="s">
        <v>637</v>
      </c>
    </row>
    <row r="10" spans="1:16">
      <c r="A10" s="47" t="s">
        <v>315</v>
      </c>
      <c r="B10" s="47" t="s">
        <v>308</v>
      </c>
      <c r="C10" s="47" t="s">
        <v>0</v>
      </c>
      <c r="D10" s="47" t="s">
        <v>159</v>
      </c>
      <c r="F10" s="377">
        <v>3019</v>
      </c>
      <c r="G10" s="379" t="s">
        <v>312</v>
      </c>
      <c r="H10" s="379"/>
      <c r="I10" s="5">
        <v>112.16500000000001</v>
      </c>
      <c r="J10" s="5">
        <v>10.59</v>
      </c>
      <c r="K10" s="5">
        <v>62.84</v>
      </c>
      <c r="L10" s="5"/>
      <c r="M10" s="5"/>
      <c r="N10" s="5"/>
      <c r="O10" s="5">
        <f t="shared" ref="O10:O15" si="0">SUM(I10:N10)</f>
        <v>185.59500000000003</v>
      </c>
      <c r="P10" s="6">
        <f>O10/5</f>
        <v>37.119000000000007</v>
      </c>
    </row>
    <row r="11" spans="1:16">
      <c r="A11" s="5" t="s">
        <v>303</v>
      </c>
      <c r="B11" s="5" t="s">
        <v>302</v>
      </c>
      <c r="C11" s="5">
        <v>2338</v>
      </c>
      <c r="D11" s="5">
        <v>4050</v>
      </c>
      <c r="F11" s="377">
        <v>630</v>
      </c>
      <c r="G11" s="378" t="s">
        <v>1469</v>
      </c>
      <c r="H11" s="378"/>
      <c r="I11" s="5">
        <v>857.67</v>
      </c>
      <c r="J11" s="5">
        <v>167.42</v>
      </c>
      <c r="K11" s="5">
        <v>281.64999999999998</v>
      </c>
      <c r="L11" s="5"/>
      <c r="M11" s="5"/>
      <c r="N11" s="5"/>
      <c r="O11" s="5">
        <f t="shared" si="0"/>
        <v>1306.7399999999998</v>
      </c>
      <c r="P11" s="6">
        <f>O11/10</f>
        <v>130.67399999999998</v>
      </c>
    </row>
    <row r="12" spans="1:16">
      <c r="A12" s="5" t="s">
        <v>305</v>
      </c>
      <c r="B12" s="5" t="s">
        <v>304</v>
      </c>
      <c r="C12" s="5">
        <v>11888</v>
      </c>
      <c r="D12" s="5">
        <v>130</v>
      </c>
      <c r="F12" s="377">
        <v>840</v>
      </c>
      <c r="G12" s="378" t="s">
        <v>707</v>
      </c>
      <c r="H12" s="378"/>
      <c r="I12" s="5">
        <v>454.9</v>
      </c>
      <c r="J12" s="5">
        <v>59.84</v>
      </c>
      <c r="K12" s="5">
        <v>174.57</v>
      </c>
      <c r="L12" s="5"/>
      <c r="M12" s="5"/>
      <c r="N12" s="5"/>
      <c r="O12" s="5">
        <f t="shared" si="0"/>
        <v>689.31</v>
      </c>
      <c r="P12" s="6">
        <f>O12/35</f>
        <v>19.694571428571425</v>
      </c>
    </row>
    <row r="13" spans="1:16">
      <c r="A13" s="5" t="s">
        <v>307</v>
      </c>
      <c r="B13" s="5" t="s">
        <v>306</v>
      </c>
      <c r="C13" s="5">
        <v>2341</v>
      </c>
      <c r="D13" s="5">
        <v>700</v>
      </c>
      <c r="F13" s="377">
        <v>836</v>
      </c>
      <c r="G13" s="378" t="s">
        <v>708</v>
      </c>
      <c r="H13" s="378"/>
      <c r="I13" s="5">
        <v>831.87</v>
      </c>
      <c r="J13" s="5">
        <v>156.74</v>
      </c>
      <c r="K13" s="5">
        <v>310.5</v>
      </c>
      <c r="L13" s="5"/>
      <c r="M13" s="5"/>
      <c r="N13" s="5"/>
      <c r="O13" s="5">
        <f t="shared" si="0"/>
        <v>1299.1100000000001</v>
      </c>
      <c r="P13" s="6">
        <f>O13/15</f>
        <v>86.607333333333344</v>
      </c>
    </row>
    <row r="14" spans="1:16">
      <c r="F14" s="377">
        <v>845</v>
      </c>
      <c r="G14" s="378" t="s">
        <v>710</v>
      </c>
      <c r="H14" s="378"/>
      <c r="I14" s="5">
        <v>6</v>
      </c>
      <c r="J14" s="5">
        <v>0</v>
      </c>
      <c r="K14" s="5">
        <v>29.75</v>
      </c>
      <c r="L14" s="5"/>
      <c r="M14" s="5"/>
      <c r="N14" s="5"/>
      <c r="O14" s="5">
        <f t="shared" si="0"/>
        <v>35.75</v>
      </c>
      <c r="P14" s="6">
        <f>O14/10</f>
        <v>3.5750000000000002</v>
      </c>
    </row>
    <row r="15" spans="1:16">
      <c r="A15" s="47" t="s">
        <v>314</v>
      </c>
      <c r="B15" s="47" t="s">
        <v>308</v>
      </c>
      <c r="C15" s="47" t="s">
        <v>0</v>
      </c>
      <c r="D15" s="47" t="s">
        <v>159</v>
      </c>
      <c r="F15" s="5">
        <v>842</v>
      </c>
      <c r="G15" s="15" t="s">
        <v>711</v>
      </c>
      <c r="H15" s="15"/>
      <c r="I15" s="5">
        <v>0</v>
      </c>
      <c r="J15" s="5">
        <v>0</v>
      </c>
      <c r="K15" s="5">
        <v>0</v>
      </c>
      <c r="L15" s="5"/>
      <c r="M15" s="5"/>
      <c r="N15" s="5"/>
      <c r="O15" s="5">
        <f t="shared" si="0"/>
        <v>0</v>
      </c>
      <c r="P15" s="6"/>
    </row>
    <row r="16" spans="1:16">
      <c r="A16" s="51" t="s">
        <v>310</v>
      </c>
      <c r="B16" s="49" t="s">
        <v>309</v>
      </c>
      <c r="C16" s="50">
        <v>4488</v>
      </c>
      <c r="D16" s="50">
        <v>5</v>
      </c>
      <c r="F16" s="638">
        <v>9584</v>
      </c>
      <c r="G16" s="73" t="s">
        <v>1079</v>
      </c>
      <c r="H16" s="73" t="s">
        <v>1471</v>
      </c>
    </row>
    <row r="17" spans="1:16">
      <c r="A17" s="51" t="s">
        <v>312</v>
      </c>
      <c r="B17" s="49" t="s">
        <v>311</v>
      </c>
      <c r="C17" s="50">
        <v>7777</v>
      </c>
      <c r="D17" s="50">
        <v>100</v>
      </c>
      <c r="F17" s="5">
        <v>397</v>
      </c>
      <c r="G17" s="15" t="s">
        <v>709</v>
      </c>
      <c r="H17" s="15"/>
      <c r="I17" s="5">
        <v>44.79</v>
      </c>
      <c r="J17" s="5">
        <v>44.79</v>
      </c>
      <c r="K17" s="5">
        <v>44.79</v>
      </c>
      <c r="L17" s="5">
        <v>44.79</v>
      </c>
      <c r="M17" s="5">
        <v>44.79</v>
      </c>
      <c r="N17" s="5">
        <v>44.79</v>
      </c>
      <c r="O17" s="5">
        <v>44.79</v>
      </c>
      <c r="P17" s="6">
        <f>O17</f>
        <v>44.79</v>
      </c>
    </row>
    <row r="18" spans="1:16">
      <c r="A18" s="51" t="s">
        <v>310</v>
      </c>
      <c r="B18" s="49" t="s">
        <v>313</v>
      </c>
      <c r="C18" s="50">
        <v>4488</v>
      </c>
      <c r="D18" s="50">
        <v>6</v>
      </c>
      <c r="F18" s="638">
        <v>479</v>
      </c>
      <c r="G18" s="73" t="s">
        <v>1574</v>
      </c>
    </row>
    <row r="19" spans="1:16">
      <c r="G19" s="73" t="s">
        <v>2705</v>
      </c>
    </row>
    <row r="21" spans="1:16">
      <c r="A21" s="54" t="s">
        <v>320</v>
      </c>
      <c r="B21" s="52" t="s">
        <v>316</v>
      </c>
      <c r="C21" s="53" t="s">
        <v>0</v>
      </c>
      <c r="D21" s="52" t="s">
        <v>159</v>
      </c>
    </row>
    <row r="22" spans="1:16">
      <c r="A22" s="49" t="s">
        <v>312</v>
      </c>
      <c r="B22" s="49" t="s">
        <v>317</v>
      </c>
      <c r="C22" s="48">
        <v>7777</v>
      </c>
      <c r="D22" s="50">
        <v>50</v>
      </c>
      <c r="E22" t="s">
        <v>279</v>
      </c>
      <c r="F22" s="495" t="s">
        <v>308</v>
      </c>
      <c r="G22" s="640" t="s">
        <v>1966</v>
      </c>
      <c r="H22" s="639" t="s">
        <v>2706</v>
      </c>
      <c r="I22" s="633" t="s">
        <v>0</v>
      </c>
      <c r="J22" s="633" t="s">
        <v>159</v>
      </c>
      <c r="K22" s="633" t="s">
        <v>620</v>
      </c>
      <c r="L22" s="888" t="s">
        <v>1</v>
      </c>
      <c r="M22" s="889"/>
    </row>
    <row r="23" spans="1:16">
      <c r="A23" s="49" t="s">
        <v>318</v>
      </c>
      <c r="B23" s="49" t="s">
        <v>317</v>
      </c>
      <c r="C23" s="48">
        <v>8048</v>
      </c>
      <c r="D23" s="50">
        <v>5</v>
      </c>
      <c r="E23" t="s">
        <v>321</v>
      </c>
      <c r="F23" s="495" t="s">
        <v>2707</v>
      </c>
      <c r="G23" s="633">
        <v>118042950</v>
      </c>
      <c r="H23" s="15" t="s">
        <v>2708</v>
      </c>
      <c r="I23" s="633">
        <v>5903</v>
      </c>
      <c r="J23" s="633">
        <v>309.27800000000002</v>
      </c>
      <c r="K23" s="633">
        <v>4.24</v>
      </c>
      <c r="L23" s="495" t="s">
        <v>2709</v>
      </c>
      <c r="M23" s="419"/>
    </row>
    <row r="24" spans="1:16">
      <c r="A24" s="49" t="s">
        <v>310</v>
      </c>
      <c r="B24" s="49" t="s">
        <v>319</v>
      </c>
      <c r="C24" s="48">
        <v>4488</v>
      </c>
      <c r="D24" s="50">
        <v>15</v>
      </c>
      <c r="E24" t="s">
        <v>322</v>
      </c>
      <c r="F24" s="495" t="s">
        <v>2710</v>
      </c>
      <c r="G24" s="633">
        <v>118043542</v>
      </c>
      <c r="H24" s="15" t="s">
        <v>2708</v>
      </c>
      <c r="I24" s="633">
        <v>5903</v>
      </c>
      <c r="J24" s="633">
        <v>16.86</v>
      </c>
      <c r="K24" s="633">
        <v>4.24</v>
      </c>
      <c r="L24" s="495" t="s">
        <v>2709</v>
      </c>
    </row>
    <row r="25" spans="1:16">
      <c r="B25" s="49"/>
      <c r="F25" s="495" t="s">
        <v>2711</v>
      </c>
      <c r="G25" s="633">
        <v>118057486</v>
      </c>
      <c r="H25" s="15" t="s">
        <v>2708</v>
      </c>
      <c r="I25" s="633">
        <v>5903</v>
      </c>
      <c r="J25" s="633">
        <v>32.198</v>
      </c>
      <c r="K25" s="633">
        <v>3.85</v>
      </c>
      <c r="L25" s="495" t="s">
        <v>2709</v>
      </c>
    </row>
    <row r="26" spans="1:16">
      <c r="F26" s="495" t="s">
        <v>2712</v>
      </c>
      <c r="G26" s="633">
        <v>1108059512</v>
      </c>
      <c r="H26" s="15" t="s">
        <v>2708</v>
      </c>
      <c r="I26" s="633">
        <v>5903</v>
      </c>
      <c r="J26" s="633">
        <v>79.634</v>
      </c>
      <c r="K26" s="633">
        <v>4.99</v>
      </c>
      <c r="L26" s="495" t="s">
        <v>2709</v>
      </c>
    </row>
    <row r="27" spans="1:16">
      <c r="F27" s="495" t="s">
        <v>2713</v>
      </c>
      <c r="G27" s="633">
        <v>118061398</v>
      </c>
      <c r="H27" s="15" t="s">
        <v>2708</v>
      </c>
      <c r="I27" s="633">
        <v>5903</v>
      </c>
      <c r="J27" s="633">
        <v>77.122</v>
      </c>
      <c r="K27" s="633">
        <v>4.72</v>
      </c>
      <c r="L27" s="495" t="s">
        <v>2709</v>
      </c>
    </row>
    <row r="28" spans="1:16">
      <c r="F28" s="495" t="s">
        <v>2714</v>
      </c>
      <c r="G28" s="633">
        <v>7518</v>
      </c>
      <c r="H28" s="15" t="s">
        <v>2715</v>
      </c>
      <c r="I28" s="633">
        <v>5903</v>
      </c>
      <c r="J28" s="633">
        <v>299.8</v>
      </c>
      <c r="K28" s="633">
        <v>1574700</v>
      </c>
      <c r="L28" s="495" t="s">
        <v>2709</v>
      </c>
    </row>
    <row r="29" spans="1:16">
      <c r="F29" s="495" t="s">
        <v>2714</v>
      </c>
      <c r="G29" s="633">
        <v>1784</v>
      </c>
      <c r="H29" s="15" t="s">
        <v>2716</v>
      </c>
      <c r="I29" s="633">
        <v>5903</v>
      </c>
      <c r="J29" s="633">
        <v>305.75</v>
      </c>
      <c r="K29" s="633">
        <v>1574700</v>
      </c>
      <c r="L29" s="495" t="s">
        <v>2709</v>
      </c>
    </row>
    <row r="30" spans="1:16">
      <c r="F30" s="495"/>
      <c r="G30" s="633"/>
      <c r="H30" s="495"/>
      <c r="I30" s="633"/>
      <c r="J30" s="633">
        <f>SUM(J23:J29)</f>
        <v>1120.6420000000001</v>
      </c>
      <c r="K30" s="633"/>
      <c r="L30" s="495"/>
    </row>
    <row r="31" spans="1:16" ht="30">
      <c r="A31" s="69" t="s">
        <v>641</v>
      </c>
      <c r="B31" s="69" t="s">
        <v>640</v>
      </c>
      <c r="C31" s="69" t="s">
        <v>644</v>
      </c>
      <c r="D31" s="70" t="s">
        <v>643</v>
      </c>
      <c r="F31" s="495"/>
      <c r="G31" s="633"/>
      <c r="H31" s="495"/>
      <c r="I31" s="633"/>
      <c r="J31" s="633"/>
      <c r="K31" s="633"/>
      <c r="L31" s="495"/>
    </row>
    <row r="32" spans="1:16">
      <c r="A32" s="67" t="s">
        <v>312</v>
      </c>
      <c r="B32" s="55" t="s">
        <v>279</v>
      </c>
      <c r="C32" s="68">
        <v>44442</v>
      </c>
      <c r="D32" s="5">
        <v>3019</v>
      </c>
      <c r="F32" s="495"/>
      <c r="G32" s="633"/>
      <c r="H32" s="495"/>
      <c r="I32" s="633"/>
      <c r="J32" s="633"/>
      <c r="K32" s="633"/>
      <c r="L32" s="495"/>
    </row>
    <row r="33" spans="1:12">
      <c r="A33" s="55" t="s">
        <v>642</v>
      </c>
      <c r="B33" s="55" t="s">
        <v>279</v>
      </c>
      <c r="C33" s="68">
        <v>44442</v>
      </c>
      <c r="D33" s="5">
        <v>630</v>
      </c>
      <c r="F33" s="495"/>
      <c r="G33" s="633"/>
      <c r="H33" s="495"/>
      <c r="I33" s="633"/>
      <c r="J33" s="633"/>
      <c r="K33" s="633"/>
      <c r="L33" s="495"/>
    </row>
    <row r="34" spans="1:12">
      <c r="A34" s="15" t="s">
        <v>707</v>
      </c>
      <c r="B34" s="105" t="s">
        <v>764</v>
      </c>
      <c r="C34" s="106">
        <v>44446</v>
      </c>
      <c r="D34">
        <v>840</v>
      </c>
      <c r="F34" s="495"/>
      <c r="G34" s="633"/>
      <c r="H34" s="495"/>
      <c r="I34" s="633"/>
      <c r="J34" s="633"/>
      <c r="K34" s="633"/>
      <c r="L34" s="495"/>
    </row>
    <row r="35" spans="1:12">
      <c r="F35" s="495"/>
      <c r="G35" s="633"/>
      <c r="H35" s="495"/>
      <c r="I35" s="633"/>
      <c r="J35" s="633"/>
      <c r="K35" s="633"/>
      <c r="L35" s="495"/>
    </row>
    <row r="36" spans="1:12">
      <c r="F36" s="495"/>
      <c r="G36" s="633"/>
      <c r="H36" s="495"/>
      <c r="I36" s="633"/>
      <c r="J36" s="633"/>
      <c r="K36" s="633"/>
      <c r="L36" s="495"/>
    </row>
    <row r="37" spans="1:12">
      <c r="F37" s="495"/>
      <c r="G37" s="633"/>
      <c r="H37" s="495"/>
      <c r="I37" s="633"/>
      <c r="J37" s="633"/>
      <c r="K37" s="633"/>
      <c r="L37" s="495"/>
    </row>
    <row r="38" spans="1:12">
      <c r="F38" s="495"/>
      <c r="G38" s="633"/>
      <c r="H38" s="495"/>
      <c r="I38" s="633"/>
      <c r="J38" s="633"/>
      <c r="K38" s="633"/>
      <c r="L38" s="495"/>
    </row>
  </sheetData>
  <mergeCells count="1">
    <mergeCell ref="L22:M22"/>
  </mergeCells>
  <pageMargins left="0.7" right="0.7" top="0.75" bottom="0.75" header="0.3" footer="0.3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"/>
  <sheetViews>
    <sheetView workbookViewId="0">
      <selection activeCell="C20" sqref="C20"/>
    </sheetView>
  </sheetViews>
  <sheetFormatPr baseColWidth="10" defaultRowHeight="15"/>
  <cols>
    <col min="4" max="4" width="39.85546875" customWidth="1"/>
  </cols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13"/>
  <sheetViews>
    <sheetView workbookViewId="0">
      <selection activeCell="D20" sqref="D20"/>
    </sheetView>
  </sheetViews>
  <sheetFormatPr baseColWidth="10" defaultRowHeight="15"/>
  <cols>
    <col min="2" max="2" width="9.85546875" customWidth="1"/>
    <col min="4" max="4" width="38" customWidth="1"/>
    <col min="5" max="5" width="15.42578125" customWidth="1"/>
    <col min="6" max="6" width="14.28515625" customWidth="1"/>
  </cols>
  <sheetData>
    <row r="2" spans="2:9">
      <c r="D2" t="s">
        <v>1483</v>
      </c>
    </row>
    <row r="4" spans="2:9" ht="47.25" customHeight="1">
      <c r="B4" s="22" t="s">
        <v>276</v>
      </c>
      <c r="C4" s="836" t="s">
        <v>3217</v>
      </c>
      <c r="D4" s="834" t="s">
        <v>113</v>
      </c>
      <c r="E4" s="102" t="s">
        <v>24</v>
      </c>
      <c r="F4" s="102" t="s">
        <v>25</v>
      </c>
      <c r="G4" s="102" t="s">
        <v>26</v>
      </c>
      <c r="H4" s="102" t="s">
        <v>27</v>
      </c>
      <c r="I4" s="102" t="s">
        <v>28</v>
      </c>
    </row>
    <row r="5" spans="2:9">
      <c r="B5" s="95">
        <v>1141</v>
      </c>
      <c r="C5" s="95">
        <v>20</v>
      </c>
      <c r="D5" s="95" t="s">
        <v>1480</v>
      </c>
      <c r="E5" s="842" t="s">
        <v>280</v>
      </c>
      <c r="F5" s="381"/>
      <c r="G5" s="381"/>
      <c r="H5" s="381"/>
      <c r="I5" s="381"/>
    </row>
    <row r="6" spans="2:9">
      <c r="B6" s="95">
        <v>1140</v>
      </c>
      <c r="C6" s="95">
        <v>20</v>
      </c>
      <c r="D6" s="95" t="s">
        <v>1472</v>
      </c>
      <c r="E6" s="842" t="s">
        <v>280</v>
      </c>
      <c r="F6" s="381"/>
      <c r="G6" s="381"/>
      <c r="H6" s="381"/>
      <c r="I6" s="381"/>
    </row>
    <row r="7" spans="2:9">
      <c r="B7" s="95">
        <v>1144</v>
      </c>
      <c r="C7" s="95">
        <v>20</v>
      </c>
      <c r="D7" s="95" t="s">
        <v>1473</v>
      </c>
      <c r="E7" s="842" t="s">
        <v>280</v>
      </c>
      <c r="F7" s="381"/>
      <c r="G7" s="381"/>
      <c r="H7" s="381"/>
      <c r="I7" s="381"/>
    </row>
    <row r="8" spans="2:9">
      <c r="B8" s="95">
        <v>1136</v>
      </c>
      <c r="C8" s="95">
        <v>50</v>
      </c>
      <c r="D8" s="95" t="s">
        <v>1474</v>
      </c>
      <c r="E8" s="842" t="s">
        <v>631</v>
      </c>
      <c r="F8" s="381"/>
      <c r="G8" s="381"/>
      <c r="H8" s="381"/>
      <c r="I8" s="381"/>
    </row>
    <row r="9" spans="2:9">
      <c r="B9" s="95">
        <v>1114</v>
      </c>
      <c r="C9" s="95" t="s">
        <v>72</v>
      </c>
      <c r="D9" s="95" t="s">
        <v>1475</v>
      </c>
      <c r="E9" s="842" t="s">
        <v>322</v>
      </c>
      <c r="F9" s="381"/>
      <c r="G9" s="381"/>
      <c r="H9" s="381"/>
      <c r="I9" s="381"/>
    </row>
    <row r="10" spans="2:9">
      <c r="B10" s="95">
        <v>1133</v>
      </c>
      <c r="C10" s="95" t="s">
        <v>72</v>
      </c>
      <c r="D10" s="95" t="s">
        <v>1476</v>
      </c>
      <c r="E10" s="842" t="s">
        <v>280</v>
      </c>
      <c r="F10" s="381"/>
      <c r="G10" s="381"/>
      <c r="H10" s="381"/>
      <c r="I10" s="381"/>
    </row>
    <row r="11" spans="2:9">
      <c r="B11" s="95">
        <v>2664</v>
      </c>
      <c r="C11" s="95" t="s">
        <v>72</v>
      </c>
      <c r="D11" s="95" t="s">
        <v>1477</v>
      </c>
      <c r="E11" s="842" t="s">
        <v>1481</v>
      </c>
      <c r="F11" s="381"/>
      <c r="G11" s="381"/>
      <c r="H11" s="381"/>
      <c r="I11" s="381"/>
    </row>
    <row r="12" spans="2:9">
      <c r="B12" s="95">
        <v>9910</v>
      </c>
      <c r="C12" s="95">
        <v>25</v>
      </c>
      <c r="D12" s="95" t="s">
        <v>1478</v>
      </c>
      <c r="E12" s="842" t="s">
        <v>1482</v>
      </c>
      <c r="F12" s="381"/>
      <c r="G12" s="381"/>
      <c r="H12" s="381"/>
      <c r="I12" s="381"/>
    </row>
    <row r="13" spans="2:9">
      <c r="B13" s="120"/>
      <c r="C13" s="351">
        <v>25</v>
      </c>
      <c r="D13" s="351" t="s">
        <v>1479</v>
      </c>
      <c r="E13" s="842" t="s">
        <v>1481</v>
      </c>
      <c r="F13" s="381"/>
      <c r="G13" s="381"/>
      <c r="H13" s="381"/>
      <c r="I13" s="38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45"/>
  <sheetViews>
    <sheetView workbookViewId="0">
      <selection activeCell="E27" sqref="E27"/>
    </sheetView>
  </sheetViews>
  <sheetFormatPr baseColWidth="10" defaultRowHeight="15"/>
  <cols>
    <col min="2" max="2" width="0" style="542" hidden="1" customWidth="1"/>
    <col min="3" max="4" width="11.42578125" hidden="1" customWidth="1"/>
    <col min="5" max="5" width="40.7109375" customWidth="1"/>
    <col min="6" max="6" width="17" style="445" hidden="1" customWidth="1"/>
    <col min="7" max="8" width="14.28515625" style="445" hidden="1" customWidth="1"/>
    <col min="9" max="9" width="11.42578125" style="445" hidden="1" customWidth="1"/>
    <col min="10" max="10" width="11.42578125" hidden="1" customWidth="1"/>
    <col min="11" max="11" width="13.85546875" hidden="1" customWidth="1"/>
    <col min="12" max="15" width="11.42578125" hidden="1" customWidth="1"/>
    <col min="16" max="16" width="11.42578125" style="542" customWidth="1"/>
    <col min="17" max="20" width="11.42578125" style="645" hidden="1" customWidth="1"/>
    <col min="21" max="25" width="11.42578125" hidden="1" customWidth="1"/>
    <col min="26" max="28" width="0" hidden="1" customWidth="1"/>
  </cols>
  <sheetData>
    <row r="3" spans="2:25" ht="38.25" customHeight="1">
      <c r="E3" s="109" t="s">
        <v>2817</v>
      </c>
      <c r="F3" s="568" t="s">
        <v>24</v>
      </c>
      <c r="G3" s="43"/>
      <c r="H3" s="43"/>
      <c r="I3" s="43"/>
      <c r="J3" s="43"/>
      <c r="K3" s="444" t="s">
        <v>25</v>
      </c>
      <c r="L3" s="43"/>
      <c r="M3" s="43"/>
      <c r="N3" s="43"/>
      <c r="O3" s="43"/>
      <c r="P3" s="43" t="s">
        <v>26</v>
      </c>
      <c r="Q3" s="644"/>
      <c r="R3" s="644"/>
      <c r="S3" s="644"/>
      <c r="T3" s="644"/>
      <c r="U3" s="20" t="s">
        <v>29</v>
      </c>
      <c r="V3" s="495"/>
      <c r="W3" s="495"/>
      <c r="X3" s="495"/>
      <c r="Y3" s="495"/>
    </row>
    <row r="4" spans="2:25" ht="18.75" customHeight="1">
      <c r="B4" s="543" t="s">
        <v>0</v>
      </c>
      <c r="C4" s="411" t="s">
        <v>159</v>
      </c>
      <c r="D4" s="411" t="s">
        <v>620</v>
      </c>
      <c r="E4" s="339" t="s">
        <v>72</v>
      </c>
      <c r="F4" s="23"/>
      <c r="G4" s="23" t="s">
        <v>2292</v>
      </c>
      <c r="H4" s="23" t="s">
        <v>2004</v>
      </c>
      <c r="I4" s="23" t="s">
        <v>2293</v>
      </c>
      <c r="J4" s="23" t="s">
        <v>2294</v>
      </c>
      <c r="K4" s="325"/>
      <c r="L4" s="23" t="s">
        <v>2292</v>
      </c>
      <c r="M4" s="23" t="s">
        <v>2004</v>
      </c>
      <c r="N4" s="23" t="s">
        <v>2293</v>
      </c>
      <c r="O4" s="23" t="s">
        <v>2294</v>
      </c>
      <c r="P4" s="23" t="s">
        <v>72</v>
      </c>
      <c r="Q4" s="644" t="s">
        <v>2292</v>
      </c>
      <c r="R4" s="644" t="s">
        <v>2004</v>
      </c>
      <c r="S4" s="644" t="s">
        <v>2293</v>
      </c>
      <c r="T4" s="644" t="s">
        <v>2294</v>
      </c>
      <c r="U4" s="22"/>
      <c r="V4" s="543" t="s">
        <v>2292</v>
      </c>
      <c r="W4" s="543" t="s">
        <v>2004</v>
      </c>
      <c r="X4" s="543" t="s">
        <v>2293</v>
      </c>
      <c r="Y4" s="543" t="s">
        <v>2294</v>
      </c>
    </row>
    <row r="5" spans="2:25" ht="18.75" hidden="1" customHeight="1">
      <c r="B5" s="543">
        <v>9</v>
      </c>
      <c r="C5" s="411">
        <v>5300</v>
      </c>
      <c r="D5" s="411">
        <v>0.63</v>
      </c>
      <c r="E5" s="339" t="s">
        <v>1918</v>
      </c>
      <c r="F5" s="23"/>
      <c r="G5" s="23"/>
      <c r="H5" s="23"/>
      <c r="I5" s="23"/>
      <c r="J5" s="22"/>
      <c r="K5" s="325"/>
      <c r="L5" s="22"/>
      <c r="M5" s="22"/>
      <c r="N5" s="22"/>
      <c r="O5" s="22"/>
      <c r="P5" s="23"/>
      <c r="Q5" s="644"/>
      <c r="R5" s="644"/>
      <c r="S5" s="644"/>
      <c r="T5" s="644"/>
      <c r="U5" s="22"/>
      <c r="V5" s="495"/>
      <c r="W5" s="495"/>
      <c r="X5" s="495"/>
      <c r="Y5" s="495"/>
    </row>
    <row r="6" spans="2:25" ht="18.75" hidden="1" customHeight="1">
      <c r="B6" s="543">
        <v>8519</v>
      </c>
      <c r="C6" s="411">
        <v>24</v>
      </c>
      <c r="D6" s="411">
        <v>0.81</v>
      </c>
      <c r="E6" s="339" t="s">
        <v>1917</v>
      </c>
      <c r="F6" s="23" t="s">
        <v>2299</v>
      </c>
      <c r="G6" s="23"/>
      <c r="H6" s="23"/>
      <c r="I6" s="23">
        <v>0</v>
      </c>
      <c r="J6" s="22"/>
      <c r="K6" s="23" t="s">
        <v>2300</v>
      </c>
      <c r="L6" s="23"/>
      <c r="M6" s="23"/>
      <c r="N6" s="23"/>
      <c r="O6" s="23"/>
      <c r="P6" s="23" t="s">
        <v>631</v>
      </c>
      <c r="Q6" s="644"/>
      <c r="R6" s="644"/>
      <c r="S6" s="644"/>
      <c r="T6" s="644"/>
      <c r="U6" s="23" t="s">
        <v>2300</v>
      </c>
      <c r="V6" s="495"/>
      <c r="W6" s="495"/>
      <c r="X6" s="495"/>
      <c r="Y6" s="495"/>
    </row>
    <row r="7" spans="2:25" ht="18.75" hidden="1" customHeight="1">
      <c r="B7" s="543">
        <v>8518</v>
      </c>
      <c r="C7" s="411">
        <v>24</v>
      </c>
      <c r="D7" s="411">
        <v>1.36</v>
      </c>
      <c r="E7" s="339" t="s">
        <v>1916</v>
      </c>
      <c r="F7" s="23" t="s">
        <v>2299</v>
      </c>
      <c r="G7" s="23"/>
      <c r="H7" s="23"/>
      <c r="I7" s="23">
        <v>0</v>
      </c>
      <c r="J7" s="22"/>
      <c r="K7" s="23" t="s">
        <v>2300</v>
      </c>
      <c r="L7" s="23"/>
      <c r="M7" s="23"/>
      <c r="N7" s="23"/>
      <c r="O7" s="23"/>
      <c r="P7" s="23" t="s">
        <v>631</v>
      </c>
      <c r="Q7" s="644"/>
      <c r="R7" s="644"/>
      <c r="S7" s="644"/>
      <c r="T7" s="644"/>
      <c r="U7" s="23" t="s">
        <v>2300</v>
      </c>
      <c r="V7" s="495"/>
      <c r="W7" s="495"/>
      <c r="X7" s="495"/>
      <c r="Y7" s="495"/>
    </row>
    <row r="8" spans="2:25" ht="18.75" hidden="1" customHeight="1">
      <c r="B8" s="543">
        <v>2227</v>
      </c>
      <c r="C8" s="411">
        <v>9600</v>
      </c>
      <c r="D8" s="411">
        <v>731256.77</v>
      </c>
      <c r="E8" s="339" t="s">
        <v>1915</v>
      </c>
      <c r="F8" s="23" t="s">
        <v>72</v>
      </c>
      <c r="G8" s="109"/>
      <c r="H8" s="109"/>
      <c r="I8" s="109"/>
      <c r="J8" s="22"/>
      <c r="K8" s="22"/>
      <c r="L8" s="22"/>
      <c r="M8" s="22"/>
      <c r="N8" s="22"/>
      <c r="O8" s="22"/>
      <c r="P8" s="23"/>
      <c r="Q8" s="644"/>
      <c r="R8" s="644"/>
      <c r="S8" s="644"/>
      <c r="T8" s="644"/>
      <c r="U8" s="22"/>
      <c r="V8" s="495"/>
      <c r="W8" s="495"/>
      <c r="X8" s="495"/>
      <c r="Y8" s="495"/>
    </row>
    <row r="9" spans="2:25" ht="18.75" customHeight="1">
      <c r="B9" s="543">
        <v>1727</v>
      </c>
      <c r="C9" s="411">
        <v>19.559999999999999</v>
      </c>
      <c r="D9" s="411">
        <v>4.2699999999999996</v>
      </c>
      <c r="E9" s="339" t="s">
        <v>1925</v>
      </c>
      <c r="F9" s="23" t="s">
        <v>72</v>
      </c>
      <c r="G9" s="23"/>
      <c r="H9" s="23"/>
      <c r="I9" s="23"/>
      <c r="J9" s="22"/>
      <c r="K9" s="22"/>
      <c r="L9" s="22"/>
      <c r="M9" s="22"/>
      <c r="N9" s="22"/>
      <c r="O9" s="22"/>
      <c r="P9" s="23" t="s">
        <v>2193</v>
      </c>
      <c r="Q9" s="644"/>
      <c r="R9" s="644"/>
      <c r="S9" s="644"/>
      <c r="T9" s="644"/>
      <c r="U9" s="22"/>
      <c r="V9" s="495"/>
      <c r="W9" s="495"/>
      <c r="X9" s="495"/>
      <c r="Y9" s="495"/>
    </row>
    <row r="10" spans="2:25" ht="18.75" customHeight="1">
      <c r="B10" s="543">
        <v>5073</v>
      </c>
      <c r="C10" s="411">
        <v>23.51</v>
      </c>
      <c r="D10" s="411">
        <v>4.2300000000000004</v>
      </c>
      <c r="E10" s="339" t="s">
        <v>1921</v>
      </c>
      <c r="F10" s="23" t="s">
        <v>72</v>
      </c>
      <c r="G10" s="23"/>
      <c r="H10" s="23"/>
      <c r="I10" s="23"/>
      <c r="J10" s="22"/>
      <c r="K10" s="22"/>
      <c r="L10" s="22"/>
      <c r="M10" s="22"/>
      <c r="N10" s="22"/>
      <c r="O10" s="22"/>
      <c r="P10" s="23" t="s">
        <v>631</v>
      </c>
      <c r="Q10" s="644"/>
      <c r="R10" s="644"/>
      <c r="S10" s="644"/>
      <c r="T10" s="644"/>
      <c r="U10" s="22"/>
      <c r="V10" s="495"/>
      <c r="W10" s="495"/>
      <c r="X10" s="495"/>
      <c r="Y10" s="495"/>
    </row>
    <row r="11" spans="2:25" ht="18.75" customHeight="1">
      <c r="B11" s="543">
        <v>1659</v>
      </c>
      <c r="C11" s="411">
        <v>23.46</v>
      </c>
      <c r="D11" s="411">
        <v>2.64</v>
      </c>
      <c r="E11" s="339" t="s">
        <v>1920</v>
      </c>
      <c r="F11" s="23" t="s">
        <v>72</v>
      </c>
      <c r="G11" s="23"/>
      <c r="H11" s="23"/>
      <c r="I11" s="23"/>
      <c r="J11" s="22"/>
      <c r="K11" s="22"/>
      <c r="L11" s="22"/>
      <c r="M11" s="22"/>
      <c r="N11" s="22"/>
      <c r="O11" s="22"/>
      <c r="P11" s="23" t="s">
        <v>631</v>
      </c>
      <c r="Q11" s="644"/>
      <c r="R11" s="644"/>
      <c r="S11" s="644"/>
      <c r="T11" s="644"/>
      <c r="U11" s="22"/>
      <c r="V11" s="495"/>
      <c r="W11" s="495"/>
      <c r="X11" s="495"/>
      <c r="Y11" s="495"/>
    </row>
    <row r="12" spans="2:25" s="412" customFormat="1" ht="18.75" customHeight="1">
      <c r="B12" s="543">
        <v>1712</v>
      </c>
      <c r="C12" s="411"/>
      <c r="D12" s="411"/>
      <c r="E12" s="339" t="s">
        <v>1928</v>
      </c>
      <c r="F12" s="23" t="s">
        <v>2035</v>
      </c>
      <c r="G12" s="23"/>
      <c r="H12" s="23"/>
      <c r="I12" s="23"/>
      <c r="J12" s="22"/>
      <c r="K12" s="22"/>
      <c r="L12" s="22"/>
      <c r="M12" s="22"/>
      <c r="N12" s="22"/>
      <c r="O12" s="22"/>
      <c r="P12" s="23" t="s">
        <v>631</v>
      </c>
      <c r="Q12" s="644"/>
      <c r="R12" s="644"/>
      <c r="S12" s="644"/>
      <c r="T12" s="644"/>
      <c r="U12" s="22"/>
      <c r="V12" s="495"/>
      <c r="W12" s="495"/>
      <c r="X12" s="495"/>
      <c r="Y12" s="495"/>
    </row>
    <row r="13" spans="2:25" s="412" customFormat="1" ht="18.75" hidden="1" customHeight="1">
      <c r="B13" s="543"/>
      <c r="C13" s="411"/>
      <c r="D13" s="411"/>
      <c r="E13" s="339" t="s">
        <v>1929</v>
      </c>
      <c r="F13" s="23" t="s">
        <v>72</v>
      </c>
      <c r="G13" s="23"/>
      <c r="H13" s="23"/>
      <c r="I13" s="23"/>
      <c r="J13" s="22"/>
      <c r="K13" s="22"/>
      <c r="L13" s="22"/>
      <c r="M13" s="22"/>
      <c r="N13" s="22"/>
      <c r="O13" s="22"/>
      <c r="P13" s="23"/>
      <c r="Q13" s="644"/>
      <c r="R13" s="644"/>
      <c r="S13" s="644"/>
      <c r="T13" s="644"/>
      <c r="U13" s="22"/>
      <c r="V13" s="495"/>
      <c r="W13" s="495"/>
      <c r="X13" s="495"/>
      <c r="Y13" s="495"/>
    </row>
    <row r="14" spans="2:25" s="412" customFormat="1" ht="18.75" hidden="1" customHeight="1">
      <c r="B14" s="543"/>
      <c r="C14" s="411"/>
      <c r="D14" s="411"/>
      <c r="E14" s="339"/>
      <c r="F14" s="23" t="s">
        <v>72</v>
      </c>
      <c r="G14" s="23"/>
      <c r="H14" s="23"/>
      <c r="I14" s="23"/>
      <c r="J14" s="22"/>
      <c r="K14" s="22"/>
      <c r="L14" s="22"/>
      <c r="M14" s="22"/>
      <c r="N14" s="22"/>
      <c r="O14" s="22"/>
      <c r="P14" s="23"/>
      <c r="Q14" s="644"/>
      <c r="R14" s="644"/>
      <c r="S14" s="644"/>
      <c r="T14" s="644"/>
      <c r="U14" s="22"/>
      <c r="V14" s="495"/>
      <c r="W14" s="495"/>
      <c r="X14" s="495"/>
      <c r="Y14" s="495"/>
    </row>
    <row r="15" spans="2:25" ht="18.75" customHeight="1">
      <c r="B15" s="543">
        <v>3609</v>
      </c>
      <c r="C15" s="411">
        <v>180</v>
      </c>
      <c r="D15" s="411">
        <v>0.94</v>
      </c>
      <c r="E15" s="339" t="s">
        <v>92</v>
      </c>
      <c r="F15" s="23" t="s">
        <v>2720</v>
      </c>
      <c r="G15" s="23">
        <v>346</v>
      </c>
      <c r="H15" s="24">
        <v>461</v>
      </c>
      <c r="I15" s="24">
        <f>G15/12</f>
        <v>28.833333333333332</v>
      </c>
      <c r="J15" s="24">
        <f>H15/12</f>
        <v>38.416666666666664</v>
      </c>
      <c r="K15" s="23" t="s">
        <v>2723</v>
      </c>
      <c r="L15" s="22">
        <v>31</v>
      </c>
      <c r="M15" s="22">
        <v>0</v>
      </c>
      <c r="N15" s="24">
        <f>L15/12</f>
        <v>2.5833333333333335</v>
      </c>
      <c r="O15" s="24">
        <f>M15/10</f>
        <v>0</v>
      </c>
      <c r="P15" s="23" t="s">
        <v>2720</v>
      </c>
      <c r="Q15" s="644">
        <v>0</v>
      </c>
      <c r="R15" s="644">
        <v>0</v>
      </c>
      <c r="S15" s="644">
        <f>Q15/12</f>
        <v>0</v>
      </c>
      <c r="T15" s="644">
        <f>R15/12</f>
        <v>0</v>
      </c>
      <c r="U15" s="644" t="s">
        <v>1931</v>
      </c>
      <c r="V15" s="495"/>
      <c r="W15" s="495"/>
      <c r="X15" s="495"/>
      <c r="Y15" s="495"/>
    </row>
    <row r="16" spans="2:25" ht="18.75" customHeight="1">
      <c r="B16" s="543">
        <v>3610</v>
      </c>
      <c r="C16" s="411">
        <v>180</v>
      </c>
      <c r="D16" s="411">
        <v>0.92</v>
      </c>
      <c r="E16" s="339" t="s">
        <v>94</v>
      </c>
      <c r="F16" s="23" t="s">
        <v>2724</v>
      </c>
      <c r="G16" s="23">
        <v>213</v>
      </c>
      <c r="H16" s="24">
        <v>711</v>
      </c>
      <c r="I16" s="24">
        <f t="shared" ref="I16:I17" si="0">G16/12</f>
        <v>17.75</v>
      </c>
      <c r="J16" s="24">
        <f t="shared" ref="J16:J25" si="1">H16/12</f>
        <v>59.25</v>
      </c>
      <c r="K16" s="23" t="s">
        <v>2723</v>
      </c>
      <c r="L16" s="22">
        <v>9</v>
      </c>
      <c r="M16" s="22">
        <v>15</v>
      </c>
      <c r="N16" s="24">
        <f t="shared" ref="N16:N25" si="2">L16/12</f>
        <v>0.75</v>
      </c>
      <c r="O16" s="24">
        <f t="shared" ref="O16:O17" si="3">M16/10</f>
        <v>1.5</v>
      </c>
      <c r="P16" s="23" t="s">
        <v>2721</v>
      </c>
      <c r="Q16" s="644">
        <v>0</v>
      </c>
      <c r="R16" s="644">
        <v>0</v>
      </c>
      <c r="S16" s="644">
        <f t="shared" ref="S16:S17" si="4">Q16/12</f>
        <v>0</v>
      </c>
      <c r="T16" s="644">
        <f t="shared" ref="T16:T17" si="5">R16/12</f>
        <v>0</v>
      </c>
      <c r="U16" s="644" t="s">
        <v>1931</v>
      </c>
      <c r="V16" s="495"/>
      <c r="W16" s="495"/>
      <c r="X16" s="495"/>
      <c r="Y16" s="495"/>
    </row>
    <row r="17" spans="2:25" ht="18.75" customHeight="1">
      <c r="B17" s="543">
        <v>4722</v>
      </c>
      <c r="C17" s="411">
        <v>60</v>
      </c>
      <c r="D17" s="411">
        <v>0.94</v>
      </c>
      <c r="E17" s="339" t="s">
        <v>96</v>
      </c>
      <c r="F17" s="23" t="s">
        <v>2722</v>
      </c>
      <c r="G17" s="23">
        <v>53</v>
      </c>
      <c r="H17" s="24">
        <v>0</v>
      </c>
      <c r="I17" s="24">
        <f t="shared" si="0"/>
        <v>4.416666666666667</v>
      </c>
      <c r="J17" s="24">
        <f t="shared" si="1"/>
        <v>0</v>
      </c>
      <c r="K17" s="23" t="s">
        <v>280</v>
      </c>
      <c r="L17" s="22">
        <v>10</v>
      </c>
      <c r="M17" s="22">
        <v>14</v>
      </c>
      <c r="N17" s="24">
        <f t="shared" si="2"/>
        <v>0.83333333333333337</v>
      </c>
      <c r="O17" s="24">
        <f t="shared" si="3"/>
        <v>1.4</v>
      </c>
      <c r="P17" s="23" t="s">
        <v>2721</v>
      </c>
      <c r="Q17" s="644">
        <v>0</v>
      </c>
      <c r="R17" s="644">
        <v>0</v>
      </c>
      <c r="S17" s="644">
        <f t="shared" si="4"/>
        <v>0</v>
      </c>
      <c r="T17" s="644">
        <f t="shared" si="5"/>
        <v>0</v>
      </c>
      <c r="U17" s="644" t="s">
        <v>1930</v>
      </c>
      <c r="V17" s="495"/>
      <c r="W17" s="495"/>
      <c r="X17" s="495"/>
      <c r="Y17" s="495"/>
    </row>
    <row r="18" spans="2:25" ht="18.75" hidden="1" customHeight="1">
      <c r="B18" s="543">
        <v>8517</v>
      </c>
      <c r="C18" s="411">
        <v>36</v>
      </c>
      <c r="D18" s="411">
        <v>1.19</v>
      </c>
      <c r="E18" s="339" t="s">
        <v>1914</v>
      </c>
      <c r="F18" s="23" t="s">
        <v>630</v>
      </c>
      <c r="G18" s="23"/>
      <c r="H18" s="24"/>
      <c r="I18" s="23">
        <v>5</v>
      </c>
      <c r="J18" s="24">
        <f t="shared" si="1"/>
        <v>0</v>
      </c>
      <c r="K18" s="23" t="s">
        <v>2300</v>
      </c>
      <c r="L18" s="23"/>
      <c r="M18" s="23"/>
      <c r="N18" s="24">
        <f t="shared" si="2"/>
        <v>0</v>
      </c>
      <c r="O18" s="23"/>
      <c r="P18" s="23"/>
      <c r="Q18" s="644"/>
      <c r="R18" s="644"/>
      <c r="S18" s="644"/>
      <c r="T18" s="644"/>
      <c r="U18" s="23" t="s">
        <v>2300</v>
      </c>
      <c r="V18" s="495"/>
      <c r="W18" s="495"/>
      <c r="X18" s="495"/>
      <c r="Y18" s="495"/>
    </row>
    <row r="19" spans="2:25" ht="18.75" hidden="1" customHeight="1">
      <c r="B19" s="543">
        <v>11</v>
      </c>
      <c r="C19" s="411">
        <v>3000</v>
      </c>
      <c r="D19" s="411">
        <v>0.6</v>
      </c>
      <c r="E19" s="339" t="s">
        <v>1913</v>
      </c>
      <c r="F19" s="23"/>
      <c r="G19" s="23"/>
      <c r="H19" s="23"/>
      <c r="I19" s="23"/>
      <c r="J19" s="24">
        <f t="shared" si="1"/>
        <v>0</v>
      </c>
      <c r="K19" s="23"/>
      <c r="L19" s="23"/>
      <c r="M19" s="23"/>
      <c r="N19" s="24">
        <f t="shared" si="2"/>
        <v>0</v>
      </c>
      <c r="O19" s="23"/>
      <c r="P19" s="23"/>
      <c r="Q19" s="644"/>
      <c r="R19" s="644"/>
      <c r="S19" s="644"/>
      <c r="T19" s="644"/>
      <c r="U19" s="23"/>
      <c r="V19" s="495"/>
      <c r="W19" s="495"/>
      <c r="X19" s="495"/>
      <c r="Y19" s="495"/>
    </row>
    <row r="20" spans="2:25" ht="18.75" hidden="1" customHeight="1">
      <c r="B20" s="543">
        <v>2072</v>
      </c>
      <c r="C20" s="411">
        <v>20.81</v>
      </c>
      <c r="D20" s="411">
        <v>3.95</v>
      </c>
      <c r="E20" s="339" t="s">
        <v>1926</v>
      </c>
      <c r="F20" s="23"/>
      <c r="G20" s="23"/>
      <c r="H20" s="23"/>
      <c r="I20" s="23">
        <v>3</v>
      </c>
      <c r="J20" s="24">
        <f t="shared" si="1"/>
        <v>0</v>
      </c>
      <c r="K20" s="23"/>
      <c r="L20" s="23"/>
      <c r="M20" s="23"/>
      <c r="N20" s="24">
        <f t="shared" si="2"/>
        <v>0</v>
      </c>
      <c r="O20" s="23"/>
      <c r="P20" s="23"/>
      <c r="Q20" s="644"/>
      <c r="R20" s="644"/>
      <c r="S20" s="644"/>
      <c r="T20" s="644"/>
      <c r="U20" s="23"/>
      <c r="V20" s="495"/>
      <c r="W20" s="495"/>
      <c r="X20" s="495"/>
      <c r="Y20" s="495"/>
    </row>
    <row r="21" spans="2:25" ht="18.75" customHeight="1">
      <c r="B21" s="543">
        <v>7841</v>
      </c>
      <c r="C21" s="411">
        <v>16</v>
      </c>
      <c r="D21" s="411">
        <v>2.4</v>
      </c>
      <c r="E21" s="339" t="s">
        <v>1922</v>
      </c>
      <c r="F21" s="23" t="s">
        <v>630</v>
      </c>
      <c r="G21" s="23"/>
      <c r="H21" s="23"/>
      <c r="I21" s="23">
        <v>4</v>
      </c>
      <c r="J21" s="24">
        <f t="shared" si="1"/>
        <v>0</v>
      </c>
      <c r="K21" s="23" t="s">
        <v>2300</v>
      </c>
      <c r="L21" s="23"/>
      <c r="M21" s="23"/>
      <c r="N21" s="24">
        <f t="shared" si="2"/>
        <v>0</v>
      </c>
      <c r="O21" s="23"/>
      <c r="P21" s="23" t="s">
        <v>631</v>
      </c>
      <c r="Q21" s="644"/>
      <c r="R21" s="644"/>
      <c r="S21" s="644"/>
      <c r="T21" s="644"/>
      <c r="U21" s="23" t="s">
        <v>2300</v>
      </c>
      <c r="V21" s="495"/>
      <c r="W21" s="495"/>
      <c r="X21" s="495"/>
      <c r="Y21" s="495"/>
    </row>
    <row r="22" spans="2:25" ht="18.75" hidden="1" customHeight="1">
      <c r="B22" s="543">
        <v>8948</v>
      </c>
      <c r="C22" s="411">
        <v>32</v>
      </c>
      <c r="D22" s="411">
        <v>2.33</v>
      </c>
      <c r="E22" s="339" t="s">
        <v>1924</v>
      </c>
      <c r="F22" s="23" t="s">
        <v>630</v>
      </c>
      <c r="G22" s="23"/>
      <c r="H22" s="23"/>
      <c r="I22" s="23">
        <v>0</v>
      </c>
      <c r="J22" s="24">
        <f t="shared" si="1"/>
        <v>0</v>
      </c>
      <c r="K22" s="23" t="s">
        <v>2300</v>
      </c>
      <c r="L22" s="23"/>
      <c r="M22" s="23"/>
      <c r="N22" s="24">
        <f t="shared" si="2"/>
        <v>0</v>
      </c>
      <c r="O22" s="23"/>
      <c r="P22" s="23"/>
      <c r="Q22" s="644"/>
      <c r="R22" s="644"/>
      <c r="S22" s="644"/>
      <c r="T22" s="644"/>
      <c r="U22" s="23" t="s">
        <v>2300</v>
      </c>
      <c r="V22" s="495"/>
      <c r="W22" s="495"/>
      <c r="X22" s="495"/>
      <c r="Y22" s="495"/>
    </row>
    <row r="23" spans="2:25" ht="18.75" hidden="1" customHeight="1">
      <c r="B23" s="543">
        <v>7840</v>
      </c>
      <c r="C23" s="411">
        <v>16</v>
      </c>
      <c r="D23" s="411">
        <v>3.99</v>
      </c>
      <c r="E23" s="339" t="s">
        <v>1923</v>
      </c>
      <c r="F23" s="23"/>
      <c r="G23" s="23"/>
      <c r="H23" s="23"/>
      <c r="I23" s="23">
        <v>0</v>
      </c>
      <c r="J23" s="24">
        <f t="shared" si="1"/>
        <v>0</v>
      </c>
      <c r="K23" s="23"/>
      <c r="L23" s="23"/>
      <c r="M23" s="23"/>
      <c r="N23" s="24">
        <f t="shared" si="2"/>
        <v>0</v>
      </c>
      <c r="O23" s="23"/>
      <c r="P23" s="23"/>
      <c r="Q23" s="644"/>
      <c r="R23" s="644"/>
      <c r="S23" s="644"/>
      <c r="T23" s="644"/>
      <c r="U23" s="23"/>
      <c r="V23" s="495"/>
      <c r="W23" s="495"/>
      <c r="X23" s="495"/>
      <c r="Y23" s="495"/>
    </row>
    <row r="24" spans="2:25" ht="18.75" customHeight="1">
      <c r="B24" s="543">
        <v>10165</v>
      </c>
      <c r="C24" s="411">
        <v>32</v>
      </c>
      <c r="D24" s="411">
        <v>2.2799999999999998</v>
      </c>
      <c r="E24" s="339" t="s">
        <v>1919</v>
      </c>
      <c r="F24" s="23" t="s">
        <v>630</v>
      </c>
      <c r="G24" s="23"/>
      <c r="H24" s="23"/>
      <c r="I24" s="23">
        <v>0</v>
      </c>
      <c r="J24" s="24">
        <f t="shared" si="1"/>
        <v>0</v>
      </c>
      <c r="K24" s="23" t="s">
        <v>2300</v>
      </c>
      <c r="L24" s="23"/>
      <c r="M24" s="23"/>
      <c r="N24" s="24">
        <f t="shared" si="2"/>
        <v>0</v>
      </c>
      <c r="O24" s="23"/>
      <c r="P24" s="23" t="s">
        <v>631</v>
      </c>
      <c r="Q24" s="644"/>
      <c r="R24" s="644"/>
      <c r="S24" s="644"/>
      <c r="T24" s="644"/>
      <c r="U24" s="23" t="s">
        <v>2300</v>
      </c>
      <c r="V24" s="495"/>
      <c r="W24" s="495"/>
      <c r="X24" s="495"/>
      <c r="Y24" s="495"/>
    </row>
    <row r="25" spans="2:25" ht="18.75" customHeight="1">
      <c r="B25" s="543">
        <v>9926</v>
      </c>
      <c r="C25" s="411">
        <v>16</v>
      </c>
      <c r="D25" s="411">
        <v>2.31</v>
      </c>
      <c r="E25" s="339" t="s">
        <v>1927</v>
      </c>
      <c r="F25" s="23" t="s">
        <v>630</v>
      </c>
      <c r="G25" s="23"/>
      <c r="H25" s="23"/>
      <c r="I25" s="23">
        <v>4</v>
      </c>
      <c r="J25" s="24">
        <f t="shared" si="1"/>
        <v>0</v>
      </c>
      <c r="K25" s="23" t="s">
        <v>2300</v>
      </c>
      <c r="L25" s="23"/>
      <c r="M25" s="23"/>
      <c r="N25" s="24">
        <f t="shared" si="2"/>
        <v>0</v>
      </c>
      <c r="O25" s="23"/>
      <c r="P25" s="23" t="s">
        <v>2298</v>
      </c>
      <c r="Q25" s="644"/>
      <c r="R25" s="644"/>
      <c r="S25" s="644"/>
      <c r="T25" s="644"/>
      <c r="U25" s="23" t="s">
        <v>2300</v>
      </c>
      <c r="V25" s="495"/>
      <c r="W25" s="495"/>
      <c r="X25" s="495"/>
      <c r="Y25" s="495"/>
    </row>
    <row r="26" spans="2:25" ht="18.75" customHeight="1"/>
    <row r="27" spans="2:25" ht="18.75" customHeight="1"/>
    <row r="28" spans="2:25" ht="18.75" customHeight="1"/>
    <row r="29" spans="2:25" ht="18.75" customHeight="1"/>
    <row r="30" spans="2:25" ht="18.75" customHeight="1"/>
    <row r="31" spans="2:25" ht="18.75" customHeight="1"/>
    <row r="32" spans="2:25" ht="18.75" customHeight="1"/>
    <row r="33" spans="2:5" ht="18.75" customHeight="1"/>
    <row r="34" spans="2:5" ht="18.75" customHeight="1"/>
    <row r="35" spans="2:5" ht="18.75" customHeight="1"/>
    <row r="36" spans="2:5" ht="18.75" customHeight="1"/>
    <row r="37" spans="2:5" ht="18.75" customHeight="1"/>
    <row r="38" spans="2:5" ht="18.75" customHeight="1"/>
    <row r="39" spans="2:5" ht="18.75" customHeight="1"/>
    <row r="40" spans="2:5" ht="18.75" customHeight="1"/>
    <row r="41" spans="2:5" ht="18.75" customHeight="1"/>
    <row r="42" spans="2:5" ht="18.75" customHeight="1"/>
    <row r="43" spans="2:5" ht="18.75" customHeight="1">
      <c r="B43" s="543"/>
      <c r="C43" s="411"/>
      <c r="D43" s="411"/>
      <c r="E43" s="411"/>
    </row>
    <row r="44" spans="2:5" ht="18.75" customHeight="1"/>
    <row r="45" spans="2:5" ht="18.75" customHeight="1"/>
  </sheetData>
  <sortState ref="B5:E39">
    <sortCondition ref="E5:E39"/>
  </sortState>
  <pageMargins left="0.7" right="0.7" top="0.75" bottom="0.75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4:G43"/>
  <sheetViews>
    <sheetView workbookViewId="0">
      <selection activeCell="B4" sqref="B4:G43"/>
    </sheetView>
  </sheetViews>
  <sheetFormatPr baseColWidth="10" defaultRowHeight="15"/>
  <cols>
    <col min="2" max="2" width="12.28515625" customWidth="1"/>
    <col min="3" max="3" width="29.140625" style="73" customWidth="1"/>
  </cols>
  <sheetData>
    <row r="4" spans="2:7" ht="30">
      <c r="C4" s="2" t="s">
        <v>24</v>
      </c>
    </row>
    <row r="5" spans="2:7">
      <c r="B5" s="5" t="s">
        <v>698</v>
      </c>
      <c r="C5" s="15" t="s">
        <v>699</v>
      </c>
      <c r="D5" s="5" t="s">
        <v>128</v>
      </c>
      <c r="E5" s="5" t="s">
        <v>116</v>
      </c>
      <c r="F5" s="5" t="s">
        <v>117</v>
      </c>
      <c r="G5" s="5" t="s">
        <v>75</v>
      </c>
    </row>
    <row r="6" spans="2:7">
      <c r="B6" s="5">
        <v>251</v>
      </c>
      <c r="C6" s="15" t="s">
        <v>700</v>
      </c>
      <c r="D6" s="5"/>
      <c r="E6" s="5"/>
      <c r="F6" s="5"/>
      <c r="G6" s="5"/>
    </row>
    <row r="7" spans="2:7">
      <c r="B7" s="5">
        <v>1793</v>
      </c>
      <c r="C7" s="15" t="s">
        <v>701</v>
      </c>
      <c r="D7" s="5"/>
      <c r="E7" s="5"/>
      <c r="F7" s="5"/>
      <c r="G7" s="5"/>
    </row>
    <row r="8" spans="2:7">
      <c r="B8" s="5">
        <v>1794</v>
      </c>
      <c r="C8" s="15" t="s">
        <v>702</v>
      </c>
      <c r="D8" s="5"/>
      <c r="E8" s="5"/>
      <c r="F8" s="5"/>
      <c r="G8" s="5"/>
    </row>
    <row r="9" spans="2:7">
      <c r="B9" s="5">
        <v>5742</v>
      </c>
      <c r="C9" s="15" t="s">
        <v>703</v>
      </c>
      <c r="D9" s="5"/>
      <c r="E9" s="5"/>
      <c r="F9" s="5"/>
      <c r="G9" s="5"/>
    </row>
    <row r="10" spans="2:7">
      <c r="B10" s="5">
        <v>1824</v>
      </c>
      <c r="C10" s="15" t="s">
        <v>704</v>
      </c>
      <c r="D10" s="5"/>
      <c r="E10" s="5"/>
      <c r="F10" s="5"/>
      <c r="G10" s="5"/>
    </row>
    <row r="11" spans="2:7">
      <c r="B11" s="5">
        <v>9947</v>
      </c>
      <c r="C11" s="15" t="s">
        <v>705</v>
      </c>
      <c r="D11" s="5"/>
      <c r="E11" s="5"/>
      <c r="F11" s="5"/>
      <c r="G11" s="5"/>
    </row>
    <row r="12" spans="2:7" ht="23.25" customHeight="1">
      <c r="C12" s="2" t="s">
        <v>25</v>
      </c>
    </row>
    <row r="13" spans="2:7">
      <c r="B13" s="5" t="s">
        <v>698</v>
      </c>
      <c r="C13" s="15" t="s">
        <v>699</v>
      </c>
      <c r="D13" s="5" t="s">
        <v>128</v>
      </c>
      <c r="E13" s="5" t="s">
        <v>116</v>
      </c>
      <c r="F13" s="5" t="s">
        <v>117</v>
      </c>
      <c r="G13" s="5" t="s">
        <v>75</v>
      </c>
    </row>
    <row r="14" spans="2:7">
      <c r="B14" s="5">
        <v>251</v>
      </c>
      <c r="C14" s="15" t="s">
        <v>700</v>
      </c>
      <c r="D14" s="5"/>
      <c r="E14" s="5"/>
      <c r="F14" s="5"/>
      <c r="G14" s="5"/>
    </row>
    <row r="15" spans="2:7">
      <c r="B15" s="5">
        <v>1793</v>
      </c>
      <c r="C15" s="15" t="s">
        <v>701</v>
      </c>
      <c r="D15" s="5"/>
      <c r="E15" s="5"/>
      <c r="F15" s="5"/>
      <c r="G15" s="5"/>
    </row>
    <row r="16" spans="2:7">
      <c r="B16" s="5">
        <v>1794</v>
      </c>
      <c r="C16" s="15" t="s">
        <v>702</v>
      </c>
      <c r="D16" s="5"/>
      <c r="E16" s="5"/>
      <c r="F16" s="5"/>
      <c r="G16" s="5"/>
    </row>
    <row r="17" spans="2:7">
      <c r="B17" s="5">
        <v>5742</v>
      </c>
      <c r="C17" s="15" t="s">
        <v>703</v>
      </c>
      <c r="D17" s="5"/>
      <c r="E17" s="5"/>
      <c r="F17" s="5"/>
      <c r="G17" s="5"/>
    </row>
    <row r="18" spans="2:7">
      <c r="B18" s="5">
        <v>1824</v>
      </c>
      <c r="C18" s="15" t="s">
        <v>704</v>
      </c>
      <c r="D18" s="5"/>
      <c r="E18" s="5"/>
      <c r="F18" s="5"/>
      <c r="G18" s="5"/>
    </row>
    <row r="19" spans="2:7">
      <c r="B19" s="5">
        <v>9947</v>
      </c>
      <c r="C19" s="15" t="s">
        <v>705</v>
      </c>
      <c r="D19" s="5"/>
      <c r="E19" s="5"/>
      <c r="F19" s="5"/>
      <c r="G19" s="5"/>
    </row>
    <row r="20" spans="2:7" ht="24.75" customHeight="1">
      <c r="C20" s="2" t="s">
        <v>26</v>
      </c>
    </row>
    <row r="21" spans="2:7">
      <c r="B21" s="5" t="s">
        <v>698</v>
      </c>
      <c r="C21" s="15" t="s">
        <v>699</v>
      </c>
      <c r="D21" s="5" t="s">
        <v>128</v>
      </c>
      <c r="E21" s="5" t="s">
        <v>116</v>
      </c>
      <c r="F21" s="5" t="s">
        <v>117</v>
      </c>
      <c r="G21" s="5" t="s">
        <v>75</v>
      </c>
    </row>
    <row r="22" spans="2:7">
      <c r="B22" s="5">
        <v>251</v>
      </c>
      <c r="C22" s="15" t="s">
        <v>700</v>
      </c>
      <c r="D22" s="5"/>
      <c r="E22" s="5"/>
      <c r="F22" s="5"/>
      <c r="G22" s="5"/>
    </row>
    <row r="23" spans="2:7">
      <c r="B23" s="5">
        <v>1793</v>
      </c>
      <c r="C23" s="15" t="s">
        <v>701</v>
      </c>
      <c r="D23" s="5"/>
      <c r="E23" s="5"/>
      <c r="F23" s="5"/>
      <c r="G23" s="5"/>
    </row>
    <row r="24" spans="2:7">
      <c r="B24" s="5">
        <v>1794</v>
      </c>
      <c r="C24" s="15" t="s">
        <v>702</v>
      </c>
      <c r="D24" s="5"/>
      <c r="E24" s="5"/>
      <c r="F24" s="5"/>
      <c r="G24" s="5"/>
    </row>
    <row r="25" spans="2:7">
      <c r="B25" s="5">
        <v>5742</v>
      </c>
      <c r="C25" s="15" t="s">
        <v>703</v>
      </c>
      <c r="D25" s="5"/>
      <c r="E25" s="5"/>
      <c r="F25" s="5"/>
      <c r="G25" s="5"/>
    </row>
    <row r="26" spans="2:7">
      <c r="B26" s="5">
        <v>1824</v>
      </c>
      <c r="C26" s="15" t="s">
        <v>704</v>
      </c>
      <c r="D26" s="5"/>
      <c r="E26" s="5"/>
      <c r="F26" s="5"/>
      <c r="G26" s="5"/>
    </row>
    <row r="27" spans="2:7">
      <c r="B27" s="5">
        <v>9947</v>
      </c>
      <c r="C27" s="15" t="s">
        <v>705</v>
      </c>
      <c r="D27" s="5"/>
      <c r="E27" s="5"/>
      <c r="F27" s="5"/>
      <c r="G27" s="5"/>
    </row>
    <row r="28" spans="2:7" ht="25.5" customHeight="1">
      <c r="C28" s="2" t="s">
        <v>28</v>
      </c>
    </row>
    <row r="29" spans="2:7">
      <c r="B29" s="5" t="s">
        <v>698</v>
      </c>
      <c r="C29" s="15" t="s">
        <v>699</v>
      </c>
      <c r="D29" s="5" t="s">
        <v>128</v>
      </c>
      <c r="E29" s="5" t="s">
        <v>116</v>
      </c>
      <c r="F29" s="5" t="s">
        <v>117</v>
      </c>
      <c r="G29" s="5" t="s">
        <v>75</v>
      </c>
    </row>
    <row r="30" spans="2:7">
      <c r="B30" s="5">
        <v>251</v>
      </c>
      <c r="C30" s="15" t="s">
        <v>700</v>
      </c>
      <c r="D30" s="5"/>
      <c r="E30" s="5"/>
      <c r="F30" s="5"/>
      <c r="G30" s="5"/>
    </row>
    <row r="31" spans="2:7">
      <c r="B31" s="5">
        <v>1793</v>
      </c>
      <c r="C31" s="15" t="s">
        <v>701</v>
      </c>
      <c r="D31" s="5"/>
      <c r="E31" s="5"/>
      <c r="F31" s="5"/>
      <c r="G31" s="5"/>
    </row>
    <row r="32" spans="2:7">
      <c r="B32" s="5">
        <v>1794</v>
      </c>
      <c r="C32" s="15" t="s">
        <v>702</v>
      </c>
      <c r="D32" s="5"/>
      <c r="E32" s="5"/>
      <c r="F32" s="5"/>
      <c r="G32" s="5"/>
    </row>
    <row r="33" spans="2:7">
      <c r="B33" s="5">
        <v>5742</v>
      </c>
      <c r="C33" s="15" t="s">
        <v>703</v>
      </c>
      <c r="D33" s="5"/>
      <c r="E33" s="5"/>
      <c r="F33" s="5"/>
      <c r="G33" s="5"/>
    </row>
    <row r="34" spans="2:7">
      <c r="B34" s="5">
        <v>1824</v>
      </c>
      <c r="C34" s="15" t="s">
        <v>704</v>
      </c>
      <c r="D34" s="5"/>
      <c r="E34" s="5"/>
      <c r="F34" s="5"/>
      <c r="G34" s="5"/>
    </row>
    <row r="35" spans="2:7">
      <c r="B35" s="5">
        <v>9947</v>
      </c>
      <c r="C35" s="15" t="s">
        <v>705</v>
      </c>
      <c r="D35" s="5"/>
      <c r="E35" s="5"/>
      <c r="F35" s="5"/>
      <c r="G35" s="5"/>
    </row>
    <row r="36" spans="2:7" ht="21.75" customHeight="1">
      <c r="C36" s="2" t="s">
        <v>706</v>
      </c>
    </row>
    <row r="37" spans="2:7">
      <c r="B37" s="5" t="s">
        <v>698</v>
      </c>
      <c r="C37" s="15" t="s">
        <v>699</v>
      </c>
      <c r="D37" s="5" t="s">
        <v>128</v>
      </c>
      <c r="E37" s="5" t="s">
        <v>116</v>
      </c>
      <c r="F37" s="5" t="s">
        <v>117</v>
      </c>
      <c r="G37" s="5" t="s">
        <v>75</v>
      </c>
    </row>
    <row r="38" spans="2:7">
      <c r="B38" s="5">
        <v>251</v>
      </c>
      <c r="C38" s="15" t="s">
        <v>700</v>
      </c>
      <c r="D38" s="5"/>
      <c r="E38" s="5"/>
      <c r="F38" s="5"/>
      <c r="G38" s="5"/>
    </row>
    <row r="39" spans="2:7">
      <c r="B39" s="5">
        <v>1793</v>
      </c>
      <c r="C39" s="15" t="s">
        <v>701</v>
      </c>
      <c r="D39" s="5"/>
      <c r="E39" s="5"/>
      <c r="F39" s="5"/>
      <c r="G39" s="5"/>
    </row>
    <row r="40" spans="2:7">
      <c r="B40" s="5">
        <v>1794</v>
      </c>
      <c r="C40" s="15" t="s">
        <v>702</v>
      </c>
      <c r="D40" s="5"/>
      <c r="E40" s="5"/>
      <c r="F40" s="5"/>
      <c r="G40" s="5"/>
    </row>
    <row r="41" spans="2:7">
      <c r="B41" s="5">
        <v>5742</v>
      </c>
      <c r="C41" s="15" t="s">
        <v>703</v>
      </c>
      <c r="D41" s="5"/>
      <c r="E41" s="5"/>
      <c r="F41" s="5"/>
      <c r="G41" s="5"/>
    </row>
    <row r="42" spans="2:7">
      <c r="B42" s="5">
        <v>1824</v>
      </c>
      <c r="C42" s="15" t="s">
        <v>704</v>
      </c>
      <c r="D42" s="5"/>
      <c r="E42" s="5"/>
      <c r="F42" s="5"/>
      <c r="G42" s="5"/>
    </row>
    <row r="43" spans="2:7">
      <c r="B43" s="5">
        <v>9947</v>
      </c>
      <c r="C43" s="15" t="s">
        <v>705</v>
      </c>
      <c r="D43" s="5"/>
      <c r="E43" s="5"/>
      <c r="F43" s="5"/>
      <c r="G43" s="5"/>
    </row>
  </sheetData>
  <pageMargins left="0.25" right="0.25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2:M89"/>
  <sheetViews>
    <sheetView topLeftCell="A70" workbookViewId="0">
      <selection activeCell="A25" sqref="A25"/>
    </sheetView>
  </sheetViews>
  <sheetFormatPr baseColWidth="10" defaultRowHeight="15"/>
  <cols>
    <col min="1" max="1" width="23.28515625" customWidth="1"/>
    <col min="2" max="2" width="19.7109375" customWidth="1"/>
    <col min="3" max="3" width="27.28515625" hidden="1" customWidth="1"/>
    <col min="4" max="4" width="23.42578125" hidden="1" customWidth="1"/>
    <col min="5" max="5" width="22.140625" hidden="1" customWidth="1"/>
    <col min="6" max="6" width="20.5703125" customWidth="1"/>
    <col min="7" max="7" width="16.7109375" customWidth="1"/>
    <col min="8" max="8" width="16.85546875" customWidth="1"/>
    <col min="9" max="9" width="15.5703125" customWidth="1"/>
  </cols>
  <sheetData>
    <row r="2" spans="1:13">
      <c r="J2" s="105"/>
      <c r="K2" s="105"/>
      <c r="L2" s="105"/>
      <c r="M2" s="105"/>
    </row>
    <row r="3" spans="1:13">
      <c r="A3" s="119"/>
      <c r="B3" s="257"/>
      <c r="C3" s="119"/>
      <c r="D3" s="119"/>
      <c r="E3" s="119"/>
      <c r="F3" s="119"/>
      <c r="G3" s="119"/>
      <c r="H3" s="119"/>
      <c r="I3" s="313"/>
      <c r="J3" s="866"/>
      <c r="K3" s="867"/>
      <c r="L3" s="867"/>
      <c r="M3" s="867"/>
    </row>
    <row r="4" spans="1:13">
      <c r="A4" s="23"/>
      <c r="B4" s="23" t="s">
        <v>116</v>
      </c>
      <c r="C4" s="23" t="s">
        <v>117</v>
      </c>
      <c r="D4" s="23" t="s">
        <v>1223</v>
      </c>
      <c r="E4" s="23" t="s">
        <v>1224</v>
      </c>
      <c r="F4" s="23" t="s">
        <v>1225</v>
      </c>
      <c r="G4" s="315" t="s">
        <v>1226</v>
      </c>
      <c r="H4" s="316" t="s">
        <v>1227</v>
      </c>
      <c r="I4" s="317" t="s">
        <v>75</v>
      </c>
      <c r="J4" s="850"/>
      <c r="K4" s="850"/>
      <c r="L4" s="850"/>
      <c r="M4" s="105"/>
    </row>
    <row r="5" spans="1:13">
      <c r="A5" s="318" t="s">
        <v>1228</v>
      </c>
      <c r="B5" s="319"/>
      <c r="C5" s="23"/>
      <c r="D5" s="23"/>
      <c r="E5" s="320">
        <f>B5/6</f>
        <v>0</v>
      </c>
      <c r="F5" s="320">
        <f>E5*8</f>
        <v>0</v>
      </c>
      <c r="G5" s="320">
        <f>F5/10</f>
        <v>0</v>
      </c>
      <c r="H5" s="321">
        <f>C5/10</f>
        <v>0</v>
      </c>
      <c r="I5" s="322"/>
      <c r="J5" s="337"/>
      <c r="K5" s="337"/>
      <c r="L5" s="337"/>
      <c r="M5" s="850"/>
    </row>
    <row r="6" spans="1:13">
      <c r="A6" s="323" t="s">
        <v>1229</v>
      </c>
      <c r="B6" s="319"/>
      <c r="C6" s="23"/>
      <c r="D6" s="23"/>
      <c r="E6" s="320">
        <f t="shared" ref="E6:E21" si="0">B6/6</f>
        <v>0</v>
      </c>
      <c r="F6" s="320">
        <f t="shared" ref="F6:F21" si="1">E6*8</f>
        <v>0</v>
      </c>
      <c r="G6" s="320">
        <f>F6/12</f>
        <v>0</v>
      </c>
      <c r="H6" s="321">
        <f>C6/12</f>
        <v>0</v>
      </c>
      <c r="I6" s="322"/>
      <c r="J6" s="337"/>
      <c r="K6" s="337"/>
      <c r="L6" s="337"/>
      <c r="M6" s="337"/>
    </row>
    <row r="7" spans="1:13">
      <c r="A7" s="325" t="s">
        <v>1230</v>
      </c>
      <c r="B7" s="319"/>
      <c r="C7" s="23"/>
      <c r="D7" s="23"/>
      <c r="E7" s="320">
        <f t="shared" si="0"/>
        <v>0</v>
      </c>
      <c r="F7" s="320">
        <f t="shared" si="1"/>
        <v>0</v>
      </c>
      <c r="G7" s="320">
        <f t="shared" ref="G7:G21" si="2">F7/10</f>
        <v>0</v>
      </c>
      <c r="H7" s="321">
        <f t="shared" ref="H7:H21" si="3">C7/10</f>
        <v>0</v>
      </c>
      <c r="I7" s="22"/>
      <c r="J7" s="868"/>
      <c r="K7" s="868"/>
      <c r="L7" s="868"/>
      <c r="M7" s="105"/>
    </row>
    <row r="8" spans="1:13">
      <c r="A8" s="318" t="s">
        <v>1231</v>
      </c>
      <c r="B8" s="319"/>
      <c r="C8" s="23"/>
      <c r="D8" s="23"/>
      <c r="E8" s="320">
        <f t="shared" si="0"/>
        <v>0</v>
      </c>
      <c r="F8" s="320">
        <f t="shared" si="1"/>
        <v>0</v>
      </c>
      <c r="G8" s="320">
        <f t="shared" si="2"/>
        <v>0</v>
      </c>
      <c r="H8" s="321">
        <f t="shared" si="3"/>
        <v>0</v>
      </c>
      <c r="I8" s="322"/>
      <c r="J8" s="337"/>
      <c r="K8" s="337"/>
      <c r="L8" s="337"/>
      <c r="M8" s="337"/>
    </row>
    <row r="9" spans="1:13">
      <c r="A9" s="318" t="s">
        <v>1232</v>
      </c>
      <c r="B9" s="319"/>
      <c r="C9" s="23"/>
      <c r="D9" s="23"/>
      <c r="E9" s="320">
        <f t="shared" si="0"/>
        <v>0</v>
      </c>
      <c r="F9" s="320">
        <f t="shared" si="1"/>
        <v>0</v>
      </c>
      <c r="G9" s="320">
        <f t="shared" si="2"/>
        <v>0</v>
      </c>
      <c r="H9" s="321">
        <f t="shared" si="3"/>
        <v>0</v>
      </c>
      <c r="I9" s="322"/>
      <c r="J9" s="337"/>
      <c r="K9" s="337"/>
      <c r="L9" s="337"/>
      <c r="M9" s="850"/>
    </row>
    <row r="10" spans="1:13">
      <c r="A10" s="318" t="s">
        <v>1233</v>
      </c>
      <c r="B10" s="319"/>
      <c r="C10" s="23"/>
      <c r="D10" s="23"/>
      <c r="E10" s="320">
        <f t="shared" si="0"/>
        <v>0</v>
      </c>
      <c r="F10" s="320">
        <f t="shared" si="1"/>
        <v>0</v>
      </c>
      <c r="G10" s="320">
        <f t="shared" si="2"/>
        <v>0</v>
      </c>
      <c r="H10" s="321">
        <f t="shared" si="3"/>
        <v>0</v>
      </c>
      <c r="I10" s="322"/>
      <c r="J10" s="337"/>
      <c r="K10" s="337"/>
      <c r="L10" s="337"/>
      <c r="M10" s="337"/>
    </row>
    <row r="11" spans="1:13">
      <c r="A11" s="318" t="s">
        <v>1234</v>
      </c>
      <c r="B11" s="319"/>
      <c r="C11" s="23"/>
      <c r="D11" s="23"/>
      <c r="E11" s="320">
        <f t="shared" si="0"/>
        <v>0</v>
      </c>
      <c r="F11" s="320">
        <f t="shared" si="1"/>
        <v>0</v>
      </c>
      <c r="G11" s="320">
        <f t="shared" si="2"/>
        <v>0</v>
      </c>
      <c r="H11" s="321">
        <f t="shared" si="3"/>
        <v>0</v>
      </c>
      <c r="I11" s="322"/>
      <c r="J11" s="337"/>
      <c r="K11" s="337"/>
      <c r="L11" s="337"/>
      <c r="M11" s="337"/>
    </row>
    <row r="12" spans="1:13">
      <c r="A12" s="323" t="s">
        <v>1235</v>
      </c>
      <c r="B12" s="319"/>
      <c r="C12" s="23"/>
      <c r="D12" s="23"/>
      <c r="E12" s="320">
        <f t="shared" si="0"/>
        <v>0</v>
      </c>
      <c r="F12" s="320">
        <f t="shared" si="1"/>
        <v>0</v>
      </c>
      <c r="G12" s="320">
        <f>F12/12</f>
        <v>0</v>
      </c>
      <c r="H12" s="321">
        <f>C12/12</f>
        <v>0</v>
      </c>
      <c r="I12" s="322"/>
      <c r="J12" s="337"/>
      <c r="K12" s="337"/>
      <c r="L12" s="337"/>
      <c r="M12" s="337"/>
    </row>
    <row r="13" spans="1:13">
      <c r="A13" s="318" t="s">
        <v>1236</v>
      </c>
      <c r="B13" s="319"/>
      <c r="C13" s="23"/>
      <c r="D13" s="23"/>
      <c r="E13" s="320">
        <f t="shared" si="0"/>
        <v>0</v>
      </c>
      <c r="F13" s="320">
        <f t="shared" si="1"/>
        <v>0</v>
      </c>
      <c r="G13" s="320">
        <f>F13/10</f>
        <v>0</v>
      </c>
      <c r="H13" s="321">
        <f>C13/10</f>
        <v>0</v>
      </c>
      <c r="I13" s="322"/>
      <c r="J13" s="337"/>
      <c r="K13" s="337"/>
      <c r="L13" s="337"/>
      <c r="M13" s="337"/>
    </row>
    <row r="14" spans="1:13">
      <c r="A14" s="318" t="s">
        <v>1237</v>
      </c>
      <c r="B14" s="319"/>
      <c r="C14" s="95"/>
      <c r="D14" s="95"/>
      <c r="E14" s="320">
        <f t="shared" si="0"/>
        <v>0</v>
      </c>
      <c r="F14" s="320">
        <f t="shared" si="1"/>
        <v>0</v>
      </c>
      <c r="G14" s="320">
        <f t="shared" si="2"/>
        <v>0</v>
      </c>
      <c r="H14" s="321">
        <f t="shared" si="3"/>
        <v>0</v>
      </c>
      <c r="I14" s="495"/>
      <c r="J14" s="105"/>
      <c r="K14" s="105"/>
      <c r="L14" s="105"/>
      <c r="M14" s="105"/>
    </row>
    <row r="15" spans="1:13">
      <c r="A15" s="326" t="s">
        <v>1238</v>
      </c>
      <c r="B15" s="319"/>
      <c r="C15" s="95"/>
      <c r="D15" s="95"/>
      <c r="E15" s="320">
        <f t="shared" si="0"/>
        <v>0</v>
      </c>
      <c r="F15" s="320">
        <f t="shared" si="1"/>
        <v>0</v>
      </c>
      <c r="G15" s="320">
        <f t="shared" si="2"/>
        <v>0</v>
      </c>
      <c r="H15" s="321">
        <f t="shared" si="3"/>
        <v>0</v>
      </c>
      <c r="I15" s="495"/>
      <c r="J15" s="105"/>
      <c r="K15" s="105"/>
      <c r="L15" s="105"/>
      <c r="M15" s="105"/>
    </row>
    <row r="16" spans="1:13">
      <c r="A16" s="325" t="s">
        <v>1239</v>
      </c>
      <c r="B16" s="319"/>
      <c r="C16" s="95"/>
      <c r="D16" s="95"/>
      <c r="E16" s="320">
        <f t="shared" si="0"/>
        <v>0</v>
      </c>
      <c r="F16" s="320">
        <f t="shared" si="1"/>
        <v>0</v>
      </c>
      <c r="G16" s="320">
        <f t="shared" si="2"/>
        <v>0</v>
      </c>
      <c r="H16" s="321">
        <f t="shared" si="3"/>
        <v>0</v>
      </c>
      <c r="I16" s="495"/>
      <c r="J16" s="105"/>
      <c r="K16" s="105"/>
      <c r="L16" s="105"/>
      <c r="M16" s="105"/>
    </row>
    <row r="17" spans="1:13">
      <c r="A17" s="325" t="s">
        <v>1240</v>
      </c>
      <c r="B17" s="319"/>
      <c r="C17" s="95"/>
      <c r="D17" s="95"/>
      <c r="E17" s="320">
        <f t="shared" si="0"/>
        <v>0</v>
      </c>
      <c r="F17" s="320">
        <f t="shared" si="1"/>
        <v>0</v>
      </c>
      <c r="G17" s="320">
        <f t="shared" si="2"/>
        <v>0</v>
      </c>
      <c r="H17" s="321">
        <f t="shared" si="3"/>
        <v>0</v>
      </c>
      <c r="I17" s="495"/>
      <c r="J17" s="113"/>
      <c r="K17" s="113"/>
      <c r="L17" s="113"/>
      <c r="M17" s="113"/>
    </row>
    <row r="18" spans="1:13">
      <c r="A18" s="325" t="s">
        <v>1241</v>
      </c>
      <c r="B18" s="319"/>
      <c r="C18" s="95"/>
      <c r="D18" s="95"/>
      <c r="E18" s="320">
        <f t="shared" si="0"/>
        <v>0</v>
      </c>
      <c r="F18" s="320">
        <f t="shared" si="1"/>
        <v>0</v>
      </c>
      <c r="G18" s="320">
        <f t="shared" si="2"/>
        <v>0</v>
      </c>
      <c r="H18" s="321">
        <f t="shared" si="3"/>
        <v>0</v>
      </c>
      <c r="I18" s="495"/>
      <c r="J18" s="113"/>
      <c r="K18" s="113"/>
      <c r="L18" s="113"/>
      <c r="M18" s="113"/>
    </row>
    <row r="19" spans="1:13">
      <c r="A19" s="325" t="s">
        <v>1242</v>
      </c>
      <c r="B19" s="319"/>
      <c r="C19" s="95"/>
      <c r="D19" s="95"/>
      <c r="E19" s="320">
        <f t="shared" si="0"/>
        <v>0</v>
      </c>
      <c r="F19" s="320">
        <f t="shared" si="1"/>
        <v>0</v>
      </c>
      <c r="G19" s="320">
        <f t="shared" si="2"/>
        <v>0</v>
      </c>
      <c r="H19" s="321">
        <f t="shared" si="3"/>
        <v>0</v>
      </c>
      <c r="I19" s="495"/>
      <c r="J19" s="113"/>
      <c r="K19" s="113"/>
      <c r="L19" s="113"/>
      <c r="M19" s="113"/>
    </row>
    <row r="20" spans="1:13">
      <c r="A20" s="325" t="s">
        <v>1243</v>
      </c>
      <c r="B20" s="319"/>
      <c r="C20" s="95"/>
      <c r="D20" s="95"/>
      <c r="E20" s="320">
        <f t="shared" si="0"/>
        <v>0</v>
      </c>
      <c r="F20" s="320">
        <f t="shared" si="1"/>
        <v>0</v>
      </c>
      <c r="G20" s="320">
        <f t="shared" si="2"/>
        <v>0</v>
      </c>
      <c r="H20" s="321">
        <f t="shared" si="3"/>
        <v>0</v>
      </c>
      <c r="I20" s="495"/>
      <c r="J20" s="113"/>
      <c r="K20" s="113"/>
      <c r="L20" s="113"/>
      <c r="M20" s="113"/>
    </row>
    <row r="21" spans="1:13">
      <c r="A21" s="325" t="s">
        <v>1244</v>
      </c>
      <c r="B21" s="319"/>
      <c r="C21" s="95"/>
      <c r="D21" s="95"/>
      <c r="E21" s="320">
        <f t="shared" si="0"/>
        <v>0</v>
      </c>
      <c r="F21" s="320">
        <f t="shared" si="1"/>
        <v>0</v>
      </c>
      <c r="G21" s="320">
        <f t="shared" si="2"/>
        <v>0</v>
      </c>
      <c r="H21" s="321">
        <f t="shared" si="3"/>
        <v>0</v>
      </c>
      <c r="I21" s="495"/>
      <c r="J21" s="113"/>
      <c r="K21" s="113"/>
      <c r="L21" s="113"/>
      <c r="M21" s="113"/>
    </row>
    <row r="22" spans="1:13">
      <c r="A22" s="327"/>
      <c r="B22" s="112"/>
      <c r="C22" s="9"/>
      <c r="D22" s="9"/>
      <c r="E22" s="328"/>
      <c r="F22" s="328"/>
      <c r="G22" s="328"/>
      <c r="H22" s="869"/>
      <c r="I22" s="105"/>
      <c r="J22" s="113"/>
      <c r="K22" s="113"/>
      <c r="L22" s="113"/>
      <c r="M22" s="113"/>
    </row>
    <row r="23" spans="1:13">
      <c r="A23" s="327"/>
      <c r="B23" s="9"/>
      <c r="C23" s="9"/>
      <c r="D23" s="9"/>
      <c r="E23" s="328"/>
      <c r="F23" s="328"/>
      <c r="G23" s="328"/>
      <c r="H23" s="869"/>
      <c r="I23" s="105"/>
      <c r="J23" s="113"/>
      <c r="K23" s="113"/>
      <c r="L23" s="113"/>
      <c r="M23" s="113"/>
    </row>
    <row r="24" spans="1:13">
      <c r="A24" s="327"/>
      <c r="B24" s="9"/>
      <c r="C24" s="9"/>
      <c r="D24" s="9"/>
      <c r="E24" s="328"/>
      <c r="F24" s="328"/>
      <c r="G24" s="328"/>
      <c r="H24" s="869"/>
      <c r="I24" s="105"/>
      <c r="J24" s="113"/>
      <c r="K24" s="113"/>
      <c r="L24" s="113"/>
      <c r="M24" s="113"/>
    </row>
    <row r="25" spans="1:13">
      <c r="A25" s="327"/>
      <c r="B25" s="9"/>
      <c r="C25" s="9"/>
      <c r="D25" s="9"/>
      <c r="E25" s="328"/>
      <c r="F25" s="328"/>
      <c r="G25" s="328"/>
      <c r="H25" s="869"/>
      <c r="I25" s="105"/>
      <c r="J25" s="113"/>
      <c r="K25" s="113"/>
      <c r="L25" s="113"/>
      <c r="M25" s="113"/>
    </row>
    <row r="26" spans="1:13">
      <c r="A26" s="327"/>
      <c r="B26" s="9"/>
      <c r="C26" s="9"/>
      <c r="D26" s="9"/>
      <c r="E26" s="328"/>
      <c r="F26" s="328"/>
      <c r="G26" s="328"/>
      <c r="H26" s="869"/>
      <c r="I26" s="105"/>
      <c r="J26" s="113"/>
      <c r="K26" s="113"/>
      <c r="L26" s="113"/>
      <c r="M26" s="113"/>
    </row>
    <row r="27" spans="1:13">
      <c r="A27" s="119"/>
      <c r="B27" s="257"/>
      <c r="C27" s="119"/>
      <c r="D27" s="119"/>
      <c r="E27" s="119"/>
      <c r="F27" s="257"/>
      <c r="G27" s="314"/>
      <c r="H27" s="870"/>
      <c r="I27" s="860"/>
      <c r="J27" s="119"/>
      <c r="K27" s="119"/>
      <c r="L27" s="119"/>
      <c r="M27" s="119"/>
    </row>
    <row r="28" spans="1:13">
      <c r="A28" s="23"/>
      <c r="B28" s="23" t="s">
        <v>637</v>
      </c>
      <c r="C28" s="43" t="s">
        <v>1245</v>
      </c>
      <c r="D28" s="23" t="s">
        <v>637</v>
      </c>
      <c r="E28" s="314"/>
      <c r="F28" s="314" t="s">
        <v>72</v>
      </c>
      <c r="G28" s="119"/>
      <c r="H28" s="119"/>
      <c r="I28" s="119"/>
      <c r="J28" s="119"/>
      <c r="K28" s="119"/>
      <c r="L28" s="119"/>
      <c r="M28" s="119"/>
    </row>
    <row r="29" spans="1:13">
      <c r="A29" s="329" t="s">
        <v>1228</v>
      </c>
      <c r="B29" s="330">
        <v>69859730</v>
      </c>
      <c r="C29" s="23">
        <v>0</v>
      </c>
      <c r="D29" s="331" t="e">
        <f>#REF!*C29</f>
        <v>#REF!</v>
      </c>
      <c r="E29" s="119"/>
      <c r="F29" s="314"/>
      <c r="G29" s="119"/>
      <c r="H29" s="119"/>
      <c r="I29" s="119"/>
      <c r="J29" s="119"/>
      <c r="K29" s="119"/>
      <c r="L29" s="119"/>
      <c r="M29" s="119"/>
    </row>
    <row r="30" spans="1:13">
      <c r="A30" s="332" t="s">
        <v>1229</v>
      </c>
      <c r="B30" s="330">
        <v>41915840</v>
      </c>
      <c r="C30" s="23">
        <v>0</v>
      </c>
      <c r="D30" s="331" t="e">
        <f>#REF!*C30</f>
        <v>#REF!</v>
      </c>
      <c r="E30" s="119"/>
      <c r="F30" s="314"/>
      <c r="G30" s="119"/>
      <c r="H30" s="119"/>
      <c r="I30" s="119"/>
      <c r="J30" s="119"/>
      <c r="K30" s="119"/>
      <c r="L30" s="119"/>
      <c r="M30" s="119"/>
    </row>
    <row r="31" spans="1:13">
      <c r="A31" s="329" t="s">
        <v>1246</v>
      </c>
      <c r="B31" s="330">
        <v>83831680</v>
      </c>
      <c r="C31" s="23">
        <v>0</v>
      </c>
      <c r="D31" s="331" t="e">
        <f>#REF!*C31</f>
        <v>#REF!</v>
      </c>
      <c r="E31" s="90"/>
      <c r="F31" s="314"/>
      <c r="G31" s="119"/>
      <c r="H31" s="119"/>
      <c r="I31" s="119"/>
      <c r="J31" s="119"/>
      <c r="K31" s="119"/>
      <c r="L31" s="119"/>
      <c r="M31" s="119"/>
    </row>
    <row r="32" spans="1:13">
      <c r="A32" s="329" t="s">
        <v>1231</v>
      </c>
      <c r="B32" s="330">
        <v>73851720</v>
      </c>
      <c r="C32" s="23">
        <v>0</v>
      </c>
      <c r="D32" s="331" t="e">
        <f>#REF!*C32</f>
        <v>#REF!</v>
      </c>
      <c r="E32" s="90"/>
      <c r="F32" s="314"/>
      <c r="G32" s="119"/>
      <c r="H32" s="119"/>
      <c r="I32" s="119"/>
      <c r="J32" s="119"/>
      <c r="K32" s="119"/>
      <c r="L32" s="119"/>
      <c r="M32" s="119"/>
    </row>
    <row r="33" spans="1:13">
      <c r="A33" s="329" t="s">
        <v>1232</v>
      </c>
      <c r="B33" s="330">
        <v>73851720</v>
      </c>
      <c r="C33" s="23">
        <v>0</v>
      </c>
      <c r="D33" s="331" t="e">
        <f>#REF!*C33</f>
        <v>#REF!</v>
      </c>
      <c r="E33" s="90"/>
      <c r="F33" s="314"/>
      <c r="G33" s="119"/>
      <c r="H33" s="119"/>
      <c r="I33" s="119"/>
      <c r="J33" s="119"/>
      <c r="K33" s="119"/>
      <c r="L33" s="119"/>
      <c r="M33" s="119"/>
    </row>
    <row r="34" spans="1:13">
      <c r="A34" s="329" t="s">
        <v>1233</v>
      </c>
      <c r="B34" s="330">
        <v>83831680</v>
      </c>
      <c r="C34" s="23">
        <v>0</v>
      </c>
      <c r="D34" s="331" t="e">
        <f>#REF!*C34</f>
        <v>#REF!</v>
      </c>
      <c r="E34" s="90"/>
      <c r="F34" s="314"/>
      <c r="G34" s="119"/>
      <c r="H34" s="119"/>
      <c r="I34" s="119"/>
      <c r="J34" s="119"/>
      <c r="K34" s="119"/>
      <c r="L34" s="119"/>
      <c r="M34" s="119"/>
    </row>
    <row r="35" spans="1:13">
      <c r="A35" s="329" t="s">
        <v>1234</v>
      </c>
      <c r="B35" s="333">
        <v>69859730</v>
      </c>
      <c r="C35" s="23">
        <v>0</v>
      </c>
      <c r="D35" s="331" t="e">
        <f>#REF!*C35</f>
        <v>#REF!</v>
      </c>
      <c r="E35" s="119"/>
      <c r="F35" s="314"/>
      <c r="G35" s="119"/>
      <c r="H35" s="119"/>
      <c r="I35" s="119"/>
      <c r="J35" s="119"/>
      <c r="K35" s="119"/>
      <c r="L35" s="119"/>
      <c r="M35" s="119"/>
    </row>
    <row r="36" spans="1:13">
      <c r="A36" s="332" t="s">
        <v>1235</v>
      </c>
      <c r="B36" s="330">
        <v>41915840</v>
      </c>
      <c r="C36" s="23">
        <v>0</v>
      </c>
      <c r="D36" s="331" t="e">
        <f>#REF!*C36</f>
        <v>#REF!</v>
      </c>
      <c r="E36" s="119"/>
      <c r="F36" s="314"/>
      <c r="G36" s="119"/>
      <c r="H36" s="119"/>
      <c r="I36" s="119"/>
      <c r="J36" s="119"/>
      <c r="K36" s="119"/>
      <c r="L36" s="119"/>
      <c r="M36" s="119"/>
    </row>
    <row r="37" spans="1:13">
      <c r="A37" s="329" t="s">
        <v>1236</v>
      </c>
      <c r="B37" s="330">
        <v>34929870</v>
      </c>
      <c r="C37" s="23">
        <v>0</v>
      </c>
      <c r="D37" s="331" t="e">
        <f>#REF!*C37</f>
        <v>#REF!</v>
      </c>
      <c r="E37" s="314"/>
      <c r="F37" s="314"/>
      <c r="G37" s="119"/>
      <c r="H37" s="119"/>
      <c r="I37" s="119"/>
      <c r="J37" s="119"/>
      <c r="K37" s="119"/>
      <c r="L37" s="119"/>
      <c r="M37" s="119"/>
    </row>
    <row r="38" spans="1:13">
      <c r="A38" s="329" t="s">
        <v>1237</v>
      </c>
      <c r="B38" s="330">
        <v>31935880</v>
      </c>
      <c r="C38" s="23">
        <v>0</v>
      </c>
      <c r="D38" s="331" t="e">
        <f>#REF!*C38</f>
        <v>#REF!</v>
      </c>
      <c r="E38" s="314"/>
      <c r="F38" s="314"/>
      <c r="G38" s="119"/>
      <c r="H38" s="119"/>
      <c r="I38" s="119"/>
      <c r="J38" s="119"/>
      <c r="K38" s="119"/>
      <c r="L38" s="119"/>
      <c r="M38" s="119"/>
    </row>
    <row r="39" spans="1:13">
      <c r="A39" s="334" t="s">
        <v>1238</v>
      </c>
      <c r="B39" s="331">
        <v>30380000</v>
      </c>
      <c r="C39" s="23">
        <v>0</v>
      </c>
      <c r="D39" s="331">
        <f t="shared" ref="D39:D45" si="4">B39*C39</f>
        <v>0</v>
      </c>
      <c r="E39" s="314"/>
      <c r="F39" s="314"/>
      <c r="G39" s="119"/>
      <c r="H39" s="119"/>
      <c r="I39" s="119"/>
      <c r="J39" s="119"/>
      <c r="K39" s="119"/>
      <c r="L39" s="119"/>
      <c r="M39" s="119"/>
    </row>
    <row r="40" spans="1:13">
      <c r="A40" s="23" t="s">
        <v>1239</v>
      </c>
      <c r="B40" s="331">
        <v>30380000</v>
      </c>
      <c r="C40" s="23">
        <v>0</v>
      </c>
      <c r="D40" s="331">
        <f t="shared" si="4"/>
        <v>0</v>
      </c>
      <c r="E40" s="314"/>
      <c r="F40" s="314"/>
      <c r="G40" s="119"/>
      <c r="H40" s="119"/>
      <c r="I40" s="119"/>
      <c r="J40" s="119"/>
      <c r="K40" s="119"/>
      <c r="L40" s="119"/>
      <c r="M40" s="119"/>
    </row>
    <row r="41" spans="1:13">
      <c r="A41" s="23" t="s">
        <v>1240</v>
      </c>
      <c r="B41" s="331">
        <f>B40</f>
        <v>30380000</v>
      </c>
      <c r="C41" s="23">
        <v>0</v>
      </c>
      <c r="D41" s="331">
        <f t="shared" si="4"/>
        <v>0</v>
      </c>
      <c r="E41" s="314"/>
      <c r="F41" s="314"/>
      <c r="G41" s="119"/>
      <c r="H41" s="119"/>
      <c r="I41" s="119"/>
      <c r="J41" s="119"/>
      <c r="K41" s="119"/>
      <c r="L41" s="119"/>
      <c r="M41" s="119"/>
    </row>
    <row r="42" spans="1:13">
      <c r="A42" s="23" t="s">
        <v>1241</v>
      </c>
      <c r="B42" s="331">
        <v>58800000</v>
      </c>
      <c r="C42" s="23">
        <v>0</v>
      </c>
      <c r="D42" s="331">
        <f t="shared" si="4"/>
        <v>0</v>
      </c>
      <c r="E42" s="314"/>
      <c r="F42" s="314"/>
      <c r="G42" s="119"/>
      <c r="H42" s="119"/>
      <c r="I42" s="119"/>
      <c r="J42" s="119"/>
      <c r="K42" s="119"/>
      <c r="L42" s="119"/>
      <c r="M42" s="119"/>
    </row>
    <row r="43" spans="1:13">
      <c r="A43" s="23" t="s">
        <v>1242</v>
      </c>
      <c r="B43" s="331">
        <f>B42</f>
        <v>58800000</v>
      </c>
      <c r="C43" s="23">
        <v>0</v>
      </c>
      <c r="D43" s="331">
        <f t="shared" si="4"/>
        <v>0</v>
      </c>
      <c r="E43" s="314"/>
      <c r="F43" s="314"/>
      <c r="G43" s="119"/>
      <c r="H43" s="119"/>
      <c r="I43" s="119"/>
      <c r="J43" s="119"/>
      <c r="K43" s="119"/>
      <c r="L43" s="119"/>
      <c r="M43" s="119"/>
    </row>
    <row r="44" spans="1:13">
      <c r="A44" s="23" t="s">
        <v>1243</v>
      </c>
      <c r="B44" s="331">
        <f>B42</f>
        <v>58800000</v>
      </c>
      <c r="C44" s="23">
        <v>0</v>
      </c>
      <c r="D44" s="331">
        <f t="shared" si="4"/>
        <v>0</v>
      </c>
      <c r="E44" s="314"/>
      <c r="F44" s="314"/>
      <c r="G44" s="119"/>
      <c r="H44" s="119"/>
      <c r="I44" s="119"/>
      <c r="J44" s="119"/>
      <c r="K44" s="119"/>
      <c r="L44" s="119"/>
      <c r="M44" s="119"/>
    </row>
    <row r="45" spans="1:13">
      <c r="A45" s="23" t="s">
        <v>1244</v>
      </c>
      <c r="B45" s="331">
        <f>B42</f>
        <v>58800000</v>
      </c>
      <c r="C45" s="23">
        <v>0</v>
      </c>
      <c r="D45" s="331">
        <f t="shared" si="4"/>
        <v>0</v>
      </c>
      <c r="E45" s="314"/>
      <c r="F45" s="314"/>
      <c r="G45" s="119"/>
      <c r="H45" s="119"/>
      <c r="I45" s="119"/>
      <c r="J45" s="119"/>
      <c r="K45" s="119"/>
      <c r="L45" s="119"/>
      <c r="M45" s="119"/>
    </row>
    <row r="46" spans="1:13">
      <c r="A46" s="119"/>
      <c r="B46" s="257"/>
      <c r="C46" s="119"/>
      <c r="D46" s="119"/>
      <c r="E46" s="119"/>
      <c r="F46" s="119"/>
      <c r="G46" s="257"/>
      <c r="H46" s="314"/>
      <c r="I46" s="314"/>
      <c r="J46" s="119"/>
      <c r="K46" s="119"/>
      <c r="L46" s="119"/>
      <c r="M46" s="119"/>
    </row>
    <row r="47" spans="1:13">
      <c r="A47" s="43" t="s">
        <v>72</v>
      </c>
      <c r="B47" s="23" t="s">
        <v>75</v>
      </c>
      <c r="C47" s="112"/>
      <c r="D47" s="119"/>
      <c r="E47" s="119"/>
      <c r="F47" s="119"/>
      <c r="G47" s="257"/>
      <c r="H47" s="314"/>
      <c r="I47" s="314"/>
      <c r="J47" s="119"/>
      <c r="K47" s="119"/>
      <c r="L47" s="119"/>
      <c r="M47" s="119"/>
    </row>
    <row r="48" spans="1:13">
      <c r="A48" s="335" t="s">
        <v>1228</v>
      </c>
      <c r="B48" s="23"/>
      <c r="C48" s="112"/>
      <c r="D48" s="119"/>
      <c r="E48" s="119"/>
      <c r="F48" s="119"/>
      <c r="G48" s="257"/>
      <c r="H48" s="314"/>
      <c r="I48" s="314"/>
      <c r="J48" s="119"/>
      <c r="K48" s="119"/>
      <c r="L48" s="119"/>
      <c r="M48" s="119"/>
    </row>
    <row r="49" spans="1:13">
      <c r="A49" s="336" t="s">
        <v>1229</v>
      </c>
      <c r="B49" s="324"/>
      <c r="C49" s="337"/>
      <c r="D49" s="119"/>
      <c r="E49" s="119"/>
      <c r="F49" s="119"/>
      <c r="G49" s="257"/>
      <c r="H49" s="314"/>
      <c r="I49" s="314"/>
      <c r="J49" s="119"/>
      <c r="K49" s="119"/>
      <c r="L49" s="119"/>
      <c r="M49" s="119"/>
    </row>
    <row r="50" spans="1:13">
      <c r="A50" s="335" t="s">
        <v>1246</v>
      </c>
      <c r="B50" s="324"/>
      <c r="C50" s="337"/>
      <c r="D50" s="119"/>
      <c r="E50" s="119"/>
      <c r="F50" s="119"/>
      <c r="G50" s="257"/>
      <c r="H50" s="119"/>
      <c r="I50" s="314"/>
      <c r="J50" s="119"/>
      <c r="K50" s="119"/>
      <c r="L50" s="119"/>
      <c r="M50" s="119"/>
    </row>
    <row r="51" spans="1:13">
      <c r="A51" s="335" t="s">
        <v>1231</v>
      </c>
      <c r="B51" s="324"/>
      <c r="C51" s="337"/>
      <c r="D51" s="119"/>
      <c r="E51" s="119"/>
      <c r="F51" s="119"/>
      <c r="G51" s="257"/>
      <c r="H51" s="314"/>
      <c r="I51" s="314"/>
      <c r="J51" s="119"/>
      <c r="K51" s="119"/>
      <c r="L51" s="119"/>
      <c r="M51" s="119"/>
    </row>
    <row r="52" spans="1:13">
      <c r="A52" s="335" t="s">
        <v>1232</v>
      </c>
      <c r="B52" s="23"/>
      <c r="C52" s="112"/>
      <c r="D52" s="119"/>
      <c r="E52" s="119"/>
      <c r="F52" s="119"/>
      <c r="G52" s="257"/>
      <c r="H52" s="314"/>
      <c r="I52" s="314"/>
      <c r="J52" s="119"/>
      <c r="K52" s="119"/>
      <c r="L52" s="119"/>
      <c r="M52" s="119"/>
    </row>
    <row r="53" spans="1:13">
      <c r="A53" s="335" t="s">
        <v>1233</v>
      </c>
      <c r="B53" s="324"/>
      <c r="C53" s="337"/>
      <c r="D53" s="119"/>
      <c r="E53" s="119"/>
      <c r="F53" s="119"/>
      <c r="G53" s="257"/>
      <c r="H53" s="314"/>
      <c r="I53" s="314"/>
      <c r="J53" s="119"/>
      <c r="K53" s="119"/>
      <c r="L53" s="119"/>
      <c r="M53" s="119"/>
    </row>
    <row r="54" spans="1:13">
      <c r="A54" s="335" t="s">
        <v>1234</v>
      </c>
      <c r="B54" s="324"/>
      <c r="C54" s="337"/>
      <c r="D54" s="119"/>
      <c r="E54" s="119"/>
      <c r="F54" s="119"/>
      <c r="G54" s="257"/>
      <c r="H54" s="314"/>
      <c r="I54" s="314"/>
      <c r="J54" s="119"/>
      <c r="K54" s="119"/>
      <c r="L54" s="119"/>
      <c r="M54" s="119"/>
    </row>
    <row r="55" spans="1:13">
      <c r="A55" s="336" t="s">
        <v>1235</v>
      </c>
      <c r="B55" s="324"/>
      <c r="C55" s="337"/>
      <c r="D55" s="119"/>
      <c r="E55" s="119"/>
      <c r="F55" s="119"/>
      <c r="G55" s="257"/>
      <c r="H55" s="314"/>
      <c r="I55" s="314"/>
      <c r="J55" s="119"/>
      <c r="K55" s="119"/>
      <c r="L55" s="119"/>
      <c r="M55" s="119"/>
    </row>
    <row r="56" spans="1:13">
      <c r="A56" s="335" t="s">
        <v>1236</v>
      </c>
      <c r="B56" s="324"/>
      <c r="C56" s="337"/>
      <c r="D56" s="119"/>
      <c r="E56" s="119"/>
      <c r="F56" s="119"/>
      <c r="G56" s="257"/>
      <c r="H56" s="314"/>
      <c r="I56" s="314"/>
      <c r="J56" s="119"/>
      <c r="K56" s="119"/>
      <c r="L56" s="119"/>
      <c r="M56" s="119"/>
    </row>
    <row r="57" spans="1:13">
      <c r="A57" s="335" t="s">
        <v>1237</v>
      </c>
      <c r="B57" s="95"/>
      <c r="C57" s="113"/>
      <c r="D57" s="119"/>
      <c r="E57" s="119"/>
      <c r="F57" s="119"/>
      <c r="G57" s="257"/>
      <c r="H57" s="314"/>
      <c r="I57" s="314"/>
      <c r="J57" s="119"/>
      <c r="K57" s="119"/>
      <c r="L57" s="119"/>
      <c r="M57" s="119"/>
    </row>
    <row r="58" spans="1:13">
      <c r="A58" s="338" t="s">
        <v>1238</v>
      </c>
      <c r="B58" s="95"/>
      <c r="C58" s="113"/>
      <c r="D58" s="119"/>
      <c r="E58" s="119"/>
      <c r="F58" s="119"/>
      <c r="G58" s="257"/>
      <c r="H58" s="314"/>
      <c r="I58" s="314"/>
      <c r="J58" s="119"/>
      <c r="K58" s="119"/>
      <c r="L58" s="119"/>
      <c r="M58" s="119"/>
    </row>
    <row r="59" spans="1:13">
      <c r="A59" s="339" t="s">
        <v>1239</v>
      </c>
      <c r="B59" s="95"/>
      <c r="C59" s="113"/>
      <c r="D59" s="119"/>
      <c r="E59" s="119"/>
      <c r="F59" s="119"/>
      <c r="G59" s="257"/>
      <c r="H59" s="314"/>
      <c r="I59" s="314"/>
      <c r="J59" s="119"/>
      <c r="K59" s="119"/>
      <c r="L59" s="119"/>
      <c r="M59" s="119"/>
    </row>
    <row r="60" spans="1:13">
      <c r="A60" s="339" t="s">
        <v>1240</v>
      </c>
      <c r="B60" s="95"/>
      <c r="C60" s="113"/>
      <c r="D60" s="119"/>
      <c r="E60" s="119"/>
      <c r="F60" s="119"/>
      <c r="G60" s="257"/>
      <c r="H60" s="314"/>
      <c r="I60" s="314"/>
      <c r="J60" s="119"/>
      <c r="K60" s="119"/>
      <c r="L60" s="119"/>
      <c r="M60" s="119"/>
    </row>
    <row r="61" spans="1:13">
      <c r="A61" s="339" t="s">
        <v>1241</v>
      </c>
      <c r="B61" s="95"/>
      <c r="C61" s="113"/>
      <c r="D61" s="119"/>
      <c r="E61" s="119"/>
      <c r="F61" s="119"/>
      <c r="G61" s="257"/>
      <c r="H61" s="314"/>
      <c r="I61" s="314"/>
      <c r="J61" s="119"/>
      <c r="K61" s="119"/>
      <c r="L61" s="119"/>
      <c r="M61" s="119"/>
    </row>
    <row r="62" spans="1:13">
      <c r="A62" s="339" t="s">
        <v>1242</v>
      </c>
      <c r="B62" s="95"/>
      <c r="C62" s="113"/>
      <c r="D62" s="119"/>
      <c r="E62" s="119"/>
      <c r="F62" s="119"/>
      <c r="G62" s="257"/>
      <c r="H62" s="314"/>
      <c r="I62" s="314"/>
      <c r="J62" s="119"/>
      <c r="K62" s="119"/>
      <c r="L62" s="119"/>
      <c r="M62" s="119"/>
    </row>
    <row r="63" spans="1:13">
      <c r="A63" s="339" t="s">
        <v>1243</v>
      </c>
      <c r="B63" s="95"/>
      <c r="C63" s="113"/>
      <c r="D63" s="119"/>
      <c r="E63" s="119"/>
      <c r="F63" s="119"/>
      <c r="G63" s="257"/>
      <c r="H63" s="314"/>
      <c r="I63" s="314"/>
      <c r="J63" s="119"/>
      <c r="K63" s="119"/>
      <c r="L63" s="119"/>
      <c r="M63" s="119"/>
    </row>
    <row r="64" spans="1:13">
      <c r="A64" s="339" t="s">
        <v>1244</v>
      </c>
      <c r="B64" s="95"/>
      <c r="C64" s="113"/>
      <c r="D64" s="119"/>
      <c r="E64" s="119"/>
      <c r="F64" s="119"/>
      <c r="G64" s="257"/>
      <c r="H64" s="314"/>
      <c r="I64" s="314"/>
      <c r="J64" s="119"/>
      <c r="K64" s="119"/>
      <c r="L64" s="119"/>
      <c r="M64" s="119"/>
    </row>
    <row r="65" spans="1:13">
      <c r="A65" s="327"/>
      <c r="B65" s="9"/>
      <c r="C65" s="113"/>
      <c r="D65" s="119"/>
      <c r="E65" s="119"/>
      <c r="F65" s="119"/>
      <c r="G65" s="257"/>
      <c r="H65" s="314"/>
      <c r="I65" s="314"/>
      <c r="J65" s="119"/>
      <c r="K65" s="119"/>
      <c r="L65" s="119"/>
      <c r="M65" s="119"/>
    </row>
    <row r="66" spans="1:13">
      <c r="A66" s="119"/>
      <c r="B66" s="257"/>
      <c r="C66" s="119"/>
      <c r="D66" s="119"/>
      <c r="E66" s="119"/>
      <c r="F66" s="119"/>
      <c r="G66" s="119"/>
      <c r="H66" s="119"/>
      <c r="I66" s="313"/>
      <c r="J66" s="314"/>
      <c r="K66" s="90"/>
      <c r="L66" s="90"/>
      <c r="M66" s="90"/>
    </row>
    <row r="67" spans="1:13">
      <c r="A67" s="12"/>
      <c r="B67" s="959" t="s">
        <v>1255</v>
      </c>
      <c r="C67" s="959"/>
      <c r="D67" s="959"/>
      <c r="E67" s="959"/>
      <c r="F67" s="959"/>
      <c r="G67" s="959"/>
      <c r="H67" s="959"/>
      <c r="I67" s="959"/>
    </row>
    <row r="68" spans="1:13" ht="30">
      <c r="A68" s="23" t="s">
        <v>1247</v>
      </c>
      <c r="B68" s="23" t="s">
        <v>951</v>
      </c>
      <c r="C68" s="23" t="s">
        <v>1248</v>
      </c>
      <c r="D68" s="43" t="s">
        <v>1249</v>
      </c>
      <c r="E68" s="43" t="s">
        <v>1250</v>
      </c>
      <c r="F68" s="340" t="s">
        <v>1251</v>
      </c>
      <c r="G68" s="341" t="s">
        <v>1252</v>
      </c>
      <c r="H68" s="342" t="s">
        <v>1253</v>
      </c>
    </row>
    <row r="69" spans="1:13">
      <c r="A69" s="343">
        <v>4911</v>
      </c>
      <c r="B69" s="344" t="s">
        <v>1228</v>
      </c>
      <c r="C69" s="364">
        <v>7600000</v>
      </c>
      <c r="D69" s="331">
        <f>C69*10</f>
        <v>76000000</v>
      </c>
      <c r="E69" s="380">
        <v>75847710</v>
      </c>
      <c r="F69" s="346">
        <f>E69/10</f>
        <v>7584771</v>
      </c>
      <c r="G69" s="330">
        <f>F69*1.08</f>
        <v>8191552.6800000006</v>
      </c>
      <c r="H69" s="347">
        <v>8195000</v>
      </c>
      <c r="I69" s="367"/>
    </row>
    <row r="70" spans="1:13">
      <c r="A70" s="343">
        <v>4912</v>
      </c>
      <c r="B70" s="348" t="s">
        <v>1229</v>
      </c>
      <c r="C70" s="365">
        <v>3900000</v>
      </c>
      <c r="D70" s="331">
        <f>C70*12</f>
        <v>46800000</v>
      </c>
      <c r="E70" s="380">
        <v>46706220</v>
      </c>
      <c r="F70" s="346">
        <f>E70/12</f>
        <v>3892185</v>
      </c>
      <c r="G70" s="330">
        <f t="shared" ref="G70:G79" si="5">F70*1.08</f>
        <v>4203559.8</v>
      </c>
      <c r="H70" s="347">
        <v>4205000</v>
      </c>
      <c r="I70" s="367"/>
    </row>
    <row r="71" spans="1:13">
      <c r="A71" s="343">
        <v>6600</v>
      </c>
      <c r="B71" s="344" t="s">
        <v>1230</v>
      </c>
      <c r="C71" s="345">
        <v>9000000</v>
      </c>
      <c r="D71" s="331">
        <f t="shared" ref="D71:D76" si="6">C71*10</f>
        <v>90000000</v>
      </c>
      <c r="E71" s="330">
        <f>E74</f>
        <v>89819660</v>
      </c>
      <c r="F71" s="346">
        <f t="shared" ref="F71:F76" si="7">E71/10</f>
        <v>8981966</v>
      </c>
      <c r="G71" s="330">
        <f t="shared" si="5"/>
        <v>9700523.2800000012</v>
      </c>
      <c r="H71" s="347">
        <v>9701000</v>
      </c>
      <c r="I71" s="367"/>
    </row>
    <row r="72" spans="1:13">
      <c r="A72" s="343">
        <v>4921</v>
      </c>
      <c r="B72" s="344" t="s">
        <v>1231</v>
      </c>
      <c r="C72" s="364">
        <v>8000000</v>
      </c>
      <c r="D72" s="331">
        <f t="shared" si="6"/>
        <v>80000000</v>
      </c>
      <c r="E72" s="380">
        <f>E73</f>
        <v>79839690</v>
      </c>
      <c r="F72" s="346">
        <f t="shared" si="7"/>
        <v>7983969</v>
      </c>
      <c r="G72" s="330">
        <f t="shared" si="5"/>
        <v>8622686.5200000014</v>
      </c>
      <c r="H72" s="347">
        <v>8625000</v>
      </c>
      <c r="I72" s="367"/>
    </row>
    <row r="73" spans="1:13">
      <c r="A73" s="343">
        <v>4927</v>
      </c>
      <c r="B73" s="344" t="s">
        <v>1232</v>
      </c>
      <c r="C73" s="364">
        <v>8000000</v>
      </c>
      <c r="D73" s="331">
        <f t="shared" si="6"/>
        <v>80000000</v>
      </c>
      <c r="E73" s="380">
        <v>79839690</v>
      </c>
      <c r="F73" s="346">
        <f t="shared" si="7"/>
        <v>7983969</v>
      </c>
      <c r="G73" s="330">
        <f t="shared" si="5"/>
        <v>8622686.5200000014</v>
      </c>
      <c r="H73" s="347">
        <v>8625000</v>
      </c>
      <c r="I73" s="367"/>
    </row>
    <row r="74" spans="1:13" s="119" customFormat="1">
      <c r="A74" s="343"/>
      <c r="B74" s="344" t="s">
        <v>1310</v>
      </c>
      <c r="C74" s="364">
        <v>9000000</v>
      </c>
      <c r="D74" s="331">
        <f t="shared" si="6"/>
        <v>90000000</v>
      </c>
      <c r="E74" s="380">
        <v>89819660</v>
      </c>
      <c r="F74" s="346">
        <f t="shared" si="7"/>
        <v>8981966</v>
      </c>
      <c r="G74" s="330">
        <f t="shared" si="5"/>
        <v>9700523.2800000012</v>
      </c>
      <c r="H74" s="347">
        <v>9720000</v>
      </c>
    </row>
    <row r="75" spans="1:13">
      <c r="A75" s="343">
        <v>4920</v>
      </c>
      <c r="B75" s="344" t="s">
        <v>1233</v>
      </c>
      <c r="C75" s="345">
        <v>9000000</v>
      </c>
      <c r="D75" s="331">
        <f t="shared" si="6"/>
        <v>90000000</v>
      </c>
      <c r="E75" s="330">
        <f>E74</f>
        <v>89819660</v>
      </c>
      <c r="F75" s="346">
        <f t="shared" si="7"/>
        <v>8981966</v>
      </c>
      <c r="G75" s="330">
        <f t="shared" si="5"/>
        <v>9700523.2800000012</v>
      </c>
      <c r="H75" s="347">
        <v>9720000</v>
      </c>
      <c r="I75" s="367" t="s">
        <v>72</v>
      </c>
    </row>
    <row r="76" spans="1:13">
      <c r="A76" s="343">
        <v>4914</v>
      </c>
      <c r="B76" s="348" t="s">
        <v>1234</v>
      </c>
      <c r="C76" s="365">
        <f>C69</f>
        <v>7600000</v>
      </c>
      <c r="D76" s="331">
        <f t="shared" si="6"/>
        <v>76000000</v>
      </c>
      <c r="E76" s="380">
        <f>E69</f>
        <v>75847710</v>
      </c>
      <c r="F76" s="346">
        <f t="shared" si="7"/>
        <v>7584771</v>
      </c>
      <c r="G76" s="330">
        <f t="shared" si="5"/>
        <v>8191552.6800000006</v>
      </c>
      <c r="H76" s="347">
        <v>8195000</v>
      </c>
      <c r="I76" s="367"/>
    </row>
    <row r="77" spans="1:13">
      <c r="A77" s="343">
        <v>4915</v>
      </c>
      <c r="B77" s="344" t="s">
        <v>1235</v>
      </c>
      <c r="C77" s="364">
        <f>C70</f>
        <v>3900000</v>
      </c>
      <c r="D77" s="331">
        <f>C77*12</f>
        <v>46800000</v>
      </c>
      <c r="E77" s="380">
        <f>E70</f>
        <v>46706220</v>
      </c>
      <c r="F77" s="346">
        <f>E77/12</f>
        <v>3892185</v>
      </c>
      <c r="G77" s="330">
        <f t="shared" si="5"/>
        <v>4203559.8</v>
      </c>
      <c r="H77" s="347">
        <v>4205000</v>
      </c>
      <c r="I77" s="367"/>
    </row>
    <row r="78" spans="1:13">
      <c r="A78" s="343">
        <v>12702</v>
      </c>
      <c r="B78" s="344" t="s">
        <v>1236</v>
      </c>
      <c r="C78" s="345">
        <v>3800000</v>
      </c>
      <c r="D78" s="366">
        <f>C78*10</f>
        <v>38000000</v>
      </c>
      <c r="E78" s="380">
        <v>37923850</v>
      </c>
      <c r="F78" s="346">
        <f>E78/10</f>
        <v>3792385</v>
      </c>
      <c r="G78" s="330">
        <f t="shared" si="5"/>
        <v>4095775.8000000003</v>
      </c>
      <c r="H78" s="347">
        <v>4096000</v>
      </c>
      <c r="I78" s="367"/>
    </row>
    <row r="79" spans="1:13">
      <c r="A79" s="343">
        <v>12851</v>
      </c>
      <c r="B79" s="344" t="s">
        <v>1237</v>
      </c>
      <c r="C79" s="345">
        <v>3500000</v>
      </c>
      <c r="D79" s="366">
        <f>C79*10</f>
        <v>35000000</v>
      </c>
      <c r="E79" s="380">
        <v>34929870</v>
      </c>
      <c r="F79" s="346">
        <f>E79/10</f>
        <v>3492987</v>
      </c>
      <c r="G79" s="330">
        <f t="shared" si="5"/>
        <v>3772425.9600000004</v>
      </c>
      <c r="H79" s="347">
        <v>3780000</v>
      </c>
    </row>
    <row r="80" spans="1:13">
      <c r="A80" s="349">
        <v>14334</v>
      </c>
      <c r="B80" s="23" t="s">
        <v>1254</v>
      </c>
      <c r="C80" s="331"/>
      <c r="D80" s="331"/>
      <c r="E80" s="330" t="s">
        <v>72</v>
      </c>
      <c r="F80" s="22"/>
      <c r="G80" s="23">
        <v>0.6</v>
      </c>
      <c r="H80" s="23" t="s">
        <v>1311</v>
      </c>
      <c r="I80" s="22" t="s">
        <v>72</v>
      </c>
    </row>
    <row r="81" spans="1:9">
      <c r="A81" s="257"/>
      <c r="B81" s="119"/>
      <c r="C81" s="257"/>
      <c r="D81" s="119"/>
      <c r="E81" s="119"/>
      <c r="F81" s="119"/>
      <c r="G81" s="119"/>
      <c r="H81" s="119"/>
      <c r="I81" s="119"/>
    </row>
    <row r="82" spans="1:9">
      <c r="A82" s="257"/>
      <c r="B82" s="119"/>
      <c r="C82" s="257"/>
      <c r="D82" s="119"/>
      <c r="E82" s="119"/>
      <c r="F82" s="119"/>
      <c r="G82" s="119"/>
      <c r="H82" s="119"/>
      <c r="I82" s="119"/>
    </row>
    <row r="83" spans="1:9">
      <c r="A83" s="257"/>
      <c r="B83" s="119"/>
      <c r="C83" s="257"/>
      <c r="D83" s="350"/>
      <c r="E83" s="119">
        <v>0.9979962</v>
      </c>
      <c r="F83" s="119"/>
      <c r="G83" s="119"/>
      <c r="H83" s="119"/>
      <c r="I83" s="119"/>
    </row>
    <row r="84" spans="1:9">
      <c r="A84" s="257"/>
      <c r="B84" s="119"/>
      <c r="C84" s="257"/>
      <c r="D84" s="119"/>
      <c r="E84" s="119"/>
      <c r="F84" s="119"/>
      <c r="G84" s="119"/>
      <c r="H84" s="119"/>
      <c r="I84" s="119"/>
    </row>
    <row r="85" spans="1:9">
      <c r="A85" s="257"/>
      <c r="B85" s="119"/>
      <c r="C85" s="257"/>
      <c r="D85" s="119"/>
      <c r="E85" s="119"/>
      <c r="F85" s="119"/>
      <c r="G85" s="119"/>
      <c r="H85" s="119"/>
      <c r="I85" s="119"/>
    </row>
    <row r="86" spans="1:9">
      <c r="A86" s="257"/>
      <c r="B86" s="119"/>
      <c r="C86" s="257"/>
      <c r="D86" s="119"/>
      <c r="E86" s="119"/>
      <c r="F86" s="119"/>
      <c r="G86" s="119"/>
      <c r="H86" s="119"/>
      <c r="I86" s="119"/>
    </row>
    <row r="87" spans="1:9">
      <c r="A87" s="257"/>
      <c r="B87" s="119"/>
      <c r="C87" s="257"/>
      <c r="D87" s="119"/>
      <c r="E87" s="119"/>
      <c r="F87" s="119"/>
      <c r="G87" s="119"/>
      <c r="H87" s="119"/>
      <c r="I87" s="119"/>
    </row>
    <row r="88" spans="1:9">
      <c r="A88" s="257"/>
      <c r="B88" s="119"/>
      <c r="C88" s="257"/>
      <c r="D88" s="119"/>
      <c r="E88" s="119"/>
      <c r="F88" s="119"/>
      <c r="G88" s="119"/>
      <c r="H88" s="119"/>
      <c r="I88" s="119"/>
    </row>
    <row r="89" spans="1:9">
      <c r="A89" s="257"/>
      <c r="B89" s="119"/>
      <c r="C89" s="257"/>
      <c r="D89" s="119"/>
      <c r="E89" s="119"/>
      <c r="F89" s="119"/>
      <c r="G89" s="119"/>
      <c r="H89" s="119"/>
      <c r="I89" s="119"/>
    </row>
  </sheetData>
  <mergeCells count="1">
    <mergeCell ref="B67:I67"/>
  </mergeCells>
  <pageMargins left="0.7" right="0.7" top="0.75" bottom="0.75" header="0.3" footer="0.3"/>
  <pageSetup paperSize="9" orientation="landscape" r:id="rId1"/>
  <legacy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workbookViewId="0">
      <selection activeCell="C23" sqref="C23"/>
    </sheetView>
  </sheetViews>
  <sheetFormatPr baseColWidth="10" defaultRowHeight="15"/>
  <cols>
    <col min="3" max="3" width="54.28515625" customWidth="1"/>
    <col min="4" max="4" width="22.7109375" customWidth="1"/>
    <col min="5" max="5" width="15.42578125" customWidth="1"/>
  </cols>
  <sheetData>
    <row r="2" spans="2:7" ht="45">
      <c r="D2" s="102" t="s">
        <v>24</v>
      </c>
      <c r="E2" s="102" t="s">
        <v>25</v>
      </c>
      <c r="F2" s="102" t="s">
        <v>26</v>
      </c>
      <c r="G2" s="102" t="s">
        <v>28</v>
      </c>
    </row>
    <row r="3" spans="2:7">
      <c r="B3" s="95">
        <v>2393</v>
      </c>
      <c r="C3" s="411" t="s">
        <v>1774</v>
      </c>
      <c r="D3" s="413" t="s">
        <v>630</v>
      </c>
      <c r="E3" s="413"/>
      <c r="F3" s="413"/>
      <c r="G3" s="413"/>
    </row>
    <row r="4" spans="2:7" hidden="1">
      <c r="B4" s="95">
        <v>2084</v>
      </c>
      <c r="C4" s="411" t="s">
        <v>34</v>
      </c>
      <c r="D4" s="413"/>
      <c r="E4" s="413"/>
      <c r="F4" s="413"/>
      <c r="G4" s="413"/>
    </row>
    <row r="5" spans="2:7">
      <c r="B5" s="95">
        <v>2394</v>
      </c>
      <c r="C5" s="411" t="s">
        <v>1775</v>
      </c>
      <c r="D5" s="413" t="s">
        <v>630</v>
      </c>
      <c r="E5" s="413"/>
      <c r="F5" s="413"/>
      <c r="G5" s="413"/>
    </row>
    <row r="6" spans="2:7" hidden="1">
      <c r="B6" s="95">
        <v>10238</v>
      </c>
      <c r="C6" s="411" t="s">
        <v>1776</v>
      </c>
      <c r="D6" s="413"/>
      <c r="E6" s="413"/>
      <c r="F6" s="413"/>
      <c r="G6" s="413"/>
    </row>
    <row r="7" spans="2:7" hidden="1">
      <c r="B7" s="95">
        <v>14819</v>
      </c>
      <c r="C7" s="411" t="s">
        <v>1777</v>
      </c>
      <c r="D7" s="413"/>
      <c r="E7" s="413"/>
      <c r="F7" s="413"/>
      <c r="G7" s="413"/>
    </row>
    <row r="8" spans="2:7" hidden="1">
      <c r="B8" s="95">
        <v>14820</v>
      </c>
      <c r="C8" s="411" t="s">
        <v>1778</v>
      </c>
      <c r="D8" s="413"/>
      <c r="E8" s="413"/>
      <c r="F8" s="413"/>
      <c r="G8" s="413"/>
    </row>
    <row r="9" spans="2:7" hidden="1">
      <c r="B9" s="95">
        <v>3374</v>
      </c>
      <c r="C9" s="411" t="s">
        <v>1779</v>
      </c>
      <c r="D9" s="413"/>
      <c r="E9" s="413"/>
      <c r="F9" s="413"/>
      <c r="G9" s="413"/>
    </row>
    <row r="10" spans="2:7" hidden="1">
      <c r="B10" s="95">
        <v>14821</v>
      </c>
      <c r="C10" s="411" t="s">
        <v>1780</v>
      </c>
      <c r="D10" s="413"/>
      <c r="E10" s="413"/>
      <c r="F10" s="413"/>
      <c r="G10" s="413"/>
    </row>
    <row r="11" spans="2:7" hidden="1">
      <c r="B11" s="95">
        <v>14897</v>
      </c>
      <c r="C11" s="411" t="s">
        <v>1781</v>
      </c>
      <c r="D11" s="413"/>
      <c r="E11" s="413"/>
      <c r="F11" s="413"/>
      <c r="G11" s="413"/>
    </row>
    <row r="12" spans="2:7" hidden="1">
      <c r="B12" s="95">
        <v>15958</v>
      </c>
      <c r="C12" s="411" t="s">
        <v>1782</v>
      </c>
      <c r="D12" s="413"/>
      <c r="E12" s="413"/>
      <c r="F12" s="413"/>
      <c r="G12" s="413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31"/>
  <sheetViews>
    <sheetView topLeftCell="A4" workbookViewId="0">
      <selection activeCell="I5" sqref="I5"/>
    </sheetView>
  </sheetViews>
  <sheetFormatPr baseColWidth="10" defaultRowHeight="15"/>
  <cols>
    <col min="1" max="1" width="8.85546875" customWidth="1"/>
    <col min="2" max="2" width="30.85546875" customWidth="1"/>
    <col min="3" max="5" width="11.42578125" hidden="1" customWidth="1"/>
  </cols>
  <sheetData>
    <row r="2" spans="1:9">
      <c r="C2" t="s">
        <v>72</v>
      </c>
    </row>
    <row r="3" spans="1:9">
      <c r="A3" s="387"/>
      <c r="B3" s="387"/>
      <c r="C3" s="387" t="s">
        <v>689</v>
      </c>
      <c r="D3" s="387" t="s">
        <v>689</v>
      </c>
      <c r="E3" s="387" t="s">
        <v>689</v>
      </c>
    </row>
    <row r="4" spans="1:9">
      <c r="A4" s="495"/>
      <c r="B4" s="495"/>
      <c r="C4" s="495" t="s">
        <v>690</v>
      </c>
      <c r="D4" s="495" t="s">
        <v>691</v>
      </c>
      <c r="E4" s="495" t="s">
        <v>692</v>
      </c>
      <c r="F4" s="495" t="s">
        <v>1592</v>
      </c>
      <c r="G4" s="495" t="s">
        <v>116</v>
      </c>
      <c r="H4" s="495" t="s">
        <v>117</v>
      </c>
      <c r="I4" s="495" t="s">
        <v>75</v>
      </c>
    </row>
    <row r="5" spans="1:9">
      <c r="A5" s="495">
        <v>326</v>
      </c>
      <c r="B5" s="495" t="s">
        <v>671</v>
      </c>
      <c r="C5" s="6">
        <v>1.95</v>
      </c>
      <c r="D5" s="6"/>
      <c r="E5" s="6"/>
      <c r="F5" s="495"/>
      <c r="G5" s="495"/>
      <c r="H5" s="495"/>
      <c r="I5" s="495"/>
    </row>
    <row r="6" spans="1:9">
      <c r="A6" s="495">
        <v>5149</v>
      </c>
      <c r="B6" s="495" t="s">
        <v>672</v>
      </c>
      <c r="C6" s="6">
        <v>2.35</v>
      </c>
      <c r="D6" s="11">
        <v>2.6</v>
      </c>
      <c r="E6" s="6"/>
      <c r="F6" s="495"/>
      <c r="G6" s="495"/>
      <c r="H6" s="495"/>
      <c r="I6" s="495"/>
    </row>
    <row r="7" spans="1:9">
      <c r="A7" s="495"/>
      <c r="B7" s="495" t="s">
        <v>673</v>
      </c>
      <c r="C7" s="6"/>
      <c r="D7" s="6"/>
      <c r="E7" s="6"/>
      <c r="F7" s="495"/>
      <c r="G7" s="495"/>
      <c r="H7" s="495"/>
      <c r="I7" s="495"/>
    </row>
    <row r="8" spans="1:9">
      <c r="A8" s="495">
        <v>5148</v>
      </c>
      <c r="B8" s="495" t="s">
        <v>674</v>
      </c>
      <c r="C8" s="6">
        <v>1.85</v>
      </c>
      <c r="D8" s="11">
        <v>2.1</v>
      </c>
      <c r="E8" s="6"/>
      <c r="F8" s="495"/>
      <c r="G8" s="495"/>
      <c r="H8" s="495"/>
      <c r="I8" s="495"/>
    </row>
    <row r="9" spans="1:9">
      <c r="A9" s="495"/>
      <c r="B9" s="495" t="s">
        <v>675</v>
      </c>
      <c r="C9" s="6"/>
      <c r="D9" s="6"/>
      <c r="E9" s="6"/>
      <c r="F9" s="495"/>
      <c r="G9" s="495"/>
      <c r="H9" s="495"/>
      <c r="I9" s="495"/>
    </row>
    <row r="10" spans="1:9">
      <c r="A10" s="495">
        <v>1986</v>
      </c>
      <c r="B10" s="495" t="s">
        <v>676</v>
      </c>
      <c r="C10" s="6">
        <v>1</v>
      </c>
      <c r="D10" s="6"/>
      <c r="E10" s="6"/>
      <c r="F10" s="495"/>
      <c r="G10" s="495"/>
      <c r="H10" s="495"/>
      <c r="I10" s="495"/>
    </row>
    <row r="11" spans="1:9">
      <c r="A11" s="495">
        <v>1937</v>
      </c>
      <c r="B11" s="495" t="s">
        <v>677</v>
      </c>
      <c r="C11" s="6"/>
      <c r="D11" s="11">
        <v>3.9</v>
      </c>
      <c r="E11" s="6"/>
      <c r="F11" s="495"/>
      <c r="G11" s="495"/>
      <c r="H11" s="495"/>
      <c r="I11" s="495"/>
    </row>
    <row r="12" spans="1:9">
      <c r="A12" s="495">
        <v>1887</v>
      </c>
      <c r="B12" s="495" t="s">
        <v>678</v>
      </c>
      <c r="C12" s="6">
        <v>1.35</v>
      </c>
      <c r="D12" s="6"/>
      <c r="E12" s="6"/>
      <c r="F12" s="495"/>
      <c r="G12" s="495"/>
      <c r="H12" s="495"/>
      <c r="I12" s="495"/>
    </row>
    <row r="13" spans="1:9">
      <c r="A13" s="495">
        <v>1947</v>
      </c>
      <c r="B13" s="495" t="s">
        <v>679</v>
      </c>
      <c r="C13" s="6">
        <v>1.3</v>
      </c>
      <c r="D13" s="6"/>
      <c r="E13" s="6"/>
      <c r="F13" s="495"/>
      <c r="G13" s="495"/>
      <c r="H13" s="495"/>
      <c r="I13" s="495"/>
    </row>
    <row r="14" spans="1:9">
      <c r="A14" s="495">
        <v>1991</v>
      </c>
      <c r="B14" s="495" t="s">
        <v>680</v>
      </c>
      <c r="C14" s="6"/>
      <c r="D14" s="6"/>
      <c r="E14" s="6">
        <v>1.5</v>
      </c>
      <c r="F14" s="495"/>
      <c r="G14" s="495"/>
      <c r="H14" s="495"/>
      <c r="I14" s="495"/>
    </row>
    <row r="15" spans="1:9">
      <c r="A15" s="495">
        <v>1953</v>
      </c>
      <c r="B15" s="495" t="s">
        <v>681</v>
      </c>
      <c r="C15" s="6"/>
      <c r="D15" s="6"/>
      <c r="E15" s="6">
        <v>2.25</v>
      </c>
      <c r="F15" s="495"/>
      <c r="G15" s="495"/>
      <c r="H15" s="495"/>
      <c r="I15" s="495"/>
    </row>
    <row r="16" spans="1:9">
      <c r="A16" s="495">
        <v>1918</v>
      </c>
      <c r="B16" s="495" t="s">
        <v>682</v>
      </c>
      <c r="C16" s="6"/>
      <c r="D16" s="6"/>
      <c r="E16" s="6">
        <v>2.25</v>
      </c>
      <c r="F16" s="495"/>
      <c r="G16" s="495"/>
      <c r="H16" s="495"/>
      <c r="I16" s="495"/>
    </row>
    <row r="17" spans="1:9">
      <c r="A17" s="495">
        <v>1934</v>
      </c>
      <c r="B17" s="495" t="s">
        <v>683</v>
      </c>
      <c r="C17" s="6"/>
      <c r="D17" s="6"/>
      <c r="E17" s="6">
        <v>2.35</v>
      </c>
      <c r="F17" s="495"/>
      <c r="G17" s="495"/>
      <c r="H17" s="495"/>
      <c r="I17" s="495"/>
    </row>
    <row r="18" spans="1:9">
      <c r="A18" s="495">
        <v>3509</v>
      </c>
      <c r="B18" s="495" t="s">
        <v>684</v>
      </c>
      <c r="C18" s="6"/>
      <c r="D18" s="6">
        <f>6.2-5%</f>
        <v>6.15</v>
      </c>
      <c r="E18" s="11">
        <v>5.2</v>
      </c>
      <c r="F18" s="495"/>
      <c r="G18" s="495"/>
      <c r="H18" s="495"/>
      <c r="I18" s="495"/>
    </row>
    <row r="19" spans="1:9">
      <c r="A19" s="495">
        <v>1931</v>
      </c>
      <c r="B19" s="495" t="s">
        <v>685</v>
      </c>
      <c r="C19" s="6"/>
      <c r="D19" s="11">
        <f>5.15-5%</f>
        <v>5.1000000000000005</v>
      </c>
      <c r="E19" s="71">
        <v>5.5</v>
      </c>
      <c r="F19" s="495"/>
      <c r="G19" s="495"/>
      <c r="H19" s="495"/>
      <c r="I19" s="495"/>
    </row>
    <row r="20" spans="1:9">
      <c r="A20" s="495">
        <v>1902</v>
      </c>
      <c r="B20" s="495" t="s">
        <v>695</v>
      </c>
      <c r="C20" s="6"/>
      <c r="D20" s="11">
        <f>1.5-5%</f>
        <v>1.45</v>
      </c>
      <c r="E20" s="6">
        <v>1.9</v>
      </c>
      <c r="F20" s="495"/>
      <c r="G20" s="495"/>
      <c r="H20" s="495"/>
      <c r="I20" s="495"/>
    </row>
    <row r="21" spans="1:9">
      <c r="A21" s="495">
        <v>1904</v>
      </c>
      <c r="B21" s="495" t="s">
        <v>686</v>
      </c>
      <c r="C21" s="6"/>
      <c r="D21" s="6">
        <f>3.05-5%</f>
        <v>3</v>
      </c>
      <c r="E21" s="11">
        <v>2.5</v>
      </c>
      <c r="F21" s="495"/>
      <c r="G21" s="495"/>
      <c r="H21" s="495"/>
      <c r="I21" s="495"/>
    </row>
    <row r="22" spans="1:9">
      <c r="A22" s="495">
        <v>2013</v>
      </c>
      <c r="B22" s="495" t="s">
        <v>694</v>
      </c>
      <c r="C22" s="6"/>
      <c r="D22" s="11">
        <f>6.9-5%</f>
        <v>6.8500000000000005</v>
      </c>
      <c r="E22" s="6">
        <v>5.6</v>
      </c>
      <c r="F22" s="495"/>
      <c r="G22" s="495"/>
      <c r="H22" s="495"/>
      <c r="I22" s="495"/>
    </row>
    <row r="23" spans="1:9">
      <c r="A23" s="495">
        <v>1979</v>
      </c>
      <c r="B23" s="495" t="s">
        <v>687</v>
      </c>
      <c r="C23" s="6"/>
      <c r="D23" s="6"/>
      <c r="E23" s="6"/>
      <c r="F23" s="495"/>
      <c r="G23" s="495"/>
      <c r="H23" s="495"/>
      <c r="I23" s="495"/>
    </row>
    <row r="24" spans="1:9">
      <c r="A24" s="495">
        <v>1678</v>
      </c>
      <c r="B24" s="495" t="s">
        <v>688</v>
      </c>
      <c r="C24" s="6"/>
      <c r="D24" s="6">
        <f>8.9-5%</f>
        <v>8.85</v>
      </c>
      <c r="E24" s="6">
        <v>7.8</v>
      </c>
      <c r="F24" s="495"/>
      <c r="G24" s="495"/>
      <c r="H24" s="495"/>
      <c r="I24" s="495"/>
    </row>
    <row r="25" spans="1:9">
      <c r="A25" s="495"/>
      <c r="B25" s="37" t="s">
        <v>693</v>
      </c>
      <c r="C25" s="680"/>
      <c r="D25" s="6"/>
      <c r="E25" s="680"/>
      <c r="F25" s="495"/>
      <c r="G25" s="495"/>
      <c r="H25" s="495"/>
      <c r="I25" s="495"/>
    </row>
    <row r="26" spans="1:9">
      <c r="A26" s="495"/>
      <c r="B26" s="37" t="s">
        <v>696</v>
      </c>
      <c r="C26" s="680"/>
      <c r="D26" s="6">
        <f>2-5%</f>
        <v>1.95</v>
      </c>
      <c r="E26" s="680">
        <v>2</v>
      </c>
      <c r="F26" s="495"/>
      <c r="G26" s="495"/>
      <c r="H26" s="495"/>
      <c r="I26" s="495"/>
    </row>
    <row r="27" spans="1:9">
      <c r="A27" s="495"/>
      <c r="B27" s="37" t="s">
        <v>697</v>
      </c>
      <c r="C27" s="680"/>
      <c r="D27" s="6"/>
      <c r="E27" s="680"/>
      <c r="F27" s="495"/>
      <c r="G27" s="495"/>
      <c r="H27" s="495"/>
      <c r="I27" s="495"/>
    </row>
    <row r="28" spans="1:9">
      <c r="A28" s="495"/>
      <c r="B28" s="37" t="s">
        <v>1770</v>
      </c>
      <c r="C28" s="680"/>
      <c r="D28" s="6">
        <f>3.2-5%</f>
        <v>3.1500000000000004</v>
      </c>
      <c r="E28" s="680">
        <v>4.0999999999999996</v>
      </c>
      <c r="F28" s="495"/>
      <c r="G28" s="495"/>
      <c r="H28" s="495"/>
      <c r="I28" s="495"/>
    </row>
    <row r="29" spans="1:9">
      <c r="A29" s="495"/>
      <c r="B29" s="37" t="s">
        <v>1771</v>
      </c>
      <c r="C29" s="495"/>
      <c r="D29" s="682"/>
      <c r="E29" s="495"/>
      <c r="F29" s="495"/>
      <c r="G29" s="495"/>
      <c r="H29" s="495"/>
      <c r="I29" s="495"/>
    </row>
    <row r="30" spans="1:9">
      <c r="A30" s="495">
        <v>1910</v>
      </c>
      <c r="B30" s="37" t="s">
        <v>1772</v>
      </c>
      <c r="C30" s="495"/>
      <c r="D30" s="495"/>
      <c r="E30" s="495"/>
      <c r="F30" s="495"/>
      <c r="G30" s="495"/>
      <c r="H30" s="495"/>
      <c r="I30" s="495"/>
    </row>
    <row r="31" spans="1:9">
      <c r="A31" s="495">
        <v>1906</v>
      </c>
      <c r="B31" s="37" t="s">
        <v>1773</v>
      </c>
      <c r="C31" s="495"/>
      <c r="D31" s="495"/>
      <c r="E31" s="495"/>
      <c r="F31" s="495"/>
      <c r="G31" s="495"/>
      <c r="H31" s="495"/>
      <c r="I31" s="495"/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D28"/>
  <sheetViews>
    <sheetView workbookViewId="0">
      <selection activeCell="B1" sqref="B1:B1048576"/>
    </sheetView>
  </sheetViews>
  <sheetFormatPr baseColWidth="10" defaultRowHeight="15"/>
  <cols>
    <col min="2" max="2" width="11.42578125" style="835"/>
    <col min="3" max="3" width="51.28515625" customWidth="1"/>
  </cols>
  <sheetData>
    <row r="2" spans="2:4">
      <c r="B2" s="871">
        <v>44445</v>
      </c>
      <c r="C2" s="26" t="s">
        <v>670</v>
      </c>
      <c r="D2" s="26"/>
    </row>
    <row r="3" spans="2:4">
      <c r="B3" s="109"/>
      <c r="C3" s="26"/>
      <c r="D3" s="26"/>
    </row>
    <row r="4" spans="2:4">
      <c r="B4" s="834" t="s">
        <v>0</v>
      </c>
      <c r="C4" s="22" t="s">
        <v>1</v>
      </c>
      <c r="D4" s="22"/>
    </row>
    <row r="5" spans="2:4">
      <c r="B5" s="834">
        <v>15375</v>
      </c>
      <c r="C5" s="22" t="s">
        <v>645</v>
      </c>
      <c r="D5" s="22" t="s">
        <v>663</v>
      </c>
    </row>
    <row r="6" spans="2:4">
      <c r="B6" s="834">
        <v>15376</v>
      </c>
      <c r="C6" s="22" t="s">
        <v>646</v>
      </c>
      <c r="D6" s="22" t="s">
        <v>663</v>
      </c>
    </row>
    <row r="7" spans="2:4">
      <c r="B7" s="834">
        <v>16325</v>
      </c>
      <c r="C7" s="22" t="s">
        <v>647</v>
      </c>
      <c r="D7" s="22" t="s">
        <v>664</v>
      </c>
    </row>
    <row r="8" spans="2:4">
      <c r="B8" s="834">
        <v>16326</v>
      </c>
      <c r="C8" s="22" t="s">
        <v>648</v>
      </c>
      <c r="D8" s="22" t="s">
        <v>664</v>
      </c>
    </row>
    <row r="9" spans="2:4">
      <c r="B9" s="834">
        <v>15582</v>
      </c>
      <c r="C9" s="22" t="s">
        <v>649</v>
      </c>
      <c r="D9" s="22" t="s">
        <v>669</v>
      </c>
    </row>
    <row r="10" spans="2:4">
      <c r="B10" s="834">
        <v>15863</v>
      </c>
      <c r="C10" s="22" t="s">
        <v>650</v>
      </c>
      <c r="D10" s="22" t="s">
        <v>669</v>
      </c>
    </row>
    <row r="11" spans="2:4">
      <c r="B11" s="834">
        <v>15865</v>
      </c>
      <c r="C11" s="22" t="s">
        <v>651</v>
      </c>
      <c r="D11" s="22" t="s">
        <v>669</v>
      </c>
    </row>
    <row r="12" spans="2:4">
      <c r="B12" s="834">
        <v>15379</v>
      </c>
      <c r="C12" s="22" t="s">
        <v>652</v>
      </c>
      <c r="D12" s="22" t="s">
        <v>669</v>
      </c>
    </row>
    <row r="13" spans="2:4">
      <c r="B13" s="834">
        <v>15377</v>
      </c>
      <c r="C13" s="22" t="s">
        <v>653</v>
      </c>
      <c r="D13" s="22" t="s">
        <v>669</v>
      </c>
    </row>
    <row r="14" spans="2:4">
      <c r="B14" s="834">
        <v>15378</v>
      </c>
      <c r="C14" s="22" t="s">
        <v>654</v>
      </c>
      <c r="D14" s="22" t="s">
        <v>669</v>
      </c>
    </row>
    <row r="15" spans="2:4">
      <c r="B15" s="834">
        <v>8387</v>
      </c>
      <c r="C15" s="22" t="s">
        <v>572</v>
      </c>
      <c r="D15" s="22" t="s">
        <v>665</v>
      </c>
    </row>
    <row r="16" spans="2:4">
      <c r="B16" s="834">
        <v>8386</v>
      </c>
      <c r="C16" s="22" t="s">
        <v>573</v>
      </c>
      <c r="D16" s="22" t="s">
        <v>666</v>
      </c>
    </row>
    <row r="17" spans="2:4">
      <c r="B17" s="834">
        <v>13515</v>
      </c>
      <c r="C17" s="22" t="s">
        <v>574</v>
      </c>
      <c r="D17" s="22" t="s">
        <v>669</v>
      </c>
    </row>
    <row r="18" spans="2:4">
      <c r="B18" s="834">
        <v>8105</v>
      </c>
      <c r="C18" s="22" t="s">
        <v>575</v>
      </c>
      <c r="D18" s="22" t="s">
        <v>666</v>
      </c>
    </row>
    <row r="19" spans="2:4">
      <c r="B19" s="834">
        <v>8104</v>
      </c>
      <c r="C19" s="22" t="s">
        <v>576</v>
      </c>
      <c r="D19" s="22" t="s">
        <v>666</v>
      </c>
    </row>
    <row r="20" spans="2:4">
      <c r="B20" s="834">
        <v>9025</v>
      </c>
      <c r="C20" s="22" t="s">
        <v>577</v>
      </c>
      <c r="D20" s="22" t="s">
        <v>669</v>
      </c>
    </row>
    <row r="21" spans="2:4">
      <c r="B21" s="834">
        <v>11057</v>
      </c>
      <c r="C21" s="22" t="s">
        <v>655</v>
      </c>
      <c r="D21" s="22" t="s">
        <v>667</v>
      </c>
    </row>
    <row r="22" spans="2:4">
      <c r="B22" s="834">
        <v>16974</v>
      </c>
      <c r="C22" s="22" t="s">
        <v>656</v>
      </c>
      <c r="D22" s="22" t="s">
        <v>667</v>
      </c>
    </row>
    <row r="23" spans="2:4">
      <c r="B23" s="834">
        <v>16976</v>
      </c>
      <c r="C23" s="22" t="s">
        <v>657</v>
      </c>
      <c r="D23" s="22" t="s">
        <v>667</v>
      </c>
    </row>
    <row r="24" spans="2:4">
      <c r="B24" s="834">
        <v>16977</v>
      </c>
      <c r="C24" s="22" t="s">
        <v>658</v>
      </c>
      <c r="D24" s="22" t="s">
        <v>668</v>
      </c>
    </row>
    <row r="25" spans="2:4">
      <c r="B25" s="834">
        <v>16975</v>
      </c>
      <c r="C25" s="22" t="s">
        <v>659</v>
      </c>
      <c r="D25" s="22" t="s">
        <v>668</v>
      </c>
    </row>
    <row r="26" spans="2:4">
      <c r="B26" s="834">
        <v>16973</v>
      </c>
      <c r="C26" s="22" t="s">
        <v>660</v>
      </c>
      <c r="D26" s="22" t="s">
        <v>669</v>
      </c>
    </row>
    <row r="27" spans="2:4">
      <c r="B27" s="834">
        <v>15860</v>
      </c>
      <c r="C27" s="22" t="s">
        <v>661</v>
      </c>
      <c r="D27" s="22" t="s">
        <v>669</v>
      </c>
    </row>
    <row r="28" spans="2:4">
      <c r="B28" s="834">
        <v>15862</v>
      </c>
      <c r="C28" s="22" t="s">
        <v>662</v>
      </c>
      <c r="D28" s="22" t="s">
        <v>669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topLeftCell="A28" workbookViewId="0">
      <selection activeCell="B16" sqref="B16"/>
    </sheetView>
  </sheetViews>
  <sheetFormatPr baseColWidth="10" defaultRowHeight="15"/>
  <cols>
    <col min="2" max="4" width="11.42578125" style="645"/>
    <col min="5" max="5" width="56" customWidth="1"/>
  </cols>
  <sheetData>
    <row r="2" spans="2:5">
      <c r="B2" s="646" t="s">
        <v>0</v>
      </c>
      <c r="C2" s="646" t="s">
        <v>159</v>
      </c>
      <c r="D2" s="646" t="s">
        <v>620</v>
      </c>
      <c r="E2" s="495" t="s">
        <v>1</v>
      </c>
    </row>
    <row r="3" spans="2:5">
      <c r="B3" s="646">
        <v>11982</v>
      </c>
      <c r="C3" s="646">
        <v>36</v>
      </c>
      <c r="D3" s="646">
        <v>2.54</v>
      </c>
      <c r="E3" s="495" t="s">
        <v>2725</v>
      </c>
    </row>
    <row r="4" spans="2:5">
      <c r="B4" s="646">
        <v>10845</v>
      </c>
      <c r="C4" s="646">
        <v>36</v>
      </c>
      <c r="D4" s="646">
        <v>1.62</v>
      </c>
      <c r="E4" s="495" t="s">
        <v>2726</v>
      </c>
    </row>
    <row r="5" spans="2:5">
      <c r="B5" s="646">
        <v>11979</v>
      </c>
      <c r="C5" s="646">
        <v>36</v>
      </c>
      <c r="D5" s="646">
        <v>2.71</v>
      </c>
      <c r="E5" s="495" t="s">
        <v>2727</v>
      </c>
    </row>
    <row r="6" spans="2:5">
      <c r="B6" s="646">
        <v>8345</v>
      </c>
      <c r="C6" s="646">
        <v>12</v>
      </c>
      <c r="D6" s="646">
        <v>1.94</v>
      </c>
      <c r="E6" s="495" t="s">
        <v>2728</v>
      </c>
    </row>
    <row r="7" spans="2:5">
      <c r="B7" s="646">
        <v>11990</v>
      </c>
      <c r="C7" s="646">
        <v>36</v>
      </c>
      <c r="D7" s="646">
        <v>2.5</v>
      </c>
      <c r="E7" s="495" t="s">
        <v>2729</v>
      </c>
    </row>
    <row r="8" spans="2:5">
      <c r="B8" s="646">
        <v>10595</v>
      </c>
      <c r="C8" s="646">
        <v>12</v>
      </c>
      <c r="D8" s="646">
        <v>1.96</v>
      </c>
      <c r="E8" s="495" t="s">
        <v>2730</v>
      </c>
    </row>
    <row r="9" spans="2:5">
      <c r="B9" s="646">
        <v>8131</v>
      </c>
      <c r="C9" s="646">
        <v>12</v>
      </c>
      <c r="D9" s="646">
        <v>1.72</v>
      </c>
      <c r="E9" s="495" t="s">
        <v>2731</v>
      </c>
    </row>
    <row r="10" spans="2:5">
      <c r="B10" s="646">
        <v>8132</v>
      </c>
      <c r="C10" s="646">
        <v>12</v>
      </c>
      <c r="D10" s="646">
        <v>1.72</v>
      </c>
      <c r="E10" s="495" t="s">
        <v>2732</v>
      </c>
    </row>
    <row r="11" spans="2:5">
      <c r="B11" s="646">
        <v>8130</v>
      </c>
      <c r="C11" s="646">
        <v>48</v>
      </c>
      <c r="D11" s="646">
        <v>1.78</v>
      </c>
      <c r="E11" s="495" t="s">
        <v>2733</v>
      </c>
    </row>
    <row r="12" spans="2:5">
      <c r="B12" s="646">
        <v>15640</v>
      </c>
      <c r="C12" s="646">
        <v>24</v>
      </c>
      <c r="D12" s="646">
        <v>1.62</v>
      </c>
      <c r="E12" s="495" t="s">
        <v>2734</v>
      </c>
    </row>
    <row r="13" spans="2:5">
      <c r="B13" s="646">
        <v>15641</v>
      </c>
      <c r="C13" s="646">
        <v>24</v>
      </c>
      <c r="D13" s="646">
        <v>1.62</v>
      </c>
      <c r="E13" s="495" t="s">
        <v>2735</v>
      </c>
    </row>
    <row r="14" spans="2:5">
      <c r="B14" s="646">
        <v>10590</v>
      </c>
      <c r="C14" s="646">
        <v>12</v>
      </c>
      <c r="D14" s="646">
        <v>2.1</v>
      </c>
      <c r="E14" s="495" t="s">
        <v>2736</v>
      </c>
    </row>
    <row r="15" spans="2:5">
      <c r="B15" s="646">
        <v>10589</v>
      </c>
      <c r="C15" s="646">
        <v>12</v>
      </c>
      <c r="D15" s="646">
        <v>2.1</v>
      </c>
      <c r="E15" s="495" t="s">
        <v>2737</v>
      </c>
    </row>
    <row r="16" spans="2:5">
      <c r="B16" s="646">
        <v>8121</v>
      </c>
      <c r="C16" s="646">
        <v>36</v>
      </c>
      <c r="D16" s="646">
        <v>1.43</v>
      </c>
      <c r="E16" s="495" t="s">
        <v>2738</v>
      </c>
    </row>
    <row r="17" spans="2:5">
      <c r="B17" s="646">
        <v>11981</v>
      </c>
      <c r="C17" s="646">
        <v>36</v>
      </c>
      <c r="D17" s="646">
        <v>2.74</v>
      </c>
      <c r="E17" s="495" t="s">
        <v>2739</v>
      </c>
    </row>
    <row r="18" spans="2:5">
      <c r="B18" s="646">
        <v>11983</v>
      </c>
      <c r="C18" s="646">
        <v>36</v>
      </c>
      <c r="D18" s="646">
        <v>1.51</v>
      </c>
      <c r="E18" s="495" t="s">
        <v>2740</v>
      </c>
    </row>
    <row r="19" spans="2:5">
      <c r="B19" s="646">
        <v>11984</v>
      </c>
      <c r="C19" s="646">
        <v>36</v>
      </c>
      <c r="D19" s="646">
        <v>1.51</v>
      </c>
      <c r="E19" s="495" t="s">
        <v>2741</v>
      </c>
    </row>
    <row r="20" spans="2:5">
      <c r="B20" s="646">
        <v>11989</v>
      </c>
      <c r="C20" s="646">
        <v>36</v>
      </c>
      <c r="D20" s="646">
        <v>2.3199999999999998</v>
      </c>
      <c r="E20" s="495" t="s">
        <v>2742</v>
      </c>
    </row>
    <row r="21" spans="2:5">
      <c r="B21" s="646">
        <v>10841</v>
      </c>
      <c r="C21" s="646">
        <v>48</v>
      </c>
      <c r="D21" s="646">
        <v>2.96</v>
      </c>
      <c r="E21" s="495" t="s">
        <v>2743</v>
      </c>
    </row>
    <row r="22" spans="2:5">
      <c r="B22" s="646">
        <v>10842</v>
      </c>
      <c r="C22" s="646">
        <v>48</v>
      </c>
      <c r="D22" s="646">
        <v>2.96</v>
      </c>
      <c r="E22" s="495" t="s">
        <v>2744</v>
      </c>
    </row>
    <row r="23" spans="2:5">
      <c r="B23" s="646">
        <v>10843</v>
      </c>
      <c r="C23" s="646">
        <v>48</v>
      </c>
      <c r="D23" s="646">
        <v>1.48</v>
      </c>
      <c r="E23" s="495" t="s">
        <v>2745</v>
      </c>
    </row>
    <row r="24" spans="2:5">
      <c r="B24" s="646">
        <v>10840</v>
      </c>
      <c r="C24" s="646">
        <v>48</v>
      </c>
      <c r="D24" s="646">
        <v>0.97</v>
      </c>
      <c r="E24" s="495" t="s">
        <v>2746</v>
      </c>
    </row>
    <row r="25" spans="2:5">
      <c r="B25" s="646">
        <v>10839</v>
      </c>
      <c r="C25" s="646">
        <v>48</v>
      </c>
      <c r="D25" s="646">
        <v>0.97</v>
      </c>
      <c r="E25" s="495" t="s">
        <v>2747</v>
      </c>
    </row>
    <row r="26" spans="2:5">
      <c r="B26" s="646">
        <v>10838</v>
      </c>
      <c r="C26" s="646">
        <v>48</v>
      </c>
      <c r="D26" s="646">
        <v>0.98</v>
      </c>
      <c r="E26" s="495" t="s">
        <v>2748</v>
      </c>
    </row>
    <row r="27" spans="2:5">
      <c r="B27" s="646">
        <v>8125</v>
      </c>
      <c r="C27" s="646">
        <v>12</v>
      </c>
      <c r="D27" s="646">
        <v>1.79</v>
      </c>
      <c r="E27" s="495" t="s">
        <v>2749</v>
      </c>
    </row>
    <row r="28" spans="2:5">
      <c r="B28" s="646">
        <v>10591</v>
      </c>
      <c r="C28" s="646">
        <v>12</v>
      </c>
      <c r="D28" s="646">
        <v>1.79</v>
      </c>
      <c r="E28" s="495" t="s">
        <v>2750</v>
      </c>
    </row>
    <row r="29" spans="2:5">
      <c r="B29" s="646">
        <v>10593</v>
      </c>
      <c r="C29" s="646">
        <v>12</v>
      </c>
      <c r="D29" s="646">
        <v>2.2799999999999998</v>
      </c>
      <c r="E29" s="495" t="s">
        <v>2751</v>
      </c>
    </row>
    <row r="30" spans="2:5">
      <c r="B30" s="646">
        <v>8122</v>
      </c>
      <c r="C30" s="646">
        <v>12</v>
      </c>
      <c r="D30" s="646">
        <v>1.7</v>
      </c>
      <c r="E30" s="495" t="s">
        <v>2752</v>
      </c>
    </row>
    <row r="31" spans="2:5">
      <c r="B31" s="646">
        <v>10837</v>
      </c>
      <c r="C31" s="646">
        <v>48</v>
      </c>
      <c r="D31" s="646">
        <v>1.42</v>
      </c>
      <c r="E31" s="495" t="s">
        <v>2753</v>
      </c>
    </row>
    <row r="32" spans="2:5">
      <c r="B32" s="646">
        <v>8123</v>
      </c>
      <c r="C32" s="646">
        <v>12</v>
      </c>
      <c r="D32" s="646">
        <v>1.31</v>
      </c>
      <c r="E32" s="495" t="s">
        <v>2754</v>
      </c>
    </row>
    <row r="33" spans="2:5">
      <c r="B33" s="646">
        <v>10592</v>
      </c>
      <c r="C33" s="646">
        <v>12</v>
      </c>
      <c r="D33" s="646">
        <v>1.31</v>
      </c>
      <c r="E33" s="495" t="s">
        <v>2755</v>
      </c>
    </row>
    <row r="34" spans="2:5">
      <c r="B34" s="646">
        <v>11987</v>
      </c>
      <c r="C34" s="646">
        <v>36</v>
      </c>
      <c r="D34" s="646">
        <v>1.64</v>
      </c>
      <c r="E34" s="495" t="s">
        <v>2756</v>
      </c>
    </row>
    <row r="35" spans="2:5">
      <c r="B35" s="646">
        <v>10594</v>
      </c>
      <c r="C35" s="646">
        <v>12</v>
      </c>
      <c r="D35" s="646">
        <v>2.2599999999999998</v>
      </c>
      <c r="E35" s="495" t="s">
        <v>2757</v>
      </c>
    </row>
    <row r="36" spans="2:5">
      <c r="B36" s="646">
        <v>10844</v>
      </c>
      <c r="C36" s="646">
        <v>48</v>
      </c>
      <c r="D36" s="646">
        <v>2.34</v>
      </c>
      <c r="E36" s="495" t="s">
        <v>2758</v>
      </c>
    </row>
    <row r="37" spans="2:5">
      <c r="B37" s="646">
        <v>11999</v>
      </c>
      <c r="C37" s="646">
        <v>36</v>
      </c>
      <c r="D37" s="646">
        <v>2.36</v>
      </c>
      <c r="E37" s="495" t="s">
        <v>2759</v>
      </c>
    </row>
    <row r="38" spans="2:5">
      <c r="B38" s="646">
        <v>11995</v>
      </c>
      <c r="C38" s="646">
        <v>36</v>
      </c>
      <c r="D38" s="646">
        <v>3.43</v>
      </c>
      <c r="E38" s="495" t="s">
        <v>2760</v>
      </c>
    </row>
    <row r="39" spans="2:5">
      <c r="B39" s="646">
        <v>11997</v>
      </c>
      <c r="C39" s="646">
        <v>36</v>
      </c>
      <c r="D39" s="646">
        <v>3.55</v>
      </c>
      <c r="E39" s="495" t="s">
        <v>2761</v>
      </c>
    </row>
    <row r="40" spans="2:5">
      <c r="B40" s="646">
        <v>11992</v>
      </c>
      <c r="C40" s="646">
        <v>36</v>
      </c>
      <c r="D40" s="646">
        <v>2.95</v>
      </c>
      <c r="E40" s="495" t="s">
        <v>2762</v>
      </c>
    </row>
    <row r="41" spans="2:5">
      <c r="B41" s="646">
        <v>11986</v>
      </c>
      <c r="C41" s="646">
        <v>36</v>
      </c>
      <c r="D41" s="646">
        <v>2.98</v>
      </c>
      <c r="E41" s="495" t="s">
        <v>2763</v>
      </c>
    </row>
    <row r="42" spans="2:5">
      <c r="B42" s="646">
        <v>3108</v>
      </c>
      <c r="C42" s="646">
        <v>12</v>
      </c>
      <c r="D42" s="646">
        <v>2.2999999999999998</v>
      </c>
      <c r="E42" s="495" t="s">
        <v>2764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4:D115"/>
  <sheetViews>
    <sheetView workbookViewId="0">
      <selection activeCell="C4" sqref="C4"/>
    </sheetView>
  </sheetViews>
  <sheetFormatPr baseColWidth="10" defaultRowHeight="15"/>
  <cols>
    <col min="3" max="3" width="51.5703125" customWidth="1"/>
  </cols>
  <sheetData>
    <row r="4" spans="2:4">
      <c r="B4" s="1" t="s">
        <v>0</v>
      </c>
      <c r="C4" s="1" t="s">
        <v>1</v>
      </c>
      <c r="D4" s="1"/>
    </row>
    <row r="5" spans="2:4">
      <c r="B5" s="1">
        <v>7882</v>
      </c>
      <c r="C5" s="1" t="s">
        <v>345</v>
      </c>
      <c r="D5" s="1"/>
    </row>
    <row r="6" spans="2:4">
      <c r="B6" s="1">
        <v>7878</v>
      </c>
      <c r="C6" s="1" t="s">
        <v>346</v>
      </c>
      <c r="D6" s="1"/>
    </row>
    <row r="7" spans="2:4">
      <c r="B7" s="1">
        <v>4775</v>
      </c>
      <c r="C7" s="1" t="s">
        <v>347</v>
      </c>
      <c r="D7" s="1"/>
    </row>
    <row r="8" spans="2:4">
      <c r="B8" s="1">
        <v>7295</v>
      </c>
      <c r="C8" s="1" t="s">
        <v>348</v>
      </c>
      <c r="D8" s="1"/>
    </row>
    <row r="9" spans="2:4">
      <c r="B9" s="1">
        <v>7296</v>
      </c>
      <c r="C9" s="1" t="s">
        <v>349</v>
      </c>
      <c r="D9" s="1"/>
    </row>
    <row r="10" spans="2:4">
      <c r="B10" s="1">
        <v>7297</v>
      </c>
      <c r="C10" s="1" t="s">
        <v>350</v>
      </c>
      <c r="D10" s="1"/>
    </row>
    <row r="11" spans="2:4">
      <c r="B11" s="1">
        <v>4831</v>
      </c>
      <c r="C11" s="1" t="s">
        <v>351</v>
      </c>
      <c r="D11" s="1"/>
    </row>
    <row r="12" spans="2:4">
      <c r="B12" s="1">
        <v>9235</v>
      </c>
      <c r="C12" s="1" t="s">
        <v>352</v>
      </c>
      <c r="D12" s="1"/>
    </row>
    <row r="13" spans="2:4">
      <c r="B13" s="1">
        <v>7299</v>
      </c>
      <c r="C13" s="1" t="s">
        <v>353</v>
      </c>
      <c r="D13" s="1"/>
    </row>
    <row r="14" spans="2:4">
      <c r="B14" s="1">
        <v>7298</v>
      </c>
      <c r="C14" s="1" t="s">
        <v>354</v>
      </c>
      <c r="D14" s="1"/>
    </row>
    <row r="15" spans="2:4">
      <c r="B15" s="1">
        <v>7302</v>
      </c>
      <c r="C15" s="1" t="s">
        <v>355</v>
      </c>
      <c r="D15" s="1"/>
    </row>
    <row r="16" spans="2:4">
      <c r="B16" s="1">
        <v>7883</v>
      </c>
      <c r="C16" s="1" t="s">
        <v>356</v>
      </c>
      <c r="D16" s="1"/>
    </row>
    <row r="17" spans="2:4">
      <c r="B17" s="1">
        <v>7301</v>
      </c>
      <c r="C17" s="1" t="s">
        <v>357</v>
      </c>
      <c r="D17" s="1"/>
    </row>
    <row r="18" spans="2:4">
      <c r="B18" s="1">
        <v>7303</v>
      </c>
      <c r="C18" s="1" t="s">
        <v>358</v>
      </c>
      <c r="D18" s="1"/>
    </row>
    <row r="19" spans="2:4">
      <c r="B19" s="1">
        <v>7304</v>
      </c>
      <c r="C19" s="1" t="s">
        <v>359</v>
      </c>
      <c r="D19" s="1"/>
    </row>
    <row r="20" spans="2:4">
      <c r="B20" s="1">
        <v>7042</v>
      </c>
      <c r="C20" s="1" t="s">
        <v>360</v>
      </c>
      <c r="D20" s="1"/>
    </row>
    <row r="21" spans="2:4">
      <c r="B21" s="1">
        <v>7041</v>
      </c>
      <c r="C21" s="1" t="s">
        <v>361</v>
      </c>
      <c r="D21" s="1"/>
    </row>
    <row r="22" spans="2:4">
      <c r="B22" s="1">
        <v>7040</v>
      </c>
      <c r="C22" s="1" t="s">
        <v>362</v>
      </c>
      <c r="D22" s="1"/>
    </row>
    <row r="23" spans="2:4">
      <c r="B23" s="1">
        <v>7884</v>
      </c>
      <c r="C23" s="1" t="s">
        <v>363</v>
      </c>
      <c r="D23" s="1"/>
    </row>
    <row r="24" spans="2:4">
      <c r="B24" s="1">
        <v>9236</v>
      </c>
      <c r="C24" s="1" t="s">
        <v>364</v>
      </c>
      <c r="D24" s="1"/>
    </row>
    <row r="25" spans="2:4">
      <c r="B25" s="1">
        <v>9233</v>
      </c>
      <c r="C25" s="1" t="s">
        <v>365</v>
      </c>
      <c r="D25" s="1"/>
    </row>
    <row r="26" spans="2:4">
      <c r="B26" s="1">
        <v>9231</v>
      </c>
      <c r="C26" s="1" t="s">
        <v>366</v>
      </c>
      <c r="D26" s="1"/>
    </row>
    <row r="27" spans="2:4">
      <c r="B27" s="1">
        <v>9230</v>
      </c>
      <c r="C27" s="1" t="s">
        <v>367</v>
      </c>
      <c r="D27" s="1"/>
    </row>
    <row r="28" spans="2:4">
      <c r="B28" s="1">
        <v>9232</v>
      </c>
      <c r="C28" s="1" t="s">
        <v>368</v>
      </c>
      <c r="D28" s="1"/>
    </row>
    <row r="29" spans="2:4">
      <c r="B29" s="1">
        <v>9139</v>
      </c>
      <c r="C29" s="1" t="s">
        <v>369</v>
      </c>
      <c r="D29" s="1"/>
    </row>
    <row r="30" spans="2:4">
      <c r="B30" s="1">
        <v>7043</v>
      </c>
      <c r="C30" s="1" t="s">
        <v>370</v>
      </c>
      <c r="D30" s="1"/>
    </row>
    <row r="31" spans="2:4">
      <c r="B31" s="1">
        <v>4727</v>
      </c>
      <c r="C31" s="1" t="s">
        <v>371</v>
      </c>
      <c r="D31" s="1"/>
    </row>
    <row r="32" spans="2:4">
      <c r="B32" s="1">
        <v>9234</v>
      </c>
      <c r="C32" s="1" t="s">
        <v>372</v>
      </c>
      <c r="D32" s="1"/>
    </row>
    <row r="33" spans="2:4">
      <c r="B33" s="1">
        <v>9131</v>
      </c>
      <c r="C33" s="1" t="s">
        <v>373</v>
      </c>
      <c r="D33" s="1"/>
    </row>
    <row r="34" spans="2:4">
      <c r="B34" s="1">
        <v>9129</v>
      </c>
      <c r="C34" s="1" t="s">
        <v>374</v>
      </c>
      <c r="D34" s="1"/>
    </row>
    <row r="35" spans="2:4">
      <c r="B35" s="1">
        <v>9130</v>
      </c>
      <c r="C35" s="1" t="s">
        <v>375</v>
      </c>
      <c r="D35" s="1"/>
    </row>
    <row r="36" spans="2:4">
      <c r="B36" s="1">
        <v>9128</v>
      </c>
      <c r="C36" s="1" t="s">
        <v>376</v>
      </c>
      <c r="D36" s="1"/>
    </row>
    <row r="37" spans="2:4">
      <c r="B37" s="1">
        <v>6356</v>
      </c>
      <c r="C37" s="1" t="s">
        <v>377</v>
      </c>
      <c r="D37" s="1"/>
    </row>
    <row r="38" spans="2:4">
      <c r="B38" s="1">
        <v>9237</v>
      </c>
      <c r="C38" s="1" t="s">
        <v>378</v>
      </c>
      <c r="D38" s="1"/>
    </row>
    <row r="39" spans="2:4">
      <c r="B39" s="1">
        <v>7045</v>
      </c>
      <c r="C39" s="1" t="s">
        <v>379</v>
      </c>
      <c r="D39" s="1"/>
    </row>
    <row r="40" spans="2:4">
      <c r="B40" s="1">
        <v>6098</v>
      </c>
      <c r="C40" s="1" t="s">
        <v>380</v>
      </c>
      <c r="D40" s="1"/>
    </row>
    <row r="41" spans="2:4">
      <c r="B41" s="1">
        <v>9238</v>
      </c>
      <c r="C41" s="1" t="s">
        <v>381</v>
      </c>
      <c r="D41" s="1"/>
    </row>
    <row r="42" spans="2:4">
      <c r="B42" s="1">
        <v>7877</v>
      </c>
      <c r="C42" s="1" t="s">
        <v>382</v>
      </c>
      <c r="D42" s="1"/>
    </row>
    <row r="43" spans="2:4">
      <c r="B43" s="1">
        <v>7300</v>
      </c>
      <c r="C43" s="1" t="s">
        <v>383</v>
      </c>
      <c r="D43" s="1"/>
    </row>
    <row r="44" spans="2:4">
      <c r="B44" s="1">
        <v>153</v>
      </c>
      <c r="C44" s="1" t="s">
        <v>384</v>
      </c>
      <c r="D44" s="1"/>
    </row>
    <row r="45" spans="2:4">
      <c r="B45" s="1">
        <v>4777</v>
      </c>
      <c r="C45" s="1" t="s">
        <v>385</v>
      </c>
      <c r="D45" s="1"/>
    </row>
    <row r="46" spans="2:4">
      <c r="B46" s="1">
        <v>7880</v>
      </c>
      <c r="C46" s="1" t="s">
        <v>386</v>
      </c>
      <c r="D46" s="1"/>
    </row>
    <row r="47" spans="2:4">
      <c r="B47" s="1">
        <v>7037</v>
      </c>
      <c r="C47" s="1" t="s">
        <v>387</v>
      </c>
      <c r="D47" s="1"/>
    </row>
    <row r="48" spans="2:4">
      <c r="B48" s="1">
        <v>7038</v>
      </c>
      <c r="C48" s="1" t="s">
        <v>388</v>
      </c>
      <c r="D48" s="1"/>
    </row>
    <row r="49" spans="2:4">
      <c r="B49" s="1">
        <v>7036</v>
      </c>
      <c r="C49" s="1" t="s">
        <v>389</v>
      </c>
      <c r="D49" s="1"/>
    </row>
    <row r="50" spans="2:4">
      <c r="B50" s="1">
        <v>9698</v>
      </c>
      <c r="C50" s="1" t="s">
        <v>390</v>
      </c>
      <c r="D50" s="1"/>
    </row>
    <row r="51" spans="2:4">
      <c r="B51" s="1">
        <v>7035</v>
      </c>
      <c r="C51" s="1" t="s">
        <v>391</v>
      </c>
      <c r="D51" s="1"/>
    </row>
    <row r="52" spans="2:4">
      <c r="B52" s="1">
        <v>7039</v>
      </c>
      <c r="C52" s="1" t="s">
        <v>392</v>
      </c>
      <c r="D52" s="1"/>
    </row>
    <row r="53" spans="2:4">
      <c r="B53" s="1">
        <v>10512</v>
      </c>
      <c r="C53" s="1" t="s">
        <v>393</v>
      </c>
      <c r="D53" s="1"/>
    </row>
    <row r="54" spans="2:4">
      <c r="B54" s="1">
        <v>10507</v>
      </c>
      <c r="C54" s="1" t="s">
        <v>394</v>
      </c>
      <c r="D54" s="1"/>
    </row>
    <row r="55" spans="2:4">
      <c r="B55" s="1">
        <v>10509</v>
      </c>
      <c r="C55" s="1" t="s">
        <v>395</v>
      </c>
      <c r="D55" s="1"/>
    </row>
    <row r="56" spans="2:4">
      <c r="B56" s="1">
        <v>7871</v>
      </c>
      <c r="C56" s="1" t="s">
        <v>396</v>
      </c>
      <c r="D56" s="1"/>
    </row>
    <row r="57" spans="2:4">
      <c r="B57" s="1">
        <v>7872</v>
      </c>
      <c r="C57" s="1" t="s">
        <v>397</v>
      </c>
      <c r="D57" s="1"/>
    </row>
    <row r="58" spans="2:4">
      <c r="B58" s="1">
        <v>10514</v>
      </c>
      <c r="C58" s="1" t="s">
        <v>398</v>
      </c>
      <c r="D58" s="1"/>
    </row>
    <row r="59" spans="2:4">
      <c r="B59" s="1">
        <v>10511</v>
      </c>
      <c r="C59" s="1" t="s">
        <v>399</v>
      </c>
      <c r="D59" s="1"/>
    </row>
    <row r="60" spans="2:4">
      <c r="B60" s="1">
        <v>7873</v>
      </c>
      <c r="C60" s="1" t="s">
        <v>400</v>
      </c>
      <c r="D60" s="1"/>
    </row>
    <row r="61" spans="2:4">
      <c r="B61" s="1">
        <v>10515</v>
      </c>
      <c r="C61" s="1" t="s">
        <v>401</v>
      </c>
      <c r="D61" s="1"/>
    </row>
    <row r="62" spans="2:4">
      <c r="B62" s="1">
        <v>10508</v>
      </c>
      <c r="C62" s="1" t="s">
        <v>402</v>
      </c>
      <c r="D62" s="1"/>
    </row>
    <row r="63" spans="2:4">
      <c r="B63" s="1">
        <v>7060</v>
      </c>
      <c r="C63" s="1" t="s">
        <v>403</v>
      </c>
      <c r="D63" s="1"/>
    </row>
    <row r="64" spans="2:4">
      <c r="B64" s="1">
        <v>7876</v>
      </c>
      <c r="C64" s="1" t="s">
        <v>404</v>
      </c>
      <c r="D64" s="1"/>
    </row>
    <row r="65" spans="2:4">
      <c r="B65" s="1">
        <v>8461</v>
      </c>
      <c r="C65" s="1" t="s">
        <v>405</v>
      </c>
      <c r="D65" s="1"/>
    </row>
    <row r="66" spans="2:4">
      <c r="B66" s="1">
        <v>10513</v>
      </c>
      <c r="C66" s="1" t="s">
        <v>406</v>
      </c>
      <c r="D66" s="1"/>
    </row>
    <row r="67" spans="2:4">
      <c r="B67" s="1">
        <v>7291</v>
      </c>
      <c r="C67" s="1" t="s">
        <v>407</v>
      </c>
      <c r="D67" s="1"/>
    </row>
    <row r="68" spans="2:4">
      <c r="B68" s="1">
        <v>7874</v>
      </c>
      <c r="C68" s="1" t="s">
        <v>408</v>
      </c>
      <c r="D68" s="1"/>
    </row>
    <row r="69" spans="2:4">
      <c r="B69" s="1">
        <v>7056</v>
      </c>
      <c r="C69" s="1" t="s">
        <v>409</v>
      </c>
      <c r="D69" s="1"/>
    </row>
    <row r="70" spans="2:4">
      <c r="B70" s="1">
        <v>8463</v>
      </c>
      <c r="C70" s="1" t="s">
        <v>410</v>
      </c>
      <c r="D70" s="1"/>
    </row>
    <row r="71" spans="2:4">
      <c r="B71" s="1">
        <v>10510</v>
      </c>
      <c r="C71" s="1" t="s">
        <v>411</v>
      </c>
      <c r="D71" s="1"/>
    </row>
    <row r="72" spans="2:4">
      <c r="B72" s="1">
        <v>7051</v>
      </c>
      <c r="C72" s="1" t="s">
        <v>412</v>
      </c>
      <c r="D72" s="1"/>
    </row>
    <row r="73" spans="2:4">
      <c r="B73" s="1">
        <v>7059</v>
      </c>
      <c r="C73" s="1" t="s">
        <v>413</v>
      </c>
      <c r="D73" s="1"/>
    </row>
    <row r="74" spans="2:4">
      <c r="B74" s="1">
        <v>7875</v>
      </c>
      <c r="C74" s="1" t="s">
        <v>414</v>
      </c>
      <c r="D74" s="1"/>
    </row>
    <row r="75" spans="2:4">
      <c r="B75" s="1">
        <v>9138</v>
      </c>
      <c r="C75" s="1" t="s">
        <v>415</v>
      </c>
      <c r="D75" s="1"/>
    </row>
    <row r="76" spans="2:4">
      <c r="B76" s="1">
        <v>7294</v>
      </c>
      <c r="C76" s="1" t="s">
        <v>416</v>
      </c>
      <c r="D76" s="1"/>
    </row>
    <row r="77" spans="2:4">
      <c r="B77" s="1">
        <v>9137</v>
      </c>
      <c r="C77" s="1" t="s">
        <v>417</v>
      </c>
      <c r="D77" s="1"/>
    </row>
    <row r="78" spans="2:4">
      <c r="B78" s="1">
        <v>9697</v>
      </c>
      <c r="C78" s="1" t="s">
        <v>418</v>
      </c>
      <c r="D78" s="1"/>
    </row>
    <row r="79" spans="2:4">
      <c r="B79" s="1">
        <v>7046</v>
      </c>
      <c r="C79" s="1" t="s">
        <v>419</v>
      </c>
      <c r="D79" s="1"/>
    </row>
    <row r="80" spans="2:4">
      <c r="B80" s="1">
        <v>9132</v>
      </c>
      <c r="C80" s="1" t="s">
        <v>420</v>
      </c>
      <c r="D80" s="1"/>
    </row>
    <row r="81" spans="2:4">
      <c r="B81" s="1">
        <v>7290</v>
      </c>
      <c r="C81" s="1" t="s">
        <v>421</v>
      </c>
      <c r="D81" s="1"/>
    </row>
    <row r="82" spans="2:4">
      <c r="B82" s="1">
        <v>7055</v>
      </c>
      <c r="C82" s="1" t="s">
        <v>422</v>
      </c>
      <c r="D82" s="1"/>
    </row>
    <row r="83" spans="2:4">
      <c r="B83" s="1">
        <v>10317</v>
      </c>
      <c r="C83" s="1" t="s">
        <v>423</v>
      </c>
      <c r="D83" s="1"/>
    </row>
    <row r="84" spans="2:4">
      <c r="B84" s="1">
        <v>10315</v>
      </c>
      <c r="C84" s="1" t="s">
        <v>424</v>
      </c>
      <c r="D84" s="1"/>
    </row>
    <row r="85" spans="2:4">
      <c r="B85" s="1">
        <v>7061</v>
      </c>
      <c r="C85" s="1" t="s">
        <v>425</v>
      </c>
      <c r="D85" s="1"/>
    </row>
    <row r="86" spans="2:4">
      <c r="B86" s="1">
        <v>9135</v>
      </c>
      <c r="C86" s="1" t="s">
        <v>426</v>
      </c>
      <c r="D86" s="1"/>
    </row>
    <row r="87" spans="2:4">
      <c r="B87" s="1">
        <v>7292</v>
      </c>
      <c r="C87" s="1" t="s">
        <v>427</v>
      </c>
      <c r="D87" s="1"/>
    </row>
    <row r="88" spans="2:4">
      <c r="B88" s="1">
        <v>7293</v>
      </c>
      <c r="C88" s="1" t="s">
        <v>428</v>
      </c>
      <c r="D88" s="1"/>
    </row>
    <row r="89" spans="2:4">
      <c r="B89" s="1">
        <v>9134</v>
      </c>
      <c r="C89" s="1" t="s">
        <v>429</v>
      </c>
      <c r="D89" s="1"/>
    </row>
    <row r="90" spans="2:4">
      <c r="B90" s="1">
        <v>9136</v>
      </c>
      <c r="C90" s="1" t="s">
        <v>430</v>
      </c>
      <c r="D90" s="1"/>
    </row>
    <row r="91" spans="2:4">
      <c r="B91" s="1">
        <v>7053</v>
      </c>
      <c r="C91" s="1" t="s">
        <v>431</v>
      </c>
      <c r="D91" s="1"/>
    </row>
    <row r="92" spans="2:4">
      <c r="B92" s="1">
        <v>7052</v>
      </c>
      <c r="C92" s="1" t="s">
        <v>432</v>
      </c>
      <c r="D92" s="1"/>
    </row>
    <row r="93" spans="2:4">
      <c r="B93" s="1">
        <v>9133</v>
      </c>
      <c r="C93" s="1" t="s">
        <v>433</v>
      </c>
      <c r="D93" s="1"/>
    </row>
    <row r="94" spans="2:4">
      <c r="B94" s="1">
        <v>7048</v>
      </c>
      <c r="C94" s="1" t="s">
        <v>434</v>
      </c>
      <c r="D94" s="1"/>
    </row>
    <row r="95" spans="2:4">
      <c r="B95" s="1">
        <v>7049</v>
      </c>
      <c r="C95" s="1" t="s">
        <v>435</v>
      </c>
      <c r="D95" s="1"/>
    </row>
    <row r="96" spans="2:4">
      <c r="B96" s="1">
        <v>2233</v>
      </c>
      <c r="C96" s="1" t="s">
        <v>436</v>
      </c>
      <c r="D96" s="1"/>
    </row>
    <row r="97" spans="2:4">
      <c r="B97" s="1">
        <v>378</v>
      </c>
      <c r="C97" s="1" t="s">
        <v>437</v>
      </c>
      <c r="D97" s="1"/>
    </row>
    <row r="98" spans="2:4">
      <c r="B98" s="1">
        <v>384</v>
      </c>
      <c r="C98" s="1" t="s">
        <v>438</v>
      </c>
      <c r="D98" s="1"/>
    </row>
    <row r="99" spans="2:4">
      <c r="B99" s="1">
        <v>383</v>
      </c>
      <c r="C99" s="1" t="s">
        <v>439</v>
      </c>
      <c r="D99" s="1"/>
    </row>
    <row r="100" spans="2:4">
      <c r="B100" s="1">
        <v>10358</v>
      </c>
      <c r="C100" s="1" t="s">
        <v>440</v>
      </c>
      <c r="D100" s="1"/>
    </row>
    <row r="101" spans="2:4">
      <c r="B101" s="1">
        <v>10356</v>
      </c>
      <c r="C101" s="1" t="s">
        <v>441</v>
      </c>
      <c r="D101" s="1"/>
    </row>
    <row r="102" spans="2:4">
      <c r="B102" s="1">
        <v>10357</v>
      </c>
      <c r="C102" s="1" t="s">
        <v>442</v>
      </c>
      <c r="D102" s="1"/>
    </row>
    <row r="103" spans="2:4">
      <c r="B103" s="1">
        <v>10314</v>
      </c>
      <c r="C103" s="1" t="s">
        <v>443</v>
      </c>
      <c r="D103" s="1"/>
    </row>
    <row r="104" spans="2:4">
      <c r="B104" s="1">
        <v>10313</v>
      </c>
      <c r="C104" s="1" t="s">
        <v>444</v>
      </c>
      <c r="D104" s="1"/>
    </row>
    <row r="105" spans="2:4">
      <c r="B105" s="1">
        <v>7047</v>
      </c>
      <c r="C105" s="1" t="s">
        <v>445</v>
      </c>
      <c r="D105" s="1"/>
    </row>
    <row r="106" spans="2:4">
      <c r="B106" s="1">
        <v>7058</v>
      </c>
      <c r="C106" s="1" t="s">
        <v>446</v>
      </c>
      <c r="D106" s="1"/>
    </row>
    <row r="107" spans="2:4">
      <c r="B107" s="1">
        <v>7054</v>
      </c>
      <c r="C107" s="1" t="s">
        <v>447</v>
      </c>
      <c r="D107" s="1"/>
    </row>
    <row r="108" spans="2:4">
      <c r="B108" s="1">
        <v>7057</v>
      </c>
      <c r="C108" s="1" t="s">
        <v>448</v>
      </c>
      <c r="D108" s="1"/>
    </row>
    <row r="109" spans="2:4">
      <c r="B109" s="1">
        <v>7289</v>
      </c>
      <c r="C109" s="1" t="s">
        <v>449</v>
      </c>
      <c r="D109" s="1"/>
    </row>
    <row r="110" spans="2:4">
      <c r="B110" s="1">
        <v>7050</v>
      </c>
      <c r="C110" s="1" t="s">
        <v>450</v>
      </c>
      <c r="D110" s="1"/>
    </row>
    <row r="111" spans="2:4">
      <c r="B111" s="1">
        <v>2232</v>
      </c>
      <c r="C111" s="1" t="s">
        <v>451</v>
      </c>
      <c r="D111" s="1"/>
    </row>
    <row r="112" spans="2:4">
      <c r="B112" s="1">
        <v>8462</v>
      </c>
      <c r="C112" s="1" t="s">
        <v>452</v>
      </c>
      <c r="D112" s="1"/>
    </row>
    <row r="113" spans="2:4">
      <c r="B113" s="1">
        <v>5058</v>
      </c>
      <c r="C113" s="1" t="s">
        <v>453</v>
      </c>
      <c r="D113" s="1"/>
    </row>
    <row r="114" spans="2:4">
      <c r="B114" s="1">
        <v>5059</v>
      </c>
      <c r="C114" s="1" t="s">
        <v>454</v>
      </c>
      <c r="D114" s="1"/>
    </row>
    <row r="115" spans="2:4">
      <c r="B115" s="1">
        <v>7044</v>
      </c>
      <c r="C115" s="1" t="s">
        <v>455</v>
      </c>
      <c r="D115" s="1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"/>
  <sheetViews>
    <sheetView workbookViewId="0">
      <selection activeCell="E2" sqref="E2"/>
    </sheetView>
  </sheetViews>
  <sheetFormatPr baseColWidth="10" defaultRowHeight="15"/>
  <cols>
    <col min="5" max="5" width="50" customWidth="1"/>
    <col min="6" max="6" width="15" customWidth="1"/>
    <col min="7" max="8" width="15" style="412" hidden="1" customWidth="1"/>
    <col min="9" max="9" width="14" customWidth="1"/>
    <col min="10" max="11" width="14" style="412" hidden="1" customWidth="1"/>
    <col min="13" max="14" width="0" style="412" hidden="1" customWidth="1"/>
    <col min="15" max="15" width="16.28515625" hidden="1" customWidth="1"/>
    <col min="16" max="17" width="0" hidden="1" customWidth="1"/>
  </cols>
  <sheetData>
    <row r="2" spans="2:17">
      <c r="E2" s="441" t="s">
        <v>1900</v>
      </c>
    </row>
    <row r="3" spans="2:17" ht="60">
      <c r="B3" s="95" t="s">
        <v>127</v>
      </c>
      <c r="C3" s="395" t="s">
        <v>1846</v>
      </c>
      <c r="D3" s="95" t="s">
        <v>636</v>
      </c>
      <c r="E3" s="442" t="s">
        <v>113</v>
      </c>
      <c r="F3" s="356" t="s">
        <v>24</v>
      </c>
      <c r="G3" s="356" t="s">
        <v>116</v>
      </c>
      <c r="H3" s="356" t="s">
        <v>117</v>
      </c>
      <c r="I3" s="356" t="s">
        <v>25</v>
      </c>
      <c r="J3" s="356" t="s">
        <v>116</v>
      </c>
      <c r="K3" s="356" t="s">
        <v>117</v>
      </c>
      <c r="L3" s="356" t="s">
        <v>1293</v>
      </c>
      <c r="M3" s="356" t="s">
        <v>116</v>
      </c>
      <c r="N3" s="356" t="s">
        <v>117</v>
      </c>
      <c r="O3" s="356" t="s">
        <v>778</v>
      </c>
      <c r="P3" s="356" t="s">
        <v>116</v>
      </c>
      <c r="Q3" s="356" t="s">
        <v>117</v>
      </c>
    </row>
    <row r="4" spans="2:17">
      <c r="B4" s="95">
        <v>1075</v>
      </c>
      <c r="C4" s="95">
        <v>48</v>
      </c>
      <c r="D4" s="95">
        <v>0.86</v>
      </c>
      <c r="E4" s="411" t="s">
        <v>1896</v>
      </c>
      <c r="F4" s="95" t="s">
        <v>630</v>
      </c>
      <c r="G4" s="95">
        <v>57</v>
      </c>
      <c r="H4" s="95">
        <v>47</v>
      </c>
      <c r="I4" s="95" t="s">
        <v>669</v>
      </c>
      <c r="J4" s="95">
        <v>7</v>
      </c>
      <c r="K4" s="95">
        <v>24</v>
      </c>
      <c r="L4" s="95" t="s">
        <v>669</v>
      </c>
      <c r="M4" s="95">
        <v>13</v>
      </c>
      <c r="N4" s="95">
        <v>21</v>
      </c>
      <c r="O4" s="95"/>
      <c r="P4" s="95"/>
      <c r="Q4" s="95"/>
    </row>
    <row r="5" spans="2:17">
      <c r="B5" s="95">
        <v>9022</v>
      </c>
      <c r="C5" s="95">
        <v>48</v>
      </c>
      <c r="D5" s="95">
        <v>1.44</v>
      </c>
      <c r="E5" s="411" t="s">
        <v>1897</v>
      </c>
      <c r="F5" s="95" t="s">
        <v>280</v>
      </c>
      <c r="G5" s="95">
        <v>6</v>
      </c>
      <c r="H5" s="95">
        <v>2</v>
      </c>
      <c r="I5" s="95" t="s">
        <v>631</v>
      </c>
      <c r="J5" s="95">
        <v>2</v>
      </c>
      <c r="K5" s="95">
        <v>4</v>
      </c>
      <c r="L5" s="95" t="s">
        <v>631</v>
      </c>
      <c r="M5" s="95">
        <v>4</v>
      </c>
      <c r="N5" s="95">
        <v>4</v>
      </c>
      <c r="O5" s="95"/>
      <c r="P5" s="95"/>
      <c r="Q5" s="95"/>
    </row>
    <row r="6" spans="2:17">
      <c r="B6" s="95">
        <v>1068</v>
      </c>
      <c r="C6" s="95">
        <v>12</v>
      </c>
      <c r="D6" s="95">
        <v>1.88</v>
      </c>
      <c r="E6" s="411" t="s">
        <v>1898</v>
      </c>
      <c r="F6" s="95" t="s">
        <v>630</v>
      </c>
      <c r="G6" s="95">
        <v>28</v>
      </c>
      <c r="H6" s="95">
        <v>46</v>
      </c>
      <c r="I6" s="95" t="s">
        <v>669</v>
      </c>
      <c r="J6" s="95">
        <v>5</v>
      </c>
      <c r="K6" s="95">
        <v>9</v>
      </c>
      <c r="L6" s="95" t="s">
        <v>669</v>
      </c>
      <c r="M6" s="95">
        <v>0</v>
      </c>
      <c r="N6" s="95">
        <v>4</v>
      </c>
      <c r="O6" s="95"/>
      <c r="P6" s="95"/>
      <c r="Q6" s="95"/>
    </row>
    <row r="7" spans="2:17">
      <c r="B7" s="95">
        <v>12978</v>
      </c>
      <c r="C7" s="95">
        <v>24</v>
      </c>
      <c r="D7" s="95">
        <v>1.98</v>
      </c>
      <c r="E7" s="411" t="s">
        <v>1899</v>
      </c>
      <c r="F7" s="95" t="s">
        <v>669</v>
      </c>
      <c r="G7" s="95">
        <v>17</v>
      </c>
      <c r="H7" s="95">
        <v>83</v>
      </c>
      <c r="I7" s="95" t="s">
        <v>669</v>
      </c>
      <c r="J7" s="95">
        <v>2</v>
      </c>
      <c r="K7" s="95">
        <v>42</v>
      </c>
      <c r="L7" s="95" t="s">
        <v>669</v>
      </c>
      <c r="M7" s="95">
        <v>6</v>
      </c>
      <c r="N7" s="95">
        <v>25</v>
      </c>
      <c r="O7" s="95"/>
      <c r="P7" s="95"/>
      <c r="Q7" s="9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N92"/>
  <sheetViews>
    <sheetView workbookViewId="0">
      <selection activeCell="K1" sqref="K1:L1"/>
    </sheetView>
  </sheetViews>
  <sheetFormatPr baseColWidth="10" defaultRowHeight="15"/>
  <cols>
    <col min="2" max="2" width="11.42578125" style="509" customWidth="1"/>
    <col min="3" max="4" width="11.42578125" style="416" hidden="1" customWidth="1"/>
    <col min="5" max="5" width="54.42578125" customWidth="1"/>
    <col min="6" max="6" width="14.28515625" style="421" hidden="1" customWidth="1"/>
    <col min="7" max="7" width="17.85546875" hidden="1" customWidth="1"/>
    <col min="8" max="8" width="16.28515625" hidden="1" customWidth="1"/>
    <col min="9" max="9" width="0" hidden="1" customWidth="1"/>
    <col min="10" max="10" width="15.5703125" hidden="1" customWidth="1"/>
    <col min="11" max="11" width="16.28515625" customWidth="1"/>
    <col min="14" max="14" width="13.28515625" customWidth="1"/>
  </cols>
  <sheetData>
    <row r="6" spans="2:14" ht="72" customHeight="1">
      <c r="B6" s="511" t="s">
        <v>127</v>
      </c>
      <c r="C6" s="511" t="s">
        <v>300</v>
      </c>
      <c r="D6" s="511" t="s">
        <v>67</v>
      </c>
      <c r="E6" s="510" t="s">
        <v>113</v>
      </c>
      <c r="F6" s="395" t="s">
        <v>1846</v>
      </c>
      <c r="G6" s="356" t="s">
        <v>24</v>
      </c>
      <c r="H6" s="356" t="s">
        <v>25</v>
      </c>
      <c r="I6" s="356" t="s">
        <v>1293</v>
      </c>
      <c r="J6" s="356" t="s">
        <v>778</v>
      </c>
      <c r="K6" s="356" t="s">
        <v>24</v>
      </c>
      <c r="L6" s="356" t="s">
        <v>25</v>
      </c>
      <c r="M6" s="356" t="s">
        <v>1293</v>
      </c>
      <c r="N6" s="356" t="s">
        <v>778</v>
      </c>
    </row>
    <row r="7" spans="2:14" s="494" customFormat="1">
      <c r="B7" s="512">
        <v>19266</v>
      </c>
      <c r="C7" s="512">
        <v>12</v>
      </c>
      <c r="D7" s="512">
        <v>1.08</v>
      </c>
      <c r="E7" s="402" t="s">
        <v>1840</v>
      </c>
      <c r="F7" s="395"/>
      <c r="G7" s="356"/>
      <c r="H7" s="356"/>
      <c r="I7" s="356"/>
      <c r="J7" s="356"/>
      <c r="K7" s="356"/>
      <c r="L7" s="356"/>
      <c r="M7" s="356"/>
      <c r="N7" s="356"/>
    </row>
    <row r="8" spans="2:14" s="494" customFormat="1">
      <c r="B8" s="512">
        <v>19267</v>
      </c>
      <c r="C8" s="512">
        <v>12</v>
      </c>
      <c r="D8" s="512">
        <v>1.08</v>
      </c>
      <c r="E8" s="402" t="s">
        <v>1841</v>
      </c>
      <c r="F8" s="395"/>
      <c r="G8" s="356"/>
      <c r="H8" s="356"/>
      <c r="I8" s="356"/>
      <c r="J8" s="356"/>
      <c r="K8" s="356"/>
      <c r="L8" s="356"/>
      <c r="M8" s="356"/>
      <c r="N8" s="356"/>
    </row>
    <row r="9" spans="2:14" s="494" customFormat="1">
      <c r="B9" s="512">
        <v>19268</v>
      </c>
      <c r="C9" s="512">
        <v>12</v>
      </c>
      <c r="D9" s="512">
        <v>1.1499999999999999</v>
      </c>
      <c r="E9" s="402" t="s">
        <v>1842</v>
      </c>
      <c r="F9" s="395"/>
      <c r="G9" s="356"/>
      <c r="H9" s="356"/>
      <c r="I9" s="356"/>
      <c r="J9" s="356"/>
      <c r="K9" s="356"/>
      <c r="L9" s="356"/>
      <c r="M9" s="356"/>
      <c r="N9" s="356"/>
    </row>
    <row r="10" spans="2:14" s="494" customFormat="1">
      <c r="B10" s="512">
        <v>19270</v>
      </c>
      <c r="C10" s="512">
        <v>12</v>
      </c>
      <c r="D10" s="512">
        <v>1.1499999999999999</v>
      </c>
      <c r="E10" s="402" t="s">
        <v>1819</v>
      </c>
      <c r="F10" s="395"/>
      <c r="G10" s="356"/>
      <c r="H10" s="356"/>
      <c r="I10" s="356"/>
      <c r="J10" s="356"/>
      <c r="K10" s="356"/>
      <c r="L10" s="356"/>
      <c r="M10" s="356"/>
      <c r="N10" s="356"/>
    </row>
    <row r="11" spans="2:14">
      <c r="B11" s="512">
        <v>19271</v>
      </c>
      <c r="C11" s="512">
        <v>12</v>
      </c>
      <c r="D11" s="512">
        <v>1.45</v>
      </c>
      <c r="E11" s="402" t="s">
        <v>1818</v>
      </c>
      <c r="F11" s="510">
        <v>12</v>
      </c>
      <c r="G11" s="402"/>
      <c r="H11" s="510" t="s">
        <v>1847</v>
      </c>
      <c r="I11" s="510" t="s">
        <v>1847</v>
      </c>
      <c r="J11" s="510" t="s">
        <v>1847</v>
      </c>
      <c r="K11" s="495"/>
      <c r="L11" s="495"/>
      <c r="M11" s="495"/>
      <c r="N11" s="495"/>
    </row>
    <row r="12" spans="2:14">
      <c r="B12" s="512">
        <v>19274</v>
      </c>
      <c r="C12" s="512">
        <v>12</v>
      </c>
      <c r="D12" s="512">
        <v>1.45</v>
      </c>
      <c r="E12" s="402" t="s">
        <v>1817</v>
      </c>
      <c r="F12" s="510">
        <v>12</v>
      </c>
      <c r="G12" s="402"/>
      <c r="H12" s="510" t="s">
        <v>1847</v>
      </c>
      <c r="I12" s="510" t="s">
        <v>1847</v>
      </c>
      <c r="J12" s="510" t="s">
        <v>1847</v>
      </c>
      <c r="K12" s="495"/>
      <c r="L12" s="495"/>
      <c r="M12" s="495"/>
      <c r="N12" s="495"/>
    </row>
    <row r="13" spans="2:14">
      <c r="B13" s="512">
        <v>19275</v>
      </c>
      <c r="C13" s="512">
        <v>12</v>
      </c>
      <c r="D13" s="512">
        <v>1.45</v>
      </c>
      <c r="E13" s="402" t="s">
        <v>1816</v>
      </c>
      <c r="F13" s="510">
        <v>12</v>
      </c>
      <c r="G13" s="402"/>
      <c r="H13" s="510" t="s">
        <v>1847</v>
      </c>
      <c r="I13" s="510" t="s">
        <v>1847</v>
      </c>
      <c r="J13" s="510" t="s">
        <v>1847</v>
      </c>
      <c r="K13" s="495"/>
      <c r="L13" s="495"/>
      <c r="M13" s="495"/>
      <c r="N13" s="495"/>
    </row>
    <row r="14" spans="2:14">
      <c r="B14" s="512">
        <v>19276</v>
      </c>
      <c r="C14" s="512">
        <v>12</v>
      </c>
      <c r="D14" s="512">
        <v>2.5499999999999998</v>
      </c>
      <c r="E14" s="402" t="s">
        <v>1815</v>
      </c>
      <c r="F14" s="510">
        <v>12</v>
      </c>
      <c r="G14" s="402"/>
      <c r="H14" s="510" t="s">
        <v>1847</v>
      </c>
      <c r="I14" s="510" t="s">
        <v>1847</v>
      </c>
      <c r="J14" s="510" t="s">
        <v>1847</v>
      </c>
      <c r="K14" s="495"/>
      <c r="L14" s="495"/>
      <c r="M14" s="495"/>
      <c r="N14" s="495"/>
    </row>
    <row r="15" spans="2:14">
      <c r="B15" s="512">
        <v>19278</v>
      </c>
      <c r="C15" s="512">
        <v>24</v>
      </c>
      <c r="D15" s="512">
        <v>0.95</v>
      </c>
      <c r="E15" s="402" t="s">
        <v>1843</v>
      </c>
      <c r="F15" s="510">
        <v>12</v>
      </c>
      <c r="G15" s="402"/>
      <c r="H15" s="510" t="s">
        <v>1848</v>
      </c>
      <c r="I15" s="510" t="s">
        <v>1848</v>
      </c>
      <c r="J15" s="510" t="s">
        <v>1848</v>
      </c>
      <c r="K15" s="495"/>
      <c r="L15" s="495"/>
      <c r="M15" s="495"/>
      <c r="N15" s="495"/>
    </row>
    <row r="16" spans="2:14">
      <c r="B16" s="512">
        <v>19280</v>
      </c>
      <c r="C16" s="512">
        <v>24</v>
      </c>
      <c r="D16" s="512">
        <v>0.95</v>
      </c>
      <c r="E16" s="402" t="s">
        <v>1844</v>
      </c>
      <c r="F16" s="510">
        <v>12</v>
      </c>
      <c r="G16" s="402"/>
      <c r="H16" s="510" t="s">
        <v>1848</v>
      </c>
      <c r="I16" s="510" t="s">
        <v>1848</v>
      </c>
      <c r="J16" s="510" t="s">
        <v>1848</v>
      </c>
      <c r="K16" s="495"/>
      <c r="L16" s="495"/>
      <c r="M16" s="495"/>
      <c r="N16" s="495"/>
    </row>
    <row r="17" spans="2:14">
      <c r="B17" s="512">
        <v>19281</v>
      </c>
      <c r="C17" s="512">
        <v>24</v>
      </c>
      <c r="D17" s="512">
        <v>0.95</v>
      </c>
      <c r="E17" s="402" t="s">
        <v>1845</v>
      </c>
      <c r="F17" s="510">
        <v>12</v>
      </c>
      <c r="G17" s="402"/>
      <c r="H17" s="510" t="s">
        <v>1848</v>
      </c>
      <c r="I17" s="510" t="s">
        <v>1848</v>
      </c>
      <c r="J17" s="510" t="s">
        <v>1848</v>
      </c>
      <c r="K17" s="495"/>
      <c r="L17" s="495"/>
      <c r="M17" s="495"/>
      <c r="N17" s="495"/>
    </row>
    <row r="18" spans="2:14">
      <c r="B18" s="512">
        <v>19282</v>
      </c>
      <c r="C18" s="512">
        <v>12</v>
      </c>
      <c r="D18" s="512">
        <v>1.55</v>
      </c>
      <c r="E18" s="402" t="s">
        <v>1814</v>
      </c>
      <c r="F18" s="510">
        <v>12</v>
      </c>
      <c r="G18" s="402"/>
      <c r="H18" s="510" t="s">
        <v>1847</v>
      </c>
      <c r="I18" s="510" t="s">
        <v>1847</v>
      </c>
      <c r="J18" s="510" t="s">
        <v>1847</v>
      </c>
      <c r="K18" s="495"/>
      <c r="L18" s="495"/>
      <c r="M18" s="495"/>
      <c r="N18" s="495"/>
    </row>
    <row r="19" spans="2:14">
      <c r="B19" s="512">
        <v>19283</v>
      </c>
      <c r="C19" s="512">
        <v>12</v>
      </c>
      <c r="D19" s="512">
        <v>1.55</v>
      </c>
      <c r="E19" s="402" t="s">
        <v>1813</v>
      </c>
      <c r="F19" s="510">
        <v>24</v>
      </c>
      <c r="G19" s="402"/>
      <c r="H19" s="510" t="s">
        <v>1849</v>
      </c>
      <c r="I19" s="510" t="s">
        <v>1849</v>
      </c>
      <c r="J19" s="510" t="s">
        <v>1849</v>
      </c>
      <c r="K19" s="495"/>
      <c r="L19" s="495"/>
      <c r="M19" s="495"/>
      <c r="N19" s="495"/>
    </row>
    <row r="20" spans="2:14">
      <c r="B20" s="512">
        <v>19284</v>
      </c>
      <c r="C20" s="512">
        <v>12</v>
      </c>
      <c r="D20" s="512">
        <v>1.55</v>
      </c>
      <c r="E20" s="402" t="s">
        <v>1812</v>
      </c>
      <c r="F20" s="510">
        <v>24</v>
      </c>
      <c r="G20" s="402"/>
      <c r="H20" s="510" t="s">
        <v>1849</v>
      </c>
      <c r="I20" s="510" t="s">
        <v>1849</v>
      </c>
      <c r="J20" s="510" t="s">
        <v>1849</v>
      </c>
      <c r="K20" s="495"/>
      <c r="L20" s="495"/>
      <c r="M20" s="495"/>
      <c r="N20" s="495"/>
    </row>
    <row r="21" spans="2:14">
      <c r="B21" s="512">
        <v>19285</v>
      </c>
      <c r="C21" s="512">
        <v>12</v>
      </c>
      <c r="D21" s="512">
        <v>0.75</v>
      </c>
      <c r="E21" s="402" t="s">
        <v>1811</v>
      </c>
      <c r="F21" s="510">
        <v>24</v>
      </c>
      <c r="G21" s="402"/>
      <c r="H21" s="510" t="s">
        <v>1849</v>
      </c>
      <c r="I21" s="510" t="s">
        <v>1849</v>
      </c>
      <c r="J21" s="510" t="s">
        <v>1849</v>
      </c>
      <c r="K21" s="495"/>
      <c r="L21" s="495"/>
      <c r="M21" s="495"/>
      <c r="N21" s="495"/>
    </row>
    <row r="22" spans="2:14">
      <c r="B22" s="512">
        <v>19286</v>
      </c>
      <c r="C22" s="512">
        <v>6</v>
      </c>
      <c r="D22" s="512">
        <v>1.98</v>
      </c>
      <c r="E22" s="402" t="s">
        <v>1810</v>
      </c>
      <c r="F22" s="510">
        <v>12</v>
      </c>
      <c r="G22" s="402"/>
      <c r="H22" s="510" t="s">
        <v>1848</v>
      </c>
      <c r="I22" s="510" t="s">
        <v>1848</v>
      </c>
      <c r="J22" s="510" t="s">
        <v>1848</v>
      </c>
      <c r="K22" s="495"/>
      <c r="L22" s="495"/>
      <c r="M22" s="495"/>
      <c r="N22" s="495"/>
    </row>
    <row r="23" spans="2:14">
      <c r="B23" s="512">
        <v>19287</v>
      </c>
      <c r="C23" s="512">
        <v>48</v>
      </c>
      <c r="D23" s="512">
        <v>1.26</v>
      </c>
      <c r="E23" s="402" t="s">
        <v>1809</v>
      </c>
      <c r="F23" s="510">
        <v>12</v>
      </c>
      <c r="G23" s="402"/>
      <c r="H23" s="510" t="s">
        <v>1848</v>
      </c>
      <c r="I23" s="510" t="s">
        <v>1848</v>
      </c>
      <c r="J23" s="510" t="s">
        <v>1848</v>
      </c>
      <c r="K23" s="495"/>
      <c r="L23" s="495"/>
      <c r="M23" s="495"/>
      <c r="N23" s="495"/>
    </row>
    <row r="24" spans="2:14">
      <c r="B24" s="512">
        <v>19289</v>
      </c>
      <c r="C24" s="512">
        <v>12</v>
      </c>
      <c r="D24" s="512">
        <v>2.25</v>
      </c>
      <c r="E24" s="402" t="s">
        <v>1808</v>
      </c>
      <c r="F24" s="510">
        <v>12</v>
      </c>
      <c r="G24" s="402"/>
      <c r="H24" s="510" t="s">
        <v>1848</v>
      </c>
      <c r="I24" s="510" t="s">
        <v>1848</v>
      </c>
      <c r="J24" s="510" t="s">
        <v>1848</v>
      </c>
      <c r="K24" s="495"/>
      <c r="L24" s="495"/>
      <c r="M24" s="495"/>
      <c r="N24" s="495"/>
    </row>
    <row r="25" spans="2:14">
      <c r="B25" s="512">
        <v>19290</v>
      </c>
      <c r="C25" s="512">
        <v>12</v>
      </c>
      <c r="D25" s="512">
        <v>2.25</v>
      </c>
      <c r="E25" s="402" t="s">
        <v>1807</v>
      </c>
      <c r="F25" s="510">
        <v>12</v>
      </c>
      <c r="G25" s="402"/>
      <c r="H25" s="510" t="s">
        <v>1850</v>
      </c>
      <c r="I25" s="510" t="s">
        <v>1850</v>
      </c>
      <c r="J25" s="510" t="s">
        <v>1850</v>
      </c>
      <c r="K25" s="495"/>
      <c r="L25" s="495"/>
      <c r="M25" s="495"/>
      <c r="N25" s="495"/>
    </row>
    <row r="26" spans="2:14">
      <c r="B26" s="512">
        <v>19291</v>
      </c>
      <c r="C26" s="512">
        <v>12</v>
      </c>
      <c r="D26" s="512">
        <v>2.25</v>
      </c>
      <c r="E26" s="402" t="s">
        <v>1806</v>
      </c>
      <c r="F26" s="510">
        <v>6</v>
      </c>
      <c r="G26" s="402"/>
      <c r="H26" s="510" t="s">
        <v>1847</v>
      </c>
      <c r="I26" s="510" t="s">
        <v>1847</v>
      </c>
      <c r="J26" s="510" t="s">
        <v>1847</v>
      </c>
      <c r="K26" s="495"/>
      <c r="L26" s="495"/>
      <c r="M26" s="495"/>
      <c r="N26" s="495"/>
    </row>
    <row r="27" spans="2:14">
      <c r="B27" s="512">
        <v>19292</v>
      </c>
      <c r="C27" s="512">
        <v>18</v>
      </c>
      <c r="D27" s="512">
        <v>0.95</v>
      </c>
      <c r="E27" s="402" t="s">
        <v>1805</v>
      </c>
      <c r="F27" s="510">
        <v>48</v>
      </c>
      <c r="G27" s="402"/>
      <c r="H27" s="510" t="s">
        <v>1851</v>
      </c>
      <c r="I27" s="510" t="s">
        <v>1851</v>
      </c>
      <c r="J27" s="510" t="s">
        <v>1851</v>
      </c>
      <c r="K27" s="495"/>
      <c r="L27" s="495"/>
      <c r="M27" s="495"/>
      <c r="N27" s="495"/>
    </row>
    <row r="28" spans="2:14">
      <c r="B28" s="512">
        <v>19293</v>
      </c>
      <c r="C28" s="512">
        <v>12</v>
      </c>
      <c r="D28" s="512">
        <v>1.3</v>
      </c>
      <c r="E28" s="402" t="s">
        <v>1804</v>
      </c>
      <c r="F28" s="510">
        <v>12</v>
      </c>
      <c r="G28" s="402"/>
      <c r="H28" s="510" t="s">
        <v>1848</v>
      </c>
      <c r="I28" s="510" t="s">
        <v>1848</v>
      </c>
      <c r="J28" s="510" t="s">
        <v>1848</v>
      </c>
      <c r="K28" s="495"/>
      <c r="L28" s="495"/>
      <c r="M28" s="495"/>
      <c r="N28" s="495"/>
    </row>
    <row r="29" spans="2:14">
      <c r="B29" s="512">
        <v>19295</v>
      </c>
      <c r="C29" s="512">
        <v>12</v>
      </c>
      <c r="D29" s="512">
        <v>1.96</v>
      </c>
      <c r="E29" s="402" t="s">
        <v>1803</v>
      </c>
      <c r="F29" s="510">
        <v>12</v>
      </c>
      <c r="G29" s="402"/>
      <c r="H29" s="510" t="s">
        <v>1848</v>
      </c>
      <c r="I29" s="510" t="s">
        <v>1848</v>
      </c>
      <c r="J29" s="510" t="s">
        <v>1848</v>
      </c>
      <c r="K29" s="495"/>
      <c r="L29" s="495"/>
      <c r="M29" s="495"/>
      <c r="N29" s="495"/>
    </row>
    <row r="30" spans="2:14">
      <c r="B30" s="512">
        <v>19296</v>
      </c>
      <c r="C30" s="512">
        <v>12</v>
      </c>
      <c r="D30" s="512">
        <v>1.96</v>
      </c>
      <c r="E30" s="402" t="s">
        <v>1802</v>
      </c>
      <c r="F30" s="510">
        <v>12</v>
      </c>
      <c r="G30" s="402"/>
      <c r="H30" s="510" t="s">
        <v>1848</v>
      </c>
      <c r="I30" s="510" t="s">
        <v>1848</v>
      </c>
      <c r="J30" s="510" t="s">
        <v>1848</v>
      </c>
      <c r="K30" s="495"/>
      <c r="L30" s="495"/>
      <c r="M30" s="495"/>
      <c r="N30" s="495"/>
    </row>
    <row r="31" spans="2:14">
      <c r="B31" s="512">
        <v>19297</v>
      </c>
      <c r="C31" s="512">
        <v>12</v>
      </c>
      <c r="D31" s="512">
        <v>1.96</v>
      </c>
      <c r="E31" s="402" t="s">
        <v>1801</v>
      </c>
      <c r="F31" s="510">
        <v>18</v>
      </c>
      <c r="G31" s="402"/>
      <c r="H31" s="510" t="s">
        <v>1852</v>
      </c>
      <c r="I31" s="510" t="s">
        <v>1852</v>
      </c>
      <c r="J31" s="510" t="s">
        <v>1852</v>
      </c>
      <c r="K31" s="495"/>
      <c r="L31" s="495"/>
      <c r="M31" s="495"/>
      <c r="N31" s="495"/>
    </row>
    <row r="32" spans="2:14">
      <c r="B32" s="512">
        <v>19486</v>
      </c>
      <c r="C32" s="495">
        <v>9</v>
      </c>
      <c r="D32" s="495">
        <v>0.28000000000000003</v>
      </c>
      <c r="E32" s="495" t="s">
        <v>2202</v>
      </c>
      <c r="F32" s="510">
        <v>12</v>
      </c>
      <c r="G32" s="402"/>
      <c r="H32" s="425" t="s">
        <v>1848</v>
      </c>
      <c r="I32" s="425" t="s">
        <v>1848</v>
      </c>
      <c r="J32" s="425" t="s">
        <v>1848</v>
      </c>
      <c r="K32" s="495"/>
      <c r="L32" s="495"/>
      <c r="M32" s="495"/>
      <c r="N32" s="495"/>
    </row>
    <row r="33" spans="2:14">
      <c r="B33" s="512">
        <v>19487</v>
      </c>
      <c r="C33" s="495">
        <v>9</v>
      </c>
      <c r="D33" s="495">
        <v>0.28000000000000003</v>
      </c>
      <c r="E33" s="495" t="s">
        <v>2203</v>
      </c>
      <c r="F33" s="510">
        <v>12</v>
      </c>
      <c r="G33" s="402"/>
      <c r="H33" s="425" t="s">
        <v>1848</v>
      </c>
      <c r="I33" s="425" t="s">
        <v>1848</v>
      </c>
      <c r="J33" s="425" t="s">
        <v>1848</v>
      </c>
      <c r="K33" s="495"/>
      <c r="L33" s="495"/>
      <c r="M33" s="495"/>
      <c r="N33" s="495"/>
    </row>
    <row r="34" spans="2:14">
      <c r="B34" s="512">
        <v>19488</v>
      </c>
      <c r="C34" s="495">
        <v>9</v>
      </c>
      <c r="D34" s="495">
        <v>0.28000000000000003</v>
      </c>
      <c r="E34" s="495" t="s">
        <v>2204</v>
      </c>
      <c r="F34" s="510">
        <v>12</v>
      </c>
      <c r="G34" s="402"/>
      <c r="H34" s="510" t="s">
        <v>1848</v>
      </c>
      <c r="I34" s="510" t="s">
        <v>1848</v>
      </c>
      <c r="J34" s="510" t="s">
        <v>1848</v>
      </c>
      <c r="K34" s="495"/>
      <c r="L34" s="495"/>
      <c r="M34" s="495"/>
      <c r="N34" s="495"/>
    </row>
    <row r="35" spans="2:14">
      <c r="B35" s="512">
        <v>19491</v>
      </c>
      <c r="C35" s="495">
        <v>9</v>
      </c>
      <c r="D35" s="495">
        <v>0.28000000000000003</v>
      </c>
      <c r="E35" s="495" t="s">
        <v>2205</v>
      </c>
      <c r="F35" s="510">
        <v>288</v>
      </c>
      <c r="G35" s="402"/>
      <c r="H35" s="510" t="s">
        <v>1850</v>
      </c>
      <c r="I35" s="510" t="s">
        <v>1850</v>
      </c>
      <c r="J35" s="510" t="s">
        <v>1850</v>
      </c>
      <c r="K35" s="495"/>
      <c r="L35" s="495"/>
      <c r="M35" s="495"/>
      <c r="N35" s="495"/>
    </row>
    <row r="36" spans="2:14">
      <c r="B36" s="512">
        <v>19492</v>
      </c>
      <c r="C36" s="495">
        <v>12</v>
      </c>
      <c r="D36" s="495">
        <v>0.68</v>
      </c>
      <c r="E36" s="495" t="s">
        <v>2206</v>
      </c>
      <c r="F36" s="510">
        <v>288</v>
      </c>
      <c r="G36" s="402"/>
      <c r="H36" s="510" t="s">
        <v>1850</v>
      </c>
      <c r="I36" s="510" t="s">
        <v>1850</v>
      </c>
      <c r="J36" s="510" t="s">
        <v>1850</v>
      </c>
      <c r="K36" s="495"/>
      <c r="L36" s="495"/>
      <c r="M36" s="495"/>
      <c r="N36" s="495"/>
    </row>
    <row r="37" spans="2:14">
      <c r="B37"/>
      <c r="C37"/>
      <c r="D37"/>
      <c r="F37" s="522">
        <v>288</v>
      </c>
      <c r="G37" s="523"/>
      <c r="H37" s="522" t="s">
        <v>1850</v>
      </c>
      <c r="I37" s="522" t="s">
        <v>1850</v>
      </c>
      <c r="J37" s="522" t="s">
        <v>1850</v>
      </c>
    </row>
    <row r="38" spans="2:14">
      <c r="B38"/>
      <c r="C38"/>
      <c r="D38"/>
      <c r="F38" s="377">
        <v>288</v>
      </c>
      <c r="G38" s="402"/>
      <c r="H38" s="377" t="s">
        <v>1850</v>
      </c>
      <c r="I38" s="377" t="s">
        <v>1850</v>
      </c>
      <c r="J38" s="377" t="s">
        <v>1850</v>
      </c>
    </row>
    <row r="39" spans="2:14">
      <c r="B39"/>
      <c r="C39"/>
      <c r="D39"/>
      <c r="F39" s="377">
        <v>12</v>
      </c>
      <c r="G39" s="402"/>
      <c r="H39" s="377" t="s">
        <v>1850</v>
      </c>
      <c r="I39" s="377" t="s">
        <v>1850</v>
      </c>
      <c r="J39" s="377" t="s">
        <v>1850</v>
      </c>
    </row>
    <row r="40" spans="2:14">
      <c r="B40"/>
      <c r="C40"/>
      <c r="D40"/>
      <c r="F40" s="374"/>
      <c r="G40" s="148"/>
      <c r="H40" s="148"/>
      <c r="I40" s="148"/>
      <c r="J40" s="148"/>
    </row>
    <row r="41" spans="2:14">
      <c r="B41"/>
      <c r="C41"/>
      <c r="D41"/>
      <c r="F41" s="374"/>
      <c r="G41" s="148"/>
      <c r="H41" s="148"/>
      <c r="I41" s="148"/>
      <c r="J41" s="148"/>
    </row>
    <row r="42" spans="2:14">
      <c r="B42"/>
      <c r="C42"/>
      <c r="D42"/>
    </row>
    <row r="43" spans="2:14">
      <c r="B43"/>
      <c r="C43"/>
      <c r="D43"/>
    </row>
    <row r="44" spans="2:14">
      <c r="B44"/>
      <c r="C44"/>
      <c r="D44"/>
    </row>
    <row r="45" spans="2:14">
      <c r="B45" s="512" t="s">
        <v>0</v>
      </c>
      <c r="C45" s="495" t="s">
        <v>159</v>
      </c>
      <c r="D45" s="495" t="s">
        <v>620</v>
      </c>
      <c r="E45" s="495" t="s">
        <v>1</v>
      </c>
      <c r="F45" s="377">
        <v>12</v>
      </c>
      <c r="G45" s="402"/>
      <c r="H45" s="377" t="s">
        <v>1853</v>
      </c>
      <c r="I45" s="377" t="s">
        <v>1853</v>
      </c>
      <c r="J45" s="377" t="s">
        <v>1853</v>
      </c>
    </row>
    <row r="46" spans="2:14">
      <c r="B46"/>
      <c r="C46"/>
      <c r="D46"/>
    </row>
    <row r="47" spans="2:14">
      <c r="B47"/>
      <c r="C47"/>
      <c r="D47"/>
    </row>
    <row r="48" spans="2:14">
      <c r="B48"/>
      <c r="C48"/>
      <c r="D48"/>
    </row>
    <row r="49" spans="2:4">
      <c r="B49"/>
      <c r="C49"/>
      <c r="D49"/>
    </row>
    <row r="50" spans="2:4">
      <c r="B50"/>
      <c r="C50"/>
      <c r="D50"/>
    </row>
    <row r="51" spans="2:4">
      <c r="B51"/>
      <c r="C51"/>
      <c r="D51"/>
    </row>
    <row r="52" spans="2:4">
      <c r="B52"/>
      <c r="C52"/>
      <c r="D52"/>
    </row>
    <row r="53" spans="2:4">
      <c r="B53"/>
      <c r="C53"/>
      <c r="D53"/>
    </row>
    <row r="54" spans="2:4">
      <c r="B54"/>
      <c r="C54"/>
      <c r="D54"/>
    </row>
    <row r="55" spans="2:4">
      <c r="B55"/>
      <c r="C55"/>
      <c r="D55"/>
    </row>
    <row r="56" spans="2:4">
      <c r="B56"/>
      <c r="C56"/>
      <c r="D56"/>
    </row>
    <row r="57" spans="2:4">
      <c r="B57"/>
      <c r="C57"/>
      <c r="D57"/>
    </row>
    <row r="58" spans="2:4">
      <c r="B58"/>
      <c r="C58"/>
      <c r="D58"/>
    </row>
    <row r="59" spans="2:4">
      <c r="B59"/>
      <c r="C59"/>
      <c r="D59"/>
    </row>
    <row r="60" spans="2:4">
      <c r="B60"/>
      <c r="C60"/>
      <c r="D60"/>
    </row>
    <row r="61" spans="2:4">
      <c r="B61"/>
      <c r="C61"/>
      <c r="D61"/>
    </row>
    <row r="62" spans="2:4">
      <c r="B62"/>
      <c r="C62"/>
      <c r="D62"/>
    </row>
    <row r="63" spans="2:4">
      <c r="B63"/>
      <c r="C63"/>
      <c r="D63"/>
    </row>
    <row r="64" spans="2:4">
      <c r="B64"/>
      <c r="C64"/>
      <c r="D64"/>
    </row>
    <row r="65" spans="2:4">
      <c r="B65"/>
      <c r="C65"/>
      <c r="D65"/>
    </row>
    <row r="66" spans="2:4">
      <c r="B66"/>
      <c r="C66"/>
      <c r="D66"/>
    </row>
    <row r="67" spans="2:4">
      <c r="B67"/>
      <c r="C67"/>
      <c r="D67"/>
    </row>
    <row r="68" spans="2:4">
      <c r="B68"/>
      <c r="C68"/>
      <c r="D68"/>
    </row>
    <row r="69" spans="2:4">
      <c r="B69"/>
      <c r="C69"/>
      <c r="D69"/>
    </row>
    <row r="70" spans="2:4">
      <c r="B70"/>
      <c r="C70"/>
      <c r="D70"/>
    </row>
    <row r="71" spans="2:4">
      <c r="B71"/>
      <c r="C71"/>
      <c r="D71"/>
    </row>
    <row r="72" spans="2:4">
      <c r="B72"/>
      <c r="C72"/>
      <c r="D72"/>
    </row>
    <row r="73" spans="2:4">
      <c r="B73"/>
      <c r="C73"/>
      <c r="D73"/>
    </row>
    <row r="74" spans="2:4">
      <c r="B74"/>
      <c r="C74"/>
      <c r="D74"/>
    </row>
    <row r="75" spans="2:4">
      <c r="B75"/>
      <c r="C75"/>
      <c r="D75"/>
    </row>
    <row r="76" spans="2:4">
      <c r="B76"/>
      <c r="C76"/>
      <c r="D76"/>
    </row>
    <row r="77" spans="2:4">
      <c r="B77"/>
      <c r="C77"/>
      <c r="D77"/>
    </row>
    <row r="78" spans="2:4">
      <c r="B78"/>
      <c r="C78"/>
      <c r="D78"/>
    </row>
    <row r="79" spans="2:4">
      <c r="B79"/>
      <c r="C79"/>
      <c r="D79"/>
    </row>
    <row r="80" spans="2:4">
      <c r="B80"/>
      <c r="C80"/>
      <c r="D80"/>
    </row>
    <row r="81" spans="2:4">
      <c r="B81"/>
      <c r="C81"/>
      <c r="D81"/>
    </row>
    <row r="82" spans="2:4">
      <c r="B82"/>
      <c r="C82"/>
      <c r="D82"/>
    </row>
    <row r="83" spans="2:4">
      <c r="B83"/>
      <c r="C83"/>
      <c r="D83"/>
    </row>
    <row r="84" spans="2:4">
      <c r="B84"/>
      <c r="C84"/>
      <c r="D84"/>
    </row>
    <row r="85" spans="2:4">
      <c r="B85"/>
      <c r="C85"/>
      <c r="D85"/>
    </row>
    <row r="86" spans="2:4">
      <c r="B86"/>
      <c r="C86"/>
      <c r="D86"/>
    </row>
    <row r="87" spans="2:4">
      <c r="B87"/>
      <c r="C87"/>
      <c r="D87"/>
    </row>
    <row r="88" spans="2:4">
      <c r="B88"/>
      <c r="C88"/>
      <c r="D88"/>
    </row>
    <row r="89" spans="2:4">
      <c r="B89"/>
      <c r="C89"/>
      <c r="D89"/>
    </row>
    <row r="90" spans="2:4">
      <c r="B90"/>
      <c r="C90"/>
      <c r="D90"/>
    </row>
    <row r="91" spans="2:4">
      <c r="B91"/>
      <c r="C91"/>
      <c r="D91"/>
    </row>
    <row r="92" spans="2:4">
      <c r="B92"/>
      <c r="C92"/>
      <c r="D92"/>
    </row>
  </sheetData>
  <pageMargins left="0" right="0" top="0" bottom="0" header="0" footer="0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75"/>
  <sheetViews>
    <sheetView topLeftCell="A39" workbookViewId="0">
      <selection activeCell="B3" sqref="B3:J43"/>
    </sheetView>
  </sheetViews>
  <sheetFormatPr baseColWidth="10" defaultRowHeight="15"/>
  <cols>
    <col min="1" max="1" width="7" style="494" customWidth="1"/>
    <col min="2" max="2" width="9" customWidth="1"/>
    <col min="3" max="3" width="16.5703125" style="509" customWidth="1"/>
    <col min="4" max="5" width="9.85546875" style="494" hidden="1" customWidth="1"/>
    <col min="6" max="6" width="49.42578125" customWidth="1"/>
    <col min="7" max="7" width="10.5703125" style="494" customWidth="1"/>
    <col min="8" max="8" width="9" style="494" customWidth="1"/>
    <col min="9" max="9" width="10.42578125" style="494" customWidth="1"/>
    <col min="10" max="10" width="12.42578125" style="494" customWidth="1"/>
    <col min="11" max="11" width="15.85546875" style="358" customWidth="1"/>
    <col min="12" max="12" width="14.28515625" style="361" customWidth="1"/>
    <col min="13" max="13" width="11.42578125" style="361"/>
    <col min="14" max="14" width="16.85546875" customWidth="1"/>
  </cols>
  <sheetData>
    <row r="1" spans="3:14" s="494" customFormat="1">
      <c r="C1" s="509"/>
      <c r="K1" s="509"/>
      <c r="L1" s="361"/>
      <c r="M1" s="361"/>
    </row>
    <row r="2" spans="3:14" s="494" customFormat="1">
      <c r="C2" s="509"/>
      <c r="K2" s="509"/>
      <c r="L2" s="361"/>
      <c r="M2" s="361"/>
    </row>
    <row r="3" spans="3:14" s="494" customFormat="1" ht="90">
      <c r="C3" s="509" t="s">
        <v>123</v>
      </c>
      <c r="D3" s="419" t="s">
        <v>2200</v>
      </c>
      <c r="E3" s="494" t="s">
        <v>636</v>
      </c>
      <c r="F3" s="494" t="s">
        <v>2201</v>
      </c>
      <c r="G3" s="356" t="s">
        <v>133</v>
      </c>
      <c r="H3" s="511" t="s">
        <v>25</v>
      </c>
      <c r="I3" s="356" t="s">
        <v>1293</v>
      </c>
      <c r="J3" s="356" t="s">
        <v>778</v>
      </c>
      <c r="K3" s="356" t="s">
        <v>72</v>
      </c>
      <c r="L3" s="511" t="s">
        <v>25</v>
      </c>
      <c r="M3" s="356" t="s">
        <v>1293</v>
      </c>
      <c r="N3" s="356" t="s">
        <v>778</v>
      </c>
    </row>
    <row r="4" spans="3:14">
      <c r="C4" s="512">
        <v>15460</v>
      </c>
      <c r="D4" s="495">
        <v>12</v>
      </c>
      <c r="E4" s="495">
        <v>1.83</v>
      </c>
      <c r="F4" s="495" t="s">
        <v>2199</v>
      </c>
      <c r="G4" s="495"/>
      <c r="H4" s="495"/>
      <c r="I4" s="495"/>
      <c r="J4" s="495"/>
      <c r="K4" s="512"/>
      <c r="L4" s="381"/>
      <c r="M4" s="381"/>
      <c r="N4" s="495"/>
    </row>
    <row r="5" spans="3:14">
      <c r="C5" s="23">
        <v>15461</v>
      </c>
      <c r="D5" s="23"/>
      <c r="E5" s="23"/>
      <c r="F5" s="23" t="s">
        <v>1262</v>
      </c>
      <c r="G5" s="23"/>
      <c r="H5" s="23"/>
      <c r="I5" s="23"/>
      <c r="J5" s="23"/>
      <c r="K5" s="23" t="s">
        <v>763</v>
      </c>
      <c r="L5" s="23" t="s">
        <v>669</v>
      </c>
      <c r="M5" s="23" t="s">
        <v>669</v>
      </c>
      <c r="N5" s="23" t="s">
        <v>763</v>
      </c>
    </row>
    <row r="6" spans="3:14">
      <c r="C6" s="23">
        <v>15459</v>
      </c>
      <c r="D6" s="23"/>
      <c r="E6" s="23"/>
      <c r="F6" s="23" t="s">
        <v>1261</v>
      </c>
      <c r="G6" s="23"/>
      <c r="H6" s="23"/>
      <c r="I6" s="23"/>
      <c r="J6" s="23"/>
      <c r="K6" s="23" t="s">
        <v>763</v>
      </c>
      <c r="L6" s="23" t="s">
        <v>669</v>
      </c>
      <c r="M6" s="23" t="s">
        <v>763</v>
      </c>
      <c r="N6" s="23" t="s">
        <v>763</v>
      </c>
    </row>
    <row r="7" spans="3:14" ht="30">
      <c r="C7" s="23">
        <v>15458</v>
      </c>
      <c r="D7" s="23"/>
      <c r="E7" s="23"/>
      <c r="F7" s="43" t="s">
        <v>1260</v>
      </c>
      <c r="G7" s="43"/>
      <c r="H7" s="43"/>
      <c r="I7" s="43"/>
      <c r="J7" s="43"/>
      <c r="K7" s="23" t="s">
        <v>763</v>
      </c>
      <c r="L7" s="23" t="s">
        <v>763</v>
      </c>
      <c r="M7" s="23" t="s">
        <v>669</v>
      </c>
      <c r="N7" s="23" t="s">
        <v>763</v>
      </c>
    </row>
    <row r="8" spans="3:14">
      <c r="C8" s="23" t="s">
        <v>0</v>
      </c>
      <c r="D8" s="23"/>
      <c r="E8" s="23"/>
      <c r="F8" s="23" t="s">
        <v>1</v>
      </c>
      <c r="G8" s="23"/>
      <c r="H8" s="23"/>
      <c r="I8" s="23"/>
      <c r="J8" s="23"/>
      <c r="K8" s="23" t="s">
        <v>72</v>
      </c>
      <c r="L8" s="23"/>
      <c r="M8" s="23"/>
      <c r="N8" s="23"/>
    </row>
    <row r="9" spans="3:14">
      <c r="C9" s="23">
        <v>15470</v>
      </c>
      <c r="D9" s="23"/>
      <c r="E9" s="23"/>
      <c r="F9" s="23" t="s">
        <v>1271</v>
      </c>
      <c r="G9" s="23"/>
      <c r="H9" s="23"/>
      <c r="I9" s="23"/>
      <c r="J9" s="23"/>
      <c r="K9" s="23" t="s">
        <v>669</v>
      </c>
      <c r="L9" s="23" t="s">
        <v>669</v>
      </c>
      <c r="M9" s="23" t="s">
        <v>669</v>
      </c>
      <c r="N9" s="23" t="s">
        <v>669</v>
      </c>
    </row>
    <row r="10" spans="3:14">
      <c r="C10" s="23">
        <v>16626</v>
      </c>
      <c r="D10" s="23"/>
      <c r="E10" s="23"/>
      <c r="F10" s="23" t="s">
        <v>1290</v>
      </c>
      <c r="G10" s="23"/>
      <c r="H10" s="23"/>
      <c r="I10" s="23"/>
      <c r="J10" s="23"/>
      <c r="K10" s="23" t="s">
        <v>669</v>
      </c>
      <c r="L10" s="23" t="s">
        <v>669</v>
      </c>
      <c r="M10" s="23" t="s">
        <v>669</v>
      </c>
      <c r="N10" s="23" t="s">
        <v>669</v>
      </c>
    </row>
    <row r="11" spans="3:14">
      <c r="C11" s="23">
        <v>15471</v>
      </c>
      <c r="D11" s="23"/>
      <c r="E11" s="23"/>
      <c r="F11" s="438" t="s">
        <v>1272</v>
      </c>
      <c r="G11" s="23"/>
      <c r="H11" s="23"/>
      <c r="I11" s="23"/>
      <c r="J11" s="23"/>
      <c r="K11" s="23" t="s">
        <v>763</v>
      </c>
      <c r="L11" s="23" t="s">
        <v>669</v>
      </c>
      <c r="M11" s="23" t="s">
        <v>763</v>
      </c>
      <c r="N11" s="23" t="s">
        <v>763</v>
      </c>
    </row>
    <row r="12" spans="3:14">
      <c r="C12" s="23">
        <v>15472</v>
      </c>
      <c r="D12" s="23"/>
      <c r="E12" s="23"/>
      <c r="F12" s="23" t="s">
        <v>1273</v>
      </c>
      <c r="G12" s="23"/>
      <c r="H12" s="23"/>
      <c r="I12" s="23"/>
      <c r="J12" s="23"/>
      <c r="K12" s="23" t="s">
        <v>669</v>
      </c>
      <c r="L12" s="23" t="s">
        <v>669</v>
      </c>
      <c r="M12" s="23" t="s">
        <v>669</v>
      </c>
      <c r="N12" s="23" t="s">
        <v>669</v>
      </c>
    </row>
    <row r="13" spans="3:14">
      <c r="C13" s="23">
        <v>15468</v>
      </c>
      <c r="D13" s="23"/>
      <c r="E13" s="23"/>
      <c r="F13" s="23" t="s">
        <v>1269</v>
      </c>
      <c r="G13" s="23"/>
      <c r="H13" s="23"/>
      <c r="I13" s="23"/>
      <c r="J13" s="23"/>
      <c r="K13" s="23" t="s">
        <v>763</v>
      </c>
      <c r="L13" s="23" t="s">
        <v>763</v>
      </c>
      <c r="M13" s="23" t="s">
        <v>763</v>
      </c>
      <c r="N13" s="23" t="s">
        <v>763</v>
      </c>
    </row>
    <row r="14" spans="3:14">
      <c r="C14" s="23">
        <v>15469</v>
      </c>
      <c r="D14" s="23"/>
      <c r="E14" s="23"/>
      <c r="F14" s="23" t="s">
        <v>1270</v>
      </c>
      <c r="G14" s="23"/>
      <c r="H14" s="23"/>
      <c r="I14" s="23"/>
      <c r="J14" s="23"/>
      <c r="K14" s="23" t="s">
        <v>763</v>
      </c>
      <c r="L14" s="23" t="s">
        <v>669</v>
      </c>
      <c r="M14" s="23" t="s">
        <v>669</v>
      </c>
      <c r="N14" s="23" t="s">
        <v>669</v>
      </c>
    </row>
    <row r="15" spans="3:14">
      <c r="C15" s="23">
        <v>15467</v>
      </c>
      <c r="D15" s="23"/>
      <c r="E15" s="23"/>
      <c r="F15" s="23" t="s">
        <v>1268</v>
      </c>
      <c r="G15" s="23"/>
      <c r="H15" s="23"/>
      <c r="I15" s="23"/>
      <c r="J15" s="23"/>
      <c r="K15" s="23" t="s">
        <v>763</v>
      </c>
      <c r="L15" s="23" t="s">
        <v>669</v>
      </c>
      <c r="M15" s="23" t="s">
        <v>669</v>
      </c>
      <c r="N15" s="23" t="s">
        <v>669</v>
      </c>
    </row>
    <row r="16" spans="3:14">
      <c r="C16" s="23">
        <v>15466</v>
      </c>
      <c r="D16" s="23"/>
      <c r="E16" s="23"/>
      <c r="F16" s="23" t="s">
        <v>1267</v>
      </c>
      <c r="G16" s="23"/>
      <c r="H16" s="23"/>
      <c r="I16" s="23"/>
      <c r="J16" s="23"/>
      <c r="K16" s="23" t="s">
        <v>763</v>
      </c>
      <c r="L16" s="23" t="s">
        <v>763</v>
      </c>
      <c r="M16" s="23" t="s">
        <v>669</v>
      </c>
      <c r="N16" s="23" t="s">
        <v>763</v>
      </c>
    </row>
    <row r="17" spans="3:14" ht="15.75">
      <c r="C17" s="23">
        <v>15477</v>
      </c>
      <c r="D17" s="23"/>
      <c r="E17" s="23"/>
      <c r="F17" s="519" t="s">
        <v>1295</v>
      </c>
      <c r="G17" s="363"/>
      <c r="H17" s="363"/>
      <c r="I17" s="363"/>
      <c r="J17" s="363"/>
      <c r="K17" s="23" t="s">
        <v>763</v>
      </c>
      <c r="L17" s="23" t="s">
        <v>763</v>
      </c>
      <c r="M17" s="23" t="s">
        <v>763</v>
      </c>
      <c r="N17" s="23" t="s">
        <v>763</v>
      </c>
    </row>
    <row r="18" spans="3:14">
      <c r="C18" s="23">
        <v>13015</v>
      </c>
      <c r="D18" s="23"/>
      <c r="E18" s="23"/>
      <c r="F18" s="23" t="s">
        <v>1259</v>
      </c>
      <c r="G18" s="23"/>
      <c r="H18" s="23"/>
      <c r="I18" s="23"/>
      <c r="J18" s="23"/>
      <c r="K18" s="23" t="s">
        <v>669</v>
      </c>
      <c r="L18" s="23" t="s">
        <v>669</v>
      </c>
      <c r="M18" s="23" t="s">
        <v>669</v>
      </c>
      <c r="N18" s="23" t="s">
        <v>669</v>
      </c>
    </row>
    <row r="19" spans="3:14">
      <c r="C19" s="23">
        <v>15762</v>
      </c>
      <c r="D19" s="23"/>
      <c r="E19" s="23"/>
      <c r="F19" s="23" t="s">
        <v>1285</v>
      </c>
      <c r="G19" s="23"/>
      <c r="H19" s="23"/>
      <c r="I19" s="23"/>
      <c r="J19" s="23"/>
      <c r="K19" s="23" t="s">
        <v>763</v>
      </c>
      <c r="L19" s="23" t="s">
        <v>669</v>
      </c>
      <c r="M19" s="23" t="s">
        <v>669</v>
      </c>
      <c r="N19" s="23" t="s">
        <v>763</v>
      </c>
    </row>
    <row r="20" spans="3:14">
      <c r="C20" s="23">
        <v>15760</v>
      </c>
      <c r="D20" s="23"/>
      <c r="E20" s="23"/>
      <c r="F20" s="23" t="s">
        <v>1283</v>
      </c>
      <c r="G20" s="23"/>
      <c r="H20" s="23"/>
      <c r="I20" s="23"/>
      <c r="J20" s="23"/>
      <c r="K20" s="23" t="s">
        <v>763</v>
      </c>
      <c r="L20" s="23" t="s">
        <v>669</v>
      </c>
      <c r="M20" s="23" t="s">
        <v>669</v>
      </c>
      <c r="N20" s="23" t="s">
        <v>763</v>
      </c>
    </row>
    <row r="21" spans="3:14">
      <c r="C21" s="23">
        <v>15479</v>
      </c>
      <c r="D21" s="23"/>
      <c r="E21" s="23"/>
      <c r="F21" s="23" t="s">
        <v>1278</v>
      </c>
      <c r="G21" s="23"/>
      <c r="H21" s="23"/>
      <c r="I21" s="23"/>
      <c r="J21" s="23"/>
      <c r="K21" s="23" t="s">
        <v>763</v>
      </c>
      <c r="L21" s="23" t="s">
        <v>669</v>
      </c>
      <c r="M21" s="23" t="s">
        <v>669</v>
      </c>
      <c r="N21" s="23" t="s">
        <v>763</v>
      </c>
    </row>
    <row r="22" spans="3:14">
      <c r="C22" s="23">
        <v>15761</v>
      </c>
      <c r="D22" s="23"/>
      <c r="E22" s="23"/>
      <c r="F22" s="23" t="s">
        <v>1284</v>
      </c>
      <c r="G22" s="23"/>
      <c r="H22" s="23"/>
      <c r="I22" s="23"/>
      <c r="J22" s="23"/>
      <c r="K22" s="23" t="s">
        <v>763</v>
      </c>
      <c r="L22" s="23" t="s">
        <v>669</v>
      </c>
      <c r="M22" s="23" t="s">
        <v>669</v>
      </c>
      <c r="N22" s="23" t="s">
        <v>763</v>
      </c>
    </row>
    <row r="23" spans="3:14">
      <c r="C23" s="512">
        <v>18637</v>
      </c>
      <c r="D23" s="495">
        <v>8</v>
      </c>
      <c r="E23" s="495">
        <v>6.46</v>
      </c>
      <c r="F23" s="495" t="s">
        <v>2198</v>
      </c>
      <c r="G23" s="495"/>
      <c r="H23" s="495"/>
      <c r="I23" s="495"/>
      <c r="J23" s="495"/>
      <c r="K23" s="512"/>
      <c r="L23" s="381"/>
      <c r="M23" s="381"/>
      <c r="N23" s="495"/>
    </row>
    <row r="24" spans="3:14">
      <c r="C24" s="23">
        <v>15764</v>
      </c>
      <c r="D24" s="23"/>
      <c r="E24" s="23"/>
      <c r="F24" s="23" t="s">
        <v>1287</v>
      </c>
      <c r="G24" s="23"/>
      <c r="H24" s="23"/>
      <c r="I24" s="23"/>
      <c r="J24" s="23"/>
      <c r="K24" s="23" t="s">
        <v>763</v>
      </c>
      <c r="L24" s="23" t="s">
        <v>763</v>
      </c>
      <c r="M24" s="23" t="s">
        <v>669</v>
      </c>
      <c r="N24" s="23" t="s">
        <v>763</v>
      </c>
    </row>
    <row r="25" spans="3:14">
      <c r="C25" s="23">
        <v>15763</v>
      </c>
      <c r="D25" s="23"/>
      <c r="E25" s="23"/>
      <c r="F25" s="23" t="s">
        <v>1286</v>
      </c>
      <c r="G25" s="23"/>
      <c r="H25" s="23"/>
      <c r="I25" s="23"/>
      <c r="J25" s="23"/>
      <c r="K25" s="23" t="s">
        <v>763</v>
      </c>
      <c r="L25" s="23" t="s">
        <v>763</v>
      </c>
      <c r="M25" s="23" t="s">
        <v>669</v>
      </c>
      <c r="N25" s="23" t="s">
        <v>763</v>
      </c>
    </row>
    <row r="26" spans="3:14">
      <c r="C26" s="23">
        <v>15765</v>
      </c>
      <c r="D26" s="23"/>
      <c r="E26" s="23"/>
      <c r="F26" s="23" t="s">
        <v>1288</v>
      </c>
      <c r="G26" s="23"/>
      <c r="H26" s="23"/>
      <c r="I26" s="23"/>
      <c r="J26" s="23"/>
      <c r="K26" s="23" t="s">
        <v>763</v>
      </c>
      <c r="L26" s="23" t="s">
        <v>763</v>
      </c>
      <c r="M26" s="23" t="s">
        <v>669</v>
      </c>
      <c r="N26" s="23" t="s">
        <v>763</v>
      </c>
    </row>
    <row r="27" spans="3:14">
      <c r="C27" s="23">
        <v>15757</v>
      </c>
      <c r="D27" s="23"/>
      <c r="E27" s="23"/>
      <c r="F27" s="23" t="s">
        <v>1282</v>
      </c>
      <c r="G27" s="23"/>
      <c r="H27" s="23"/>
      <c r="I27" s="23"/>
      <c r="J27" s="23"/>
      <c r="K27" s="23" t="s">
        <v>1291</v>
      </c>
      <c r="L27" s="23" t="s">
        <v>1294</v>
      </c>
      <c r="M27" s="23" t="s">
        <v>619</v>
      </c>
      <c r="N27" s="23" t="s">
        <v>634</v>
      </c>
    </row>
    <row r="28" spans="3:14">
      <c r="C28" s="23">
        <v>15755</v>
      </c>
      <c r="D28" s="23"/>
      <c r="E28" s="23"/>
      <c r="F28" s="23" t="s">
        <v>1280</v>
      </c>
      <c r="G28" s="23"/>
      <c r="H28" s="23"/>
      <c r="I28" s="23"/>
      <c r="J28" s="23"/>
      <c r="K28" s="23" t="s">
        <v>669</v>
      </c>
      <c r="L28" s="23" t="s">
        <v>669</v>
      </c>
      <c r="M28" s="23" t="s">
        <v>669</v>
      </c>
      <c r="N28" s="23" t="s">
        <v>669</v>
      </c>
    </row>
    <row r="29" spans="3:14">
      <c r="C29" s="23">
        <v>15475</v>
      </c>
      <c r="D29" s="23"/>
      <c r="E29" s="23"/>
      <c r="F29" s="23" t="s">
        <v>1276</v>
      </c>
      <c r="G29" s="23"/>
      <c r="H29" s="23"/>
      <c r="I29" s="23"/>
      <c r="J29" s="23"/>
      <c r="K29" s="23" t="s">
        <v>763</v>
      </c>
      <c r="L29" s="23" t="s">
        <v>763</v>
      </c>
      <c r="M29" s="23" t="s">
        <v>763</v>
      </c>
      <c r="N29" s="23" t="s">
        <v>763</v>
      </c>
    </row>
    <row r="30" spans="3:14">
      <c r="C30" s="23">
        <v>15473</v>
      </c>
      <c r="D30" s="23"/>
      <c r="E30" s="23"/>
      <c r="F30" s="23" t="s">
        <v>1274</v>
      </c>
      <c r="G30" s="23"/>
      <c r="H30" s="23"/>
      <c r="I30" s="23"/>
      <c r="J30" s="23"/>
      <c r="K30" s="23" t="s">
        <v>763</v>
      </c>
      <c r="L30" s="23" t="s">
        <v>669</v>
      </c>
      <c r="M30" s="23" t="s">
        <v>669</v>
      </c>
      <c r="N30" s="23" t="s">
        <v>669</v>
      </c>
    </row>
    <row r="31" spans="3:14">
      <c r="C31" s="23">
        <v>15474</v>
      </c>
      <c r="D31" s="23"/>
      <c r="E31" s="23"/>
      <c r="F31" s="23" t="s">
        <v>1275</v>
      </c>
      <c r="G31" s="23"/>
      <c r="H31" s="23"/>
      <c r="I31" s="23"/>
      <c r="J31" s="23"/>
      <c r="K31" s="23" t="s">
        <v>763</v>
      </c>
      <c r="L31" s="23" t="s">
        <v>669</v>
      </c>
      <c r="M31" s="23" t="s">
        <v>669</v>
      </c>
      <c r="N31" s="23" t="s">
        <v>669</v>
      </c>
    </row>
    <row r="32" spans="3:14">
      <c r="C32" s="23">
        <v>11596</v>
      </c>
      <c r="D32" s="23"/>
      <c r="E32" s="23"/>
      <c r="F32" s="23" t="s">
        <v>1258</v>
      </c>
      <c r="G32" s="23"/>
      <c r="H32" s="23"/>
      <c r="I32" s="23"/>
      <c r="J32" s="23"/>
      <c r="K32" s="23" t="s">
        <v>763</v>
      </c>
      <c r="L32" s="23" t="s">
        <v>763</v>
      </c>
      <c r="M32" s="23" t="s">
        <v>763</v>
      </c>
      <c r="N32" s="23" t="s">
        <v>763</v>
      </c>
    </row>
    <row r="33" spans="3:14">
      <c r="C33" s="23">
        <v>15462</v>
      </c>
      <c r="D33" s="23"/>
      <c r="E33" s="23"/>
      <c r="F33" s="23" t="s">
        <v>1263</v>
      </c>
      <c r="G33" s="23"/>
      <c r="H33" s="23"/>
      <c r="I33" s="23"/>
      <c r="J33" s="23"/>
      <c r="K33" s="23" t="s">
        <v>763</v>
      </c>
      <c r="L33" s="23" t="s">
        <v>763</v>
      </c>
      <c r="M33" s="23" t="s">
        <v>763</v>
      </c>
      <c r="N33" s="23" t="s">
        <v>763</v>
      </c>
    </row>
    <row r="34" spans="3:14">
      <c r="C34" s="23">
        <v>15465</v>
      </c>
      <c r="D34" s="23"/>
      <c r="E34" s="23"/>
      <c r="F34" s="23" t="s">
        <v>1266</v>
      </c>
      <c r="G34" s="23"/>
      <c r="H34" s="23"/>
      <c r="I34" s="23"/>
      <c r="J34" s="23"/>
      <c r="K34" s="23" t="s">
        <v>763</v>
      </c>
      <c r="L34" s="23" t="s">
        <v>669</v>
      </c>
      <c r="M34" s="23" t="s">
        <v>669</v>
      </c>
      <c r="N34" s="23" t="s">
        <v>763</v>
      </c>
    </row>
    <row r="35" spans="3:14">
      <c r="C35" s="23">
        <v>16624</v>
      </c>
      <c r="D35" s="23"/>
      <c r="E35" s="23"/>
      <c r="F35" s="23" t="s">
        <v>1289</v>
      </c>
      <c r="G35" s="23"/>
      <c r="H35" s="23"/>
      <c r="I35" s="23"/>
      <c r="J35" s="23"/>
      <c r="K35" s="23" t="s">
        <v>763</v>
      </c>
      <c r="L35" s="23" t="s">
        <v>669</v>
      </c>
      <c r="M35" s="23" t="s">
        <v>669</v>
      </c>
      <c r="N35" s="23" t="s">
        <v>763</v>
      </c>
    </row>
    <row r="36" spans="3:14">
      <c r="C36" s="23">
        <v>15464</v>
      </c>
      <c r="D36" s="23"/>
      <c r="E36" s="23"/>
      <c r="F36" s="23" t="s">
        <v>1265</v>
      </c>
      <c r="G36" s="23"/>
      <c r="H36" s="23"/>
      <c r="I36" s="23"/>
      <c r="J36" s="23"/>
      <c r="K36" s="23" t="s">
        <v>763</v>
      </c>
      <c r="L36" s="23" t="s">
        <v>763</v>
      </c>
      <c r="M36" s="23" t="s">
        <v>763</v>
      </c>
      <c r="N36" s="23" t="s">
        <v>763</v>
      </c>
    </row>
    <row r="37" spans="3:14">
      <c r="C37" s="23">
        <v>15463</v>
      </c>
      <c r="D37" s="23"/>
      <c r="E37" s="23"/>
      <c r="F37" s="23" t="s">
        <v>1264</v>
      </c>
      <c r="G37" s="23"/>
      <c r="H37" s="23"/>
      <c r="I37" s="23"/>
      <c r="J37" s="23"/>
      <c r="K37" s="23" t="s">
        <v>763</v>
      </c>
      <c r="L37" s="23" t="s">
        <v>763</v>
      </c>
      <c r="M37" s="23" t="s">
        <v>763</v>
      </c>
      <c r="N37" s="23" t="s">
        <v>763</v>
      </c>
    </row>
    <row r="38" spans="3:14">
      <c r="C38" s="23">
        <v>15756</v>
      </c>
      <c r="D38" s="23"/>
      <c r="E38" s="23"/>
      <c r="F38" s="23" t="s">
        <v>1281</v>
      </c>
      <c r="G38" s="23"/>
      <c r="H38" s="23"/>
      <c r="I38" s="23"/>
      <c r="J38" s="23"/>
      <c r="K38" s="23" t="s">
        <v>1292</v>
      </c>
      <c r="L38" s="23" t="s">
        <v>763</v>
      </c>
      <c r="M38" s="23" t="s">
        <v>669</v>
      </c>
      <c r="N38" s="23" t="s">
        <v>763</v>
      </c>
    </row>
    <row r="39" spans="3:14" ht="30">
      <c r="C39" s="23">
        <v>15478</v>
      </c>
      <c r="D39" s="23"/>
      <c r="E39" s="23"/>
      <c r="F39" s="521" t="s">
        <v>1296</v>
      </c>
      <c r="G39" s="362"/>
      <c r="H39" s="362"/>
      <c r="I39" s="362"/>
      <c r="J39" s="362"/>
      <c r="K39" s="23" t="s">
        <v>628</v>
      </c>
      <c r="L39" s="23" t="s">
        <v>763</v>
      </c>
      <c r="M39" s="23" t="s">
        <v>763</v>
      </c>
      <c r="N39" s="23" t="s">
        <v>763</v>
      </c>
    </row>
    <row r="40" spans="3:14" ht="30">
      <c r="C40" s="360" t="s">
        <v>1297</v>
      </c>
      <c r="D40" s="360"/>
      <c r="E40" s="360"/>
      <c r="F40" s="520" t="s">
        <v>1298</v>
      </c>
      <c r="G40" s="363"/>
      <c r="H40" s="363"/>
      <c r="I40" s="363"/>
      <c r="J40" s="363"/>
      <c r="K40" s="23" t="s">
        <v>628</v>
      </c>
      <c r="L40" s="23" t="s">
        <v>669</v>
      </c>
      <c r="M40" s="439" t="s">
        <v>669</v>
      </c>
      <c r="N40" s="23" t="s">
        <v>763</v>
      </c>
    </row>
    <row r="41" spans="3:14">
      <c r="C41" s="23">
        <v>15754</v>
      </c>
      <c r="D41" s="23"/>
      <c r="E41" s="23"/>
      <c r="F41" s="23" t="s">
        <v>1279</v>
      </c>
      <c r="G41" s="23"/>
      <c r="H41" s="23"/>
      <c r="I41" s="23"/>
      <c r="J41" s="23"/>
      <c r="K41" s="23" t="s">
        <v>628</v>
      </c>
      <c r="L41" s="23" t="s">
        <v>763</v>
      </c>
      <c r="M41" s="23" t="s">
        <v>763</v>
      </c>
      <c r="N41" s="23" t="s">
        <v>763</v>
      </c>
    </row>
    <row r="42" spans="3:14">
      <c r="C42" s="23">
        <v>15476</v>
      </c>
      <c r="D42" s="23"/>
      <c r="E42" s="23"/>
      <c r="F42" s="23" t="s">
        <v>1277</v>
      </c>
      <c r="G42" s="23"/>
      <c r="H42" s="23"/>
      <c r="I42" s="23"/>
      <c r="J42" s="23"/>
      <c r="K42" s="23" t="s">
        <v>628</v>
      </c>
      <c r="L42" s="23" t="s">
        <v>763</v>
      </c>
      <c r="M42" s="23" t="s">
        <v>763</v>
      </c>
      <c r="N42" s="23" t="s">
        <v>763</v>
      </c>
    </row>
    <row r="43" spans="3:14">
      <c r="C43" s="512"/>
      <c r="D43" s="495"/>
      <c r="E43" s="495"/>
      <c r="F43" s="495"/>
      <c r="G43" s="495"/>
      <c r="H43" s="495"/>
      <c r="I43" s="495"/>
      <c r="J43" s="495"/>
      <c r="K43" s="512"/>
      <c r="L43" s="381"/>
      <c r="M43" s="381"/>
      <c r="N43" s="495"/>
    </row>
    <row r="44" spans="3:14">
      <c r="D44"/>
      <c r="E44"/>
      <c r="G44"/>
      <c r="H44"/>
      <c r="I44"/>
      <c r="J44"/>
      <c r="K44"/>
      <c r="L44"/>
      <c r="M44"/>
    </row>
    <row r="45" spans="3:14">
      <c r="D45"/>
      <c r="E45"/>
      <c r="G45"/>
      <c r="H45"/>
      <c r="I45"/>
      <c r="J45"/>
      <c r="K45"/>
      <c r="L45"/>
      <c r="M45"/>
    </row>
    <row r="46" spans="3:14">
      <c r="D46"/>
      <c r="E46"/>
      <c r="G46"/>
      <c r="H46"/>
      <c r="I46"/>
      <c r="J46"/>
      <c r="K46"/>
      <c r="L46"/>
      <c r="M46"/>
    </row>
    <row r="47" spans="3:14">
      <c r="D47"/>
      <c r="E47"/>
      <c r="G47"/>
      <c r="H47"/>
      <c r="I47"/>
      <c r="J47"/>
      <c r="K47"/>
      <c r="L47"/>
      <c r="M47"/>
    </row>
    <row r="48" spans="3:14">
      <c r="D48"/>
      <c r="E48"/>
      <c r="G48"/>
      <c r="H48"/>
      <c r="I48"/>
      <c r="J48"/>
      <c r="K48"/>
      <c r="L48"/>
      <c r="M48"/>
    </row>
    <row r="49" spans="4:13">
      <c r="D49"/>
      <c r="E49"/>
      <c r="G49"/>
      <c r="H49"/>
      <c r="I49"/>
      <c r="J49"/>
      <c r="K49"/>
      <c r="L49"/>
      <c r="M49"/>
    </row>
    <row r="50" spans="4:13">
      <c r="D50"/>
      <c r="E50"/>
      <c r="G50"/>
      <c r="H50"/>
      <c r="I50"/>
      <c r="J50"/>
      <c r="K50"/>
      <c r="L50"/>
      <c r="M50"/>
    </row>
    <row r="51" spans="4:13">
      <c r="D51"/>
      <c r="E51"/>
      <c r="G51"/>
      <c r="H51"/>
      <c r="I51"/>
      <c r="J51"/>
      <c r="K51"/>
      <c r="L51"/>
      <c r="M51"/>
    </row>
    <row r="52" spans="4:13">
      <c r="D52"/>
      <c r="E52"/>
      <c r="G52"/>
      <c r="H52"/>
      <c r="I52"/>
      <c r="J52"/>
      <c r="K52"/>
      <c r="L52"/>
      <c r="M52"/>
    </row>
    <row r="53" spans="4:13">
      <c r="D53"/>
      <c r="E53"/>
      <c r="G53"/>
      <c r="H53"/>
      <c r="I53"/>
      <c r="J53"/>
      <c r="K53"/>
      <c r="L53"/>
      <c r="M53"/>
    </row>
    <row r="54" spans="4:13">
      <c r="D54"/>
      <c r="E54"/>
      <c r="G54"/>
      <c r="H54"/>
      <c r="I54"/>
      <c r="J54"/>
      <c r="K54"/>
      <c r="L54"/>
      <c r="M54"/>
    </row>
    <row r="55" spans="4:13">
      <c r="D55"/>
      <c r="E55"/>
      <c r="G55"/>
      <c r="H55"/>
      <c r="I55"/>
      <c r="J55"/>
      <c r="K55"/>
      <c r="L55"/>
      <c r="M55"/>
    </row>
    <row r="56" spans="4:13">
      <c r="D56"/>
      <c r="E56"/>
      <c r="G56"/>
      <c r="H56"/>
      <c r="I56"/>
      <c r="J56"/>
      <c r="K56"/>
      <c r="L56"/>
      <c r="M56"/>
    </row>
    <row r="57" spans="4:13">
      <c r="D57"/>
      <c r="E57"/>
      <c r="G57"/>
      <c r="H57"/>
      <c r="I57"/>
      <c r="J57"/>
      <c r="K57"/>
      <c r="L57"/>
      <c r="M57"/>
    </row>
    <row r="58" spans="4:13">
      <c r="D58"/>
      <c r="E58"/>
      <c r="G58"/>
      <c r="H58"/>
      <c r="I58"/>
      <c r="J58"/>
      <c r="K58"/>
      <c r="L58"/>
      <c r="M58"/>
    </row>
    <row r="59" spans="4:13">
      <c r="D59"/>
      <c r="E59"/>
      <c r="G59"/>
      <c r="H59"/>
      <c r="I59"/>
      <c r="J59"/>
      <c r="K59"/>
      <c r="L59"/>
      <c r="M59"/>
    </row>
    <row r="60" spans="4:13">
      <c r="D60"/>
      <c r="E60"/>
      <c r="G60"/>
      <c r="H60"/>
      <c r="I60"/>
      <c r="J60"/>
      <c r="K60"/>
      <c r="L60"/>
      <c r="M60"/>
    </row>
    <row r="61" spans="4:13">
      <c r="D61"/>
      <c r="E61"/>
      <c r="G61"/>
      <c r="H61"/>
      <c r="I61"/>
      <c r="J61"/>
      <c r="K61"/>
      <c r="L61"/>
      <c r="M61"/>
    </row>
    <row r="62" spans="4:13">
      <c r="D62"/>
      <c r="E62"/>
      <c r="G62"/>
      <c r="H62"/>
      <c r="I62"/>
      <c r="J62"/>
      <c r="K62"/>
      <c r="L62"/>
      <c r="M62"/>
    </row>
    <row r="63" spans="4:13">
      <c r="D63"/>
      <c r="E63"/>
      <c r="G63"/>
      <c r="H63"/>
      <c r="I63"/>
      <c r="J63"/>
      <c r="K63"/>
      <c r="L63"/>
      <c r="M63"/>
    </row>
    <row r="64" spans="4:13">
      <c r="D64"/>
      <c r="E64"/>
      <c r="G64"/>
      <c r="H64"/>
      <c r="I64"/>
      <c r="J64"/>
      <c r="K64"/>
      <c r="L64"/>
      <c r="M64"/>
    </row>
    <row r="65" spans="4:13">
      <c r="D65"/>
      <c r="E65"/>
      <c r="G65"/>
      <c r="H65"/>
      <c r="I65"/>
      <c r="J65"/>
      <c r="K65"/>
      <c r="L65"/>
      <c r="M65"/>
    </row>
    <row r="66" spans="4:13">
      <c r="D66"/>
      <c r="E66"/>
      <c r="G66"/>
      <c r="H66"/>
      <c r="I66"/>
      <c r="J66"/>
      <c r="K66"/>
      <c r="L66"/>
      <c r="M66"/>
    </row>
    <row r="67" spans="4:13">
      <c r="D67"/>
      <c r="E67"/>
      <c r="G67"/>
      <c r="H67"/>
      <c r="I67"/>
      <c r="J67"/>
      <c r="K67"/>
      <c r="L67"/>
      <c r="M67"/>
    </row>
    <row r="68" spans="4:13">
      <c r="D68"/>
      <c r="E68"/>
      <c r="G68"/>
      <c r="H68"/>
      <c r="I68"/>
      <c r="J68"/>
      <c r="K68"/>
      <c r="L68"/>
      <c r="M68"/>
    </row>
    <row r="69" spans="4:13">
      <c r="D69"/>
      <c r="E69"/>
      <c r="G69"/>
      <c r="H69"/>
      <c r="I69"/>
      <c r="J69"/>
      <c r="K69"/>
      <c r="L69"/>
      <c r="M69"/>
    </row>
    <row r="70" spans="4:13">
      <c r="D70"/>
      <c r="E70"/>
      <c r="G70"/>
      <c r="H70"/>
      <c r="I70"/>
      <c r="J70"/>
      <c r="K70"/>
      <c r="L70"/>
      <c r="M70"/>
    </row>
    <row r="71" spans="4:13">
      <c r="D71"/>
      <c r="E71"/>
      <c r="G71"/>
      <c r="H71"/>
      <c r="I71"/>
      <c r="J71"/>
      <c r="K71"/>
      <c r="L71"/>
      <c r="M71"/>
    </row>
    <row r="72" spans="4:13">
      <c r="D72"/>
      <c r="E72"/>
      <c r="G72"/>
      <c r="H72"/>
      <c r="I72"/>
      <c r="J72"/>
      <c r="K72"/>
      <c r="L72"/>
      <c r="M72"/>
    </row>
    <row r="73" spans="4:13">
      <c r="D73"/>
      <c r="E73"/>
      <c r="G73"/>
      <c r="H73"/>
      <c r="I73"/>
      <c r="J73"/>
      <c r="K73"/>
      <c r="L73"/>
      <c r="M73"/>
    </row>
    <row r="74" spans="4:13">
      <c r="D74"/>
      <c r="E74"/>
      <c r="G74"/>
      <c r="H74"/>
      <c r="I74"/>
      <c r="J74"/>
      <c r="K74"/>
      <c r="L74"/>
      <c r="M74"/>
    </row>
    <row r="75" spans="4:13">
      <c r="D75"/>
      <c r="E75"/>
      <c r="G75"/>
      <c r="H75"/>
      <c r="I75"/>
      <c r="J75"/>
      <c r="K75"/>
      <c r="L75"/>
      <c r="M75"/>
    </row>
  </sheetData>
  <sortState ref="C1:N72">
    <sortCondition ref="F1:F72"/>
  </sortState>
  <pageMargins left="0.19685039370078741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4:C10"/>
  <sheetViews>
    <sheetView workbookViewId="0">
      <selection activeCell="B14" sqref="B14"/>
    </sheetView>
  </sheetViews>
  <sheetFormatPr baseColWidth="10" defaultRowHeight="15"/>
  <cols>
    <col min="2" max="2" width="49.7109375" customWidth="1"/>
  </cols>
  <sheetData>
    <row r="4" spans="1:3" s="119" customFormat="1"/>
    <row r="5" spans="1:3" s="119" customFormat="1"/>
    <row r="6" spans="1:3">
      <c r="A6" s="842" t="s">
        <v>0</v>
      </c>
      <c r="B6" s="842" t="s">
        <v>1</v>
      </c>
      <c r="C6" s="120"/>
    </row>
    <row r="7" spans="1:3">
      <c r="A7" s="842">
        <v>1690</v>
      </c>
      <c r="B7" s="15" t="s">
        <v>46</v>
      </c>
      <c r="C7" s="120"/>
    </row>
    <row r="8" spans="1:3">
      <c r="A8" s="842">
        <v>1732</v>
      </c>
      <c r="B8" s="15" t="s">
        <v>45</v>
      </c>
      <c r="C8" s="120"/>
    </row>
    <row r="9" spans="1:3">
      <c r="A9" s="842">
        <v>1734</v>
      </c>
      <c r="B9" s="15" t="s">
        <v>44</v>
      </c>
      <c r="C9" s="120"/>
    </row>
    <row r="10" spans="1:3">
      <c r="A10" s="842">
        <v>6175</v>
      </c>
      <c r="B10" s="15" t="s">
        <v>43</v>
      </c>
      <c r="C10" s="120"/>
    </row>
  </sheetData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6"/>
  <sheetViews>
    <sheetView topLeftCell="A71" workbookViewId="0">
      <selection activeCell="A3" sqref="A3:F116"/>
    </sheetView>
  </sheetViews>
  <sheetFormatPr baseColWidth="10" defaultRowHeight="15"/>
  <cols>
    <col min="1" max="1" width="8.140625" customWidth="1"/>
    <col min="3" max="3" width="62.140625" customWidth="1"/>
    <col min="4" max="4" width="9.42578125" customWidth="1"/>
    <col min="5" max="5" width="8.7109375" customWidth="1"/>
    <col min="6" max="6" width="8.42578125" customWidth="1"/>
  </cols>
  <sheetData>
    <row r="3" spans="1:6" ht="36" customHeight="1">
      <c r="A3" s="495"/>
      <c r="B3" s="495" t="s">
        <v>0</v>
      </c>
      <c r="C3" s="495" t="s">
        <v>1</v>
      </c>
      <c r="D3" s="356" t="s">
        <v>712</v>
      </c>
      <c r="E3" s="356" t="s">
        <v>713</v>
      </c>
      <c r="F3" s="356" t="s">
        <v>2213</v>
      </c>
    </row>
    <row r="4" spans="1:6" hidden="1">
      <c r="A4" s="495"/>
      <c r="B4" s="495">
        <v>9662</v>
      </c>
      <c r="C4" s="495" t="s">
        <v>456</v>
      </c>
      <c r="D4" s="495"/>
      <c r="E4" s="495"/>
      <c r="F4" s="495"/>
    </row>
    <row r="5" spans="1:6" hidden="1">
      <c r="A5" s="495"/>
      <c r="B5" s="495">
        <v>7003</v>
      </c>
      <c r="C5" s="495" t="s">
        <v>457</v>
      </c>
      <c r="D5" s="495"/>
      <c r="E5" s="495"/>
      <c r="F5" s="495"/>
    </row>
    <row r="6" spans="1:6" hidden="1">
      <c r="A6" s="495"/>
      <c r="B6" s="495">
        <v>6991</v>
      </c>
      <c r="C6" s="495" t="s">
        <v>458</v>
      </c>
      <c r="D6" s="495"/>
      <c r="E6" s="495"/>
      <c r="F6" s="495"/>
    </row>
    <row r="7" spans="1:6" hidden="1">
      <c r="A7" s="495"/>
      <c r="B7" s="495">
        <v>6990</v>
      </c>
      <c r="C7" s="495" t="s">
        <v>459</v>
      </c>
      <c r="D7" s="495"/>
      <c r="E7" s="495"/>
      <c r="F7" s="495"/>
    </row>
    <row r="8" spans="1:6" hidden="1">
      <c r="A8" s="495"/>
      <c r="B8" s="495">
        <v>16555</v>
      </c>
      <c r="C8" s="495" t="s">
        <v>460</v>
      </c>
      <c r="D8" s="495"/>
      <c r="E8" s="495"/>
      <c r="F8" s="495"/>
    </row>
    <row r="9" spans="1:6" hidden="1">
      <c r="A9" s="495"/>
      <c r="B9" s="495">
        <v>9092</v>
      </c>
      <c r="C9" s="495" t="s">
        <v>2207</v>
      </c>
      <c r="D9" s="495"/>
      <c r="E9" s="495"/>
      <c r="F9" s="495"/>
    </row>
    <row r="10" spans="1:6">
      <c r="A10" s="495"/>
      <c r="B10" s="495">
        <v>13245</v>
      </c>
      <c r="C10" s="495" t="s">
        <v>461</v>
      </c>
      <c r="D10" s="495"/>
      <c r="E10" s="495"/>
      <c r="F10" s="495"/>
    </row>
    <row r="11" spans="1:6" hidden="1">
      <c r="A11" s="495"/>
      <c r="B11" s="495">
        <v>10345</v>
      </c>
      <c r="C11" s="495" t="s">
        <v>2208</v>
      </c>
      <c r="D11" s="495"/>
      <c r="E11" s="495"/>
      <c r="F11" s="495"/>
    </row>
    <row r="12" spans="1:6">
      <c r="A12" s="495"/>
      <c r="B12" s="495">
        <v>9377</v>
      </c>
      <c r="C12" s="495" t="s">
        <v>462</v>
      </c>
      <c r="D12" s="495"/>
      <c r="E12" s="495"/>
      <c r="F12" s="495"/>
    </row>
    <row r="13" spans="1:6" hidden="1">
      <c r="A13" s="495"/>
      <c r="B13" s="495">
        <v>6999</v>
      </c>
      <c r="C13" s="495" t="s">
        <v>463</v>
      </c>
      <c r="D13" s="495"/>
      <c r="E13" s="495"/>
      <c r="F13" s="495"/>
    </row>
    <row r="14" spans="1:6" hidden="1">
      <c r="A14" s="495"/>
      <c r="B14" s="495">
        <v>15351</v>
      </c>
      <c r="C14" s="495" t="s">
        <v>464</v>
      </c>
      <c r="D14" s="495"/>
      <c r="E14" s="495"/>
      <c r="F14" s="495"/>
    </row>
    <row r="15" spans="1:6" hidden="1">
      <c r="A15" s="495"/>
      <c r="B15" s="495">
        <v>15352</v>
      </c>
      <c r="C15" s="495" t="s">
        <v>465</v>
      </c>
      <c r="D15" s="495"/>
      <c r="E15" s="495"/>
      <c r="F15" s="495"/>
    </row>
    <row r="16" spans="1:6" hidden="1">
      <c r="A16" s="495"/>
      <c r="B16" s="495">
        <v>15353</v>
      </c>
      <c r="C16" s="495" t="s">
        <v>466</v>
      </c>
      <c r="D16" s="495"/>
      <c r="E16" s="495"/>
      <c r="F16" s="495"/>
    </row>
    <row r="17" spans="1:6" hidden="1">
      <c r="A17" s="495"/>
      <c r="B17" s="495">
        <v>16627</v>
      </c>
      <c r="C17" s="495" t="s">
        <v>467</v>
      </c>
      <c r="D17" s="495"/>
      <c r="E17" s="495"/>
      <c r="F17" s="495"/>
    </row>
    <row r="18" spans="1:6" hidden="1">
      <c r="A18" s="495"/>
      <c r="B18" s="495">
        <v>15349</v>
      </c>
      <c r="C18" s="495" t="s">
        <v>468</v>
      </c>
      <c r="D18" s="495"/>
      <c r="E18" s="495"/>
      <c r="F18" s="495"/>
    </row>
    <row r="19" spans="1:6" hidden="1">
      <c r="A19" s="495"/>
      <c r="B19" s="495">
        <v>9359</v>
      </c>
      <c r="C19" s="495" t="s">
        <v>469</v>
      </c>
      <c r="D19" s="495"/>
      <c r="E19" s="495"/>
      <c r="F19" s="495"/>
    </row>
    <row r="20" spans="1:6" hidden="1">
      <c r="A20" s="495"/>
      <c r="B20" s="495">
        <v>9360</v>
      </c>
      <c r="C20" s="495" t="s">
        <v>470</v>
      </c>
      <c r="D20" s="495"/>
      <c r="E20" s="495"/>
      <c r="F20" s="495"/>
    </row>
    <row r="21" spans="1:6" hidden="1">
      <c r="A21" s="495"/>
      <c r="B21" s="495">
        <v>9358</v>
      </c>
      <c r="C21" s="495" t="s">
        <v>471</v>
      </c>
      <c r="D21" s="495"/>
      <c r="E21" s="495"/>
      <c r="F21" s="495"/>
    </row>
    <row r="22" spans="1:6" hidden="1">
      <c r="A22" s="495"/>
      <c r="B22" s="495">
        <v>7002</v>
      </c>
      <c r="C22" s="495" t="s">
        <v>472</v>
      </c>
      <c r="D22" s="495"/>
      <c r="E22" s="495"/>
      <c r="F22" s="495"/>
    </row>
    <row r="23" spans="1:6" hidden="1">
      <c r="A23" s="495"/>
      <c r="B23" s="495">
        <v>6984</v>
      </c>
      <c r="C23" s="495" t="s">
        <v>473</v>
      </c>
      <c r="D23" s="495"/>
      <c r="E23" s="495"/>
      <c r="F23" s="495"/>
    </row>
    <row r="24" spans="1:6" hidden="1">
      <c r="A24" s="495"/>
      <c r="B24" s="495">
        <v>7000</v>
      </c>
      <c r="C24" s="495" t="s">
        <v>474</v>
      </c>
      <c r="D24" s="495"/>
      <c r="E24" s="495"/>
      <c r="F24" s="495"/>
    </row>
    <row r="25" spans="1:6" hidden="1">
      <c r="A25" s="495"/>
      <c r="B25" s="495">
        <v>7001</v>
      </c>
      <c r="C25" s="495" t="s">
        <v>475</v>
      </c>
      <c r="D25" s="495"/>
      <c r="E25" s="495"/>
      <c r="F25" s="495"/>
    </row>
    <row r="26" spans="1:6" hidden="1">
      <c r="A26" s="495"/>
      <c r="B26" s="495">
        <v>9445</v>
      </c>
      <c r="C26" s="495" t="s">
        <v>476</v>
      </c>
      <c r="D26" s="495"/>
      <c r="E26" s="495"/>
      <c r="F26" s="495"/>
    </row>
    <row r="27" spans="1:6" hidden="1">
      <c r="A27" s="495"/>
      <c r="B27" s="495">
        <v>6987</v>
      </c>
      <c r="C27" s="495" t="s">
        <v>477</v>
      </c>
      <c r="D27" s="495"/>
      <c r="E27" s="495"/>
      <c r="F27" s="495"/>
    </row>
    <row r="28" spans="1:6" hidden="1">
      <c r="A28" s="495"/>
      <c r="B28" s="495">
        <v>6988</v>
      </c>
      <c r="C28" s="495" t="s">
        <v>478</v>
      </c>
      <c r="D28" s="495"/>
      <c r="E28" s="495"/>
      <c r="F28" s="495"/>
    </row>
    <row r="29" spans="1:6" hidden="1">
      <c r="A29" s="495"/>
      <c r="B29" s="495">
        <v>9785</v>
      </c>
      <c r="C29" s="495" t="s">
        <v>479</v>
      </c>
      <c r="D29" s="495"/>
      <c r="E29" s="495"/>
      <c r="F29" s="495"/>
    </row>
    <row r="30" spans="1:6" hidden="1">
      <c r="A30" s="495"/>
      <c r="B30" s="495">
        <v>6989</v>
      </c>
      <c r="C30" s="495" t="s">
        <v>480</v>
      </c>
      <c r="D30" s="495"/>
      <c r="E30" s="495"/>
      <c r="F30" s="495"/>
    </row>
    <row r="31" spans="1:6" hidden="1">
      <c r="A31" s="495"/>
      <c r="B31" s="495">
        <v>9975</v>
      </c>
      <c r="C31" s="495" t="s">
        <v>481</v>
      </c>
      <c r="D31" s="495"/>
      <c r="E31" s="495"/>
      <c r="F31" s="495"/>
    </row>
    <row r="32" spans="1:6" hidden="1">
      <c r="A32" s="495"/>
      <c r="B32" s="495">
        <v>9976</v>
      </c>
      <c r="C32" s="495" t="s">
        <v>482</v>
      </c>
      <c r="D32" s="495"/>
      <c r="E32" s="495"/>
      <c r="F32" s="495"/>
    </row>
    <row r="33" spans="1:6" hidden="1">
      <c r="A33" s="495"/>
      <c r="B33" s="495">
        <v>12426</v>
      </c>
      <c r="C33" s="495" t="s">
        <v>483</v>
      </c>
      <c r="D33" s="495"/>
      <c r="E33" s="495"/>
      <c r="F33" s="495"/>
    </row>
    <row r="34" spans="1:6" hidden="1">
      <c r="A34" s="495"/>
      <c r="B34" s="495">
        <v>14416</v>
      </c>
      <c r="C34" s="495" t="s">
        <v>484</v>
      </c>
      <c r="D34" s="495"/>
      <c r="E34" s="495"/>
      <c r="F34" s="495"/>
    </row>
    <row r="35" spans="1:6" hidden="1">
      <c r="A35" s="495"/>
      <c r="B35" s="495">
        <v>10273</v>
      </c>
      <c r="C35" s="495" t="s">
        <v>485</v>
      </c>
      <c r="D35" s="495"/>
      <c r="E35" s="495"/>
      <c r="F35" s="495"/>
    </row>
    <row r="36" spans="1:6" hidden="1">
      <c r="A36" s="495"/>
      <c r="B36" s="495">
        <v>10182</v>
      </c>
      <c r="C36" s="495" t="s">
        <v>486</v>
      </c>
      <c r="D36" s="495"/>
      <c r="E36" s="495"/>
      <c r="F36" s="495"/>
    </row>
    <row r="37" spans="1:6" hidden="1">
      <c r="A37" s="495"/>
      <c r="B37" s="495">
        <v>9977</v>
      </c>
      <c r="C37" s="495" t="s">
        <v>487</v>
      </c>
      <c r="D37" s="495"/>
      <c r="E37" s="495"/>
      <c r="F37" s="495"/>
    </row>
    <row r="38" spans="1:6" hidden="1">
      <c r="A38" s="495"/>
      <c r="B38" s="495">
        <v>14804</v>
      </c>
      <c r="C38" s="495" t="s">
        <v>488</v>
      </c>
      <c r="D38" s="495"/>
      <c r="E38" s="495"/>
      <c r="F38" s="495"/>
    </row>
    <row r="39" spans="1:6" hidden="1">
      <c r="A39" s="495"/>
      <c r="B39" s="495">
        <v>14793</v>
      </c>
      <c r="C39" s="495" t="s">
        <v>489</v>
      </c>
      <c r="D39" s="495"/>
      <c r="E39" s="495"/>
      <c r="F39" s="495"/>
    </row>
    <row r="40" spans="1:6" hidden="1">
      <c r="A40" s="495"/>
      <c r="B40" s="495">
        <v>14794</v>
      </c>
      <c r="C40" s="495" t="s">
        <v>490</v>
      </c>
      <c r="D40" s="495"/>
      <c r="E40" s="495"/>
      <c r="F40" s="495"/>
    </row>
    <row r="41" spans="1:6" hidden="1">
      <c r="A41" s="495"/>
      <c r="B41" s="495">
        <v>14795</v>
      </c>
      <c r="C41" s="495" t="s">
        <v>491</v>
      </c>
      <c r="D41" s="495"/>
      <c r="E41" s="495"/>
      <c r="F41" s="495"/>
    </row>
    <row r="42" spans="1:6" hidden="1">
      <c r="A42" s="495"/>
      <c r="B42" s="495">
        <v>14803</v>
      </c>
      <c r="C42" s="495" t="s">
        <v>492</v>
      </c>
      <c r="D42" s="495"/>
      <c r="E42" s="495"/>
      <c r="F42" s="495"/>
    </row>
    <row r="43" spans="1:6" hidden="1">
      <c r="A43" s="495"/>
      <c r="B43" s="495">
        <v>6647</v>
      </c>
      <c r="C43" s="495" t="s">
        <v>493</v>
      </c>
      <c r="D43" s="495"/>
      <c r="E43" s="495"/>
      <c r="F43" s="495"/>
    </row>
    <row r="44" spans="1:6" hidden="1">
      <c r="A44" s="495"/>
      <c r="B44" s="495">
        <v>2026</v>
      </c>
      <c r="C44" s="495" t="s">
        <v>494</v>
      </c>
      <c r="D44" s="495"/>
      <c r="E44" s="495"/>
      <c r="F44" s="495"/>
    </row>
    <row r="45" spans="1:6" hidden="1">
      <c r="A45" s="495"/>
      <c r="B45" s="495">
        <v>10270</v>
      </c>
      <c r="C45" s="495" t="s">
        <v>495</v>
      </c>
      <c r="D45" s="495"/>
      <c r="E45" s="495"/>
      <c r="F45" s="495"/>
    </row>
    <row r="46" spans="1:6" hidden="1">
      <c r="A46" s="495"/>
      <c r="B46" s="495">
        <v>10136</v>
      </c>
      <c r="C46" s="495" t="s">
        <v>496</v>
      </c>
      <c r="D46" s="495"/>
      <c r="E46" s="495"/>
      <c r="F46" s="495"/>
    </row>
    <row r="47" spans="1:6" hidden="1">
      <c r="A47" s="495"/>
      <c r="B47" s="495">
        <v>13257</v>
      </c>
      <c r="C47" s="495" t="s">
        <v>497</v>
      </c>
      <c r="D47" s="495"/>
      <c r="E47" s="495"/>
      <c r="F47" s="495"/>
    </row>
    <row r="48" spans="1:6" hidden="1">
      <c r="A48" s="495"/>
      <c r="B48" s="495">
        <v>13255</v>
      </c>
      <c r="C48" s="495" t="s">
        <v>498</v>
      </c>
      <c r="D48" s="495"/>
      <c r="E48" s="495"/>
      <c r="F48" s="495"/>
    </row>
    <row r="49" spans="1:6" hidden="1">
      <c r="A49" s="495"/>
      <c r="B49" s="495">
        <v>6234</v>
      </c>
      <c r="C49" s="495" t="s">
        <v>499</v>
      </c>
      <c r="D49" s="495"/>
      <c r="E49" s="495"/>
      <c r="F49" s="495"/>
    </row>
    <row r="50" spans="1:6" hidden="1">
      <c r="A50" s="495"/>
      <c r="B50" s="495">
        <v>14422</v>
      </c>
      <c r="C50" s="495" t="s">
        <v>500</v>
      </c>
      <c r="D50" s="495"/>
      <c r="E50" s="495"/>
      <c r="F50" s="495"/>
    </row>
    <row r="51" spans="1:6" hidden="1">
      <c r="A51" s="495"/>
      <c r="B51" s="495">
        <v>9973</v>
      </c>
      <c r="C51" s="495" t="s">
        <v>501</v>
      </c>
      <c r="D51" s="495"/>
      <c r="E51" s="495"/>
      <c r="F51" s="495"/>
    </row>
    <row r="52" spans="1:6" hidden="1">
      <c r="A52" s="495"/>
      <c r="B52" s="495">
        <v>6986</v>
      </c>
      <c r="C52" s="495" t="s">
        <v>502</v>
      </c>
      <c r="D52" s="495"/>
      <c r="E52" s="495"/>
      <c r="F52" s="495"/>
    </row>
    <row r="53" spans="1:6" hidden="1">
      <c r="A53" s="495"/>
      <c r="B53" s="495">
        <v>10305</v>
      </c>
      <c r="C53" s="495" t="s">
        <v>503</v>
      </c>
      <c r="D53" s="495"/>
      <c r="E53" s="495"/>
      <c r="F53" s="495"/>
    </row>
    <row r="54" spans="1:6" hidden="1">
      <c r="A54" s="495"/>
      <c r="B54" s="495">
        <v>5239</v>
      </c>
      <c r="C54" s="495" t="s">
        <v>504</v>
      </c>
      <c r="D54" s="495"/>
      <c r="E54" s="495"/>
      <c r="F54" s="495"/>
    </row>
    <row r="55" spans="1:6" hidden="1">
      <c r="A55" s="495"/>
      <c r="B55" s="495">
        <v>6985</v>
      </c>
      <c r="C55" s="495" t="s">
        <v>505</v>
      </c>
      <c r="D55" s="495"/>
      <c r="E55" s="495"/>
      <c r="F55" s="495"/>
    </row>
    <row r="56" spans="1:6" hidden="1">
      <c r="A56" s="495"/>
      <c r="B56" s="495">
        <v>6993</v>
      </c>
      <c r="C56" s="495" t="s">
        <v>506</v>
      </c>
      <c r="D56" s="495"/>
      <c r="E56" s="495"/>
      <c r="F56" s="495"/>
    </row>
    <row r="57" spans="1:6" hidden="1">
      <c r="A57" s="495"/>
      <c r="B57" s="495">
        <v>8491</v>
      </c>
      <c r="C57" s="495" t="s">
        <v>507</v>
      </c>
      <c r="D57" s="495"/>
      <c r="E57" s="495"/>
      <c r="F57" s="495"/>
    </row>
    <row r="58" spans="1:6" hidden="1">
      <c r="A58" s="495"/>
      <c r="B58" s="495">
        <v>6983</v>
      </c>
      <c r="C58" s="495" t="s">
        <v>508</v>
      </c>
      <c r="D58" s="495"/>
      <c r="E58" s="495"/>
      <c r="F58" s="495"/>
    </row>
    <row r="59" spans="1:6" hidden="1">
      <c r="A59" s="495"/>
      <c r="B59" s="495">
        <v>9361</v>
      </c>
      <c r="C59" s="495" t="s">
        <v>509</v>
      </c>
      <c r="D59" s="495"/>
      <c r="E59" s="495"/>
      <c r="F59" s="495"/>
    </row>
    <row r="60" spans="1:6">
      <c r="A60" s="495"/>
      <c r="B60" s="495">
        <v>4411</v>
      </c>
      <c r="C60" s="495" t="s">
        <v>510</v>
      </c>
      <c r="D60" s="495"/>
      <c r="E60" s="495"/>
      <c r="F60" s="495"/>
    </row>
    <row r="61" spans="1:6">
      <c r="A61" s="495"/>
      <c r="B61" s="495">
        <v>4412</v>
      </c>
      <c r="C61" s="495" t="s">
        <v>511</v>
      </c>
      <c r="D61" s="495"/>
      <c r="E61" s="495"/>
      <c r="F61" s="495"/>
    </row>
    <row r="62" spans="1:6">
      <c r="A62" s="495"/>
      <c r="B62" s="495">
        <v>8209</v>
      </c>
      <c r="C62" s="495" t="s">
        <v>512</v>
      </c>
      <c r="D62" s="495"/>
      <c r="E62" s="495"/>
      <c r="F62" s="495"/>
    </row>
    <row r="63" spans="1:6" hidden="1">
      <c r="A63" s="495"/>
      <c r="B63" s="495">
        <v>13247</v>
      </c>
      <c r="C63" s="495" t="s">
        <v>513</v>
      </c>
      <c r="D63" s="495"/>
      <c r="E63" s="495"/>
      <c r="F63" s="495"/>
    </row>
    <row r="64" spans="1:6" hidden="1">
      <c r="A64" s="495"/>
      <c r="B64" s="495">
        <v>12084</v>
      </c>
      <c r="C64" s="495" t="s">
        <v>514</v>
      </c>
      <c r="D64" s="495"/>
      <c r="E64" s="495"/>
      <c r="F64" s="495"/>
    </row>
    <row r="65" spans="1:6" hidden="1">
      <c r="A65" s="495"/>
      <c r="B65" s="495">
        <v>11937</v>
      </c>
      <c r="C65" s="495" t="s">
        <v>515</v>
      </c>
      <c r="D65" s="495"/>
      <c r="E65" s="495"/>
      <c r="F65" s="495"/>
    </row>
    <row r="66" spans="1:6" hidden="1">
      <c r="A66" s="495"/>
      <c r="B66" s="495">
        <v>11936</v>
      </c>
      <c r="C66" s="495" t="s">
        <v>516</v>
      </c>
      <c r="D66" s="495"/>
      <c r="E66" s="495"/>
      <c r="F66" s="495"/>
    </row>
    <row r="67" spans="1:6" hidden="1">
      <c r="A67" s="495"/>
      <c r="B67" s="495">
        <v>12425</v>
      </c>
      <c r="C67" s="495" t="s">
        <v>517</v>
      </c>
      <c r="D67" s="495"/>
      <c r="E67" s="495"/>
      <c r="F67" s="495"/>
    </row>
    <row r="68" spans="1:6">
      <c r="A68" s="495"/>
      <c r="B68" s="495">
        <v>6236</v>
      </c>
      <c r="C68" s="495" t="s">
        <v>518</v>
      </c>
      <c r="D68" s="495"/>
      <c r="E68" s="495"/>
      <c r="F68" s="495"/>
    </row>
    <row r="69" spans="1:6">
      <c r="A69" s="495"/>
      <c r="B69" s="495">
        <v>6235</v>
      </c>
      <c r="C69" s="495" t="s">
        <v>2209</v>
      </c>
      <c r="D69" s="495"/>
      <c r="E69" s="495"/>
      <c r="F69" s="495"/>
    </row>
    <row r="70" spans="1:6">
      <c r="A70" s="495"/>
      <c r="B70" s="495">
        <v>10330</v>
      </c>
      <c r="C70" s="495" t="s">
        <v>519</v>
      </c>
      <c r="D70" s="495"/>
      <c r="E70" s="495"/>
      <c r="F70" s="495"/>
    </row>
    <row r="71" spans="1:6">
      <c r="A71" s="495"/>
      <c r="B71" s="495">
        <v>11733</v>
      </c>
      <c r="C71" s="495" t="s">
        <v>520</v>
      </c>
      <c r="D71" s="495"/>
      <c r="E71" s="495"/>
      <c r="F71" s="495"/>
    </row>
    <row r="72" spans="1:6">
      <c r="A72" s="495"/>
      <c r="B72" s="495">
        <v>396</v>
      </c>
      <c r="C72" s="495" t="s">
        <v>521</v>
      </c>
      <c r="D72" s="495"/>
      <c r="E72" s="495"/>
      <c r="F72" s="495"/>
    </row>
    <row r="73" spans="1:6">
      <c r="A73" s="495"/>
      <c r="B73" s="495">
        <v>3631</v>
      </c>
      <c r="C73" s="495" t="s">
        <v>522</v>
      </c>
      <c r="D73" s="495"/>
      <c r="E73" s="495"/>
      <c r="F73" s="495"/>
    </row>
    <row r="74" spans="1:6" hidden="1">
      <c r="A74" s="495"/>
      <c r="B74" s="495">
        <v>14208</v>
      </c>
      <c r="C74" s="495" t="s">
        <v>523</v>
      </c>
      <c r="D74" s="495"/>
      <c r="E74" s="495"/>
      <c r="F74" s="495"/>
    </row>
    <row r="75" spans="1:6" hidden="1">
      <c r="A75" s="495"/>
      <c r="B75" s="495">
        <v>12942</v>
      </c>
      <c r="C75" s="495" t="s">
        <v>524</v>
      </c>
      <c r="D75" s="495"/>
      <c r="E75" s="495"/>
      <c r="F75" s="495"/>
    </row>
    <row r="76" spans="1:6" hidden="1">
      <c r="A76" s="495"/>
      <c r="B76" s="495">
        <v>15348</v>
      </c>
      <c r="C76" s="495" t="s">
        <v>525</v>
      </c>
      <c r="D76" s="495"/>
      <c r="E76" s="495"/>
      <c r="F76" s="495"/>
    </row>
    <row r="77" spans="1:6" hidden="1">
      <c r="A77" s="495"/>
      <c r="B77" s="495">
        <v>10153</v>
      </c>
      <c r="C77" s="495" t="s">
        <v>526</v>
      </c>
      <c r="D77" s="495"/>
      <c r="E77" s="495"/>
      <c r="F77" s="495"/>
    </row>
    <row r="78" spans="1:6" hidden="1">
      <c r="A78" s="495"/>
      <c r="B78" s="495">
        <v>10138</v>
      </c>
      <c r="C78" s="495" t="s">
        <v>527</v>
      </c>
      <c r="D78" s="495"/>
      <c r="E78" s="495"/>
      <c r="F78" s="495"/>
    </row>
    <row r="79" spans="1:6" hidden="1">
      <c r="A79" s="495"/>
      <c r="B79" s="495">
        <v>10405</v>
      </c>
      <c r="C79" s="495" t="s">
        <v>2210</v>
      </c>
      <c r="D79" s="495"/>
      <c r="E79" s="495"/>
      <c r="F79" s="495"/>
    </row>
    <row r="80" spans="1:6" hidden="1">
      <c r="A80" s="495"/>
      <c r="B80" s="495">
        <v>12943</v>
      </c>
      <c r="C80" s="495" t="s">
        <v>528</v>
      </c>
      <c r="D80" s="495"/>
      <c r="E80" s="495"/>
      <c r="F80" s="495"/>
    </row>
    <row r="81" spans="1:6" hidden="1">
      <c r="A81" s="495"/>
      <c r="B81" s="495">
        <v>10523</v>
      </c>
      <c r="C81" s="495" t="s">
        <v>529</v>
      </c>
      <c r="D81" s="495"/>
      <c r="E81" s="495"/>
      <c r="F81" s="495"/>
    </row>
    <row r="82" spans="1:6" hidden="1">
      <c r="A82" s="495"/>
      <c r="B82" s="495">
        <v>10776</v>
      </c>
      <c r="C82" s="495" t="s">
        <v>530</v>
      </c>
      <c r="D82" s="495"/>
      <c r="E82" s="495"/>
      <c r="F82" s="495"/>
    </row>
    <row r="83" spans="1:6" hidden="1">
      <c r="A83" s="495"/>
      <c r="B83" s="495">
        <v>10522</v>
      </c>
      <c r="C83" s="495" t="s">
        <v>531</v>
      </c>
      <c r="D83" s="495"/>
      <c r="E83" s="495"/>
      <c r="F83" s="495"/>
    </row>
    <row r="84" spans="1:6" hidden="1">
      <c r="A84" s="495"/>
      <c r="B84" s="495">
        <v>10521</v>
      </c>
      <c r="C84" s="495" t="s">
        <v>532</v>
      </c>
      <c r="D84" s="495"/>
      <c r="E84" s="495"/>
      <c r="F84" s="495"/>
    </row>
    <row r="85" spans="1:6" hidden="1">
      <c r="A85" s="495"/>
      <c r="B85" s="495">
        <v>10269</v>
      </c>
      <c r="C85" s="495" t="s">
        <v>533</v>
      </c>
      <c r="D85" s="495"/>
      <c r="E85" s="495"/>
      <c r="F85" s="495"/>
    </row>
    <row r="86" spans="1:6" hidden="1">
      <c r="A86" s="495"/>
      <c r="B86" s="495">
        <v>10918</v>
      </c>
      <c r="C86" s="495" t="s">
        <v>534</v>
      </c>
      <c r="D86" s="495"/>
      <c r="E86" s="495"/>
      <c r="F86" s="495"/>
    </row>
    <row r="87" spans="1:6" hidden="1">
      <c r="A87" s="495"/>
      <c r="B87" s="495">
        <v>10919</v>
      </c>
      <c r="C87" s="495" t="s">
        <v>535</v>
      </c>
      <c r="D87" s="495"/>
      <c r="E87" s="495"/>
      <c r="F87" s="495"/>
    </row>
    <row r="88" spans="1:6" hidden="1">
      <c r="A88" s="495"/>
      <c r="B88" s="495">
        <v>13246</v>
      </c>
      <c r="C88" s="495" t="s">
        <v>536</v>
      </c>
      <c r="D88" s="495"/>
      <c r="E88" s="495"/>
      <c r="F88" s="495"/>
    </row>
    <row r="89" spans="1:6" hidden="1">
      <c r="A89" s="495"/>
      <c r="B89" s="495">
        <v>15039</v>
      </c>
      <c r="C89" s="495" t="s">
        <v>537</v>
      </c>
      <c r="D89" s="495"/>
      <c r="E89" s="495"/>
      <c r="F89" s="495"/>
    </row>
    <row r="90" spans="1:6" hidden="1">
      <c r="A90" s="495"/>
      <c r="B90" s="495">
        <v>14576</v>
      </c>
      <c r="C90" s="495" t="s">
        <v>538</v>
      </c>
      <c r="D90" s="495"/>
      <c r="E90" s="495"/>
      <c r="F90" s="495"/>
    </row>
    <row r="91" spans="1:6" hidden="1">
      <c r="A91" s="495"/>
      <c r="B91" s="495">
        <v>14988</v>
      </c>
      <c r="C91" s="495" t="s">
        <v>539</v>
      </c>
      <c r="D91" s="495"/>
      <c r="E91" s="495"/>
      <c r="F91" s="495"/>
    </row>
    <row r="92" spans="1:6" hidden="1">
      <c r="A92" s="495"/>
      <c r="B92" s="495">
        <v>14797</v>
      </c>
      <c r="C92" s="495" t="s">
        <v>540</v>
      </c>
      <c r="D92" s="495"/>
      <c r="E92" s="495"/>
      <c r="F92" s="495"/>
    </row>
    <row r="93" spans="1:6" hidden="1">
      <c r="A93" s="495"/>
      <c r="B93" s="495">
        <v>14987</v>
      </c>
      <c r="C93" s="495" t="s">
        <v>541</v>
      </c>
      <c r="D93" s="495"/>
      <c r="E93" s="495"/>
      <c r="F93" s="495"/>
    </row>
    <row r="94" spans="1:6" hidden="1">
      <c r="A94" s="495"/>
      <c r="B94" s="495">
        <v>12579</v>
      </c>
      <c r="C94" s="495" t="s">
        <v>542</v>
      </c>
      <c r="D94" s="495"/>
      <c r="E94" s="495"/>
      <c r="F94" s="495"/>
    </row>
    <row r="95" spans="1:6" hidden="1">
      <c r="A95" s="495"/>
      <c r="B95" s="495">
        <v>12580</v>
      </c>
      <c r="C95" s="495" t="s">
        <v>543</v>
      </c>
      <c r="D95" s="495"/>
      <c r="E95" s="495"/>
      <c r="F95" s="495"/>
    </row>
    <row r="96" spans="1:6">
      <c r="A96" s="495"/>
      <c r="B96" s="495">
        <v>5871</v>
      </c>
      <c r="C96" s="495" t="s">
        <v>544</v>
      </c>
      <c r="D96" s="495"/>
      <c r="E96" s="495"/>
      <c r="F96" s="495"/>
    </row>
    <row r="97" spans="1:6">
      <c r="A97" s="495"/>
      <c r="B97" s="495">
        <v>5870</v>
      </c>
      <c r="C97" s="495" t="s">
        <v>545</v>
      </c>
      <c r="D97" s="495"/>
      <c r="E97" s="495"/>
      <c r="F97" s="495"/>
    </row>
    <row r="98" spans="1:6">
      <c r="A98" s="495"/>
      <c r="B98" s="495">
        <v>6276</v>
      </c>
      <c r="C98" s="495" t="s">
        <v>546</v>
      </c>
      <c r="D98" s="495"/>
      <c r="E98" s="495"/>
      <c r="F98" s="495"/>
    </row>
    <row r="99" spans="1:6">
      <c r="A99" s="495"/>
      <c r="B99" s="495">
        <v>16240</v>
      </c>
      <c r="C99" s="495" t="s">
        <v>547</v>
      </c>
      <c r="D99" s="495"/>
      <c r="E99" s="495"/>
      <c r="F99" s="495"/>
    </row>
    <row r="100" spans="1:6">
      <c r="A100" s="495"/>
      <c r="B100" s="495">
        <v>9689</v>
      </c>
      <c r="C100" s="495" t="s">
        <v>548</v>
      </c>
      <c r="D100" s="495"/>
      <c r="E100" s="495"/>
      <c r="F100" s="495"/>
    </row>
    <row r="101" spans="1:6">
      <c r="A101" s="495"/>
      <c r="B101" s="495">
        <v>3630</v>
      </c>
      <c r="C101" s="495" t="s">
        <v>549</v>
      </c>
      <c r="D101" s="495"/>
      <c r="E101" s="495"/>
      <c r="F101" s="495"/>
    </row>
    <row r="102" spans="1:6">
      <c r="A102" s="495"/>
      <c r="B102" s="495">
        <v>4286</v>
      </c>
      <c r="C102" s="495" t="s">
        <v>550</v>
      </c>
      <c r="D102" s="495"/>
      <c r="E102" s="495"/>
      <c r="F102" s="495"/>
    </row>
    <row r="103" spans="1:6" hidden="1">
      <c r="A103" s="495"/>
      <c r="B103" s="495">
        <v>13261</v>
      </c>
      <c r="C103" s="495" t="s">
        <v>551</v>
      </c>
      <c r="D103" s="495"/>
      <c r="E103" s="495"/>
      <c r="F103" s="495"/>
    </row>
    <row r="104" spans="1:6">
      <c r="A104" s="495"/>
      <c r="B104" s="495">
        <v>1919</v>
      </c>
      <c r="C104" s="495" t="s">
        <v>552</v>
      </c>
      <c r="D104" s="495"/>
      <c r="E104" s="495"/>
      <c r="F104" s="495"/>
    </row>
    <row r="105" spans="1:6" hidden="1">
      <c r="A105" s="495"/>
      <c r="B105" s="495">
        <v>10744</v>
      </c>
      <c r="C105" s="495" t="s">
        <v>553</v>
      </c>
      <c r="D105" s="495"/>
      <c r="E105" s="495"/>
      <c r="F105" s="495"/>
    </row>
    <row r="106" spans="1:6" hidden="1">
      <c r="A106" s="495"/>
      <c r="B106" s="495">
        <v>10745</v>
      </c>
      <c r="C106" s="495" t="s">
        <v>554</v>
      </c>
      <c r="D106" s="495"/>
      <c r="E106" s="495"/>
      <c r="F106" s="495"/>
    </row>
    <row r="107" spans="1:6" hidden="1">
      <c r="A107" s="495"/>
      <c r="B107" s="495">
        <v>5739</v>
      </c>
      <c r="C107" s="495" t="s">
        <v>2211</v>
      </c>
      <c r="D107" s="495"/>
      <c r="E107" s="495"/>
      <c r="F107" s="495"/>
    </row>
    <row r="108" spans="1:6" hidden="1">
      <c r="A108" s="495"/>
      <c r="B108" s="495">
        <v>7312</v>
      </c>
      <c r="C108" s="495" t="s">
        <v>2212</v>
      </c>
      <c r="D108" s="495"/>
      <c r="E108" s="495"/>
      <c r="F108" s="495"/>
    </row>
    <row r="109" spans="1:6" hidden="1">
      <c r="A109" s="495"/>
      <c r="B109" s="495">
        <v>16757</v>
      </c>
      <c r="C109" s="495" t="s">
        <v>555</v>
      </c>
      <c r="D109" s="495"/>
      <c r="E109" s="495"/>
      <c r="F109" s="495"/>
    </row>
    <row r="110" spans="1:6" hidden="1">
      <c r="A110" s="495"/>
      <c r="B110" s="495">
        <v>16761</v>
      </c>
      <c r="C110" s="495" t="s">
        <v>556</v>
      </c>
      <c r="D110" s="495"/>
      <c r="E110" s="495"/>
      <c r="F110" s="495"/>
    </row>
    <row r="111" spans="1:6">
      <c r="A111" s="495"/>
      <c r="B111" s="495">
        <v>10586</v>
      </c>
      <c r="C111" s="495" t="s">
        <v>557</v>
      </c>
      <c r="D111" s="495"/>
      <c r="E111" s="495"/>
      <c r="F111" s="495"/>
    </row>
    <row r="112" spans="1:6">
      <c r="A112" s="495"/>
      <c r="B112" s="495">
        <v>1212</v>
      </c>
      <c r="C112" s="495" t="s">
        <v>558</v>
      </c>
      <c r="D112" s="495"/>
      <c r="E112" s="495"/>
      <c r="F112" s="495"/>
    </row>
    <row r="113" spans="1:6">
      <c r="A113" s="495"/>
      <c r="B113" s="495">
        <v>10368</v>
      </c>
      <c r="C113" s="495" t="s">
        <v>559</v>
      </c>
      <c r="D113" s="495"/>
      <c r="E113" s="495"/>
      <c r="F113" s="495"/>
    </row>
    <row r="114" spans="1:6">
      <c r="A114" s="495"/>
      <c r="B114" s="495">
        <v>705</v>
      </c>
      <c r="C114" s="495" t="s">
        <v>560</v>
      </c>
      <c r="D114" s="495"/>
      <c r="E114" s="495"/>
      <c r="F114" s="495"/>
    </row>
    <row r="115" spans="1:6">
      <c r="A115" s="495"/>
      <c r="B115" s="495">
        <v>5872</v>
      </c>
      <c r="C115" s="495" t="s">
        <v>561</v>
      </c>
      <c r="D115" s="495"/>
      <c r="E115" s="495"/>
      <c r="F115" s="495"/>
    </row>
    <row r="116" spans="1:6">
      <c r="A116" s="495"/>
      <c r="B116" s="495">
        <v>5874</v>
      </c>
      <c r="C116" s="495" t="s">
        <v>562</v>
      </c>
      <c r="D116" s="495"/>
      <c r="E116" s="495"/>
      <c r="F116" s="495"/>
    </row>
  </sheetData>
  <pageMargins left="0" right="0" top="0" bottom="0" header="0" footer="0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1"/>
  <sheetViews>
    <sheetView workbookViewId="0">
      <selection activeCell="C17" sqref="C17"/>
    </sheetView>
  </sheetViews>
  <sheetFormatPr baseColWidth="10" defaultRowHeight="15"/>
  <cols>
    <col min="3" max="3" width="60" customWidth="1"/>
  </cols>
  <sheetData>
    <row r="3" spans="2:5">
      <c r="B3" s="411" t="s">
        <v>0</v>
      </c>
      <c r="C3" s="411" t="s">
        <v>1</v>
      </c>
      <c r="D3" s="411" t="s">
        <v>116</v>
      </c>
      <c r="E3" s="411" t="s">
        <v>117</v>
      </c>
    </row>
    <row r="4" spans="2:5">
      <c r="B4" s="411">
        <v>15179</v>
      </c>
      <c r="C4" s="411" t="s">
        <v>1704</v>
      </c>
      <c r="D4" s="411"/>
      <c r="E4" s="411"/>
    </row>
    <row r="5" spans="2:5">
      <c r="B5" s="411">
        <v>15180</v>
      </c>
      <c r="C5" s="411" t="s">
        <v>1705</v>
      </c>
      <c r="D5" s="411"/>
      <c r="E5" s="411"/>
    </row>
    <row r="6" spans="2:5">
      <c r="B6" s="411">
        <v>15178</v>
      </c>
      <c r="C6" s="411" t="s">
        <v>1706</v>
      </c>
      <c r="D6" s="411"/>
      <c r="E6" s="411"/>
    </row>
    <row r="7" spans="2:5">
      <c r="B7" s="411">
        <v>16621</v>
      </c>
      <c r="C7" s="411" t="s">
        <v>1707</v>
      </c>
      <c r="D7" s="411"/>
      <c r="E7" s="411"/>
    </row>
    <row r="8" spans="2:5">
      <c r="B8" s="411">
        <v>14903</v>
      </c>
      <c r="C8" s="411" t="s">
        <v>1708</v>
      </c>
      <c r="D8" s="411"/>
      <c r="E8" s="411"/>
    </row>
    <row r="9" spans="2:5">
      <c r="B9" s="411">
        <v>13049</v>
      </c>
      <c r="C9" s="411" t="s">
        <v>1709</v>
      </c>
      <c r="D9" s="411"/>
      <c r="E9" s="411"/>
    </row>
    <row r="10" spans="2:5">
      <c r="B10" s="411">
        <v>355</v>
      </c>
      <c r="C10" s="411" t="s">
        <v>1710</v>
      </c>
      <c r="D10" s="411"/>
      <c r="E10" s="411"/>
    </row>
    <row r="11" spans="2:5">
      <c r="B11" s="411">
        <v>353</v>
      </c>
      <c r="C11" s="411" t="s">
        <v>1711</v>
      </c>
      <c r="D11" s="411"/>
      <c r="E11" s="411"/>
    </row>
    <row r="12" spans="2:5">
      <c r="B12" s="411">
        <v>10524</v>
      </c>
      <c r="C12" s="411" t="s">
        <v>72</v>
      </c>
      <c r="D12" s="411"/>
      <c r="E12" s="411"/>
    </row>
    <row r="13" spans="2:5">
      <c r="B13" s="411">
        <v>11724</v>
      </c>
      <c r="C13" s="411" t="s">
        <v>1712</v>
      </c>
      <c r="D13" s="411"/>
      <c r="E13" s="411"/>
    </row>
    <row r="14" spans="2:5">
      <c r="B14" s="411">
        <v>14660</v>
      </c>
      <c r="C14" s="411" t="s">
        <v>1713</v>
      </c>
      <c r="D14" s="411"/>
      <c r="E14" s="411"/>
    </row>
    <row r="15" spans="2:5">
      <c r="B15" s="411">
        <v>696</v>
      </c>
      <c r="C15" s="411" t="s">
        <v>1714</v>
      </c>
      <c r="D15" s="411"/>
      <c r="E15" s="411"/>
    </row>
    <row r="16" spans="2:5">
      <c r="B16" s="411">
        <v>12633</v>
      </c>
      <c r="C16" s="411" t="s">
        <v>1715</v>
      </c>
      <c r="D16" s="411"/>
      <c r="E16" s="411"/>
    </row>
    <row r="17" spans="2:5">
      <c r="B17" s="411">
        <v>9893</v>
      </c>
      <c r="C17" s="411" t="s">
        <v>1716</v>
      </c>
      <c r="D17" s="411"/>
      <c r="E17" s="411"/>
    </row>
    <row r="18" spans="2:5">
      <c r="B18" s="411">
        <v>16369</v>
      </c>
      <c r="C18" s="411" t="s">
        <v>1717</v>
      </c>
      <c r="D18" s="411"/>
      <c r="E18" s="411"/>
    </row>
    <row r="19" spans="2:5">
      <c r="B19" s="411">
        <v>13404</v>
      </c>
      <c r="C19" s="411" t="s">
        <v>1718</v>
      </c>
      <c r="D19" s="411"/>
      <c r="E19" s="411"/>
    </row>
    <row r="20" spans="2:5">
      <c r="B20" s="411">
        <v>10946</v>
      </c>
      <c r="C20" s="411" t="s">
        <v>1719</v>
      </c>
      <c r="D20" s="411"/>
      <c r="E20" s="411"/>
    </row>
    <row r="21" spans="2:5">
      <c r="B21" s="411">
        <v>10942</v>
      </c>
      <c r="C21" s="411" t="s">
        <v>1720</v>
      </c>
      <c r="D21" s="411"/>
      <c r="E21" s="411"/>
    </row>
    <row r="22" spans="2:5">
      <c r="B22" s="411">
        <v>10943</v>
      </c>
      <c r="C22" s="411" t="s">
        <v>1721</v>
      </c>
      <c r="D22" s="411"/>
      <c r="E22" s="411"/>
    </row>
    <row r="23" spans="2:5">
      <c r="B23" s="411">
        <v>10944</v>
      </c>
      <c r="C23" s="411" t="s">
        <v>1722</v>
      </c>
      <c r="D23" s="411"/>
      <c r="E23" s="411"/>
    </row>
    <row r="24" spans="2:5">
      <c r="B24" s="411">
        <v>10945</v>
      </c>
      <c r="C24" s="411" t="s">
        <v>1723</v>
      </c>
      <c r="D24" s="411"/>
      <c r="E24" s="411"/>
    </row>
    <row r="25" spans="2:5">
      <c r="B25" s="411">
        <v>695</v>
      </c>
      <c r="C25" s="411" t="s">
        <v>1724</v>
      </c>
      <c r="D25" s="411"/>
      <c r="E25" s="411"/>
    </row>
    <row r="26" spans="2:5">
      <c r="B26" s="411">
        <v>10523</v>
      </c>
      <c r="C26" s="411" t="s">
        <v>529</v>
      </c>
      <c r="D26" s="411"/>
      <c r="E26" s="411"/>
    </row>
    <row r="27" spans="2:5">
      <c r="B27" s="411">
        <v>14519</v>
      </c>
      <c r="C27" s="411" t="s">
        <v>1725</v>
      </c>
      <c r="D27" s="411"/>
      <c r="E27" s="411"/>
    </row>
    <row r="28" spans="2:5">
      <c r="B28" s="411">
        <v>14518</v>
      </c>
      <c r="C28" s="411" t="s">
        <v>1726</v>
      </c>
      <c r="D28" s="411"/>
      <c r="E28" s="411"/>
    </row>
    <row r="29" spans="2:5">
      <c r="B29" s="411">
        <v>14516</v>
      </c>
      <c r="C29" s="411" t="s">
        <v>1727</v>
      </c>
      <c r="D29" s="411"/>
      <c r="E29" s="411"/>
    </row>
    <row r="30" spans="2:5">
      <c r="B30" s="411">
        <v>14517</v>
      </c>
      <c r="C30" s="411" t="s">
        <v>1728</v>
      </c>
      <c r="D30" s="411"/>
      <c r="E30" s="411"/>
    </row>
    <row r="31" spans="2:5">
      <c r="B31" s="411">
        <v>14126</v>
      </c>
      <c r="C31" s="411" t="s">
        <v>1729</v>
      </c>
      <c r="D31" s="411"/>
      <c r="E31" s="411"/>
    </row>
    <row r="32" spans="2:5">
      <c r="B32" s="411">
        <v>14124</v>
      </c>
      <c r="C32" s="411" t="s">
        <v>1730</v>
      </c>
      <c r="D32" s="411"/>
      <c r="E32" s="411"/>
    </row>
    <row r="33" spans="2:5">
      <c r="B33" s="411">
        <v>13050</v>
      </c>
      <c r="C33" s="411" t="s">
        <v>1731</v>
      </c>
      <c r="D33" s="411"/>
      <c r="E33" s="411"/>
    </row>
    <row r="34" spans="2:5">
      <c r="B34" s="411">
        <v>13243</v>
      </c>
      <c r="C34" s="411" t="s">
        <v>1732</v>
      </c>
      <c r="D34" s="411"/>
      <c r="E34" s="411"/>
    </row>
    <row r="35" spans="2:5">
      <c r="B35" s="411">
        <v>13244</v>
      </c>
      <c r="C35" s="411" t="s">
        <v>1733</v>
      </c>
      <c r="D35" s="411"/>
      <c r="E35" s="411"/>
    </row>
    <row r="36" spans="2:5">
      <c r="B36" s="411">
        <v>2995</v>
      </c>
      <c r="C36" s="411" t="s">
        <v>605</v>
      </c>
      <c r="D36" s="411"/>
      <c r="E36" s="411"/>
    </row>
    <row r="37" spans="2:5">
      <c r="B37" s="411">
        <v>15174</v>
      </c>
      <c r="C37" s="411" t="s">
        <v>1734</v>
      </c>
      <c r="D37" s="411"/>
      <c r="E37" s="411"/>
    </row>
    <row r="38" spans="2:5">
      <c r="B38" s="411">
        <v>15175</v>
      </c>
      <c r="C38" s="411" t="s">
        <v>1735</v>
      </c>
      <c r="D38" s="411"/>
      <c r="E38" s="411"/>
    </row>
    <row r="39" spans="2:5">
      <c r="B39" s="411">
        <v>15173</v>
      </c>
      <c r="C39" s="411" t="s">
        <v>1736</v>
      </c>
      <c r="D39" s="411"/>
      <c r="E39" s="411"/>
    </row>
    <row r="40" spans="2:5">
      <c r="B40" s="411">
        <v>13051</v>
      </c>
      <c r="C40" s="411" t="s">
        <v>1737</v>
      </c>
      <c r="D40" s="411"/>
      <c r="E40" s="411"/>
    </row>
    <row r="41" spans="2:5">
      <c r="B41" s="411">
        <v>12239</v>
      </c>
      <c r="C41" s="411" t="s">
        <v>1738</v>
      </c>
      <c r="D41" s="411"/>
      <c r="E41" s="411"/>
    </row>
    <row r="42" spans="2:5">
      <c r="B42" s="411">
        <v>9447</v>
      </c>
      <c r="C42" s="411" t="s">
        <v>1739</v>
      </c>
      <c r="D42" s="411"/>
      <c r="E42" s="411"/>
    </row>
    <row r="43" spans="2:5">
      <c r="B43" s="411">
        <v>14520</v>
      </c>
      <c r="C43" s="411" t="s">
        <v>1740</v>
      </c>
      <c r="D43" s="411"/>
      <c r="E43" s="411"/>
    </row>
    <row r="44" spans="2:5">
      <c r="B44" s="411">
        <v>11969</v>
      </c>
      <c r="C44" s="411" t="s">
        <v>1741</v>
      </c>
      <c r="D44" s="411"/>
      <c r="E44" s="411"/>
    </row>
    <row r="45" spans="2:5">
      <c r="B45" s="411">
        <v>11968</v>
      </c>
      <c r="C45" s="411" t="s">
        <v>1742</v>
      </c>
      <c r="D45" s="411"/>
      <c r="E45" s="411"/>
    </row>
    <row r="46" spans="2:5">
      <c r="B46" s="411">
        <v>9446</v>
      </c>
      <c r="C46" s="411" t="s">
        <v>1743</v>
      </c>
      <c r="D46" s="411"/>
      <c r="E46" s="411"/>
    </row>
    <row r="47" spans="2:5">
      <c r="B47" s="411">
        <v>8733</v>
      </c>
      <c r="C47" s="411" t="s">
        <v>1744</v>
      </c>
      <c r="D47" s="411"/>
      <c r="E47" s="411"/>
    </row>
    <row r="48" spans="2:5">
      <c r="B48" s="411">
        <v>14902</v>
      </c>
      <c r="C48" s="411" t="s">
        <v>1745</v>
      </c>
      <c r="D48" s="411"/>
      <c r="E48" s="411"/>
    </row>
    <row r="49" spans="2:5">
      <c r="B49" s="411">
        <v>12632</v>
      </c>
      <c r="C49" s="411" t="s">
        <v>1746</v>
      </c>
      <c r="D49" s="411"/>
      <c r="E49" s="411"/>
    </row>
    <row r="50" spans="2:5">
      <c r="B50" s="411">
        <v>124</v>
      </c>
      <c r="C50" s="411" t="s">
        <v>1747</v>
      </c>
      <c r="D50" s="411"/>
      <c r="E50" s="411"/>
    </row>
    <row r="51" spans="2:5">
      <c r="B51" s="411">
        <v>123</v>
      </c>
      <c r="C51" s="411" t="s">
        <v>1748</v>
      </c>
      <c r="D51" s="411"/>
      <c r="E51" s="411"/>
    </row>
    <row r="52" spans="2:5">
      <c r="B52" s="411">
        <v>14123</v>
      </c>
      <c r="C52" s="411" t="s">
        <v>1749</v>
      </c>
      <c r="D52" s="411"/>
      <c r="E52" s="411"/>
    </row>
    <row r="53" spans="2:5">
      <c r="B53" s="411">
        <v>122</v>
      </c>
      <c r="C53" s="411" t="s">
        <v>1750</v>
      </c>
      <c r="D53" s="411"/>
      <c r="E53" s="411"/>
    </row>
    <row r="54" spans="2:5">
      <c r="B54" s="411">
        <v>121</v>
      </c>
      <c r="C54" s="411" t="s">
        <v>1751</v>
      </c>
      <c r="D54" s="411"/>
      <c r="E54" s="411"/>
    </row>
    <row r="55" spans="2:5">
      <c r="B55" s="411">
        <v>13662</v>
      </c>
      <c r="C55" s="411" t="s">
        <v>1752</v>
      </c>
      <c r="D55" s="411"/>
      <c r="E55" s="411"/>
    </row>
    <row r="56" spans="2:5">
      <c r="B56" s="411">
        <v>13660</v>
      </c>
      <c r="C56" s="411" t="s">
        <v>1753</v>
      </c>
      <c r="D56" s="411"/>
      <c r="E56" s="411"/>
    </row>
    <row r="57" spans="2:5">
      <c r="B57" s="411">
        <v>13674</v>
      </c>
      <c r="C57" s="411" t="s">
        <v>1754</v>
      </c>
      <c r="D57" s="411"/>
      <c r="E57" s="411"/>
    </row>
    <row r="58" spans="2:5">
      <c r="B58" s="411">
        <v>13661</v>
      </c>
      <c r="C58" s="411" t="s">
        <v>1755</v>
      </c>
      <c r="D58" s="411"/>
      <c r="E58" s="411"/>
    </row>
    <row r="59" spans="2:5">
      <c r="B59" s="411">
        <v>13675</v>
      </c>
      <c r="C59" s="411" t="s">
        <v>1756</v>
      </c>
      <c r="D59" s="411"/>
      <c r="E59" s="411"/>
    </row>
    <row r="60" spans="2:5">
      <c r="B60" s="411">
        <v>13665</v>
      </c>
      <c r="C60" s="411" t="s">
        <v>1757</v>
      </c>
      <c r="D60" s="411"/>
      <c r="E60" s="411"/>
    </row>
    <row r="61" spans="2:5">
      <c r="B61" s="411">
        <v>13667</v>
      </c>
      <c r="C61" s="411" t="s">
        <v>1758</v>
      </c>
      <c r="D61" s="411"/>
      <c r="E61" s="411"/>
    </row>
    <row r="62" spans="2:5">
      <c r="B62" s="411">
        <v>13668</v>
      </c>
      <c r="C62" s="411" t="s">
        <v>1759</v>
      </c>
      <c r="D62" s="411"/>
      <c r="E62" s="411"/>
    </row>
    <row r="63" spans="2:5">
      <c r="B63" s="411">
        <v>13669</v>
      </c>
      <c r="C63" s="411" t="s">
        <v>1760</v>
      </c>
      <c r="D63" s="411"/>
      <c r="E63" s="411"/>
    </row>
    <row r="64" spans="2:5">
      <c r="B64" s="411">
        <v>13670</v>
      </c>
      <c r="C64" s="411" t="s">
        <v>1761</v>
      </c>
      <c r="D64" s="411"/>
      <c r="E64" s="411"/>
    </row>
    <row r="65" spans="2:5">
      <c r="B65" s="411">
        <v>13671</v>
      </c>
      <c r="C65" s="411" t="s">
        <v>1762</v>
      </c>
      <c r="D65" s="411"/>
      <c r="E65" s="411"/>
    </row>
    <row r="66" spans="2:5">
      <c r="B66" s="411">
        <v>13672</v>
      </c>
      <c r="C66" s="411" t="s">
        <v>1763</v>
      </c>
      <c r="D66" s="411"/>
      <c r="E66" s="411"/>
    </row>
    <row r="67" spans="2:5">
      <c r="B67" s="411">
        <v>13673</v>
      </c>
      <c r="C67" s="411" t="s">
        <v>1764</v>
      </c>
      <c r="D67" s="411"/>
      <c r="E67" s="411"/>
    </row>
    <row r="68" spans="2:5">
      <c r="B68" s="411">
        <v>13664</v>
      </c>
      <c r="C68" s="411" t="s">
        <v>1765</v>
      </c>
      <c r="D68" s="411"/>
      <c r="E68" s="411"/>
    </row>
    <row r="69" spans="2:5">
      <c r="B69" s="411">
        <v>13666</v>
      </c>
      <c r="C69" s="411" t="s">
        <v>1766</v>
      </c>
      <c r="D69" s="411"/>
      <c r="E69" s="411"/>
    </row>
    <row r="70" spans="2:5">
      <c r="B70" s="411">
        <v>6409</v>
      </c>
      <c r="C70" s="411" t="s">
        <v>1767</v>
      </c>
      <c r="D70" s="411"/>
      <c r="E70" s="411"/>
    </row>
    <row r="71" spans="2:5">
      <c r="B71" s="411">
        <v>14580</v>
      </c>
      <c r="C71" s="411" t="s">
        <v>1768</v>
      </c>
      <c r="D71" s="411"/>
      <c r="E71" s="411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1:E85"/>
  <sheetViews>
    <sheetView workbookViewId="0">
      <selection activeCell="C3" sqref="C3:E71"/>
    </sheetView>
  </sheetViews>
  <sheetFormatPr baseColWidth="10" defaultRowHeight="15"/>
  <cols>
    <col min="4" max="4" width="44.42578125" customWidth="1"/>
  </cols>
  <sheetData>
    <row r="1" spans="3:5" s="119" customFormat="1"/>
    <row r="2" spans="3:5" s="119" customFormat="1"/>
    <row r="3" spans="3:5" s="119" customFormat="1">
      <c r="D3" s="119" t="s">
        <v>1404</v>
      </c>
    </row>
    <row r="4" spans="3:5" s="119" customFormat="1"/>
    <row r="5" spans="3:5" s="119" customFormat="1"/>
    <row r="6" spans="3:5" s="119" customFormat="1"/>
    <row r="9" spans="3:5">
      <c r="C9" s="120" t="s">
        <v>0</v>
      </c>
      <c r="D9" s="120" t="s">
        <v>1</v>
      </c>
      <c r="E9" s="120"/>
    </row>
    <row r="10" spans="3:5" hidden="1">
      <c r="C10" s="120">
        <v>13486</v>
      </c>
      <c r="D10" s="120" t="s">
        <v>1406</v>
      </c>
      <c r="E10" s="120"/>
    </row>
    <row r="11" spans="3:5" hidden="1">
      <c r="C11" s="120">
        <v>13485</v>
      </c>
      <c r="D11" s="120" t="s">
        <v>1407</v>
      </c>
      <c r="E11" s="120"/>
    </row>
    <row r="12" spans="3:5" hidden="1">
      <c r="C12" s="120">
        <v>14888</v>
      </c>
      <c r="D12" s="120" t="s">
        <v>1408</v>
      </c>
      <c r="E12" s="120"/>
    </row>
    <row r="13" spans="3:5" hidden="1">
      <c r="C13" s="120">
        <v>14889</v>
      </c>
      <c r="D13" s="120" t="s">
        <v>1409</v>
      </c>
      <c r="E13" s="120"/>
    </row>
    <row r="14" spans="3:5" hidden="1">
      <c r="C14" s="120">
        <v>14891</v>
      </c>
      <c r="D14" s="120" t="s">
        <v>1410</v>
      </c>
      <c r="E14" s="120"/>
    </row>
    <row r="15" spans="3:5" hidden="1">
      <c r="C15" s="120">
        <v>14890</v>
      </c>
      <c r="D15" s="120" t="s">
        <v>1411</v>
      </c>
      <c r="E15" s="120"/>
    </row>
    <row r="16" spans="3:5" hidden="1">
      <c r="C16" s="120">
        <v>14894</v>
      </c>
      <c r="D16" s="120" t="s">
        <v>1412</v>
      </c>
      <c r="E16" s="120"/>
    </row>
    <row r="17" spans="3:5" hidden="1">
      <c r="C17" s="120">
        <v>14892</v>
      </c>
      <c r="D17" s="120" t="s">
        <v>1413</v>
      </c>
      <c r="E17" s="120"/>
    </row>
    <row r="18" spans="3:5" hidden="1">
      <c r="C18" s="120">
        <v>14893</v>
      </c>
      <c r="D18" s="120" t="s">
        <v>1414</v>
      </c>
      <c r="E18" s="120"/>
    </row>
    <row r="19" spans="3:5" hidden="1">
      <c r="C19" s="120">
        <v>13490</v>
      </c>
      <c r="D19" s="120" t="s">
        <v>1415</v>
      </c>
      <c r="E19" s="120"/>
    </row>
    <row r="20" spans="3:5" hidden="1">
      <c r="C20" s="120">
        <v>13468</v>
      </c>
      <c r="D20" s="120" t="s">
        <v>1416</v>
      </c>
      <c r="E20" s="120"/>
    </row>
    <row r="21" spans="3:5" hidden="1">
      <c r="C21" s="120">
        <v>13467</v>
      </c>
      <c r="D21" s="120" t="s">
        <v>1417</v>
      </c>
      <c r="E21" s="120"/>
    </row>
    <row r="22" spans="3:5" hidden="1">
      <c r="C22" s="120">
        <v>13473</v>
      </c>
      <c r="D22" s="120" t="s">
        <v>1418</v>
      </c>
      <c r="E22" s="120"/>
    </row>
    <row r="23" spans="3:5" hidden="1">
      <c r="C23" s="120">
        <v>13475</v>
      </c>
      <c r="D23" s="120" t="s">
        <v>1419</v>
      </c>
      <c r="E23" s="120"/>
    </row>
    <row r="24" spans="3:5" hidden="1">
      <c r="C24" s="120">
        <v>13470</v>
      </c>
      <c r="D24" s="120" t="s">
        <v>1420</v>
      </c>
      <c r="E24" s="120"/>
    </row>
    <row r="25" spans="3:5" hidden="1">
      <c r="C25" s="120">
        <v>13466</v>
      </c>
      <c r="D25" s="120" t="s">
        <v>1421</v>
      </c>
      <c r="E25" s="120"/>
    </row>
    <row r="26" spans="3:5" hidden="1">
      <c r="C26" s="120">
        <v>13474</v>
      </c>
      <c r="D26" s="120" t="s">
        <v>1422</v>
      </c>
      <c r="E26" s="120"/>
    </row>
    <row r="27" spans="3:5" hidden="1">
      <c r="C27" s="120">
        <v>13469</v>
      </c>
      <c r="D27" s="120" t="s">
        <v>1423</v>
      </c>
      <c r="E27" s="120"/>
    </row>
    <row r="28" spans="3:5" hidden="1">
      <c r="C28" s="120">
        <v>13471</v>
      </c>
      <c r="D28" s="120" t="s">
        <v>1424</v>
      </c>
      <c r="E28" s="120"/>
    </row>
    <row r="29" spans="3:5" hidden="1">
      <c r="C29" s="120">
        <v>13472</v>
      </c>
      <c r="D29" s="120" t="s">
        <v>1425</v>
      </c>
      <c r="E29" s="120"/>
    </row>
    <row r="30" spans="3:5" hidden="1">
      <c r="C30" s="120">
        <v>13492</v>
      </c>
      <c r="D30" s="120" t="s">
        <v>1426</v>
      </c>
      <c r="E30" s="120"/>
    </row>
    <row r="31" spans="3:5" hidden="1">
      <c r="C31" s="120">
        <v>13489</v>
      </c>
      <c r="D31" s="120" t="s">
        <v>1427</v>
      </c>
      <c r="E31" s="120"/>
    </row>
    <row r="32" spans="3:5" hidden="1">
      <c r="C32" s="120">
        <v>13147</v>
      </c>
      <c r="D32" s="120" t="s">
        <v>1428</v>
      </c>
      <c r="E32" s="120"/>
    </row>
    <row r="33" spans="3:5" hidden="1">
      <c r="C33" s="120">
        <v>13146</v>
      </c>
      <c r="D33" s="120" t="s">
        <v>1429</v>
      </c>
      <c r="E33" s="120"/>
    </row>
    <row r="34" spans="3:5" hidden="1">
      <c r="C34" s="120">
        <v>13488</v>
      </c>
      <c r="D34" s="120" t="s">
        <v>1430</v>
      </c>
      <c r="E34" s="120"/>
    </row>
    <row r="35" spans="3:5" hidden="1">
      <c r="C35" s="120">
        <v>13504</v>
      </c>
      <c r="D35" s="120" t="s">
        <v>1431</v>
      </c>
      <c r="E35" s="120"/>
    </row>
    <row r="36" spans="3:5" hidden="1">
      <c r="C36" s="120">
        <v>13501</v>
      </c>
      <c r="D36" s="120" t="s">
        <v>1432</v>
      </c>
      <c r="E36" s="120"/>
    </row>
    <row r="37" spans="3:5" hidden="1">
      <c r="C37" s="120">
        <v>13508</v>
      </c>
      <c r="D37" s="120" t="s">
        <v>1433</v>
      </c>
      <c r="E37" s="120"/>
    </row>
    <row r="38" spans="3:5" hidden="1">
      <c r="C38" s="120">
        <v>13499</v>
      </c>
      <c r="D38" s="120" t="s">
        <v>1434</v>
      </c>
      <c r="E38" s="120"/>
    </row>
    <row r="39" spans="3:5" hidden="1">
      <c r="C39" s="120">
        <v>13156</v>
      </c>
      <c r="D39" s="120" t="s">
        <v>1435</v>
      </c>
      <c r="E39" s="120"/>
    </row>
    <row r="40" spans="3:5" hidden="1">
      <c r="C40" s="120">
        <v>13495</v>
      </c>
      <c r="D40" s="120" t="s">
        <v>1436</v>
      </c>
      <c r="E40" s="120"/>
    </row>
    <row r="41" spans="3:5" hidden="1">
      <c r="C41" s="120">
        <v>13500</v>
      </c>
      <c r="D41" s="120" t="s">
        <v>1437</v>
      </c>
      <c r="E41" s="120"/>
    </row>
    <row r="42" spans="3:5" hidden="1">
      <c r="C42" s="120">
        <v>13507</v>
      </c>
      <c r="D42" s="120" t="s">
        <v>1438</v>
      </c>
      <c r="E42" s="120"/>
    </row>
    <row r="43" spans="3:5" hidden="1">
      <c r="C43" s="120">
        <v>13497</v>
      </c>
      <c r="D43" s="120" t="s">
        <v>1439</v>
      </c>
      <c r="E43" s="120"/>
    </row>
    <row r="44" spans="3:5" hidden="1">
      <c r="C44" s="120">
        <v>13502</v>
      </c>
      <c r="D44" s="120" t="s">
        <v>1440</v>
      </c>
      <c r="E44" s="120"/>
    </row>
    <row r="45" spans="3:5" hidden="1">
      <c r="C45" s="120">
        <v>13158</v>
      </c>
      <c r="D45" s="120" t="s">
        <v>1441</v>
      </c>
      <c r="E45" s="120"/>
    </row>
    <row r="46" spans="3:5" hidden="1">
      <c r="C46" s="120">
        <v>13498</v>
      </c>
      <c r="D46" s="120" t="s">
        <v>1442</v>
      </c>
      <c r="E46" s="120"/>
    </row>
    <row r="47" spans="3:5" hidden="1">
      <c r="C47" s="120">
        <v>13494</v>
      </c>
      <c r="D47" s="120" t="s">
        <v>1443</v>
      </c>
      <c r="E47" s="120"/>
    </row>
    <row r="48" spans="3:5" hidden="1">
      <c r="C48" s="120">
        <v>13514</v>
      </c>
      <c r="D48" s="120" t="s">
        <v>1444</v>
      </c>
      <c r="E48" s="120"/>
    </row>
    <row r="49" spans="3:5" hidden="1">
      <c r="C49" s="120">
        <v>13513</v>
      </c>
      <c r="D49" s="120" t="s">
        <v>1445</v>
      </c>
      <c r="E49" s="120"/>
    </row>
    <row r="50" spans="3:5" hidden="1">
      <c r="C50" s="120">
        <v>13157</v>
      </c>
      <c r="D50" s="120" t="s">
        <v>1446</v>
      </c>
      <c r="E50" s="120"/>
    </row>
    <row r="51" spans="3:5" hidden="1">
      <c r="C51" s="120">
        <v>13150</v>
      </c>
      <c r="D51" s="120" t="s">
        <v>1447</v>
      </c>
      <c r="E51" s="120"/>
    </row>
    <row r="52" spans="3:5" hidden="1">
      <c r="C52" s="120">
        <v>13149</v>
      </c>
      <c r="D52" s="120" t="s">
        <v>1448</v>
      </c>
      <c r="E52" s="120"/>
    </row>
    <row r="53" spans="3:5" hidden="1">
      <c r="C53" s="120">
        <v>13159</v>
      </c>
      <c r="D53" s="120" t="s">
        <v>1449</v>
      </c>
      <c r="E53" s="120"/>
    </row>
    <row r="54" spans="3:5" hidden="1">
      <c r="C54" s="120">
        <v>13148</v>
      </c>
      <c r="D54" s="120" t="s">
        <v>1450</v>
      </c>
      <c r="E54" s="120"/>
    </row>
    <row r="55" spans="3:5" hidden="1">
      <c r="C55" s="120">
        <v>13160</v>
      </c>
      <c r="D55" s="120" t="s">
        <v>1451</v>
      </c>
      <c r="E55" s="120"/>
    </row>
    <row r="56" spans="3:5" hidden="1">
      <c r="C56" s="120">
        <v>13477</v>
      </c>
      <c r="D56" s="120" t="s">
        <v>1452</v>
      </c>
      <c r="E56" s="120"/>
    </row>
    <row r="57" spans="3:5" hidden="1">
      <c r="C57" s="120">
        <v>13145</v>
      </c>
      <c r="D57" s="120" t="s">
        <v>1453</v>
      </c>
      <c r="E57" s="120"/>
    </row>
    <row r="58" spans="3:5">
      <c r="C58" s="120">
        <v>13483</v>
      </c>
      <c r="D58" s="120" t="s">
        <v>1454</v>
      </c>
      <c r="E58" s="120" t="s">
        <v>1467</v>
      </c>
    </row>
    <row r="59" spans="3:5" hidden="1">
      <c r="C59" s="120">
        <v>13479</v>
      </c>
      <c r="D59" s="120" t="s">
        <v>1455</v>
      </c>
      <c r="E59" s="120"/>
    </row>
    <row r="60" spans="3:5">
      <c r="C60" s="120">
        <v>13482</v>
      </c>
      <c r="D60" s="120" t="s">
        <v>1456</v>
      </c>
      <c r="E60" s="120" t="s">
        <v>1468</v>
      </c>
    </row>
    <row r="61" spans="3:5" hidden="1">
      <c r="C61" s="120">
        <v>13478</v>
      </c>
      <c r="D61" s="120" t="s">
        <v>1457</v>
      </c>
      <c r="E61" s="120"/>
    </row>
    <row r="62" spans="3:5" hidden="1">
      <c r="C62" s="120">
        <v>13481</v>
      </c>
      <c r="D62" s="120" t="s">
        <v>1458</v>
      </c>
      <c r="E62" s="120"/>
    </row>
    <row r="63" spans="3:5" hidden="1">
      <c r="C63" s="120">
        <v>13484</v>
      </c>
      <c r="D63" s="120" t="s">
        <v>1459</v>
      </c>
      <c r="E63" s="120"/>
    </row>
    <row r="64" spans="3:5" hidden="1">
      <c r="C64" s="120">
        <v>13480</v>
      </c>
      <c r="D64" s="120" t="s">
        <v>1460</v>
      </c>
      <c r="E64" s="120"/>
    </row>
    <row r="65" spans="3:5" hidden="1">
      <c r="C65" s="120">
        <v>13151</v>
      </c>
      <c r="D65" s="120" t="s">
        <v>1461</v>
      </c>
      <c r="E65" s="120"/>
    </row>
    <row r="66" spans="3:5" hidden="1">
      <c r="C66" s="120">
        <v>13152</v>
      </c>
      <c r="D66" s="120" t="s">
        <v>1462</v>
      </c>
      <c r="E66" s="120"/>
    </row>
    <row r="67" spans="3:5">
      <c r="C67" s="120">
        <v>13153</v>
      </c>
      <c r="D67" s="120" t="s">
        <v>1463</v>
      </c>
      <c r="E67" s="120" t="s">
        <v>1468</v>
      </c>
    </row>
    <row r="68" spans="3:5">
      <c r="C68" s="120">
        <v>13154</v>
      </c>
      <c r="D68" s="120" t="s">
        <v>1464</v>
      </c>
      <c r="E68" s="120" t="s">
        <v>1468</v>
      </c>
    </row>
    <row r="69" spans="3:5">
      <c r="C69" s="120">
        <v>13155</v>
      </c>
      <c r="D69" s="120" t="s">
        <v>1465</v>
      </c>
      <c r="E69" s="120" t="s">
        <v>1468</v>
      </c>
    </row>
    <row r="70" spans="3:5">
      <c r="C70" s="120">
        <v>13487</v>
      </c>
      <c r="D70" s="120" t="s">
        <v>1466</v>
      </c>
      <c r="E70" s="120" t="s">
        <v>631</v>
      </c>
    </row>
    <row r="71" spans="3:5">
      <c r="C71" s="119"/>
      <c r="D71" s="119"/>
      <c r="E71" s="119"/>
    </row>
    <row r="72" spans="3:5">
      <c r="C72" s="119"/>
      <c r="D72" s="119"/>
      <c r="E72" s="119"/>
    </row>
    <row r="73" spans="3:5">
      <c r="C73" s="119"/>
      <c r="D73" s="119"/>
      <c r="E73" s="119"/>
    </row>
    <row r="74" spans="3:5">
      <c r="C74" s="119"/>
      <c r="D74" s="119"/>
      <c r="E74" s="119"/>
    </row>
    <row r="75" spans="3:5">
      <c r="C75" s="119"/>
      <c r="D75" s="119"/>
      <c r="E75" s="119"/>
    </row>
    <row r="76" spans="3:5">
      <c r="C76" s="119"/>
      <c r="D76" s="119"/>
      <c r="E76" s="119"/>
    </row>
    <row r="77" spans="3:5">
      <c r="C77" s="119"/>
      <c r="D77" s="119"/>
      <c r="E77" s="119"/>
    </row>
    <row r="78" spans="3:5">
      <c r="C78" s="119"/>
      <c r="D78" s="119"/>
      <c r="E78" s="119"/>
    </row>
    <row r="79" spans="3:5">
      <c r="C79" s="119"/>
      <c r="D79" s="119"/>
      <c r="E79" s="119"/>
    </row>
    <row r="80" spans="3:5">
      <c r="C80" s="119"/>
      <c r="D80" s="119"/>
      <c r="E80" s="119"/>
    </row>
    <row r="81" spans="3:5">
      <c r="C81" s="119"/>
      <c r="D81" s="119"/>
      <c r="E81" s="119"/>
    </row>
    <row r="82" spans="3:5">
      <c r="C82" s="119"/>
      <c r="D82" s="119"/>
      <c r="E82" s="119"/>
    </row>
    <row r="83" spans="3:5">
      <c r="C83" s="119"/>
      <c r="D83" s="119"/>
      <c r="E83" s="119"/>
    </row>
    <row r="84" spans="3:5">
      <c r="C84" s="119"/>
      <c r="D84" s="119"/>
      <c r="E84" s="119"/>
    </row>
    <row r="85" spans="3:5">
      <c r="C85" s="119"/>
      <c r="D85" s="119"/>
      <c r="E85" s="119"/>
    </row>
  </sheetData>
  <pageMargins left="0.7" right="0.7" top="0.75" bottom="0.75" header="0.3" footer="0.3"/>
  <pageSetup paperSize="9"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D93"/>
  <sheetViews>
    <sheetView topLeftCell="A18" workbookViewId="0">
      <selection activeCell="H7" sqref="H7"/>
    </sheetView>
  </sheetViews>
  <sheetFormatPr baseColWidth="10" defaultRowHeight="15"/>
  <cols>
    <col min="3" max="3" width="65" customWidth="1"/>
  </cols>
  <sheetData>
    <row r="1" spans="2:4" s="119" customFormat="1"/>
    <row r="2" spans="2:4" s="119" customFormat="1"/>
    <row r="3" spans="2:4" s="119" customFormat="1"/>
    <row r="4" spans="2:4" s="119" customFormat="1"/>
    <row r="5" spans="2:4" s="119" customFormat="1"/>
    <row r="6" spans="2:4" s="119" customFormat="1"/>
    <row r="7" spans="2:4" s="119" customFormat="1"/>
    <row r="8" spans="2:4" s="119" customFormat="1"/>
    <row r="9" spans="2:4" s="119" customFormat="1"/>
    <row r="10" spans="2:4">
      <c r="C10" t="s">
        <v>1405</v>
      </c>
      <c r="D10" t="s">
        <v>75</v>
      </c>
    </row>
    <row r="11" spans="2:4" hidden="1">
      <c r="B11" s="113">
        <v>13596</v>
      </c>
      <c r="C11" s="113" t="s">
        <v>1321</v>
      </c>
      <c r="D11" s="113"/>
    </row>
    <row r="12" spans="2:4" hidden="1">
      <c r="B12" s="120">
        <v>7280</v>
      </c>
      <c r="C12" s="120" t="s">
        <v>1322</v>
      </c>
      <c r="D12" s="120"/>
    </row>
    <row r="13" spans="2:4" hidden="1">
      <c r="B13" s="120">
        <v>11739</v>
      </c>
      <c r="C13" s="120" t="s">
        <v>1323</v>
      </c>
      <c r="D13" s="120"/>
    </row>
    <row r="14" spans="2:4" hidden="1">
      <c r="B14" s="120">
        <v>6791</v>
      </c>
      <c r="C14" s="120" t="s">
        <v>1324</v>
      </c>
      <c r="D14" s="120"/>
    </row>
    <row r="15" spans="2:4" hidden="1">
      <c r="B15" s="120">
        <v>6838</v>
      </c>
      <c r="C15" s="120" t="s">
        <v>1325</v>
      </c>
      <c r="D15" s="120"/>
    </row>
    <row r="16" spans="2:4" hidden="1">
      <c r="B16" s="120">
        <v>9904</v>
      </c>
      <c r="C16" s="120" t="s">
        <v>1326</v>
      </c>
      <c r="D16" s="120"/>
    </row>
    <row r="17" spans="2:4" hidden="1">
      <c r="B17" s="120">
        <v>6785</v>
      </c>
      <c r="C17" s="120" t="s">
        <v>1327</v>
      </c>
      <c r="D17" s="120"/>
    </row>
    <row r="18" spans="2:4">
      <c r="B18" s="120">
        <v>8798</v>
      </c>
      <c r="C18" s="120" t="s">
        <v>1328</v>
      </c>
      <c r="D18" s="120" t="s">
        <v>631</v>
      </c>
    </row>
    <row r="19" spans="2:4" hidden="1">
      <c r="B19" s="120">
        <v>9905</v>
      </c>
      <c r="C19" s="120" t="s">
        <v>1329</v>
      </c>
      <c r="D19" s="120"/>
    </row>
    <row r="20" spans="2:4">
      <c r="B20" s="120">
        <v>10111</v>
      </c>
      <c r="C20" s="120" t="s">
        <v>1330</v>
      </c>
      <c r="D20" s="120" t="s">
        <v>631</v>
      </c>
    </row>
    <row r="21" spans="2:4" hidden="1">
      <c r="B21" s="120">
        <v>10663</v>
      </c>
      <c r="C21" s="120" t="s">
        <v>1331</v>
      </c>
      <c r="D21" s="120"/>
    </row>
    <row r="22" spans="2:4" hidden="1">
      <c r="B22" s="120">
        <v>8101</v>
      </c>
      <c r="C22" s="120" t="s">
        <v>1332</v>
      </c>
      <c r="D22" s="120"/>
    </row>
    <row r="23" spans="2:4">
      <c r="B23" s="120">
        <v>7629</v>
      </c>
      <c r="C23" s="120" t="s">
        <v>1333</v>
      </c>
      <c r="D23" s="120" t="s">
        <v>631</v>
      </c>
    </row>
    <row r="24" spans="2:4" hidden="1">
      <c r="B24" s="120">
        <v>7630</v>
      </c>
      <c r="C24" s="120" t="s">
        <v>1334</v>
      </c>
      <c r="D24" s="120"/>
    </row>
    <row r="25" spans="2:4" hidden="1">
      <c r="B25" s="120">
        <v>8100</v>
      </c>
      <c r="C25" s="120" t="s">
        <v>1335</v>
      </c>
      <c r="D25" s="120"/>
    </row>
    <row r="26" spans="2:4" hidden="1">
      <c r="B26" s="120">
        <v>6792</v>
      </c>
      <c r="C26" s="120" t="s">
        <v>1336</v>
      </c>
      <c r="D26" s="120"/>
    </row>
    <row r="27" spans="2:4" hidden="1">
      <c r="B27" s="120">
        <v>9270</v>
      </c>
      <c r="C27" s="120" t="s">
        <v>1337</v>
      </c>
      <c r="D27" s="120"/>
    </row>
    <row r="28" spans="2:4" hidden="1">
      <c r="B28" s="120">
        <v>10662</v>
      </c>
      <c r="C28" s="120" t="s">
        <v>1338</v>
      </c>
      <c r="D28" s="120"/>
    </row>
    <row r="29" spans="2:4" hidden="1">
      <c r="B29" s="120">
        <v>10661</v>
      </c>
      <c r="C29" s="120" t="s">
        <v>1339</v>
      </c>
      <c r="D29" s="120"/>
    </row>
    <row r="30" spans="2:4" hidden="1">
      <c r="B30" s="120">
        <v>10816</v>
      </c>
      <c r="C30" s="120" t="s">
        <v>1340</v>
      </c>
      <c r="D30" s="120"/>
    </row>
    <row r="31" spans="2:4" hidden="1">
      <c r="B31" s="120">
        <v>10817</v>
      </c>
      <c r="C31" s="120" t="s">
        <v>1341</v>
      </c>
      <c r="D31" s="120"/>
    </row>
    <row r="32" spans="2:4" hidden="1">
      <c r="B32" s="120">
        <v>7273</v>
      </c>
      <c r="C32" s="120" t="s">
        <v>1342</v>
      </c>
      <c r="D32" s="120"/>
    </row>
    <row r="33" spans="2:4" hidden="1">
      <c r="B33" s="120">
        <v>7272</v>
      </c>
      <c r="C33" s="120" t="s">
        <v>1343</v>
      </c>
      <c r="D33" s="120"/>
    </row>
    <row r="34" spans="2:4">
      <c r="B34" s="120">
        <v>16712</v>
      </c>
      <c r="C34" s="120" t="s">
        <v>1344</v>
      </c>
      <c r="D34" s="120" t="s">
        <v>630</v>
      </c>
    </row>
    <row r="35" spans="2:4">
      <c r="B35" s="120">
        <v>16713</v>
      </c>
      <c r="C35" s="120" t="s">
        <v>1345</v>
      </c>
      <c r="D35" s="120" t="s">
        <v>630</v>
      </c>
    </row>
    <row r="36" spans="2:4" hidden="1">
      <c r="B36" s="120">
        <v>11738</v>
      </c>
      <c r="C36" s="373" t="s">
        <v>1346</v>
      </c>
      <c r="D36" s="120"/>
    </row>
    <row r="37" spans="2:4" hidden="1">
      <c r="B37" s="120">
        <v>7281</v>
      </c>
      <c r="C37" s="373" t="s">
        <v>1347</v>
      </c>
      <c r="D37" s="120"/>
    </row>
    <row r="38" spans="2:4">
      <c r="B38" s="120">
        <v>16710</v>
      </c>
      <c r="C38" s="120" t="s">
        <v>1348</v>
      </c>
      <c r="D38" s="120" t="s">
        <v>630</v>
      </c>
    </row>
    <row r="39" spans="2:4">
      <c r="B39" s="120">
        <v>16711</v>
      </c>
      <c r="C39" s="120" t="s">
        <v>1349</v>
      </c>
      <c r="D39" s="120" t="s">
        <v>630</v>
      </c>
    </row>
    <row r="40" spans="2:4" hidden="1">
      <c r="B40" s="120">
        <v>7271</v>
      </c>
      <c r="C40" s="373" t="s">
        <v>1350</v>
      </c>
      <c r="D40" s="120"/>
    </row>
    <row r="41" spans="2:4">
      <c r="B41" s="120">
        <v>16704</v>
      </c>
      <c r="C41" s="120" t="s">
        <v>1351</v>
      </c>
      <c r="D41" s="120" t="s">
        <v>630</v>
      </c>
    </row>
    <row r="42" spans="2:4">
      <c r="B42" s="120">
        <v>16707</v>
      </c>
      <c r="C42" s="120" t="s">
        <v>1352</v>
      </c>
      <c r="D42" s="120" t="s">
        <v>630</v>
      </c>
    </row>
    <row r="43" spans="2:4" hidden="1">
      <c r="B43" s="120">
        <v>7270</v>
      </c>
      <c r="C43" s="373" t="s">
        <v>1353</v>
      </c>
      <c r="D43" s="120"/>
    </row>
    <row r="44" spans="2:4" hidden="1">
      <c r="B44" s="120">
        <v>8928</v>
      </c>
      <c r="C44" s="373" t="s">
        <v>1354</v>
      </c>
      <c r="D44" s="120"/>
    </row>
    <row r="45" spans="2:4" hidden="1">
      <c r="B45" s="120">
        <v>6774</v>
      </c>
      <c r="C45" s="373" t="s">
        <v>1355</v>
      </c>
      <c r="D45" s="120"/>
    </row>
    <row r="46" spans="2:4" hidden="1">
      <c r="B46" s="120">
        <v>6583</v>
      </c>
      <c r="C46" s="373" t="s">
        <v>1356</v>
      </c>
      <c r="D46" s="120"/>
    </row>
    <row r="47" spans="2:4" hidden="1">
      <c r="B47" s="120">
        <v>10656</v>
      </c>
      <c r="C47" s="373" t="s">
        <v>1357</v>
      </c>
      <c r="D47" s="120"/>
    </row>
    <row r="48" spans="2:4" hidden="1">
      <c r="B48" s="120">
        <v>6776</v>
      </c>
      <c r="C48" s="373" t="s">
        <v>1358</v>
      </c>
      <c r="D48" s="120"/>
    </row>
    <row r="49" spans="2:4" hidden="1">
      <c r="B49" s="120">
        <v>6772</v>
      </c>
      <c r="C49" s="373" t="s">
        <v>1359</v>
      </c>
      <c r="D49" s="120"/>
    </row>
    <row r="50" spans="2:4" hidden="1">
      <c r="B50" s="120">
        <v>6581</v>
      </c>
      <c r="C50" s="373" t="s">
        <v>1360</v>
      </c>
      <c r="D50" s="120"/>
    </row>
    <row r="51" spans="2:4" hidden="1">
      <c r="B51" s="120">
        <v>8783</v>
      </c>
      <c r="C51" s="373" t="s">
        <v>1361</v>
      </c>
      <c r="D51" s="120"/>
    </row>
    <row r="52" spans="2:4" hidden="1">
      <c r="B52" s="120">
        <v>6775</v>
      </c>
      <c r="C52" s="373" t="s">
        <v>1362</v>
      </c>
      <c r="D52" s="120"/>
    </row>
    <row r="53" spans="2:4" hidden="1">
      <c r="B53" s="120">
        <v>6773</v>
      </c>
      <c r="C53" s="373" t="s">
        <v>1363</v>
      </c>
      <c r="D53" s="120"/>
    </row>
    <row r="54" spans="2:4" hidden="1">
      <c r="B54" s="120">
        <v>6597</v>
      </c>
      <c r="C54" s="373" t="s">
        <v>1364</v>
      </c>
      <c r="D54" s="120"/>
    </row>
    <row r="55" spans="2:4" hidden="1">
      <c r="B55" s="120">
        <v>10660</v>
      </c>
      <c r="C55" s="120" t="s">
        <v>1365</v>
      </c>
      <c r="D55" s="120" t="s">
        <v>72</v>
      </c>
    </row>
    <row r="56" spans="2:4">
      <c r="B56" s="120">
        <v>10657</v>
      </c>
      <c r="C56" s="120" t="s">
        <v>1366</v>
      </c>
      <c r="D56" s="120" t="s">
        <v>631</v>
      </c>
    </row>
    <row r="57" spans="2:4" hidden="1">
      <c r="B57" s="120">
        <v>10658</v>
      </c>
      <c r="C57" s="120" t="s">
        <v>1367</v>
      </c>
      <c r="D57" s="120"/>
    </row>
    <row r="58" spans="2:4" hidden="1">
      <c r="B58" s="120">
        <v>10109</v>
      </c>
      <c r="C58" s="120" t="s">
        <v>1368</v>
      </c>
      <c r="D58" s="120"/>
    </row>
    <row r="59" spans="2:4" hidden="1">
      <c r="B59" s="120">
        <v>8099</v>
      </c>
      <c r="C59" s="373" t="s">
        <v>1369</v>
      </c>
      <c r="D59" s="120"/>
    </row>
    <row r="60" spans="2:4" hidden="1">
      <c r="B60" s="120">
        <v>7881</v>
      </c>
      <c r="C60" s="373" t="s">
        <v>1370</v>
      </c>
      <c r="D60" s="120"/>
    </row>
    <row r="61" spans="2:4" hidden="1">
      <c r="B61" s="120">
        <v>8097</v>
      </c>
      <c r="C61" s="373" t="s">
        <v>1371</v>
      </c>
      <c r="D61" s="120"/>
    </row>
    <row r="62" spans="2:4" hidden="1">
      <c r="B62" s="120">
        <v>8098</v>
      </c>
      <c r="C62" s="373" t="s">
        <v>1372</v>
      </c>
      <c r="D62" s="120"/>
    </row>
    <row r="63" spans="2:4" hidden="1">
      <c r="B63" s="120">
        <v>7626</v>
      </c>
      <c r="C63" s="373" t="s">
        <v>1373</v>
      </c>
      <c r="D63" s="120"/>
    </row>
    <row r="64" spans="2:4" hidden="1">
      <c r="B64" s="120">
        <v>6843</v>
      </c>
      <c r="C64" s="373" t="s">
        <v>1374</v>
      </c>
      <c r="D64" s="120"/>
    </row>
    <row r="65" spans="2:4">
      <c r="B65" s="120">
        <v>6786</v>
      </c>
      <c r="C65" s="120" t="s">
        <v>1375</v>
      </c>
      <c r="D65" s="120" t="s">
        <v>631</v>
      </c>
    </row>
    <row r="66" spans="2:4">
      <c r="B66" s="120">
        <v>6787</v>
      </c>
      <c r="C66" s="120" t="s">
        <v>1376</v>
      </c>
      <c r="D66" s="120" t="s">
        <v>631</v>
      </c>
    </row>
    <row r="67" spans="2:4">
      <c r="B67" s="120">
        <v>6784</v>
      </c>
      <c r="C67" s="120" t="s">
        <v>1377</v>
      </c>
      <c r="D67" s="120" t="s">
        <v>631</v>
      </c>
    </row>
    <row r="68" spans="2:4" hidden="1">
      <c r="B68" s="120">
        <v>6788</v>
      </c>
      <c r="C68" s="120" t="s">
        <v>1378</v>
      </c>
      <c r="D68" s="120"/>
    </row>
    <row r="69" spans="2:4" hidden="1">
      <c r="B69" s="120">
        <v>6781</v>
      </c>
      <c r="C69" s="120" t="s">
        <v>1379</v>
      </c>
      <c r="D69" s="120"/>
    </row>
    <row r="70" spans="2:4" hidden="1">
      <c r="B70" s="120">
        <v>7627</v>
      </c>
      <c r="C70" s="120" t="s">
        <v>1380</v>
      </c>
      <c r="D70" s="120"/>
    </row>
    <row r="71" spans="2:4" hidden="1">
      <c r="B71" s="120">
        <v>6779</v>
      </c>
      <c r="C71" s="120" t="s">
        <v>1381</v>
      </c>
      <c r="D71" s="120"/>
    </row>
    <row r="72" spans="2:4" hidden="1">
      <c r="B72" s="120">
        <v>6844</v>
      </c>
      <c r="C72" s="120" t="s">
        <v>1382</v>
      </c>
      <c r="D72" s="120"/>
    </row>
    <row r="73" spans="2:4" hidden="1">
      <c r="B73" s="120">
        <v>6782</v>
      </c>
      <c r="C73" s="120" t="s">
        <v>1383</v>
      </c>
      <c r="D73" s="120"/>
    </row>
    <row r="74" spans="2:4">
      <c r="B74" s="120">
        <v>7628</v>
      </c>
      <c r="C74" s="120" t="s">
        <v>1384</v>
      </c>
      <c r="D74" s="120" t="s">
        <v>631</v>
      </c>
    </row>
    <row r="75" spans="2:4" hidden="1">
      <c r="B75" s="120">
        <v>8552</v>
      </c>
      <c r="C75" s="120" t="s">
        <v>1385</v>
      </c>
      <c r="D75" s="120"/>
    </row>
    <row r="76" spans="2:4" hidden="1">
      <c r="B76" s="120">
        <v>9903</v>
      </c>
      <c r="C76" s="120" t="s">
        <v>1386</v>
      </c>
      <c r="D76" s="120"/>
    </row>
    <row r="77" spans="2:4" hidden="1">
      <c r="B77" s="120">
        <v>6841</v>
      </c>
      <c r="C77" s="120" t="s">
        <v>1387</v>
      </c>
      <c r="D77" s="120"/>
    </row>
    <row r="78" spans="2:4" hidden="1">
      <c r="B78" s="120">
        <v>9902</v>
      </c>
      <c r="C78" s="120" t="s">
        <v>1388</v>
      </c>
      <c r="D78" s="120"/>
    </row>
    <row r="79" spans="2:4" hidden="1">
      <c r="B79" s="120">
        <v>6793</v>
      </c>
      <c r="C79" s="120" t="s">
        <v>1389</v>
      </c>
      <c r="D79" s="120"/>
    </row>
    <row r="80" spans="2:4" hidden="1">
      <c r="B80" s="120">
        <v>12625</v>
      </c>
      <c r="C80" s="120" t="s">
        <v>1390</v>
      </c>
      <c r="D80" s="120"/>
    </row>
    <row r="81" spans="2:4" hidden="1">
      <c r="B81" s="120">
        <v>12626</v>
      </c>
      <c r="C81" s="120" t="s">
        <v>1391</v>
      </c>
      <c r="D81" s="120"/>
    </row>
    <row r="82" spans="2:4">
      <c r="B82" s="120">
        <v>8923</v>
      </c>
      <c r="C82" s="120" t="s">
        <v>1392</v>
      </c>
      <c r="D82" s="120" t="s">
        <v>631</v>
      </c>
    </row>
    <row r="83" spans="2:4">
      <c r="B83" s="120">
        <v>8926</v>
      </c>
      <c r="C83" s="120" t="s">
        <v>1393</v>
      </c>
      <c r="D83" s="120" t="s">
        <v>631</v>
      </c>
    </row>
    <row r="84" spans="2:4">
      <c r="B84" s="120">
        <v>8924</v>
      </c>
      <c r="C84" s="120" t="s">
        <v>1394</v>
      </c>
      <c r="D84" s="120" t="s">
        <v>631</v>
      </c>
    </row>
    <row r="85" spans="2:4">
      <c r="B85" s="120">
        <v>8925</v>
      </c>
      <c r="C85" s="120" t="s">
        <v>1395</v>
      </c>
      <c r="D85" s="120" t="s">
        <v>631</v>
      </c>
    </row>
    <row r="86" spans="2:4" hidden="1">
      <c r="B86" s="120">
        <v>9901</v>
      </c>
      <c r="C86" s="120" t="s">
        <v>1396</v>
      </c>
      <c r="D86" s="120" t="s">
        <v>72</v>
      </c>
    </row>
    <row r="87" spans="2:4">
      <c r="B87" s="120">
        <v>7879</v>
      </c>
      <c r="C87" s="120" t="s">
        <v>1397</v>
      </c>
      <c r="D87" s="120" t="s">
        <v>631</v>
      </c>
    </row>
    <row r="88" spans="2:4" hidden="1">
      <c r="B88" s="120">
        <v>10110</v>
      </c>
      <c r="C88" s="120" t="s">
        <v>1398</v>
      </c>
      <c r="D88" s="120"/>
    </row>
    <row r="89" spans="2:4" hidden="1">
      <c r="B89" s="120">
        <v>7275</v>
      </c>
      <c r="C89" s="120" t="s">
        <v>1399</v>
      </c>
      <c r="D89" s="120"/>
    </row>
    <row r="90" spans="2:4" hidden="1">
      <c r="B90" s="120">
        <v>7277</v>
      </c>
      <c r="C90" s="120" t="s">
        <v>1400</v>
      </c>
      <c r="D90" s="120"/>
    </row>
    <row r="91" spans="2:4" hidden="1">
      <c r="B91" s="120">
        <v>7276</v>
      </c>
      <c r="C91" s="120" t="s">
        <v>1401</v>
      </c>
      <c r="D91" s="120"/>
    </row>
    <row r="92" spans="2:4">
      <c r="B92" s="120">
        <v>6842</v>
      </c>
      <c r="C92" s="120" t="s">
        <v>1402</v>
      </c>
      <c r="D92" s="120" t="s">
        <v>630</v>
      </c>
    </row>
    <row r="93" spans="2:4" hidden="1">
      <c r="B93" s="120">
        <v>6789</v>
      </c>
      <c r="C93" s="120" t="s">
        <v>1403</v>
      </c>
      <c r="D93" s="120"/>
    </row>
  </sheetData>
  <sortState ref="B3:D86">
    <sortCondition ref="C3:C86"/>
  </sortState>
  <pageMargins left="0.7" right="0.7" top="0.75" bottom="0.75" header="0.3" footer="0.3"/>
  <pageSetup paperSize="9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3:K157"/>
  <sheetViews>
    <sheetView topLeftCell="B49" workbookViewId="0">
      <selection activeCell="G5" sqref="G5"/>
    </sheetView>
  </sheetViews>
  <sheetFormatPr baseColWidth="10" defaultRowHeight="15"/>
  <cols>
    <col min="1" max="1" width="0" hidden="1" customWidth="1"/>
    <col min="2" max="2" width="12.140625" style="422" customWidth="1"/>
    <col min="3" max="3" width="16" style="371" hidden="1" customWidth="1"/>
    <col min="4" max="4" width="13.85546875" style="371" hidden="1" customWidth="1"/>
    <col min="5" max="5" width="11.42578125" style="371" hidden="1" customWidth="1"/>
    <col min="6" max="6" width="11.42578125" style="835"/>
    <col min="7" max="7" width="59.140625" customWidth="1"/>
  </cols>
  <sheetData>
    <row r="3" spans="2:11" s="148" customFormat="1">
      <c r="B3" s="374"/>
      <c r="C3" s="374"/>
      <c r="D3" s="374"/>
      <c r="E3" s="374"/>
      <c r="F3" s="374"/>
    </row>
    <row r="4" spans="2:11" s="148" customFormat="1">
      <c r="B4" s="374"/>
      <c r="C4" s="374"/>
      <c r="D4" s="374"/>
      <c r="E4" s="374"/>
      <c r="F4" s="374"/>
    </row>
    <row r="5" spans="2:11" s="148" customFormat="1" ht="75">
      <c r="B5" s="374"/>
      <c r="C5" s="374"/>
      <c r="D5" s="374"/>
      <c r="E5" s="374"/>
      <c r="F5" s="838" t="s">
        <v>0</v>
      </c>
      <c r="G5" s="402" t="s">
        <v>1</v>
      </c>
      <c r="H5" s="43" t="s">
        <v>24</v>
      </c>
      <c r="I5" s="43" t="s">
        <v>25</v>
      </c>
      <c r="J5" s="43" t="s">
        <v>26</v>
      </c>
      <c r="K5" s="402" t="s">
        <v>715</v>
      </c>
    </row>
    <row r="6" spans="2:11" s="148" customFormat="1">
      <c r="B6" s="374"/>
      <c r="C6" s="374"/>
      <c r="D6" s="374"/>
      <c r="E6" s="374"/>
      <c r="F6" s="838">
        <v>8390</v>
      </c>
      <c r="G6" s="402" t="s">
        <v>563</v>
      </c>
      <c r="H6" s="402"/>
      <c r="I6" s="402"/>
      <c r="J6" s="402"/>
      <c r="K6" s="402"/>
    </row>
    <row r="7" spans="2:11" s="148" customFormat="1">
      <c r="B7" s="374"/>
      <c r="C7" s="374"/>
      <c r="D7" s="374"/>
      <c r="E7" s="374"/>
      <c r="F7" s="838">
        <v>18201</v>
      </c>
      <c r="G7" s="402" t="s">
        <v>2214</v>
      </c>
      <c r="H7" s="402"/>
      <c r="I7" s="402"/>
      <c r="J7" s="402"/>
      <c r="K7" s="402"/>
    </row>
    <row r="8" spans="2:11" s="148" customFormat="1">
      <c r="B8" s="374"/>
      <c r="C8" s="374"/>
      <c r="D8" s="374"/>
      <c r="E8" s="374"/>
      <c r="F8" s="838">
        <v>6254</v>
      </c>
      <c r="G8" s="402" t="s">
        <v>564</v>
      </c>
      <c r="H8" s="402"/>
      <c r="I8" s="402"/>
      <c r="J8" s="402"/>
      <c r="K8" s="402"/>
    </row>
    <row r="9" spans="2:11" s="148" customFormat="1">
      <c r="B9" s="374"/>
      <c r="C9" s="374"/>
      <c r="D9" s="374"/>
      <c r="E9" s="374"/>
      <c r="F9" s="838">
        <v>12995</v>
      </c>
      <c r="G9" s="402" t="s">
        <v>565</v>
      </c>
      <c r="H9" s="402"/>
      <c r="I9" s="402"/>
      <c r="J9" s="402"/>
      <c r="K9" s="402"/>
    </row>
    <row r="10" spans="2:11" s="148" customFormat="1">
      <c r="B10" s="374"/>
      <c r="C10" s="374"/>
      <c r="D10" s="374"/>
      <c r="E10" s="374"/>
      <c r="F10" s="838">
        <v>12994</v>
      </c>
      <c r="G10" s="402" t="s">
        <v>566</v>
      </c>
      <c r="H10" s="402"/>
      <c r="I10" s="402"/>
      <c r="J10" s="402"/>
      <c r="K10" s="402"/>
    </row>
    <row r="11" spans="2:11" s="148" customFormat="1">
      <c r="B11" s="374"/>
      <c r="C11" s="374"/>
      <c r="D11" s="374"/>
      <c r="E11" s="374"/>
      <c r="F11" s="838">
        <v>12991</v>
      </c>
      <c r="G11" s="402" t="s">
        <v>567</v>
      </c>
      <c r="H11" s="402"/>
      <c r="I11" s="402"/>
      <c r="J11" s="402"/>
      <c r="K11" s="402"/>
    </row>
    <row r="12" spans="2:11" s="148" customFormat="1">
      <c r="B12" s="374"/>
      <c r="C12" s="374"/>
      <c r="D12" s="374"/>
      <c r="E12" s="374"/>
      <c r="F12" s="838">
        <v>12992</v>
      </c>
      <c r="G12" s="402" t="s">
        <v>568</v>
      </c>
      <c r="H12" s="402"/>
      <c r="I12" s="402"/>
      <c r="J12" s="402"/>
      <c r="K12" s="402"/>
    </row>
    <row r="13" spans="2:11" s="148" customFormat="1">
      <c r="B13" s="374"/>
      <c r="C13" s="374"/>
      <c r="D13" s="374"/>
      <c r="E13" s="374"/>
      <c r="F13" s="838">
        <v>13248</v>
      </c>
      <c r="G13" s="402" t="s">
        <v>569</v>
      </c>
      <c r="H13" s="402"/>
      <c r="I13" s="402"/>
      <c r="J13" s="402"/>
      <c r="K13" s="402"/>
    </row>
    <row r="14" spans="2:11" s="148" customFormat="1">
      <c r="B14" s="374"/>
      <c r="C14" s="374"/>
      <c r="D14" s="374"/>
      <c r="E14" s="374"/>
      <c r="F14" s="838">
        <v>13249</v>
      </c>
      <c r="G14" s="402" t="s">
        <v>570</v>
      </c>
      <c r="H14" s="402"/>
      <c r="I14" s="402"/>
      <c r="J14" s="402"/>
      <c r="K14" s="402"/>
    </row>
    <row r="15" spans="2:11" s="148" customFormat="1">
      <c r="B15" s="374"/>
      <c r="C15" s="374"/>
      <c r="D15" s="374"/>
      <c r="E15" s="374"/>
      <c r="F15" s="838">
        <v>13250</v>
      </c>
      <c r="G15" s="402" t="s">
        <v>571</v>
      </c>
      <c r="H15" s="402"/>
      <c r="I15" s="402"/>
      <c r="J15" s="402"/>
      <c r="K15" s="402"/>
    </row>
    <row r="16" spans="2:11" s="148" customFormat="1">
      <c r="B16" s="374"/>
      <c r="C16" s="374"/>
      <c r="D16" s="374"/>
      <c r="E16" s="374"/>
      <c r="F16" s="838">
        <v>13515</v>
      </c>
      <c r="G16" s="402" t="s">
        <v>574</v>
      </c>
      <c r="H16" s="402"/>
      <c r="I16" s="402"/>
      <c r="J16" s="402"/>
      <c r="K16" s="402"/>
    </row>
    <row r="17" spans="2:11" s="148" customFormat="1">
      <c r="B17" s="374"/>
      <c r="C17" s="374"/>
      <c r="D17" s="374"/>
      <c r="E17" s="374"/>
      <c r="F17" s="838">
        <v>6816</v>
      </c>
      <c r="G17" s="402" t="s">
        <v>578</v>
      </c>
      <c r="H17" s="402"/>
      <c r="I17" s="402"/>
      <c r="J17" s="402"/>
      <c r="K17" s="402"/>
    </row>
    <row r="18" spans="2:11" s="148" customFormat="1">
      <c r="B18" s="374"/>
      <c r="C18" s="374"/>
      <c r="D18" s="374"/>
      <c r="E18" s="374"/>
      <c r="F18" s="838">
        <v>6715</v>
      </c>
      <c r="G18" s="402" t="s">
        <v>579</v>
      </c>
      <c r="H18" s="402"/>
      <c r="I18" s="402"/>
      <c r="J18" s="402"/>
      <c r="K18" s="402"/>
    </row>
    <row r="19" spans="2:11" s="148" customFormat="1">
      <c r="B19" s="374"/>
      <c r="C19" s="374"/>
      <c r="D19" s="374"/>
      <c r="E19" s="374"/>
      <c r="F19" s="838">
        <v>12125</v>
      </c>
      <c r="G19" s="402" t="s">
        <v>580</v>
      </c>
      <c r="H19" s="402"/>
      <c r="I19" s="402"/>
      <c r="J19" s="402"/>
      <c r="K19" s="402"/>
    </row>
    <row r="20" spans="2:11" s="148" customFormat="1">
      <c r="B20" s="374"/>
      <c r="C20" s="374"/>
      <c r="D20" s="374"/>
      <c r="E20" s="374"/>
      <c r="F20" s="838">
        <v>12333</v>
      </c>
      <c r="G20" s="402" t="s">
        <v>581</v>
      </c>
      <c r="H20" s="402"/>
      <c r="I20" s="402"/>
      <c r="J20" s="402"/>
      <c r="K20" s="402"/>
    </row>
    <row r="21" spans="2:11" s="148" customFormat="1">
      <c r="B21" s="374"/>
      <c r="C21" s="374"/>
      <c r="D21" s="374"/>
      <c r="E21" s="374"/>
      <c r="F21" s="838">
        <v>6815</v>
      </c>
      <c r="G21" s="402" t="s">
        <v>582</v>
      </c>
      <c r="H21" s="402"/>
      <c r="I21" s="402"/>
      <c r="J21" s="402"/>
      <c r="K21" s="402"/>
    </row>
    <row r="22" spans="2:11" s="148" customFormat="1">
      <c r="B22" s="374"/>
      <c r="C22" s="374"/>
      <c r="D22" s="374"/>
      <c r="E22" s="374"/>
      <c r="F22" s="838">
        <v>1998</v>
      </c>
      <c r="G22" s="402" t="s">
        <v>583</v>
      </c>
      <c r="H22" s="402"/>
      <c r="I22" s="402"/>
      <c r="J22" s="402"/>
      <c r="K22" s="402"/>
    </row>
    <row r="23" spans="2:11" s="148" customFormat="1">
      <c r="B23" s="374"/>
      <c r="C23" s="374"/>
      <c r="D23" s="374"/>
      <c r="E23" s="374"/>
      <c r="F23" s="838">
        <v>6355</v>
      </c>
      <c r="G23" s="402" t="s">
        <v>584</v>
      </c>
      <c r="H23" s="402"/>
      <c r="I23" s="402"/>
      <c r="J23" s="402"/>
      <c r="K23" s="402"/>
    </row>
    <row r="24" spans="2:11" s="148" customFormat="1">
      <c r="B24" s="374"/>
      <c r="C24" s="374"/>
      <c r="D24" s="374"/>
      <c r="E24" s="374"/>
      <c r="F24" s="838">
        <v>12126</v>
      </c>
      <c r="G24" s="402" t="s">
        <v>585</v>
      </c>
      <c r="H24" s="402"/>
      <c r="I24" s="402"/>
      <c r="J24" s="402"/>
      <c r="K24" s="402"/>
    </row>
    <row r="25" spans="2:11" s="148" customFormat="1">
      <c r="B25" s="374"/>
      <c r="C25" s="374"/>
      <c r="D25" s="374"/>
      <c r="E25" s="374"/>
      <c r="F25" s="838">
        <v>6101</v>
      </c>
      <c r="G25" s="402" t="s">
        <v>586</v>
      </c>
      <c r="H25" s="402"/>
      <c r="I25" s="402"/>
      <c r="J25" s="402"/>
      <c r="K25" s="402"/>
    </row>
    <row r="26" spans="2:11" s="148" customFormat="1">
      <c r="B26" s="374"/>
      <c r="C26" s="374"/>
      <c r="D26" s="374"/>
      <c r="E26" s="374"/>
      <c r="F26" s="838">
        <v>12860</v>
      </c>
      <c r="G26" s="402" t="s">
        <v>587</v>
      </c>
      <c r="H26" s="402"/>
      <c r="I26" s="402"/>
      <c r="J26" s="402"/>
      <c r="K26" s="402"/>
    </row>
    <row r="27" spans="2:11" s="148" customFormat="1">
      <c r="B27" s="374"/>
      <c r="C27" s="374"/>
      <c r="D27" s="374"/>
      <c r="E27" s="374"/>
      <c r="F27" s="838">
        <v>12861</v>
      </c>
      <c r="G27" s="402" t="s">
        <v>588</v>
      </c>
      <c r="H27" s="402"/>
      <c r="I27" s="402"/>
      <c r="J27" s="402"/>
      <c r="K27" s="402"/>
    </row>
    <row r="28" spans="2:11" s="148" customFormat="1">
      <c r="B28" s="374"/>
      <c r="C28" s="374"/>
      <c r="D28" s="374"/>
      <c r="E28" s="374"/>
      <c r="F28" s="838">
        <v>6358</v>
      </c>
      <c r="G28" s="402" t="s">
        <v>589</v>
      </c>
      <c r="H28" s="402"/>
      <c r="I28" s="402"/>
      <c r="J28" s="402"/>
      <c r="K28" s="402"/>
    </row>
    <row r="29" spans="2:11" s="148" customFormat="1">
      <c r="B29" s="374"/>
      <c r="C29" s="374"/>
      <c r="D29" s="374"/>
      <c r="E29" s="374"/>
      <c r="F29" s="838">
        <v>14265</v>
      </c>
      <c r="G29" s="402" t="s">
        <v>590</v>
      </c>
      <c r="H29" s="402"/>
      <c r="I29" s="402"/>
      <c r="J29" s="402"/>
      <c r="K29" s="402"/>
    </row>
    <row r="30" spans="2:11" s="148" customFormat="1">
      <c r="B30" s="374"/>
      <c r="C30" s="374"/>
      <c r="D30" s="374"/>
      <c r="E30" s="374"/>
      <c r="F30" s="838">
        <v>14266</v>
      </c>
      <c r="G30" s="402" t="s">
        <v>591</v>
      </c>
      <c r="H30" s="402"/>
      <c r="I30" s="402"/>
      <c r="J30" s="402"/>
      <c r="K30" s="402"/>
    </row>
    <row r="31" spans="2:11" s="148" customFormat="1">
      <c r="B31" s="374"/>
      <c r="C31" s="374"/>
      <c r="D31" s="374"/>
      <c r="E31" s="374"/>
      <c r="F31" s="838">
        <v>14268</v>
      </c>
      <c r="G31" s="402" t="s">
        <v>592</v>
      </c>
      <c r="H31" s="402"/>
      <c r="I31" s="402"/>
      <c r="J31" s="402"/>
      <c r="K31" s="402"/>
    </row>
    <row r="32" spans="2:11" s="148" customFormat="1">
      <c r="B32" s="374"/>
      <c r="C32" s="374"/>
      <c r="D32" s="374"/>
      <c r="E32" s="374"/>
      <c r="F32" s="838">
        <v>14267</v>
      </c>
      <c r="G32" s="402" t="s">
        <v>593</v>
      </c>
      <c r="H32" s="402"/>
      <c r="I32" s="402"/>
      <c r="J32" s="402"/>
      <c r="K32" s="402"/>
    </row>
    <row r="33" spans="2:11" s="148" customFormat="1">
      <c r="B33" s="374"/>
      <c r="C33" s="374"/>
      <c r="D33" s="374"/>
      <c r="E33" s="374"/>
      <c r="F33" s="838">
        <v>14270</v>
      </c>
      <c r="G33" s="402" t="s">
        <v>594</v>
      </c>
      <c r="H33" s="402"/>
      <c r="I33" s="402"/>
      <c r="J33" s="402"/>
      <c r="K33" s="402"/>
    </row>
    <row r="34" spans="2:11" s="148" customFormat="1">
      <c r="B34" s="374"/>
      <c r="C34" s="374"/>
      <c r="D34" s="374"/>
      <c r="E34" s="374"/>
      <c r="F34" s="838">
        <v>14764</v>
      </c>
      <c r="G34" s="402" t="s">
        <v>595</v>
      </c>
      <c r="H34" s="402"/>
      <c r="I34" s="402"/>
      <c r="J34" s="402"/>
      <c r="K34" s="402"/>
    </row>
    <row r="35" spans="2:11" s="148" customFormat="1">
      <c r="B35" s="374"/>
      <c r="C35" s="374"/>
      <c r="D35" s="374"/>
      <c r="E35" s="374"/>
      <c r="F35" s="838">
        <v>13683</v>
      </c>
      <c r="G35" s="402" t="s">
        <v>596</v>
      </c>
      <c r="H35" s="402"/>
      <c r="I35" s="402"/>
      <c r="J35" s="402"/>
      <c r="K35" s="402"/>
    </row>
    <row r="36" spans="2:11" s="148" customFormat="1">
      <c r="B36" s="374"/>
      <c r="C36" s="374"/>
      <c r="D36" s="374"/>
      <c r="E36" s="374"/>
      <c r="F36" s="838">
        <v>14324</v>
      </c>
      <c r="G36" s="402" t="s">
        <v>597</v>
      </c>
      <c r="H36" s="402"/>
      <c r="I36" s="402"/>
      <c r="J36" s="402"/>
      <c r="K36" s="402"/>
    </row>
    <row r="37" spans="2:11" s="148" customFormat="1">
      <c r="B37" s="374"/>
      <c r="C37" s="374"/>
      <c r="D37" s="374"/>
      <c r="E37" s="374"/>
      <c r="F37" s="838">
        <v>15588</v>
      </c>
      <c r="G37" s="402" t="s">
        <v>598</v>
      </c>
      <c r="H37" s="402"/>
      <c r="I37" s="402"/>
      <c r="J37" s="402"/>
      <c r="K37" s="402"/>
    </row>
    <row r="38" spans="2:11" s="148" customFormat="1">
      <c r="B38" s="374"/>
      <c r="C38" s="374"/>
      <c r="D38" s="374"/>
      <c r="E38" s="374"/>
      <c r="F38" s="838">
        <v>15203</v>
      </c>
      <c r="G38" s="402" t="s">
        <v>599</v>
      </c>
      <c r="H38" s="402"/>
      <c r="I38" s="402"/>
      <c r="J38" s="402"/>
      <c r="K38" s="402"/>
    </row>
    <row r="39" spans="2:11" s="148" customFormat="1">
      <c r="B39" s="374"/>
      <c r="C39" s="374"/>
      <c r="D39" s="374"/>
      <c r="E39" s="374"/>
      <c r="F39" s="838">
        <v>15204</v>
      </c>
      <c r="G39" s="402" t="s">
        <v>600</v>
      </c>
      <c r="H39" s="402"/>
      <c r="I39" s="402"/>
      <c r="J39" s="402"/>
      <c r="K39" s="402"/>
    </row>
    <row r="40" spans="2:11" s="148" customFormat="1">
      <c r="B40" s="422"/>
      <c r="C40" s="371"/>
      <c r="D40" s="371"/>
      <c r="E40" s="371"/>
      <c r="F40" s="842">
        <v>15202</v>
      </c>
      <c r="G40" s="495" t="s">
        <v>601</v>
      </c>
      <c r="H40" s="402"/>
      <c r="I40" s="402"/>
      <c r="J40" s="402"/>
      <c r="K40" s="402"/>
    </row>
    <row r="41" spans="2:11" s="148" customFormat="1">
      <c r="B41" s="422"/>
      <c r="C41" s="371"/>
      <c r="D41" s="371"/>
      <c r="E41" s="371"/>
      <c r="F41" s="842">
        <v>15201</v>
      </c>
      <c r="G41" s="495" t="s">
        <v>602</v>
      </c>
      <c r="H41" s="402"/>
      <c r="I41" s="402"/>
      <c r="J41" s="402"/>
      <c r="K41" s="402"/>
    </row>
    <row r="42" spans="2:11" s="148" customFormat="1">
      <c r="B42" s="422"/>
      <c r="C42" s="371"/>
      <c r="D42" s="371"/>
      <c r="E42" s="371"/>
      <c r="F42" s="842">
        <v>13684</v>
      </c>
      <c r="G42" s="495" t="s">
        <v>603</v>
      </c>
      <c r="H42" s="402"/>
      <c r="I42" s="402"/>
      <c r="J42" s="402"/>
      <c r="K42" s="402"/>
    </row>
    <row r="43" spans="2:11" s="148" customFormat="1">
      <c r="B43" s="422"/>
      <c r="C43" s="371"/>
      <c r="D43" s="371"/>
      <c r="E43" s="371"/>
      <c r="F43" s="842">
        <v>14108</v>
      </c>
      <c r="G43" s="495" t="s">
        <v>604</v>
      </c>
      <c r="H43" s="402"/>
      <c r="I43" s="402"/>
      <c r="J43" s="402"/>
      <c r="K43" s="402"/>
    </row>
    <row r="44" spans="2:11" s="148" customFormat="1">
      <c r="B44" s="422"/>
      <c r="C44" s="371"/>
      <c r="D44" s="371"/>
      <c r="E44" s="371"/>
      <c r="F44" s="842">
        <v>2995</v>
      </c>
      <c r="G44" s="495" t="s">
        <v>605</v>
      </c>
      <c r="H44" s="402"/>
      <c r="I44" s="402"/>
      <c r="J44" s="402"/>
      <c r="K44" s="402"/>
    </row>
    <row r="45" spans="2:11" s="148" customFormat="1">
      <c r="B45" s="422"/>
      <c r="C45" s="371"/>
      <c r="D45" s="371"/>
      <c r="E45" s="371"/>
      <c r="F45" s="842">
        <v>15813</v>
      </c>
      <c r="G45" s="495" t="s">
        <v>606</v>
      </c>
      <c r="H45" s="402"/>
      <c r="I45" s="402"/>
      <c r="J45" s="402"/>
      <c r="K45" s="402"/>
    </row>
    <row r="46" spans="2:11" s="148" customFormat="1">
      <c r="B46" s="422"/>
      <c r="C46" s="371"/>
      <c r="D46" s="371"/>
      <c r="E46" s="371"/>
      <c r="F46" s="842">
        <v>15205</v>
      </c>
      <c r="G46" s="495" t="s">
        <v>607</v>
      </c>
      <c r="H46" s="402"/>
      <c r="I46" s="402"/>
      <c r="J46" s="402"/>
      <c r="K46" s="402"/>
    </row>
    <row r="47" spans="2:11" s="148" customFormat="1">
      <c r="B47" s="422"/>
      <c r="C47" s="371"/>
      <c r="D47" s="371"/>
      <c r="E47" s="371"/>
      <c r="F47" s="842">
        <v>14104</v>
      </c>
      <c r="G47" s="495" t="s">
        <v>608</v>
      </c>
      <c r="H47" s="402"/>
      <c r="I47" s="402"/>
      <c r="J47" s="402"/>
      <c r="K47" s="402"/>
    </row>
    <row r="48" spans="2:11" s="148" customFormat="1">
      <c r="B48" s="422"/>
      <c r="C48" s="371"/>
      <c r="D48" s="371"/>
      <c r="E48" s="371"/>
      <c r="F48" s="842">
        <v>14121</v>
      </c>
      <c r="G48" s="495" t="s">
        <v>609</v>
      </c>
      <c r="H48" s="402"/>
      <c r="I48" s="402"/>
      <c r="J48" s="402"/>
      <c r="K48" s="402"/>
    </row>
    <row r="49" spans="2:11" s="148" customFormat="1">
      <c r="B49" s="422"/>
      <c r="C49" s="371"/>
      <c r="D49" s="371"/>
      <c r="E49" s="371"/>
      <c r="F49" s="842">
        <v>7409</v>
      </c>
      <c r="G49" s="495" t="s">
        <v>610</v>
      </c>
      <c r="H49" s="402"/>
      <c r="I49" s="402"/>
      <c r="J49" s="402"/>
      <c r="K49" s="402"/>
    </row>
    <row r="50" spans="2:11" s="148" customFormat="1">
      <c r="B50" s="422"/>
      <c r="C50" s="371"/>
      <c r="D50" s="371"/>
      <c r="E50" s="371"/>
      <c r="F50" s="842">
        <v>18202</v>
      </c>
      <c r="G50" s="495" t="s">
        <v>2215</v>
      </c>
      <c r="H50" s="402"/>
      <c r="I50" s="402"/>
      <c r="J50" s="402"/>
      <c r="K50" s="402"/>
    </row>
    <row r="51" spans="2:11" s="148" customFormat="1">
      <c r="B51" s="422"/>
      <c r="C51" s="371"/>
      <c r="D51" s="371"/>
      <c r="E51" s="371"/>
      <c r="F51" s="842">
        <v>11619</v>
      </c>
      <c r="G51" s="495" t="s">
        <v>611</v>
      </c>
      <c r="H51" s="402"/>
      <c r="I51" s="402"/>
      <c r="J51" s="402"/>
      <c r="K51" s="402"/>
    </row>
    <row r="52" spans="2:11" s="148" customFormat="1">
      <c r="B52" s="422"/>
      <c r="C52" s="371"/>
      <c r="D52" s="371"/>
      <c r="E52" s="371"/>
      <c r="F52" s="842">
        <v>15815</v>
      </c>
      <c r="G52" s="495" t="s">
        <v>612</v>
      </c>
      <c r="H52" s="402"/>
      <c r="I52" s="402"/>
      <c r="J52" s="402"/>
      <c r="K52" s="402"/>
    </row>
    <row r="53" spans="2:11" s="148" customFormat="1">
      <c r="B53" s="422"/>
      <c r="C53" s="371"/>
      <c r="D53" s="371"/>
      <c r="E53" s="371"/>
      <c r="F53" s="842">
        <v>16226</v>
      </c>
      <c r="G53" s="495" t="s">
        <v>613</v>
      </c>
      <c r="H53" s="402"/>
      <c r="I53" s="402"/>
      <c r="J53" s="402"/>
      <c r="K53" s="402"/>
    </row>
    <row r="54" spans="2:11" s="148" customFormat="1">
      <c r="B54" s="422"/>
      <c r="C54" s="371"/>
      <c r="D54" s="371"/>
      <c r="E54" s="371"/>
      <c r="F54" s="842">
        <v>15816</v>
      </c>
      <c r="G54" s="495" t="s">
        <v>614</v>
      </c>
      <c r="H54" s="402"/>
      <c r="I54" s="402"/>
      <c r="J54" s="402"/>
      <c r="K54" s="402"/>
    </row>
    <row r="55" spans="2:11" s="148" customFormat="1" ht="22.5" customHeight="1">
      <c r="B55" s="422"/>
      <c r="C55" s="371"/>
      <c r="D55" s="371"/>
      <c r="E55" s="371"/>
      <c r="F55" s="842">
        <v>15814</v>
      </c>
      <c r="G55" s="495" t="s">
        <v>615</v>
      </c>
      <c r="H55" s="402"/>
      <c r="I55" s="402"/>
      <c r="J55" s="402"/>
      <c r="K55" s="402"/>
    </row>
    <row r="56" spans="2:11" s="148" customFormat="1">
      <c r="B56" s="422"/>
      <c r="C56" s="371"/>
      <c r="D56" s="371"/>
      <c r="E56" s="371"/>
      <c r="F56" s="842">
        <v>6127</v>
      </c>
      <c r="G56" s="495" t="s">
        <v>616</v>
      </c>
      <c r="H56" s="402"/>
      <c r="I56" s="402"/>
      <c r="J56" s="402"/>
      <c r="K56" s="402"/>
    </row>
    <row r="57" spans="2:11" s="148" customFormat="1">
      <c r="B57" s="422"/>
      <c r="C57" s="371"/>
      <c r="D57" s="371"/>
      <c r="E57" s="371"/>
      <c r="F57" s="842">
        <v>8107</v>
      </c>
      <c r="G57" s="495" t="s">
        <v>617</v>
      </c>
      <c r="H57" s="402"/>
      <c r="I57" s="402"/>
      <c r="J57" s="402"/>
      <c r="K57" s="402"/>
    </row>
    <row r="58" spans="2:11" s="148" customFormat="1">
      <c r="B58" s="422"/>
      <c r="C58" s="371"/>
      <c r="D58" s="371"/>
      <c r="E58" s="371"/>
      <c r="F58" s="842">
        <v>703</v>
      </c>
      <c r="G58" s="495" t="s">
        <v>618</v>
      </c>
      <c r="H58" s="402"/>
      <c r="I58" s="402"/>
      <c r="J58" s="402"/>
      <c r="K58" s="402"/>
    </row>
    <row r="59" spans="2:11" s="148" customFormat="1">
      <c r="B59" s="422"/>
      <c r="C59" s="371"/>
      <c r="D59" s="371"/>
      <c r="E59" s="371"/>
      <c r="F59" s="835"/>
      <c r="G59"/>
    </row>
    <row r="60" spans="2:11" s="148" customFormat="1">
      <c r="B60" s="422"/>
      <c r="C60" s="371"/>
      <c r="D60" s="371"/>
      <c r="E60" s="371"/>
      <c r="F60" s="835"/>
      <c r="G60"/>
    </row>
    <row r="61" spans="2:11" s="148" customFormat="1">
      <c r="B61" s="422"/>
      <c r="C61" s="371"/>
      <c r="D61" s="371"/>
      <c r="E61" s="371"/>
      <c r="F61" s="835"/>
      <c r="G61"/>
    </row>
    <row r="62" spans="2:11" s="148" customFormat="1">
      <c r="B62" s="422"/>
      <c r="C62" s="371"/>
      <c r="D62" s="371"/>
      <c r="E62" s="371"/>
      <c r="F62" s="835"/>
      <c r="G62"/>
    </row>
    <row r="63" spans="2:11" s="148" customFormat="1">
      <c r="B63" s="422"/>
      <c r="C63" s="371"/>
      <c r="D63" s="371"/>
      <c r="E63" s="371"/>
      <c r="F63" s="835"/>
      <c r="G63"/>
    </row>
    <row r="64" spans="2:11" s="148" customFormat="1">
      <c r="B64" s="422"/>
      <c r="C64" s="371"/>
      <c r="D64" s="371"/>
      <c r="E64" s="371"/>
      <c r="F64" s="835"/>
      <c r="G64"/>
    </row>
    <row r="65" spans="2:7" s="148" customFormat="1">
      <c r="B65" s="422"/>
      <c r="C65" s="371"/>
      <c r="D65" s="371"/>
      <c r="E65" s="371"/>
      <c r="F65" s="835"/>
      <c r="G65"/>
    </row>
    <row r="66" spans="2:7" s="148" customFormat="1">
      <c r="B66" s="422"/>
      <c r="C66" s="371"/>
      <c r="D66" s="371"/>
      <c r="E66" s="371"/>
      <c r="F66" s="835"/>
      <c r="G66"/>
    </row>
    <row r="67" spans="2:7" s="148" customFormat="1">
      <c r="B67" s="422"/>
      <c r="C67" s="371"/>
      <c r="D67" s="371"/>
      <c r="E67" s="371"/>
      <c r="F67" s="835"/>
      <c r="G67"/>
    </row>
    <row r="68" spans="2:7" s="148" customFormat="1">
      <c r="B68" s="422"/>
      <c r="C68" s="371"/>
      <c r="D68" s="371"/>
      <c r="E68" s="371"/>
      <c r="F68" s="835"/>
      <c r="G68"/>
    </row>
    <row r="69" spans="2:7" s="148" customFormat="1">
      <c r="B69" s="422"/>
      <c r="C69" s="371"/>
      <c r="D69" s="371"/>
      <c r="E69" s="371"/>
      <c r="F69" s="835"/>
      <c r="G69"/>
    </row>
    <row r="70" spans="2:7" s="148" customFormat="1">
      <c r="B70" s="422"/>
      <c r="C70" s="371"/>
      <c r="D70" s="371"/>
      <c r="E70" s="371"/>
      <c r="F70" s="835"/>
      <c r="G70"/>
    </row>
    <row r="71" spans="2:7" s="148" customFormat="1">
      <c r="B71" s="422"/>
      <c r="C71" s="371"/>
      <c r="D71" s="371"/>
      <c r="E71" s="371"/>
      <c r="F71" s="835"/>
      <c r="G71"/>
    </row>
    <row r="72" spans="2:7" s="148" customFormat="1">
      <c r="B72" s="422"/>
      <c r="C72" s="371"/>
      <c r="D72" s="371"/>
      <c r="E72" s="371"/>
      <c r="F72" s="835"/>
      <c r="G72"/>
    </row>
    <row r="73" spans="2:7" s="148" customFormat="1">
      <c r="B73" s="422"/>
      <c r="C73" s="371"/>
      <c r="D73" s="371"/>
      <c r="E73" s="371"/>
      <c r="F73" s="835"/>
      <c r="G73"/>
    </row>
    <row r="74" spans="2:7" s="148" customFormat="1">
      <c r="B74" s="422"/>
      <c r="C74" s="371"/>
      <c r="D74" s="371"/>
      <c r="E74" s="371"/>
      <c r="F74" s="835"/>
      <c r="G74"/>
    </row>
    <row r="75" spans="2:7" s="148" customFormat="1">
      <c r="B75" s="422"/>
      <c r="C75" s="371"/>
      <c r="D75" s="371"/>
      <c r="E75" s="371"/>
      <c r="F75" s="835"/>
      <c r="G75"/>
    </row>
    <row r="76" spans="2:7" s="148" customFormat="1">
      <c r="B76" s="422"/>
      <c r="C76" s="371"/>
      <c r="D76" s="371"/>
      <c r="E76" s="371"/>
      <c r="F76" s="835"/>
      <c r="G76"/>
    </row>
    <row r="77" spans="2:7" s="148" customFormat="1">
      <c r="B77" s="422"/>
      <c r="C77" s="371"/>
      <c r="D77" s="371"/>
      <c r="E77" s="371"/>
      <c r="F77" s="835"/>
      <c r="G77"/>
    </row>
    <row r="78" spans="2:7" s="148" customFormat="1">
      <c r="B78" s="422"/>
      <c r="C78" s="371"/>
      <c r="D78" s="371"/>
      <c r="E78" s="371"/>
      <c r="F78" s="835"/>
      <c r="G78"/>
    </row>
    <row r="79" spans="2:7" s="148" customFormat="1">
      <c r="B79" s="422"/>
      <c r="C79" s="371"/>
      <c r="D79" s="371"/>
      <c r="E79" s="371"/>
      <c r="F79" s="835"/>
      <c r="G79"/>
    </row>
    <row r="80" spans="2:7" s="148" customFormat="1">
      <c r="B80" s="422"/>
      <c r="C80" s="371"/>
      <c r="D80" s="371"/>
      <c r="E80" s="371"/>
      <c r="F80" s="835"/>
      <c r="G80"/>
    </row>
    <row r="81" spans="2:7" s="148" customFormat="1">
      <c r="B81" s="422"/>
      <c r="C81" s="371"/>
      <c r="D81" s="371"/>
      <c r="E81" s="371"/>
      <c r="F81" s="835"/>
      <c r="G81"/>
    </row>
    <row r="82" spans="2:7" s="148" customFormat="1">
      <c r="B82" s="422"/>
      <c r="C82" s="371"/>
      <c r="D82" s="371"/>
      <c r="E82" s="371"/>
      <c r="F82" s="835"/>
      <c r="G82"/>
    </row>
    <row r="83" spans="2:7" s="148" customFormat="1">
      <c r="B83" s="422"/>
      <c r="C83" s="371"/>
      <c r="D83" s="371"/>
      <c r="E83" s="371"/>
      <c r="F83" s="835"/>
      <c r="G83"/>
    </row>
    <row r="84" spans="2:7" s="148" customFormat="1">
      <c r="B84" s="422"/>
      <c r="C84" s="371"/>
      <c r="D84" s="371"/>
      <c r="E84" s="371"/>
      <c r="F84" s="835"/>
      <c r="G84"/>
    </row>
    <row r="85" spans="2:7" s="148" customFormat="1">
      <c r="B85" s="422"/>
      <c r="C85" s="371"/>
      <c r="D85" s="371"/>
      <c r="E85" s="371"/>
      <c r="F85" s="835"/>
      <c r="G85"/>
    </row>
    <row r="86" spans="2:7" s="148" customFormat="1">
      <c r="B86" s="422"/>
      <c r="C86" s="371"/>
      <c r="D86" s="371"/>
      <c r="E86" s="371"/>
      <c r="F86" s="835"/>
      <c r="G86"/>
    </row>
    <row r="87" spans="2:7" s="148" customFormat="1">
      <c r="B87" s="422"/>
      <c r="C87" s="371"/>
      <c r="D87" s="371"/>
      <c r="E87" s="371"/>
      <c r="F87" s="835"/>
      <c r="G87"/>
    </row>
    <row r="88" spans="2:7" s="148" customFormat="1">
      <c r="B88" s="422"/>
      <c r="C88" s="371"/>
      <c r="D88" s="371"/>
      <c r="E88" s="371"/>
      <c r="F88" s="835"/>
      <c r="G88"/>
    </row>
    <row r="89" spans="2:7" s="148" customFormat="1">
      <c r="B89" s="422"/>
      <c r="C89" s="371"/>
      <c r="D89" s="371"/>
      <c r="E89" s="371"/>
      <c r="F89" s="835"/>
      <c r="G89"/>
    </row>
    <row r="90" spans="2:7" s="148" customFormat="1">
      <c r="B90" s="422"/>
      <c r="C90" s="371"/>
      <c r="D90" s="371"/>
      <c r="E90" s="371"/>
      <c r="F90" s="835"/>
      <c r="G90"/>
    </row>
    <row r="91" spans="2:7" s="148" customFormat="1">
      <c r="B91" s="422"/>
      <c r="C91" s="371"/>
      <c r="D91" s="371"/>
      <c r="E91" s="371"/>
      <c r="F91" s="835"/>
      <c r="G91"/>
    </row>
    <row r="92" spans="2:7" s="148" customFormat="1">
      <c r="B92" s="422"/>
      <c r="C92" s="371"/>
      <c r="D92" s="371"/>
      <c r="E92" s="371"/>
      <c r="F92" s="835"/>
      <c r="G92"/>
    </row>
    <row r="93" spans="2:7" s="148" customFormat="1">
      <c r="B93" s="422"/>
      <c r="C93" s="371"/>
      <c r="D93" s="371"/>
      <c r="E93" s="371"/>
      <c r="F93" s="835"/>
      <c r="G93"/>
    </row>
    <row r="94" spans="2:7" s="148" customFormat="1">
      <c r="B94" s="422"/>
      <c r="C94" s="371"/>
      <c r="D94" s="371"/>
      <c r="E94" s="371"/>
      <c r="F94" s="835"/>
      <c r="G94"/>
    </row>
    <row r="95" spans="2:7" s="148" customFormat="1">
      <c r="B95" s="422"/>
      <c r="C95" s="371"/>
      <c r="D95" s="371"/>
      <c r="E95" s="371"/>
      <c r="F95" s="835"/>
      <c r="G95"/>
    </row>
    <row r="96" spans="2:7" s="148" customFormat="1">
      <c r="B96" s="422"/>
      <c r="C96" s="371"/>
      <c r="D96" s="371"/>
      <c r="E96" s="371"/>
      <c r="F96" s="835"/>
      <c r="G96"/>
    </row>
    <row r="97" spans="2:7" s="148" customFormat="1">
      <c r="B97" s="422"/>
      <c r="C97" s="371"/>
      <c r="D97" s="371"/>
      <c r="E97" s="371"/>
      <c r="F97" s="835"/>
      <c r="G97"/>
    </row>
    <row r="98" spans="2:7" s="148" customFormat="1">
      <c r="B98" s="422"/>
      <c r="C98" s="371"/>
      <c r="D98" s="371"/>
      <c r="E98" s="371"/>
      <c r="F98" s="835"/>
      <c r="G98"/>
    </row>
    <row r="99" spans="2:7" s="148" customFormat="1">
      <c r="B99" s="422"/>
      <c r="C99" s="371"/>
      <c r="D99" s="371"/>
      <c r="E99" s="371"/>
      <c r="F99" s="835"/>
      <c r="G99"/>
    </row>
    <row r="100" spans="2:7" s="148" customFormat="1">
      <c r="B100" s="422"/>
      <c r="C100" s="371"/>
      <c r="D100" s="371"/>
      <c r="E100" s="371"/>
      <c r="F100" s="835"/>
      <c r="G100"/>
    </row>
    <row r="101" spans="2:7" s="148" customFormat="1">
      <c r="B101" s="422"/>
      <c r="C101" s="371"/>
      <c r="D101" s="371"/>
      <c r="E101" s="371"/>
      <c r="F101" s="835"/>
      <c r="G101"/>
    </row>
    <row r="102" spans="2:7" s="148" customFormat="1">
      <c r="B102" s="422"/>
      <c r="C102" s="371"/>
      <c r="D102" s="371"/>
      <c r="E102" s="371"/>
      <c r="F102" s="835"/>
      <c r="G102"/>
    </row>
    <row r="103" spans="2:7" s="148" customFormat="1">
      <c r="B103" s="422"/>
      <c r="C103" s="371"/>
      <c r="D103" s="371"/>
      <c r="E103" s="371"/>
      <c r="F103" s="835"/>
      <c r="G103"/>
    </row>
    <row r="104" spans="2:7" s="148" customFormat="1">
      <c r="B104" s="422"/>
      <c r="C104" s="371"/>
      <c r="D104" s="371"/>
      <c r="E104" s="371"/>
      <c r="F104" s="835"/>
      <c r="G104"/>
    </row>
    <row r="105" spans="2:7" s="148" customFormat="1">
      <c r="B105" s="422"/>
      <c r="C105" s="371"/>
      <c r="D105" s="371"/>
      <c r="E105" s="371"/>
      <c r="F105" s="835"/>
      <c r="G105"/>
    </row>
    <row r="106" spans="2:7" s="148" customFormat="1">
      <c r="B106" s="422"/>
      <c r="C106" s="371"/>
      <c r="D106" s="371"/>
      <c r="E106" s="371"/>
      <c r="F106" s="835"/>
      <c r="G106"/>
    </row>
    <row r="107" spans="2:7" s="148" customFormat="1">
      <c r="B107" s="422"/>
      <c r="C107" s="371"/>
      <c r="D107" s="371"/>
      <c r="E107" s="371"/>
      <c r="F107" s="835"/>
      <c r="G107"/>
    </row>
    <row r="108" spans="2:7" s="148" customFormat="1">
      <c r="B108" s="422"/>
      <c r="C108" s="371"/>
      <c r="D108" s="371"/>
      <c r="E108" s="371"/>
      <c r="F108" s="835"/>
      <c r="G108"/>
    </row>
    <row r="109" spans="2:7" s="148" customFormat="1">
      <c r="B109" s="422"/>
      <c r="C109" s="371"/>
      <c r="D109" s="371"/>
      <c r="E109" s="371"/>
      <c r="F109" s="835"/>
      <c r="G109"/>
    </row>
    <row r="110" spans="2:7" s="148" customFormat="1">
      <c r="B110" s="422"/>
      <c r="C110" s="371"/>
      <c r="D110" s="371"/>
      <c r="E110" s="371"/>
      <c r="F110" s="835"/>
      <c r="G110"/>
    </row>
    <row r="111" spans="2:7" s="148" customFormat="1">
      <c r="B111" s="422"/>
      <c r="C111" s="371"/>
      <c r="D111" s="371"/>
      <c r="E111" s="371"/>
      <c r="F111" s="835"/>
      <c r="G111"/>
    </row>
    <row r="112" spans="2:7" s="148" customFormat="1">
      <c r="B112" s="422"/>
      <c r="C112" s="371"/>
      <c r="D112" s="371"/>
      <c r="E112" s="371"/>
      <c r="F112" s="835"/>
      <c r="G112"/>
    </row>
    <row r="113" spans="2:7" s="148" customFormat="1">
      <c r="B113" s="422"/>
      <c r="C113" s="371"/>
      <c r="D113" s="371"/>
      <c r="E113" s="371"/>
      <c r="F113" s="835"/>
      <c r="G113"/>
    </row>
    <row r="114" spans="2:7" s="148" customFormat="1">
      <c r="B114" s="422"/>
      <c r="C114" s="371"/>
      <c r="D114" s="371"/>
      <c r="E114" s="371"/>
      <c r="F114" s="835"/>
      <c r="G114"/>
    </row>
    <row r="115" spans="2:7" s="148" customFormat="1">
      <c r="B115" s="422"/>
      <c r="C115" s="371"/>
      <c r="D115" s="371"/>
      <c r="E115" s="371"/>
      <c r="F115" s="835"/>
      <c r="G115"/>
    </row>
    <row r="116" spans="2:7" s="148" customFormat="1">
      <c r="B116" s="422"/>
      <c r="C116" s="371"/>
      <c r="D116" s="371"/>
      <c r="E116" s="371"/>
      <c r="F116" s="835"/>
      <c r="G116"/>
    </row>
    <row r="117" spans="2:7" s="148" customFormat="1">
      <c r="B117" s="422"/>
      <c r="C117" s="371"/>
      <c r="D117" s="371"/>
      <c r="E117" s="371"/>
      <c r="F117" s="835"/>
      <c r="G117"/>
    </row>
    <row r="118" spans="2:7" s="148" customFormat="1">
      <c r="B118" s="422"/>
      <c r="C118" s="371"/>
      <c r="D118" s="371"/>
      <c r="E118" s="371"/>
      <c r="F118" s="835"/>
      <c r="G118"/>
    </row>
    <row r="119" spans="2:7" s="148" customFormat="1">
      <c r="B119" s="422"/>
      <c r="C119" s="371"/>
      <c r="D119" s="371"/>
      <c r="E119" s="371"/>
      <c r="F119" s="835"/>
      <c r="G119"/>
    </row>
    <row r="120" spans="2:7" s="148" customFormat="1">
      <c r="B120" s="422"/>
      <c r="C120" s="371"/>
      <c r="D120" s="371"/>
      <c r="E120" s="371"/>
      <c r="F120" s="835"/>
      <c r="G120"/>
    </row>
    <row r="121" spans="2:7" s="148" customFormat="1">
      <c r="B121" s="422"/>
      <c r="C121" s="371"/>
      <c r="D121" s="371"/>
      <c r="E121" s="371"/>
      <c r="F121" s="835"/>
      <c r="G121"/>
    </row>
    <row r="122" spans="2:7" s="148" customFormat="1">
      <c r="B122" s="422"/>
      <c r="C122" s="371"/>
      <c r="D122" s="371"/>
      <c r="E122" s="371"/>
      <c r="F122" s="835"/>
      <c r="G122"/>
    </row>
    <row r="123" spans="2:7" s="148" customFormat="1">
      <c r="B123" s="422"/>
      <c r="C123" s="371"/>
      <c r="D123" s="371"/>
      <c r="E123" s="371"/>
      <c r="F123" s="835"/>
      <c r="G123"/>
    </row>
    <row r="124" spans="2:7" s="148" customFormat="1">
      <c r="B124" s="422"/>
      <c r="C124" s="371"/>
      <c r="D124" s="371"/>
      <c r="E124" s="371"/>
      <c r="F124" s="835"/>
      <c r="G124"/>
    </row>
    <row r="125" spans="2:7" s="148" customFormat="1">
      <c r="B125" s="422"/>
      <c r="C125" s="371"/>
      <c r="D125" s="371"/>
      <c r="E125" s="371"/>
      <c r="F125" s="835"/>
      <c r="G125"/>
    </row>
    <row r="126" spans="2:7" s="148" customFormat="1">
      <c r="B126" s="422"/>
      <c r="C126" s="371"/>
      <c r="D126" s="371"/>
      <c r="E126" s="371"/>
      <c r="F126" s="835"/>
      <c r="G126"/>
    </row>
    <row r="127" spans="2:7" s="148" customFormat="1">
      <c r="B127" s="422"/>
      <c r="C127" s="371"/>
      <c r="D127" s="371"/>
      <c r="E127" s="371"/>
      <c r="F127" s="835"/>
      <c r="G127"/>
    </row>
    <row r="128" spans="2:7" s="148" customFormat="1">
      <c r="B128" s="422"/>
      <c r="C128" s="371"/>
      <c r="D128" s="371"/>
      <c r="E128" s="371"/>
      <c r="F128" s="835"/>
      <c r="G128"/>
    </row>
    <row r="129" spans="2:7" s="148" customFormat="1">
      <c r="B129" s="422"/>
      <c r="C129" s="371"/>
      <c r="D129" s="371"/>
      <c r="E129" s="371"/>
      <c r="F129" s="835"/>
      <c r="G129"/>
    </row>
    <row r="130" spans="2:7" s="148" customFormat="1">
      <c r="B130" s="422"/>
      <c r="C130" s="371"/>
      <c r="D130" s="371"/>
      <c r="E130" s="371"/>
      <c r="F130" s="835"/>
      <c r="G130"/>
    </row>
    <row r="131" spans="2:7" s="148" customFormat="1">
      <c r="B131" s="422"/>
      <c r="C131" s="371"/>
      <c r="D131" s="371"/>
      <c r="E131" s="371"/>
      <c r="F131" s="835"/>
      <c r="G131"/>
    </row>
    <row r="132" spans="2:7" s="148" customFormat="1">
      <c r="B132" s="422"/>
      <c r="C132" s="371"/>
      <c r="D132" s="371"/>
      <c r="E132" s="371"/>
      <c r="F132" s="835"/>
      <c r="G132"/>
    </row>
    <row r="133" spans="2:7" s="148" customFormat="1">
      <c r="B133" s="422"/>
      <c r="C133" s="371"/>
      <c r="D133" s="371"/>
      <c r="E133" s="371"/>
      <c r="F133" s="835"/>
      <c r="G133"/>
    </row>
    <row r="134" spans="2:7" s="148" customFormat="1">
      <c r="B134" s="422"/>
      <c r="C134" s="371"/>
      <c r="D134" s="371"/>
      <c r="E134" s="371"/>
      <c r="F134" s="835"/>
      <c r="G134"/>
    </row>
    <row r="135" spans="2:7" s="148" customFormat="1">
      <c r="B135" s="422"/>
      <c r="C135" s="371"/>
      <c r="D135" s="371"/>
      <c r="E135" s="371"/>
      <c r="F135" s="835"/>
      <c r="G135"/>
    </row>
    <row r="136" spans="2:7" s="148" customFormat="1">
      <c r="B136" s="422"/>
      <c r="C136" s="371"/>
      <c r="D136" s="371"/>
      <c r="E136" s="371"/>
      <c r="F136" s="835"/>
      <c r="G136"/>
    </row>
    <row r="137" spans="2:7" s="148" customFormat="1">
      <c r="B137" s="422"/>
      <c r="C137" s="371"/>
      <c r="D137" s="371"/>
      <c r="E137" s="371"/>
      <c r="F137" s="835"/>
      <c r="G137"/>
    </row>
    <row r="138" spans="2:7" s="148" customFormat="1">
      <c r="B138" s="422"/>
      <c r="C138" s="371"/>
      <c r="D138" s="371"/>
      <c r="E138" s="371"/>
      <c r="F138" s="835"/>
      <c r="G138"/>
    </row>
    <row r="139" spans="2:7" s="148" customFormat="1">
      <c r="B139" s="422"/>
      <c r="C139" s="371"/>
      <c r="D139" s="371"/>
      <c r="E139" s="371"/>
      <c r="F139" s="835"/>
      <c r="G139"/>
    </row>
    <row r="140" spans="2:7" s="148" customFormat="1">
      <c r="B140" s="422"/>
      <c r="C140" s="371"/>
      <c r="D140" s="371"/>
      <c r="E140" s="371"/>
      <c r="F140" s="835"/>
      <c r="G140"/>
    </row>
    <row r="141" spans="2:7" s="148" customFormat="1">
      <c r="B141" s="422"/>
      <c r="C141" s="371"/>
      <c r="D141" s="371"/>
      <c r="E141" s="371"/>
      <c r="F141" s="835"/>
      <c r="G141"/>
    </row>
    <row r="142" spans="2:7" s="148" customFormat="1">
      <c r="B142" s="422"/>
      <c r="C142" s="371"/>
      <c r="D142" s="371"/>
      <c r="E142" s="371"/>
      <c r="F142" s="835"/>
      <c r="G142"/>
    </row>
    <row r="143" spans="2:7" s="148" customFormat="1">
      <c r="B143" s="422"/>
      <c r="C143" s="371"/>
      <c r="D143" s="371"/>
      <c r="E143" s="371"/>
      <c r="F143" s="835"/>
      <c r="G143"/>
    </row>
    <row r="144" spans="2:7" s="148" customFormat="1">
      <c r="B144" s="422"/>
      <c r="C144" s="371"/>
      <c r="D144" s="371"/>
      <c r="E144" s="371"/>
      <c r="F144" s="835"/>
      <c r="G144"/>
    </row>
    <row r="145" spans="2:7" s="148" customFormat="1">
      <c r="B145" s="422"/>
      <c r="C145" s="371"/>
      <c r="D145" s="371"/>
      <c r="E145" s="371"/>
      <c r="F145" s="835"/>
      <c r="G145"/>
    </row>
    <row r="146" spans="2:7" s="148" customFormat="1">
      <c r="B146" s="422"/>
      <c r="C146" s="371"/>
      <c r="D146" s="371"/>
      <c r="E146" s="371"/>
      <c r="F146" s="835"/>
      <c r="G146"/>
    </row>
    <row r="147" spans="2:7" s="148" customFormat="1">
      <c r="B147" s="422"/>
      <c r="C147" s="371"/>
      <c r="D147" s="371"/>
      <c r="E147" s="371"/>
      <c r="F147" s="835"/>
      <c r="G147"/>
    </row>
    <row r="148" spans="2:7" s="148" customFormat="1">
      <c r="B148" s="422"/>
      <c r="C148" s="371"/>
      <c r="D148" s="371"/>
      <c r="E148" s="371"/>
      <c r="F148" s="835"/>
      <c r="G148"/>
    </row>
    <row r="149" spans="2:7" s="148" customFormat="1">
      <c r="B149" s="422"/>
      <c r="C149" s="371"/>
      <c r="D149" s="371"/>
      <c r="E149" s="371"/>
      <c r="F149" s="835"/>
      <c r="G149"/>
    </row>
    <row r="150" spans="2:7" s="148" customFormat="1">
      <c r="B150" s="422"/>
      <c r="C150" s="371"/>
      <c r="D150" s="371"/>
      <c r="E150" s="371"/>
      <c r="F150" s="835"/>
      <c r="G150"/>
    </row>
    <row r="151" spans="2:7" s="148" customFormat="1">
      <c r="B151" s="422"/>
      <c r="C151" s="371"/>
      <c r="D151" s="371"/>
      <c r="E151" s="371"/>
      <c r="F151" s="835"/>
      <c r="G151"/>
    </row>
    <row r="152" spans="2:7" s="148" customFormat="1">
      <c r="B152" s="422"/>
      <c r="C152" s="371"/>
      <c r="D152" s="371"/>
      <c r="E152" s="371"/>
      <c r="F152" s="835"/>
      <c r="G152"/>
    </row>
    <row r="153" spans="2:7" s="148" customFormat="1">
      <c r="B153" s="422"/>
      <c r="C153" s="371"/>
      <c r="D153" s="371"/>
      <c r="E153" s="371"/>
      <c r="F153" s="835"/>
      <c r="G153"/>
    </row>
    <row r="154" spans="2:7" s="148" customFormat="1">
      <c r="B154" s="422"/>
      <c r="C154" s="371"/>
      <c r="D154" s="371"/>
      <c r="E154" s="371"/>
      <c r="F154" s="835"/>
      <c r="G154"/>
    </row>
    <row r="155" spans="2:7" s="148" customFormat="1">
      <c r="B155" s="422"/>
      <c r="C155" s="371"/>
      <c r="D155" s="371"/>
      <c r="E155" s="371"/>
      <c r="F155" s="835"/>
      <c r="G155"/>
    </row>
    <row r="156" spans="2:7" s="148" customFormat="1">
      <c r="B156" s="422"/>
      <c r="C156" s="371"/>
      <c r="D156" s="371"/>
      <c r="E156" s="371"/>
      <c r="F156" s="835"/>
      <c r="G156"/>
    </row>
    <row r="157" spans="2:7" s="148" customFormat="1">
      <c r="B157" s="422"/>
      <c r="C157" s="371"/>
      <c r="D157" s="371"/>
      <c r="E157" s="371"/>
      <c r="F157" s="835"/>
      <c r="G157"/>
    </row>
  </sheetData>
  <pageMargins left="0.7" right="0.7" top="0.75" bottom="0.75" header="0.3" footer="0.3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5:H10"/>
  <sheetViews>
    <sheetView topLeftCell="A13" workbookViewId="0">
      <selection activeCell="C14" sqref="C14"/>
    </sheetView>
  </sheetViews>
  <sheetFormatPr baseColWidth="10" defaultRowHeight="15"/>
  <cols>
    <col min="3" max="3" width="48.5703125" customWidth="1"/>
    <col min="4" max="6" width="0" hidden="1" customWidth="1"/>
    <col min="7" max="7" width="9.42578125" customWidth="1"/>
  </cols>
  <sheetData>
    <row r="5" spans="2:8" ht="30">
      <c r="B5" s="58" t="s">
        <v>0</v>
      </c>
      <c r="C5" s="58" t="s">
        <v>626</v>
      </c>
      <c r="D5" s="58" t="s">
        <v>159</v>
      </c>
      <c r="E5" s="58" t="s">
        <v>620</v>
      </c>
      <c r="F5" s="59" t="s">
        <v>625</v>
      </c>
      <c r="G5" s="60" t="s">
        <v>75</v>
      </c>
      <c r="H5" s="26"/>
    </row>
    <row r="6" spans="2:8">
      <c r="B6" s="22">
        <v>6089</v>
      </c>
      <c r="C6" s="22" t="s">
        <v>621</v>
      </c>
      <c r="D6" s="23">
        <v>60</v>
      </c>
      <c r="E6" s="56">
        <f>F6/30</f>
        <v>1.232</v>
      </c>
      <c r="F6" s="23">
        <v>36.96</v>
      </c>
      <c r="G6" s="23">
        <v>3</v>
      </c>
      <c r="H6" s="26" t="s">
        <v>627</v>
      </c>
    </row>
    <row r="7" spans="2:8">
      <c r="B7" s="22">
        <v>6090</v>
      </c>
      <c r="C7" s="22" t="s">
        <v>622</v>
      </c>
      <c r="D7" s="23">
        <v>60</v>
      </c>
      <c r="E7" s="56">
        <f t="shared" ref="E7:E9" si="0">F7/30</f>
        <v>1.68</v>
      </c>
      <c r="F7" s="23">
        <v>50.4</v>
      </c>
      <c r="G7" s="23">
        <v>2</v>
      </c>
      <c r="H7" s="26" t="s">
        <v>627</v>
      </c>
    </row>
    <row r="8" spans="2:8">
      <c r="B8" s="22">
        <v>12327</v>
      </c>
      <c r="C8" s="22" t="s">
        <v>623</v>
      </c>
      <c r="D8" s="23">
        <v>60</v>
      </c>
      <c r="E8" s="56">
        <f t="shared" si="0"/>
        <v>2.464</v>
      </c>
      <c r="F8" s="23">
        <v>73.92</v>
      </c>
      <c r="G8" s="23">
        <v>1</v>
      </c>
      <c r="H8" s="26" t="s">
        <v>627</v>
      </c>
    </row>
    <row r="9" spans="2:8">
      <c r="B9" s="22"/>
      <c r="C9" s="57" t="s">
        <v>624</v>
      </c>
      <c r="D9" s="23"/>
      <c r="E9" s="56">
        <f t="shared" si="0"/>
        <v>2.016</v>
      </c>
      <c r="F9" s="23">
        <v>60.48</v>
      </c>
      <c r="G9" s="23">
        <v>2</v>
      </c>
      <c r="H9" s="26" t="s">
        <v>627</v>
      </c>
    </row>
    <row r="10" spans="2:8">
      <c r="F10" t="s">
        <v>72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3:J64"/>
  <sheetViews>
    <sheetView topLeftCell="A61" workbookViewId="0">
      <selection activeCell="L19" sqref="L19"/>
    </sheetView>
  </sheetViews>
  <sheetFormatPr baseColWidth="10" defaultRowHeight="15"/>
  <cols>
    <col min="3" max="3" width="50.42578125" customWidth="1"/>
    <col min="4" max="4" width="30.85546875" customWidth="1"/>
    <col min="5" max="5" width="18.42578125" customWidth="1"/>
  </cols>
  <sheetData>
    <row r="3" spans="1:10">
      <c r="A3" s="184"/>
      <c r="B3" s="184"/>
      <c r="C3" s="184"/>
      <c r="D3" s="184"/>
      <c r="E3" s="184"/>
      <c r="F3" s="185"/>
      <c r="G3" s="184"/>
      <c r="H3" s="184"/>
      <c r="I3" s="184"/>
      <c r="J3" s="184"/>
    </row>
    <row r="4" spans="1:10">
      <c r="A4" s="184"/>
      <c r="B4" s="184"/>
      <c r="C4" s="184"/>
      <c r="D4" s="184"/>
      <c r="E4" s="184"/>
      <c r="F4" s="185"/>
      <c r="G4" s="184"/>
      <c r="H4" s="184"/>
      <c r="I4" s="184"/>
      <c r="J4" s="184"/>
    </row>
    <row r="5" spans="1:10">
      <c r="A5" s="184"/>
      <c r="B5" s="184"/>
      <c r="C5" s="184"/>
      <c r="D5" s="184"/>
      <c r="E5" s="184"/>
      <c r="F5" s="185"/>
      <c r="G5" s="184"/>
      <c r="H5" s="184"/>
      <c r="I5" s="184"/>
      <c r="J5" s="184"/>
    </row>
    <row r="6" spans="1:10" ht="15.75" thickBot="1">
      <c r="A6" s="184"/>
      <c r="B6" s="184"/>
      <c r="C6" s="184"/>
      <c r="D6" s="184"/>
      <c r="E6" s="184"/>
      <c r="F6" s="185"/>
      <c r="G6" s="184"/>
      <c r="H6" s="184"/>
      <c r="I6" s="184"/>
      <c r="J6" s="184"/>
    </row>
    <row r="7" spans="1:10" ht="15.75" thickBot="1">
      <c r="A7" s="963" t="s">
        <v>949</v>
      </c>
      <c r="B7" s="964"/>
      <c r="C7" s="964"/>
      <c r="D7" s="964"/>
      <c r="E7" s="964"/>
      <c r="F7" s="964"/>
      <c r="G7" s="965" t="s">
        <v>950</v>
      </c>
      <c r="H7" s="966"/>
      <c r="I7" s="966"/>
      <c r="J7" s="967"/>
    </row>
    <row r="8" spans="1:10" ht="64.5" thickBot="1">
      <c r="A8" s="186" t="s">
        <v>951</v>
      </c>
      <c r="B8" s="187" t="s">
        <v>952</v>
      </c>
      <c r="C8" s="186" t="s">
        <v>953</v>
      </c>
      <c r="D8" s="188" t="s">
        <v>954</v>
      </c>
      <c r="E8" s="189" t="s">
        <v>955</v>
      </c>
      <c r="F8" s="190" t="s">
        <v>956</v>
      </c>
      <c r="G8" s="191" t="s">
        <v>957</v>
      </c>
      <c r="H8" s="192" t="s">
        <v>958</v>
      </c>
      <c r="I8" s="192" t="s">
        <v>959</v>
      </c>
      <c r="J8" s="193" t="s">
        <v>960</v>
      </c>
    </row>
    <row r="9" spans="1:10" ht="15.75">
      <c r="A9" s="968" t="s">
        <v>961</v>
      </c>
      <c r="B9" s="968" t="s">
        <v>962</v>
      </c>
      <c r="C9" s="194" t="s">
        <v>963</v>
      </c>
      <c r="D9" s="195">
        <v>7592396000984</v>
      </c>
      <c r="E9" s="196" t="s">
        <v>964</v>
      </c>
      <c r="F9" s="197">
        <v>24</v>
      </c>
      <c r="G9" s="198">
        <v>9.76</v>
      </c>
      <c r="H9" s="199">
        <v>11.32</v>
      </c>
      <c r="I9" s="200">
        <f>G9/F9</f>
        <v>0.40666666666666668</v>
      </c>
      <c r="J9" s="201">
        <f>H9/F9</f>
        <v>0.47166666666666668</v>
      </c>
    </row>
    <row r="10" spans="1:10" ht="15.75">
      <c r="A10" s="969"/>
      <c r="B10" s="969"/>
      <c r="C10" s="202" t="s">
        <v>965</v>
      </c>
      <c r="D10" s="203">
        <v>7592396000991</v>
      </c>
      <c r="E10" s="204" t="s">
        <v>964</v>
      </c>
      <c r="F10" s="205">
        <v>24</v>
      </c>
      <c r="G10" s="206">
        <v>9.76</v>
      </c>
      <c r="H10" s="207">
        <v>11.32</v>
      </c>
      <c r="I10" s="208">
        <f t="shared" ref="I10:I64" si="0">G10/F10</f>
        <v>0.40666666666666668</v>
      </c>
      <c r="J10" s="209">
        <f t="shared" ref="J10:J64" si="1">H10/F10</f>
        <v>0.47166666666666668</v>
      </c>
    </row>
    <row r="11" spans="1:10" ht="15.75">
      <c r="A11" s="969"/>
      <c r="B11" s="969"/>
      <c r="C11" s="202" t="s">
        <v>966</v>
      </c>
      <c r="D11" s="203">
        <v>7592396001004</v>
      </c>
      <c r="E11" s="204" t="s">
        <v>964</v>
      </c>
      <c r="F11" s="205">
        <v>24</v>
      </c>
      <c r="G11" s="206">
        <v>9.76</v>
      </c>
      <c r="H11" s="207">
        <v>11.32</v>
      </c>
      <c r="I11" s="208">
        <f t="shared" si="0"/>
        <v>0.40666666666666668</v>
      </c>
      <c r="J11" s="209">
        <f t="shared" si="1"/>
        <v>0.47166666666666668</v>
      </c>
    </row>
    <row r="12" spans="1:10" ht="15.75">
      <c r="A12" s="969"/>
      <c r="B12" s="969"/>
      <c r="C12" s="202" t="s">
        <v>967</v>
      </c>
      <c r="D12" s="203">
        <v>7592396001028</v>
      </c>
      <c r="E12" s="204" t="s">
        <v>964</v>
      </c>
      <c r="F12" s="205">
        <v>24</v>
      </c>
      <c r="G12" s="206">
        <v>9.76</v>
      </c>
      <c r="H12" s="207">
        <v>11.32</v>
      </c>
      <c r="I12" s="208">
        <f t="shared" si="0"/>
        <v>0.40666666666666668</v>
      </c>
      <c r="J12" s="209">
        <f t="shared" si="1"/>
        <v>0.47166666666666668</v>
      </c>
    </row>
    <row r="13" spans="1:10" ht="15.75">
      <c r="A13" s="969"/>
      <c r="B13" s="969"/>
      <c r="C13" s="202" t="s">
        <v>968</v>
      </c>
      <c r="D13" s="203">
        <v>7592396000977</v>
      </c>
      <c r="E13" s="204" t="s">
        <v>964</v>
      </c>
      <c r="F13" s="205">
        <v>24</v>
      </c>
      <c r="G13" s="206">
        <v>9.76</v>
      </c>
      <c r="H13" s="207">
        <v>11.32</v>
      </c>
      <c r="I13" s="208">
        <f t="shared" si="0"/>
        <v>0.40666666666666668</v>
      </c>
      <c r="J13" s="209">
        <f t="shared" si="1"/>
        <v>0.47166666666666668</v>
      </c>
    </row>
    <row r="14" spans="1:10" ht="15.75">
      <c r="A14" s="969"/>
      <c r="B14" s="969"/>
      <c r="C14" s="202" t="s">
        <v>969</v>
      </c>
      <c r="D14" s="203">
        <v>7592396001035</v>
      </c>
      <c r="E14" s="204" t="s">
        <v>964</v>
      </c>
      <c r="F14" s="205">
        <v>24</v>
      </c>
      <c r="G14" s="206">
        <v>9.76</v>
      </c>
      <c r="H14" s="207">
        <v>11.32</v>
      </c>
      <c r="I14" s="208">
        <f t="shared" si="0"/>
        <v>0.40666666666666668</v>
      </c>
      <c r="J14" s="209">
        <f t="shared" si="1"/>
        <v>0.47166666666666668</v>
      </c>
    </row>
    <row r="15" spans="1:10" ht="15.75">
      <c r="A15" s="969"/>
      <c r="B15" s="969"/>
      <c r="C15" s="202" t="s">
        <v>970</v>
      </c>
      <c r="D15" s="203">
        <v>7592396001219</v>
      </c>
      <c r="E15" s="204" t="s">
        <v>964</v>
      </c>
      <c r="F15" s="205">
        <v>24</v>
      </c>
      <c r="G15" s="206">
        <v>9.76</v>
      </c>
      <c r="H15" s="207">
        <v>11.32</v>
      </c>
      <c r="I15" s="208">
        <f t="shared" si="0"/>
        <v>0.40666666666666668</v>
      </c>
      <c r="J15" s="209">
        <f t="shared" si="1"/>
        <v>0.47166666666666668</v>
      </c>
    </row>
    <row r="16" spans="1:10" ht="16.5" thickBot="1">
      <c r="A16" s="969"/>
      <c r="B16" s="970"/>
      <c r="C16" s="210" t="s">
        <v>971</v>
      </c>
      <c r="D16" s="211">
        <v>7592396001820</v>
      </c>
      <c r="E16" s="212" t="s">
        <v>964</v>
      </c>
      <c r="F16" s="213">
        <v>24</v>
      </c>
      <c r="G16" s="214">
        <v>9.76</v>
      </c>
      <c r="H16" s="215">
        <v>11.32</v>
      </c>
      <c r="I16" s="216">
        <f t="shared" si="0"/>
        <v>0.40666666666666668</v>
      </c>
      <c r="J16" s="217">
        <f t="shared" si="1"/>
        <v>0.47166666666666668</v>
      </c>
    </row>
    <row r="17" spans="1:10" ht="15.75">
      <c r="A17" s="969"/>
      <c r="B17" s="969" t="s">
        <v>972</v>
      </c>
      <c r="C17" s="194" t="s">
        <v>973</v>
      </c>
      <c r="D17" s="195">
        <v>7592396000328</v>
      </c>
      <c r="E17" s="196" t="s">
        <v>974</v>
      </c>
      <c r="F17" s="197">
        <v>24</v>
      </c>
      <c r="G17" s="198">
        <v>9.17</v>
      </c>
      <c r="H17" s="199">
        <v>10.64</v>
      </c>
      <c r="I17" s="200">
        <f t="shared" si="0"/>
        <v>0.38208333333333333</v>
      </c>
      <c r="J17" s="201">
        <f t="shared" si="1"/>
        <v>0.44333333333333336</v>
      </c>
    </row>
    <row r="18" spans="1:10" ht="15.75">
      <c r="A18" s="969"/>
      <c r="B18" s="969"/>
      <c r="C18" s="218" t="s">
        <v>975</v>
      </c>
      <c r="D18" s="219">
        <v>7592396000335</v>
      </c>
      <c r="E18" s="220" t="s">
        <v>974</v>
      </c>
      <c r="F18" s="221">
        <v>24</v>
      </c>
      <c r="G18" s="206">
        <v>9.17</v>
      </c>
      <c r="H18" s="207">
        <v>10.64</v>
      </c>
      <c r="I18" s="208">
        <f t="shared" si="0"/>
        <v>0.38208333333333333</v>
      </c>
      <c r="J18" s="209">
        <f t="shared" si="1"/>
        <v>0.44333333333333336</v>
      </c>
    </row>
    <row r="19" spans="1:10" ht="15.75">
      <c r="A19" s="969"/>
      <c r="B19" s="969"/>
      <c r="C19" s="218" t="s">
        <v>976</v>
      </c>
      <c r="D19" s="219">
        <v>7592396000342</v>
      </c>
      <c r="E19" s="220" t="s">
        <v>974</v>
      </c>
      <c r="F19" s="221">
        <v>24</v>
      </c>
      <c r="G19" s="206">
        <v>9.17</v>
      </c>
      <c r="H19" s="207">
        <v>10.64</v>
      </c>
      <c r="I19" s="208">
        <f t="shared" si="0"/>
        <v>0.38208333333333333</v>
      </c>
      <c r="J19" s="209">
        <f t="shared" si="1"/>
        <v>0.44333333333333336</v>
      </c>
    </row>
    <row r="20" spans="1:10" ht="15.75">
      <c r="A20" s="969"/>
      <c r="B20" s="969"/>
      <c r="C20" s="218" t="s">
        <v>977</v>
      </c>
      <c r="D20" s="219">
        <v>7592396000359</v>
      </c>
      <c r="E20" s="220" t="s">
        <v>974</v>
      </c>
      <c r="F20" s="221">
        <v>24</v>
      </c>
      <c r="G20" s="206">
        <v>9.17</v>
      </c>
      <c r="H20" s="207">
        <v>10.64</v>
      </c>
      <c r="I20" s="208">
        <f t="shared" si="0"/>
        <v>0.38208333333333333</v>
      </c>
      <c r="J20" s="209">
        <f t="shared" si="1"/>
        <v>0.44333333333333336</v>
      </c>
    </row>
    <row r="21" spans="1:10" ht="15.75">
      <c r="A21" s="969"/>
      <c r="B21" s="969"/>
      <c r="C21" s="218" t="s">
        <v>978</v>
      </c>
      <c r="D21" s="219">
        <v>7592396001097</v>
      </c>
      <c r="E21" s="220" t="s">
        <v>974</v>
      </c>
      <c r="F21" s="221">
        <v>24</v>
      </c>
      <c r="G21" s="206">
        <v>9.17</v>
      </c>
      <c r="H21" s="207">
        <v>10.64</v>
      </c>
      <c r="I21" s="208">
        <f t="shared" si="0"/>
        <v>0.38208333333333333</v>
      </c>
      <c r="J21" s="209">
        <f t="shared" si="1"/>
        <v>0.44333333333333336</v>
      </c>
    </row>
    <row r="22" spans="1:10" ht="15.75">
      <c r="A22" s="969"/>
      <c r="B22" s="969"/>
      <c r="C22" s="218" t="s">
        <v>979</v>
      </c>
      <c r="D22" s="219">
        <v>7592396000366</v>
      </c>
      <c r="E22" s="220" t="s">
        <v>974</v>
      </c>
      <c r="F22" s="221">
        <v>24</v>
      </c>
      <c r="G22" s="206">
        <v>9.17</v>
      </c>
      <c r="H22" s="207">
        <v>10.64</v>
      </c>
      <c r="I22" s="208">
        <f t="shared" si="0"/>
        <v>0.38208333333333333</v>
      </c>
      <c r="J22" s="209">
        <f t="shared" si="1"/>
        <v>0.44333333333333336</v>
      </c>
    </row>
    <row r="23" spans="1:10" ht="15.75">
      <c r="A23" s="969"/>
      <c r="B23" s="969"/>
      <c r="C23" s="218" t="s">
        <v>980</v>
      </c>
      <c r="D23" s="219">
        <v>7592396000526</v>
      </c>
      <c r="E23" s="220" t="s">
        <v>974</v>
      </c>
      <c r="F23" s="221">
        <v>24</v>
      </c>
      <c r="G23" s="206">
        <v>9.17</v>
      </c>
      <c r="H23" s="207">
        <v>10.64</v>
      </c>
      <c r="I23" s="208">
        <f t="shared" si="0"/>
        <v>0.38208333333333333</v>
      </c>
      <c r="J23" s="209">
        <f t="shared" si="1"/>
        <v>0.44333333333333336</v>
      </c>
    </row>
    <row r="24" spans="1:10" ht="16.5" thickBot="1">
      <c r="A24" s="969"/>
      <c r="B24" s="970"/>
      <c r="C24" s="222" t="s">
        <v>981</v>
      </c>
      <c r="D24" s="223">
        <v>7592396003077</v>
      </c>
      <c r="E24" s="224" t="s">
        <v>974</v>
      </c>
      <c r="F24" s="225">
        <v>24</v>
      </c>
      <c r="G24" s="214">
        <v>9.17</v>
      </c>
      <c r="H24" s="215">
        <v>10.64</v>
      </c>
      <c r="I24" s="216">
        <f t="shared" si="0"/>
        <v>0.38208333333333333</v>
      </c>
      <c r="J24" s="217">
        <f t="shared" si="1"/>
        <v>0.44333333333333336</v>
      </c>
    </row>
    <row r="25" spans="1:10" ht="15.75">
      <c r="A25" s="969"/>
      <c r="B25" s="968" t="s">
        <v>982</v>
      </c>
      <c r="C25" s="226" t="s">
        <v>983</v>
      </c>
      <c r="D25" s="195">
        <v>7592396000724</v>
      </c>
      <c r="E25" s="196" t="s">
        <v>984</v>
      </c>
      <c r="F25" s="197">
        <v>12</v>
      </c>
      <c r="G25" s="198">
        <v>11.84</v>
      </c>
      <c r="H25" s="199">
        <v>13.73</v>
      </c>
      <c r="I25" s="200">
        <f t="shared" si="0"/>
        <v>0.98666666666666669</v>
      </c>
      <c r="J25" s="201">
        <f t="shared" si="1"/>
        <v>1.1441666666666668</v>
      </c>
    </row>
    <row r="26" spans="1:10" ht="15.75">
      <c r="A26" s="969"/>
      <c r="B26" s="969"/>
      <c r="C26" s="227" t="s">
        <v>985</v>
      </c>
      <c r="D26" s="219">
        <v>7592396000731</v>
      </c>
      <c r="E26" s="220" t="s">
        <v>984</v>
      </c>
      <c r="F26" s="221">
        <v>12</v>
      </c>
      <c r="G26" s="206">
        <v>11.84</v>
      </c>
      <c r="H26" s="207">
        <v>13.73</v>
      </c>
      <c r="I26" s="208">
        <f t="shared" si="0"/>
        <v>0.98666666666666669</v>
      </c>
      <c r="J26" s="209">
        <f t="shared" si="1"/>
        <v>1.1441666666666668</v>
      </c>
    </row>
    <row r="27" spans="1:10" ht="15.75">
      <c r="A27" s="969"/>
      <c r="B27" s="969"/>
      <c r="C27" s="227" t="s">
        <v>986</v>
      </c>
      <c r="D27" s="219">
        <v>7592396000830</v>
      </c>
      <c r="E27" s="220" t="s">
        <v>984</v>
      </c>
      <c r="F27" s="221">
        <v>12</v>
      </c>
      <c r="G27" s="206">
        <v>11.84</v>
      </c>
      <c r="H27" s="207">
        <v>13.73</v>
      </c>
      <c r="I27" s="208">
        <f t="shared" si="0"/>
        <v>0.98666666666666669</v>
      </c>
      <c r="J27" s="209">
        <f t="shared" si="1"/>
        <v>1.1441666666666668</v>
      </c>
    </row>
    <row r="28" spans="1:10" ht="15.75">
      <c r="A28" s="969"/>
      <c r="B28" s="969"/>
      <c r="C28" s="227" t="s">
        <v>987</v>
      </c>
      <c r="D28" s="219">
        <v>7592396000762</v>
      </c>
      <c r="E28" s="220" t="s">
        <v>984</v>
      </c>
      <c r="F28" s="221">
        <v>12</v>
      </c>
      <c r="G28" s="206">
        <v>11.84</v>
      </c>
      <c r="H28" s="207">
        <v>13.73</v>
      </c>
      <c r="I28" s="208">
        <f t="shared" si="0"/>
        <v>0.98666666666666669</v>
      </c>
      <c r="J28" s="209">
        <f t="shared" si="1"/>
        <v>1.1441666666666668</v>
      </c>
    </row>
    <row r="29" spans="1:10" ht="15.75">
      <c r="A29" s="969"/>
      <c r="B29" s="969"/>
      <c r="C29" s="227" t="s">
        <v>988</v>
      </c>
      <c r="D29" s="219">
        <v>7592396001080</v>
      </c>
      <c r="E29" s="220" t="s">
        <v>984</v>
      </c>
      <c r="F29" s="221">
        <v>12</v>
      </c>
      <c r="G29" s="206">
        <v>11.84</v>
      </c>
      <c r="H29" s="207">
        <v>13.73</v>
      </c>
      <c r="I29" s="208">
        <f t="shared" si="0"/>
        <v>0.98666666666666669</v>
      </c>
      <c r="J29" s="209">
        <f t="shared" si="1"/>
        <v>1.1441666666666668</v>
      </c>
    </row>
    <row r="30" spans="1:10" ht="15.75">
      <c r="A30" s="969"/>
      <c r="B30" s="969"/>
      <c r="C30" s="227" t="s">
        <v>989</v>
      </c>
      <c r="D30" s="219">
        <v>7592396001103</v>
      </c>
      <c r="E30" s="220" t="s">
        <v>984</v>
      </c>
      <c r="F30" s="221">
        <v>12</v>
      </c>
      <c r="G30" s="206">
        <v>11.84</v>
      </c>
      <c r="H30" s="207">
        <v>13.73</v>
      </c>
      <c r="I30" s="208">
        <f t="shared" si="0"/>
        <v>0.98666666666666669</v>
      </c>
      <c r="J30" s="209">
        <f t="shared" si="1"/>
        <v>1.1441666666666668</v>
      </c>
    </row>
    <row r="31" spans="1:10" ht="15.75">
      <c r="A31" s="969"/>
      <c r="B31" s="969"/>
      <c r="C31" s="227" t="s">
        <v>990</v>
      </c>
      <c r="D31" s="219">
        <v>7592396000809</v>
      </c>
      <c r="E31" s="220" t="s">
        <v>984</v>
      </c>
      <c r="F31" s="221">
        <v>12</v>
      </c>
      <c r="G31" s="206">
        <v>11.84</v>
      </c>
      <c r="H31" s="207">
        <v>13.73</v>
      </c>
      <c r="I31" s="208">
        <f t="shared" si="0"/>
        <v>0.98666666666666669</v>
      </c>
      <c r="J31" s="209">
        <f t="shared" si="1"/>
        <v>1.1441666666666668</v>
      </c>
    </row>
    <row r="32" spans="1:10" ht="16.5" thickBot="1">
      <c r="A32" s="969"/>
      <c r="B32" s="970"/>
      <c r="C32" s="228" t="s">
        <v>991</v>
      </c>
      <c r="D32" s="223">
        <v>7592396003084</v>
      </c>
      <c r="E32" s="224" t="s">
        <v>984</v>
      </c>
      <c r="F32" s="225">
        <v>12</v>
      </c>
      <c r="G32" s="214">
        <v>11.84</v>
      </c>
      <c r="H32" s="215">
        <v>13.73</v>
      </c>
      <c r="I32" s="216">
        <f t="shared" si="0"/>
        <v>0.98666666666666669</v>
      </c>
      <c r="J32" s="217">
        <f t="shared" si="1"/>
        <v>1.1441666666666668</v>
      </c>
    </row>
    <row r="33" spans="1:10" ht="15.75">
      <c r="A33" s="969"/>
      <c r="B33" s="969" t="s">
        <v>992</v>
      </c>
      <c r="C33" s="194" t="s">
        <v>993</v>
      </c>
      <c r="D33" s="195">
        <v>7592396001332</v>
      </c>
      <c r="E33" s="196" t="s">
        <v>994</v>
      </c>
      <c r="F33" s="197">
        <v>24</v>
      </c>
      <c r="G33" s="198">
        <v>5.33</v>
      </c>
      <c r="H33" s="199">
        <v>6.18</v>
      </c>
      <c r="I33" s="229">
        <f t="shared" si="0"/>
        <v>0.22208333333333333</v>
      </c>
      <c r="J33" s="230">
        <f t="shared" si="1"/>
        <v>0.25750000000000001</v>
      </c>
    </row>
    <row r="34" spans="1:10" ht="15.75">
      <c r="A34" s="969"/>
      <c r="B34" s="969"/>
      <c r="C34" s="218" t="s">
        <v>995</v>
      </c>
      <c r="D34" s="219">
        <v>7592396001356</v>
      </c>
      <c r="E34" s="220" t="s">
        <v>994</v>
      </c>
      <c r="F34" s="221">
        <v>24</v>
      </c>
      <c r="G34" s="206">
        <v>5.33</v>
      </c>
      <c r="H34" s="207">
        <v>6.18</v>
      </c>
      <c r="I34" s="208">
        <f t="shared" si="0"/>
        <v>0.22208333333333333</v>
      </c>
      <c r="J34" s="209">
        <f t="shared" si="1"/>
        <v>0.25750000000000001</v>
      </c>
    </row>
    <row r="35" spans="1:10" ht="16.5" thickBot="1">
      <c r="A35" s="969"/>
      <c r="B35" s="970"/>
      <c r="C35" s="222" t="s">
        <v>996</v>
      </c>
      <c r="D35" s="223">
        <v>7592396001349</v>
      </c>
      <c r="E35" s="224" t="s">
        <v>994</v>
      </c>
      <c r="F35" s="225">
        <v>24</v>
      </c>
      <c r="G35" s="214">
        <v>5.33</v>
      </c>
      <c r="H35" s="215">
        <v>6.18</v>
      </c>
      <c r="I35" s="231">
        <f t="shared" si="0"/>
        <v>0.22208333333333333</v>
      </c>
      <c r="J35" s="232">
        <f t="shared" si="1"/>
        <v>0.25750000000000001</v>
      </c>
    </row>
    <row r="36" spans="1:10" ht="15.75">
      <c r="A36" s="969"/>
      <c r="B36" s="971" t="s">
        <v>997</v>
      </c>
      <c r="C36" s="194" t="s">
        <v>998</v>
      </c>
      <c r="D36" s="195">
        <v>17592396003593</v>
      </c>
      <c r="E36" s="196" t="s">
        <v>999</v>
      </c>
      <c r="F36" s="197">
        <v>6</v>
      </c>
      <c r="G36" s="198">
        <v>8.36</v>
      </c>
      <c r="H36" s="199">
        <v>9.6999999999999993</v>
      </c>
      <c r="I36" s="200">
        <f t="shared" si="0"/>
        <v>1.3933333333333333</v>
      </c>
      <c r="J36" s="201">
        <f t="shared" si="1"/>
        <v>1.6166666666666665</v>
      </c>
    </row>
    <row r="37" spans="1:10" ht="15.75">
      <c r="A37" s="969"/>
      <c r="B37" s="972"/>
      <c r="C37" s="218" t="s">
        <v>1000</v>
      </c>
      <c r="D37" s="219">
        <v>17592396003609</v>
      </c>
      <c r="E37" s="220" t="s">
        <v>999</v>
      </c>
      <c r="F37" s="221">
        <v>6</v>
      </c>
      <c r="G37" s="206">
        <v>8.36</v>
      </c>
      <c r="H37" s="207">
        <v>9.6999999999999993</v>
      </c>
      <c r="I37" s="208">
        <f t="shared" si="0"/>
        <v>1.3933333333333333</v>
      </c>
      <c r="J37" s="209">
        <f t="shared" si="1"/>
        <v>1.6166666666666665</v>
      </c>
    </row>
    <row r="38" spans="1:10" ht="16.5" thickBot="1">
      <c r="A38" s="969"/>
      <c r="B38" s="973"/>
      <c r="C38" s="222" t="s">
        <v>1001</v>
      </c>
      <c r="D38" s="223">
        <v>17592396003616</v>
      </c>
      <c r="E38" s="224" t="s">
        <v>999</v>
      </c>
      <c r="F38" s="225">
        <v>6</v>
      </c>
      <c r="G38" s="214">
        <v>8.36</v>
      </c>
      <c r="H38" s="215">
        <v>9.6999999999999993</v>
      </c>
      <c r="I38" s="216">
        <f t="shared" si="0"/>
        <v>1.3933333333333333</v>
      </c>
      <c r="J38" s="217">
        <f t="shared" si="1"/>
        <v>1.6166666666666665</v>
      </c>
    </row>
    <row r="39" spans="1:10" ht="15.75">
      <c r="A39" s="969"/>
      <c r="B39" s="971" t="s">
        <v>1002</v>
      </c>
      <c r="C39" s="194" t="s">
        <v>1003</v>
      </c>
      <c r="D39" s="195">
        <v>7592396001448</v>
      </c>
      <c r="E39" s="196" t="s">
        <v>1004</v>
      </c>
      <c r="F39" s="197">
        <v>24</v>
      </c>
      <c r="G39" s="198">
        <v>8.36</v>
      </c>
      <c r="H39" s="199">
        <v>9.6999999999999993</v>
      </c>
      <c r="I39" s="229">
        <f t="shared" si="0"/>
        <v>0.34833333333333333</v>
      </c>
      <c r="J39" s="230">
        <f t="shared" si="1"/>
        <v>0.40416666666666662</v>
      </c>
    </row>
    <row r="40" spans="1:10" ht="15.75">
      <c r="A40" s="969"/>
      <c r="B40" s="972"/>
      <c r="C40" s="233" t="s">
        <v>1005</v>
      </c>
      <c r="D40" s="234">
        <v>7592396001455</v>
      </c>
      <c r="E40" s="235" t="s">
        <v>1004</v>
      </c>
      <c r="F40" s="236">
        <v>24</v>
      </c>
      <c r="G40" s="206">
        <v>8.36</v>
      </c>
      <c r="H40" s="207">
        <v>9.6999999999999993</v>
      </c>
      <c r="I40" s="208">
        <f t="shared" si="0"/>
        <v>0.34833333333333333</v>
      </c>
      <c r="J40" s="209">
        <f t="shared" si="1"/>
        <v>0.40416666666666662</v>
      </c>
    </row>
    <row r="41" spans="1:10" ht="15.75">
      <c r="A41" s="969"/>
      <c r="B41" s="972"/>
      <c r="C41" s="233" t="s">
        <v>1006</v>
      </c>
      <c r="D41" s="234">
        <v>7592396001462</v>
      </c>
      <c r="E41" s="235" t="s">
        <v>1004</v>
      </c>
      <c r="F41" s="236">
        <v>24</v>
      </c>
      <c r="G41" s="206">
        <v>8.36</v>
      </c>
      <c r="H41" s="207">
        <v>9.6999999999999993</v>
      </c>
      <c r="I41" s="208">
        <f t="shared" si="0"/>
        <v>0.34833333333333333</v>
      </c>
      <c r="J41" s="209">
        <f t="shared" si="1"/>
        <v>0.40416666666666662</v>
      </c>
    </row>
    <row r="42" spans="1:10" ht="16.5" thickBot="1">
      <c r="A42" s="969"/>
      <c r="B42" s="973"/>
      <c r="C42" s="222" t="s">
        <v>1007</v>
      </c>
      <c r="D42" s="223">
        <v>7592396001547</v>
      </c>
      <c r="E42" s="224" t="s">
        <v>1004</v>
      </c>
      <c r="F42" s="225">
        <v>24</v>
      </c>
      <c r="G42" s="214">
        <v>8.36</v>
      </c>
      <c r="H42" s="215">
        <v>9.6999999999999993</v>
      </c>
      <c r="I42" s="231">
        <f t="shared" si="0"/>
        <v>0.34833333333333333</v>
      </c>
      <c r="J42" s="232">
        <f t="shared" si="1"/>
        <v>0.40416666666666662</v>
      </c>
    </row>
    <row r="43" spans="1:10" ht="15.75">
      <c r="A43" s="969"/>
      <c r="B43" s="971" t="s">
        <v>1008</v>
      </c>
      <c r="C43" s="237" t="s">
        <v>1009</v>
      </c>
      <c r="D43" s="238">
        <v>7592396002070</v>
      </c>
      <c r="E43" s="239" t="s">
        <v>1010</v>
      </c>
      <c r="F43" s="240">
        <v>12</v>
      </c>
      <c r="G43" s="198">
        <v>11.1</v>
      </c>
      <c r="H43" s="199">
        <v>12.88</v>
      </c>
      <c r="I43" s="200">
        <f t="shared" si="0"/>
        <v>0.92499999999999993</v>
      </c>
      <c r="J43" s="201">
        <f t="shared" si="1"/>
        <v>1.0733333333333335</v>
      </c>
    </row>
    <row r="44" spans="1:10" ht="15.75">
      <c r="A44" s="969"/>
      <c r="B44" s="972"/>
      <c r="C44" s="233" t="s">
        <v>1011</v>
      </c>
      <c r="D44" s="234">
        <v>7592396002094</v>
      </c>
      <c r="E44" s="235" t="s">
        <v>1010</v>
      </c>
      <c r="F44" s="236">
        <v>12</v>
      </c>
      <c r="G44" s="206">
        <v>11.1</v>
      </c>
      <c r="H44" s="207">
        <v>12.88</v>
      </c>
      <c r="I44" s="208">
        <f t="shared" si="0"/>
        <v>0.92499999999999993</v>
      </c>
      <c r="J44" s="209">
        <f t="shared" si="1"/>
        <v>1.0733333333333335</v>
      </c>
    </row>
    <row r="45" spans="1:10" ht="15.75">
      <c r="A45" s="969"/>
      <c r="B45" s="972"/>
      <c r="C45" s="233" t="s">
        <v>1012</v>
      </c>
      <c r="D45" s="234">
        <v>7592396002117</v>
      </c>
      <c r="E45" s="235" t="s">
        <v>1010</v>
      </c>
      <c r="F45" s="236">
        <v>12</v>
      </c>
      <c r="G45" s="206">
        <v>11.1</v>
      </c>
      <c r="H45" s="207">
        <v>12.88</v>
      </c>
      <c r="I45" s="208">
        <f t="shared" si="0"/>
        <v>0.92499999999999993</v>
      </c>
      <c r="J45" s="209">
        <f t="shared" si="1"/>
        <v>1.0733333333333335</v>
      </c>
    </row>
    <row r="46" spans="1:10" ht="15.75">
      <c r="A46" s="969"/>
      <c r="B46" s="972"/>
      <c r="C46" s="233" t="s">
        <v>1013</v>
      </c>
      <c r="D46" s="234">
        <v>7592396002131</v>
      </c>
      <c r="E46" s="235" t="s">
        <v>1010</v>
      </c>
      <c r="F46" s="236">
        <v>12</v>
      </c>
      <c r="G46" s="206">
        <v>11.1</v>
      </c>
      <c r="H46" s="207">
        <v>12.88</v>
      </c>
      <c r="I46" s="208">
        <f t="shared" si="0"/>
        <v>0.92499999999999993</v>
      </c>
      <c r="J46" s="209">
        <f t="shared" si="1"/>
        <v>1.0733333333333335</v>
      </c>
    </row>
    <row r="47" spans="1:10" ht="15.75">
      <c r="A47" s="969"/>
      <c r="B47" s="972"/>
      <c r="C47" s="233" t="s">
        <v>1014</v>
      </c>
      <c r="D47" s="234">
        <v>7592396002155</v>
      </c>
      <c r="E47" s="235" t="s">
        <v>1010</v>
      </c>
      <c r="F47" s="236">
        <v>12</v>
      </c>
      <c r="G47" s="206">
        <v>11.1</v>
      </c>
      <c r="H47" s="207">
        <v>12.88</v>
      </c>
      <c r="I47" s="208">
        <f t="shared" si="0"/>
        <v>0.92499999999999993</v>
      </c>
      <c r="J47" s="209">
        <f t="shared" si="1"/>
        <v>1.0733333333333335</v>
      </c>
    </row>
    <row r="48" spans="1:10" ht="16.5" thickBot="1">
      <c r="A48" s="969"/>
      <c r="B48" s="972"/>
      <c r="C48" s="233" t="s">
        <v>1015</v>
      </c>
      <c r="D48" s="234">
        <v>7592396002179</v>
      </c>
      <c r="E48" s="235" t="s">
        <v>1010</v>
      </c>
      <c r="F48" s="236">
        <v>12</v>
      </c>
      <c r="G48" s="214">
        <v>11.1</v>
      </c>
      <c r="H48" s="215">
        <v>12.88</v>
      </c>
      <c r="I48" s="241">
        <f t="shared" si="0"/>
        <v>0.92499999999999993</v>
      </c>
      <c r="J48" s="242">
        <f t="shared" si="1"/>
        <v>1.0733333333333335</v>
      </c>
    </row>
    <row r="49" spans="1:10" ht="15.75">
      <c r="A49" s="974" t="s">
        <v>1016</v>
      </c>
      <c r="B49" s="977" t="s">
        <v>1017</v>
      </c>
      <c r="C49" s="243" t="s">
        <v>1018</v>
      </c>
      <c r="D49" s="244">
        <v>7592396004869</v>
      </c>
      <c r="E49" s="245" t="s">
        <v>1019</v>
      </c>
      <c r="F49" s="246">
        <v>24</v>
      </c>
      <c r="G49" s="198">
        <v>9.86</v>
      </c>
      <c r="H49" s="199">
        <v>11.44</v>
      </c>
      <c r="I49" s="229">
        <f t="shared" si="0"/>
        <v>0.41083333333333333</v>
      </c>
      <c r="J49" s="230">
        <f t="shared" si="1"/>
        <v>0.47666666666666663</v>
      </c>
    </row>
    <row r="50" spans="1:10" ht="15.75">
      <c r="A50" s="975"/>
      <c r="B50" s="978"/>
      <c r="C50" s="233" t="s">
        <v>1020</v>
      </c>
      <c r="D50" s="234">
        <v>7592396004876</v>
      </c>
      <c r="E50" s="247" t="s">
        <v>1019</v>
      </c>
      <c r="F50" s="236">
        <v>24</v>
      </c>
      <c r="G50" s="206">
        <v>9.86</v>
      </c>
      <c r="H50" s="207">
        <v>11.44</v>
      </c>
      <c r="I50" s="208">
        <f t="shared" si="0"/>
        <v>0.41083333333333333</v>
      </c>
      <c r="J50" s="209">
        <f t="shared" si="1"/>
        <v>0.47666666666666663</v>
      </c>
    </row>
    <row r="51" spans="1:10" ht="16.5" thickBot="1">
      <c r="A51" s="975"/>
      <c r="B51" s="978"/>
      <c r="C51" s="233" t="s">
        <v>1021</v>
      </c>
      <c r="D51" s="234">
        <v>7592396001653</v>
      </c>
      <c r="E51" s="248" t="s">
        <v>1019</v>
      </c>
      <c r="F51" s="236">
        <v>24</v>
      </c>
      <c r="G51" s="214">
        <v>9.86</v>
      </c>
      <c r="H51" s="215">
        <v>11.44</v>
      </c>
      <c r="I51" s="231">
        <f t="shared" si="0"/>
        <v>0.41083333333333333</v>
      </c>
      <c r="J51" s="232">
        <f t="shared" si="1"/>
        <v>0.47666666666666663</v>
      </c>
    </row>
    <row r="52" spans="1:10" ht="15.75">
      <c r="A52" s="975"/>
      <c r="B52" s="979" t="s">
        <v>1022</v>
      </c>
      <c r="C52" s="249" t="s">
        <v>1023</v>
      </c>
      <c r="D52" s="250">
        <v>7592396003688</v>
      </c>
      <c r="E52" s="239" t="s">
        <v>1024</v>
      </c>
      <c r="F52" s="246">
        <v>24</v>
      </c>
      <c r="G52" s="198">
        <v>11.65</v>
      </c>
      <c r="H52" s="199">
        <v>13.51</v>
      </c>
      <c r="I52" s="200">
        <f>G52/F52</f>
        <v>0.48541666666666666</v>
      </c>
      <c r="J52" s="201">
        <f>H52/F52</f>
        <v>0.56291666666666662</v>
      </c>
    </row>
    <row r="53" spans="1:10" ht="15.75">
      <c r="A53" s="975"/>
      <c r="B53" s="980"/>
      <c r="C53" s="251" t="s">
        <v>1025</v>
      </c>
      <c r="D53" s="252">
        <v>7592396003695</v>
      </c>
      <c r="E53" s="235" t="s">
        <v>1024</v>
      </c>
      <c r="F53" s="236">
        <v>24</v>
      </c>
      <c r="G53" s="206">
        <v>11.65</v>
      </c>
      <c r="H53" s="207">
        <v>13.51</v>
      </c>
      <c r="I53" s="208">
        <f>G53/F53</f>
        <v>0.48541666666666666</v>
      </c>
      <c r="J53" s="209">
        <f>H53/F53</f>
        <v>0.56291666666666662</v>
      </c>
    </row>
    <row r="54" spans="1:10" ht="16.5" thickBot="1">
      <c r="A54" s="976"/>
      <c r="B54" s="981"/>
      <c r="C54" s="253" t="s">
        <v>1026</v>
      </c>
      <c r="D54" s="254">
        <v>7592396003671</v>
      </c>
      <c r="E54" s="235" t="s">
        <v>1024</v>
      </c>
      <c r="F54" s="225">
        <v>24</v>
      </c>
      <c r="G54" s="214">
        <v>11.65</v>
      </c>
      <c r="H54" s="215">
        <v>13.51</v>
      </c>
      <c r="I54" s="216">
        <f>G54/F54</f>
        <v>0.48541666666666666</v>
      </c>
      <c r="J54" s="217">
        <f>H54/F54</f>
        <v>0.56291666666666662</v>
      </c>
    </row>
    <row r="55" spans="1:10" ht="15.75">
      <c r="A55" s="971" t="s">
        <v>1027</v>
      </c>
      <c r="B55" s="194" t="s">
        <v>1028</v>
      </c>
      <c r="C55" s="194" t="s">
        <v>1029</v>
      </c>
      <c r="D55" s="195">
        <v>7592396000922</v>
      </c>
      <c r="E55" s="194" t="s">
        <v>1030</v>
      </c>
      <c r="F55" s="197">
        <v>24</v>
      </c>
      <c r="G55" s="198">
        <v>30.22</v>
      </c>
      <c r="H55" s="199">
        <v>30.22</v>
      </c>
      <c r="I55" s="200">
        <f t="shared" si="0"/>
        <v>1.2591666666666665</v>
      </c>
      <c r="J55" s="201">
        <f t="shared" si="1"/>
        <v>1.2591666666666665</v>
      </c>
    </row>
    <row r="56" spans="1:10" ht="15.75">
      <c r="A56" s="972"/>
      <c r="B56" s="237" t="s">
        <v>1031</v>
      </c>
      <c r="C56" s="237" t="s">
        <v>1032</v>
      </c>
      <c r="D56" s="238">
        <v>7592396004562</v>
      </c>
      <c r="E56" s="237" t="s">
        <v>1033</v>
      </c>
      <c r="F56" s="205">
        <v>24</v>
      </c>
      <c r="G56" s="206">
        <v>24.08</v>
      </c>
      <c r="H56" s="207">
        <v>24.08</v>
      </c>
      <c r="I56" s="229">
        <f t="shared" si="0"/>
        <v>1.0033333333333332</v>
      </c>
      <c r="J56" s="230">
        <f t="shared" si="1"/>
        <v>1.0033333333333332</v>
      </c>
    </row>
    <row r="57" spans="1:10" ht="15.75">
      <c r="A57" s="972"/>
      <c r="B57" s="218" t="s">
        <v>1034</v>
      </c>
      <c r="C57" s="218" t="s">
        <v>1035</v>
      </c>
      <c r="D57" s="219">
        <v>7592396002056</v>
      </c>
      <c r="E57" s="218" t="s">
        <v>1036</v>
      </c>
      <c r="F57" s="221">
        <v>24</v>
      </c>
      <c r="G57" s="206">
        <v>10.98</v>
      </c>
      <c r="H57" s="207">
        <v>10.98</v>
      </c>
      <c r="I57" s="208">
        <f t="shared" si="0"/>
        <v>0.45750000000000002</v>
      </c>
      <c r="J57" s="209">
        <f t="shared" si="1"/>
        <v>0.45750000000000002</v>
      </c>
    </row>
    <row r="58" spans="1:10" ht="15.75">
      <c r="A58" s="972"/>
      <c r="B58" s="218" t="s">
        <v>1037</v>
      </c>
      <c r="C58" s="218" t="s">
        <v>1038</v>
      </c>
      <c r="D58" s="219">
        <v>7592396000908</v>
      </c>
      <c r="E58" s="218" t="s">
        <v>1039</v>
      </c>
      <c r="F58" s="221">
        <v>144</v>
      </c>
      <c r="G58" s="206">
        <v>53.61</v>
      </c>
      <c r="H58" s="207">
        <v>53.61</v>
      </c>
      <c r="I58" s="229">
        <f t="shared" si="0"/>
        <v>0.37229166666666669</v>
      </c>
      <c r="J58" s="230">
        <f t="shared" si="1"/>
        <v>0.37229166666666669</v>
      </c>
    </row>
    <row r="59" spans="1:10" ht="16.5" thickBot="1">
      <c r="A59" s="973"/>
      <c r="B59" s="210" t="s">
        <v>1040</v>
      </c>
      <c r="C59" s="210" t="s">
        <v>1041</v>
      </c>
      <c r="D59" s="211">
        <v>7592396004579</v>
      </c>
      <c r="E59" s="210" t="s">
        <v>1042</v>
      </c>
      <c r="F59" s="213">
        <v>2</v>
      </c>
      <c r="G59" s="214">
        <v>27.94</v>
      </c>
      <c r="H59" s="215">
        <v>27.94</v>
      </c>
      <c r="I59" s="241">
        <f t="shared" si="0"/>
        <v>13.97</v>
      </c>
      <c r="J59" s="242">
        <f t="shared" si="1"/>
        <v>13.97</v>
      </c>
    </row>
    <row r="60" spans="1:10" ht="15.75">
      <c r="A60" s="982" t="s">
        <v>1043</v>
      </c>
      <c r="B60" s="202" t="s">
        <v>1044</v>
      </c>
      <c r="C60" s="202" t="s">
        <v>1045</v>
      </c>
      <c r="D60" s="203">
        <v>7592396000151</v>
      </c>
      <c r="E60" s="202" t="s">
        <v>1046</v>
      </c>
      <c r="F60" s="240">
        <v>16</v>
      </c>
      <c r="G60" s="198">
        <v>13.7</v>
      </c>
      <c r="H60" s="199">
        <v>13.7</v>
      </c>
      <c r="I60" s="229">
        <f t="shared" si="0"/>
        <v>0.85624999999999996</v>
      </c>
      <c r="J60" s="230">
        <f t="shared" si="1"/>
        <v>0.85624999999999996</v>
      </c>
    </row>
    <row r="61" spans="1:10" ht="16.5" thickBot="1">
      <c r="A61" s="983"/>
      <c r="B61" s="202" t="s">
        <v>1044</v>
      </c>
      <c r="C61" s="233" t="s">
        <v>1047</v>
      </c>
      <c r="D61" s="234">
        <v>7592396001905</v>
      </c>
      <c r="E61" s="233" t="s">
        <v>1048</v>
      </c>
      <c r="F61" s="225">
        <v>12</v>
      </c>
      <c r="G61" s="214">
        <v>69.48</v>
      </c>
      <c r="H61" s="215">
        <v>69.48</v>
      </c>
      <c r="I61" s="216">
        <f t="shared" si="0"/>
        <v>5.79</v>
      </c>
      <c r="J61" s="217">
        <f t="shared" si="1"/>
        <v>5.79</v>
      </c>
    </row>
    <row r="62" spans="1:10" ht="15.75">
      <c r="A62" s="960" t="s">
        <v>1049</v>
      </c>
      <c r="B62" s="255" t="s">
        <v>1037</v>
      </c>
      <c r="C62" s="255" t="s">
        <v>1050</v>
      </c>
      <c r="D62" s="244">
        <v>7592396003336</v>
      </c>
      <c r="E62" s="255" t="s">
        <v>1051</v>
      </c>
      <c r="F62" s="197">
        <v>144</v>
      </c>
      <c r="G62" s="198">
        <v>53.61</v>
      </c>
      <c r="H62" s="199">
        <v>62.19</v>
      </c>
      <c r="I62" s="200">
        <f t="shared" si="0"/>
        <v>0.37229166666666669</v>
      </c>
      <c r="J62" s="201">
        <f t="shared" si="1"/>
        <v>0.43187500000000001</v>
      </c>
    </row>
    <row r="63" spans="1:10" ht="15.75">
      <c r="A63" s="961"/>
      <c r="B63" s="218" t="s">
        <v>1028</v>
      </c>
      <c r="C63" s="218" t="s">
        <v>1052</v>
      </c>
      <c r="D63" s="219">
        <v>7592396005019</v>
      </c>
      <c r="E63" s="218" t="s">
        <v>1053</v>
      </c>
      <c r="F63" s="205">
        <v>24</v>
      </c>
      <c r="G63" s="206">
        <v>35.56</v>
      </c>
      <c r="H63" s="207">
        <v>41.25</v>
      </c>
      <c r="I63" s="229">
        <f t="shared" si="0"/>
        <v>1.4816666666666667</v>
      </c>
      <c r="J63" s="230">
        <f t="shared" si="1"/>
        <v>1.71875</v>
      </c>
    </row>
    <row r="64" spans="1:10" ht="32.25" thickBot="1">
      <c r="A64" s="962"/>
      <c r="B64" s="256" t="s">
        <v>1040</v>
      </c>
      <c r="C64" s="222" t="s">
        <v>1054</v>
      </c>
      <c r="D64" s="223">
        <v>7592396004609</v>
      </c>
      <c r="E64" s="224" t="s">
        <v>1042</v>
      </c>
      <c r="F64" s="225">
        <v>2</v>
      </c>
      <c r="G64" s="214">
        <v>31.94</v>
      </c>
      <c r="H64" s="215">
        <v>37.049999999999997</v>
      </c>
      <c r="I64" s="216">
        <f t="shared" si="0"/>
        <v>15.97</v>
      </c>
      <c r="J64" s="217">
        <f t="shared" si="1"/>
        <v>18.524999999999999</v>
      </c>
    </row>
  </sheetData>
  <mergeCells count="16">
    <mergeCell ref="A62:A64"/>
    <mergeCell ref="A7:F7"/>
    <mergeCell ref="G7:J7"/>
    <mergeCell ref="A9:A48"/>
    <mergeCell ref="B9:B16"/>
    <mergeCell ref="B17:B24"/>
    <mergeCell ref="B25:B32"/>
    <mergeCell ref="B33:B35"/>
    <mergeCell ref="B36:B38"/>
    <mergeCell ref="B39:B42"/>
    <mergeCell ref="B43:B48"/>
    <mergeCell ref="A49:A54"/>
    <mergeCell ref="B49:B51"/>
    <mergeCell ref="B52:B54"/>
    <mergeCell ref="A55:A59"/>
    <mergeCell ref="A60:A61"/>
  </mergeCell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5:R84"/>
  <sheetViews>
    <sheetView topLeftCell="A8" workbookViewId="0">
      <selection activeCell="M78" sqref="M78"/>
    </sheetView>
  </sheetViews>
  <sheetFormatPr baseColWidth="10" defaultRowHeight="15"/>
  <cols>
    <col min="1" max="1" width="34" style="104" customWidth="1"/>
    <col min="2" max="2" width="0" hidden="1" customWidth="1"/>
    <col min="3" max="3" width="24" customWidth="1"/>
    <col min="5" max="10" width="0" hidden="1" customWidth="1"/>
    <col min="11" max="11" width="20" customWidth="1"/>
    <col min="12" max="12" width="20.140625" customWidth="1"/>
    <col min="13" max="13" width="15.28515625" customWidth="1"/>
    <col min="14" max="14" width="21.28515625" customWidth="1"/>
    <col min="15" max="15" width="18.28515625" customWidth="1"/>
  </cols>
  <sheetData>
    <row r="5" spans="1:18" ht="60">
      <c r="K5" s="109" t="s">
        <v>0</v>
      </c>
      <c r="L5" s="109" t="s">
        <v>1</v>
      </c>
      <c r="M5" s="43" t="s">
        <v>24</v>
      </c>
      <c r="N5" s="43" t="s">
        <v>25</v>
      </c>
      <c r="O5" s="43" t="s">
        <v>26</v>
      </c>
      <c r="P5" s="43" t="s">
        <v>27</v>
      </c>
      <c r="Q5" s="43" t="s">
        <v>28</v>
      </c>
      <c r="R5" s="43" t="s">
        <v>29</v>
      </c>
    </row>
    <row r="6" spans="1:18">
      <c r="K6" s="109">
        <v>14458</v>
      </c>
      <c r="L6" s="282" t="s">
        <v>1100</v>
      </c>
      <c r="M6" s="109"/>
      <c r="N6" s="109"/>
      <c r="O6" s="109"/>
      <c r="P6" s="109"/>
      <c r="Q6" s="109"/>
      <c r="R6" s="109"/>
    </row>
    <row r="7" spans="1:18">
      <c r="K7" s="109">
        <v>14460</v>
      </c>
      <c r="L7" s="282" t="s">
        <v>1101</v>
      </c>
      <c r="M7" s="109"/>
      <c r="N7" s="109"/>
      <c r="O7" s="109"/>
      <c r="P7" s="109"/>
      <c r="Q7" s="109"/>
      <c r="R7" s="109"/>
    </row>
    <row r="8" spans="1:18">
      <c r="K8" s="109">
        <v>14459</v>
      </c>
      <c r="L8" s="282" t="s">
        <v>1102</v>
      </c>
      <c r="M8" s="109"/>
      <c r="N8" s="109"/>
      <c r="O8" s="109"/>
      <c r="P8" s="109"/>
      <c r="Q8" s="109"/>
      <c r="R8" s="109"/>
    </row>
    <row r="9" spans="1:18">
      <c r="K9" s="109">
        <v>10977</v>
      </c>
      <c r="L9" s="282" t="s">
        <v>1103</v>
      </c>
      <c r="M9" s="109"/>
      <c r="N9" s="109"/>
      <c r="O9" s="109"/>
      <c r="P9" s="109"/>
      <c r="Q9" s="109"/>
      <c r="R9" s="109"/>
    </row>
    <row r="10" spans="1:18">
      <c r="K10" s="109">
        <v>11886</v>
      </c>
      <c r="L10" s="282" t="s">
        <v>1104</v>
      </c>
      <c r="M10" s="109"/>
      <c r="N10" s="109"/>
      <c r="O10" s="109"/>
      <c r="P10" s="109"/>
      <c r="Q10" s="109"/>
      <c r="R10" s="109"/>
    </row>
    <row r="11" spans="1:18">
      <c r="K11" s="109">
        <v>7333</v>
      </c>
      <c r="L11" s="282" t="s">
        <v>1105</v>
      </c>
      <c r="M11" s="109"/>
      <c r="N11" s="109"/>
      <c r="O11" s="109"/>
      <c r="P11" s="109"/>
      <c r="Q11" s="109"/>
      <c r="R11" s="109"/>
    </row>
    <row r="12" spans="1:18">
      <c r="K12" s="109">
        <v>4941</v>
      </c>
      <c r="L12" s="282" t="s">
        <v>1106</v>
      </c>
      <c r="M12" s="109"/>
      <c r="N12" s="109"/>
      <c r="O12" s="109"/>
      <c r="P12" s="109"/>
      <c r="Q12" s="109"/>
      <c r="R12" s="109"/>
    </row>
    <row r="13" spans="1:18">
      <c r="K13" s="109">
        <v>6074</v>
      </c>
      <c r="L13" s="282" t="s">
        <v>1107</v>
      </c>
      <c r="M13" s="109"/>
      <c r="N13" s="109"/>
      <c r="O13" s="109"/>
      <c r="P13" s="109"/>
      <c r="Q13" s="109"/>
      <c r="R13" s="109"/>
    </row>
    <row r="16" spans="1:18" s="269" customFormat="1" ht="63.75" hidden="1" customHeight="1">
      <c r="A16" s="993" t="s">
        <v>1183</v>
      </c>
      <c r="B16" s="994"/>
      <c r="C16" s="994"/>
      <c r="D16" s="994"/>
      <c r="E16" s="994"/>
      <c r="F16" s="994"/>
      <c r="G16" s="994"/>
      <c r="H16" s="994"/>
      <c r="I16" s="994"/>
      <c r="J16" s="995"/>
      <c r="K16" s="307"/>
      <c r="L16" s="307"/>
      <c r="M16" s="307"/>
      <c r="N16" s="307"/>
      <c r="O16" s="307"/>
      <c r="P16" s="307"/>
      <c r="Q16" s="307"/>
    </row>
    <row r="17" spans="1:17" s="269" customFormat="1" ht="63.75" customHeight="1">
      <c r="A17" s="283" t="s">
        <v>1184</v>
      </c>
      <c r="B17" s="284" t="s">
        <v>1185</v>
      </c>
      <c r="C17" s="285" t="s">
        <v>1186</v>
      </c>
      <c r="D17" s="286" t="s">
        <v>1187</v>
      </c>
      <c r="E17" s="284" t="s">
        <v>1188</v>
      </c>
      <c r="F17" s="270" t="s">
        <v>1189</v>
      </c>
      <c r="G17" s="285" t="s">
        <v>1190</v>
      </c>
      <c r="H17" s="286" t="s">
        <v>1191</v>
      </c>
      <c r="I17" s="287" t="s">
        <v>1192</v>
      </c>
      <c r="J17" s="309" t="s">
        <v>1193</v>
      </c>
      <c r="K17" s="308" t="s">
        <v>24</v>
      </c>
      <c r="L17" s="308" t="s">
        <v>25</v>
      </c>
      <c r="M17" s="308" t="s">
        <v>26</v>
      </c>
      <c r="N17" s="308" t="s">
        <v>778</v>
      </c>
      <c r="O17" s="308" t="s">
        <v>29</v>
      </c>
      <c r="P17" s="307"/>
      <c r="Q17" s="307"/>
    </row>
    <row r="18" spans="1:17" s="269" customFormat="1" ht="44.25" customHeight="1">
      <c r="A18" s="288" t="s">
        <v>1175</v>
      </c>
      <c r="B18" s="289">
        <v>5</v>
      </c>
      <c r="C18" s="290">
        <v>7592433000151</v>
      </c>
      <c r="D18" s="291" t="s">
        <v>1108</v>
      </c>
      <c r="E18" s="290">
        <v>12</v>
      </c>
      <c r="F18" s="292">
        <v>6.47</v>
      </c>
      <c r="G18" s="293">
        <v>77.69</v>
      </c>
      <c r="H18" s="294">
        <v>8.09</v>
      </c>
      <c r="I18" s="295" t="s">
        <v>1109</v>
      </c>
      <c r="J18" s="310">
        <v>8.09</v>
      </c>
      <c r="K18" s="311" t="s">
        <v>1177</v>
      </c>
      <c r="L18" s="311" t="s">
        <v>669</v>
      </c>
      <c r="M18" s="311" t="s">
        <v>669</v>
      </c>
      <c r="N18" s="311" t="s">
        <v>630</v>
      </c>
      <c r="O18" s="311" t="s">
        <v>669</v>
      </c>
      <c r="P18" s="307"/>
      <c r="Q18" s="307"/>
    </row>
    <row r="19" spans="1:17" s="269" customFormat="1" ht="63.75" hidden="1" customHeight="1">
      <c r="A19" s="288" t="s">
        <v>1175</v>
      </c>
      <c r="B19" s="289">
        <v>3</v>
      </c>
      <c r="C19" s="290">
        <v>7592433000137</v>
      </c>
      <c r="D19" s="291" t="s">
        <v>1110</v>
      </c>
      <c r="E19" s="290">
        <v>24</v>
      </c>
      <c r="F19" s="292">
        <v>3.33</v>
      </c>
      <c r="G19" s="293">
        <v>79.92</v>
      </c>
      <c r="H19" s="294">
        <v>4.16</v>
      </c>
      <c r="I19" s="295" t="s">
        <v>1109</v>
      </c>
      <c r="J19" s="310">
        <v>4.16</v>
      </c>
      <c r="K19" s="311" t="s">
        <v>72</v>
      </c>
      <c r="L19" s="311"/>
      <c r="M19" s="311"/>
      <c r="N19" s="311" t="s">
        <v>72</v>
      </c>
      <c r="O19" s="311"/>
      <c r="P19" s="307"/>
      <c r="Q19" s="307"/>
    </row>
    <row r="20" spans="1:17" s="269" customFormat="1" ht="63.75" hidden="1" customHeight="1">
      <c r="A20" s="295" t="s">
        <v>1175</v>
      </c>
      <c r="B20" s="289">
        <v>1</v>
      </c>
      <c r="C20" s="290">
        <v>7592433000311</v>
      </c>
      <c r="D20" s="291" t="s">
        <v>1111</v>
      </c>
      <c r="E20" s="290">
        <v>48</v>
      </c>
      <c r="F20" s="292">
        <v>1.03</v>
      </c>
      <c r="G20" s="293">
        <v>49.48</v>
      </c>
      <c r="H20" s="294">
        <v>1.29</v>
      </c>
      <c r="I20" s="295" t="s">
        <v>1109</v>
      </c>
      <c r="J20" s="310">
        <v>1.29</v>
      </c>
      <c r="K20" s="311"/>
      <c r="L20" s="311"/>
      <c r="M20" s="311"/>
      <c r="N20" s="311"/>
      <c r="O20" s="311"/>
      <c r="P20" s="307"/>
      <c r="Q20" s="307"/>
    </row>
    <row r="21" spans="1:17" s="269" customFormat="1" ht="63.75" hidden="1" customHeight="1">
      <c r="A21" s="295" t="s">
        <v>1176</v>
      </c>
      <c r="B21" s="289">
        <v>10</v>
      </c>
      <c r="C21" s="290">
        <v>7592433000649</v>
      </c>
      <c r="D21" s="291" t="s">
        <v>1108</v>
      </c>
      <c r="E21" s="290">
        <v>12</v>
      </c>
      <c r="F21" s="292">
        <v>6.72</v>
      </c>
      <c r="G21" s="293">
        <v>80.66</v>
      </c>
      <c r="H21" s="294">
        <v>8.4</v>
      </c>
      <c r="I21" s="295" t="s">
        <v>1109</v>
      </c>
      <c r="J21" s="310">
        <v>8.4</v>
      </c>
      <c r="K21" s="311"/>
      <c r="L21" s="311"/>
      <c r="M21" s="311"/>
      <c r="N21" s="311"/>
      <c r="O21" s="311"/>
      <c r="P21" s="307"/>
      <c r="Q21" s="307"/>
    </row>
    <row r="22" spans="1:17" s="269" customFormat="1" ht="63.75" hidden="1" customHeight="1">
      <c r="A22" s="295" t="s">
        <v>1112</v>
      </c>
      <c r="B22" s="289">
        <v>4</v>
      </c>
      <c r="C22" s="290">
        <v>7592433000908</v>
      </c>
      <c r="D22" s="291" t="s">
        <v>1113</v>
      </c>
      <c r="E22" s="290">
        <v>12</v>
      </c>
      <c r="F22" s="292">
        <v>6.24</v>
      </c>
      <c r="G22" s="293">
        <v>74.849999999999994</v>
      </c>
      <c r="H22" s="294">
        <v>7.8</v>
      </c>
      <c r="I22" s="295" t="s">
        <v>1109</v>
      </c>
      <c r="J22" s="310">
        <v>7.8</v>
      </c>
      <c r="K22" s="311"/>
      <c r="L22" s="311"/>
      <c r="M22" s="311"/>
      <c r="N22" s="311"/>
      <c r="O22" s="311"/>
      <c r="P22" s="307"/>
      <c r="Q22" s="307"/>
    </row>
    <row r="23" spans="1:17" s="269" customFormat="1" ht="63.75" hidden="1" customHeight="1">
      <c r="A23" s="295" t="s">
        <v>1112</v>
      </c>
      <c r="B23" s="289">
        <v>549</v>
      </c>
      <c r="C23" s="290">
        <v>7592433000564</v>
      </c>
      <c r="D23" s="291" t="s">
        <v>1114</v>
      </c>
      <c r="E23" s="290">
        <v>24</v>
      </c>
      <c r="F23" s="292">
        <v>3.34</v>
      </c>
      <c r="G23" s="293">
        <v>80.16</v>
      </c>
      <c r="H23" s="294">
        <v>4.18</v>
      </c>
      <c r="I23" s="295" t="s">
        <v>1109</v>
      </c>
      <c r="J23" s="310">
        <v>4.18</v>
      </c>
      <c r="K23" s="311"/>
      <c r="L23" s="311"/>
      <c r="M23" s="311"/>
      <c r="N23" s="311"/>
      <c r="O23" s="311"/>
      <c r="P23" s="307"/>
      <c r="Q23" s="307"/>
    </row>
    <row r="24" spans="1:17" s="269" customFormat="1" ht="63.75" hidden="1" customHeight="1">
      <c r="A24" s="295" t="s">
        <v>1112</v>
      </c>
      <c r="B24" s="289">
        <v>13</v>
      </c>
      <c r="C24" s="290">
        <v>7592433001851</v>
      </c>
      <c r="D24" s="291" t="s">
        <v>1115</v>
      </c>
      <c r="E24" s="290">
        <v>48</v>
      </c>
      <c r="F24" s="292">
        <v>0.95</v>
      </c>
      <c r="G24" s="293">
        <v>45.53</v>
      </c>
      <c r="H24" s="294">
        <v>1.19</v>
      </c>
      <c r="I24" s="295" t="s">
        <v>1109</v>
      </c>
      <c r="J24" s="310">
        <v>1.19</v>
      </c>
      <c r="K24" s="311"/>
      <c r="L24" s="311"/>
      <c r="M24" s="311"/>
      <c r="N24" s="311"/>
      <c r="O24" s="311"/>
      <c r="P24" s="307"/>
      <c r="Q24" s="307"/>
    </row>
    <row r="25" spans="1:17" s="269" customFormat="1" ht="63.75" hidden="1" customHeight="1">
      <c r="A25" s="295" t="s">
        <v>1116</v>
      </c>
      <c r="B25" s="289">
        <v>9</v>
      </c>
      <c r="C25" s="290">
        <v>7592433000502</v>
      </c>
      <c r="D25" s="291" t="s">
        <v>1117</v>
      </c>
      <c r="E25" s="290">
        <v>12</v>
      </c>
      <c r="F25" s="292">
        <v>7.92</v>
      </c>
      <c r="G25" s="293">
        <v>95.01</v>
      </c>
      <c r="H25" s="294">
        <v>9.9</v>
      </c>
      <c r="I25" s="295" t="s">
        <v>1109</v>
      </c>
      <c r="J25" s="310">
        <v>9.9</v>
      </c>
      <c r="K25" s="311"/>
      <c r="L25" s="311"/>
      <c r="M25" s="311"/>
      <c r="N25" s="311"/>
      <c r="O25" s="311"/>
      <c r="P25" s="307"/>
      <c r="Q25" s="307"/>
    </row>
    <row r="26" spans="1:17" s="269" customFormat="1" ht="63.75" hidden="1" customHeight="1">
      <c r="A26" s="295" t="s">
        <v>1116</v>
      </c>
      <c r="B26" s="289">
        <v>8</v>
      </c>
      <c r="C26" s="290">
        <v>7592433000519</v>
      </c>
      <c r="D26" s="291" t="s">
        <v>1114</v>
      </c>
      <c r="E26" s="290">
        <v>24</v>
      </c>
      <c r="F26" s="292">
        <v>4.04</v>
      </c>
      <c r="G26" s="293">
        <v>96.99</v>
      </c>
      <c r="H26" s="294">
        <v>5.05</v>
      </c>
      <c r="I26" s="295" t="s">
        <v>1109</v>
      </c>
      <c r="J26" s="310">
        <v>5.05</v>
      </c>
      <c r="K26" s="311"/>
      <c r="L26" s="311"/>
      <c r="M26" s="311"/>
      <c r="N26" s="311"/>
      <c r="O26" s="311"/>
      <c r="P26" s="307"/>
      <c r="Q26" s="307"/>
    </row>
    <row r="27" spans="1:17" s="269" customFormat="1" ht="42.75" customHeight="1">
      <c r="A27" s="288" t="s">
        <v>1118</v>
      </c>
      <c r="B27" s="289">
        <v>71</v>
      </c>
      <c r="C27" s="290">
        <v>7592433000885</v>
      </c>
      <c r="D27" s="291" t="s">
        <v>1113</v>
      </c>
      <c r="E27" s="290">
        <v>12</v>
      </c>
      <c r="F27" s="292">
        <v>4.5</v>
      </c>
      <c r="G27" s="293">
        <v>54</v>
      </c>
      <c r="H27" s="294">
        <v>5.63</v>
      </c>
      <c r="I27" s="295" t="s">
        <v>1109</v>
      </c>
      <c r="J27" s="310">
        <v>5.63</v>
      </c>
      <c r="K27" s="311" t="s">
        <v>279</v>
      </c>
      <c r="L27" s="311" t="s">
        <v>322</v>
      </c>
      <c r="M27" s="311" t="s">
        <v>322</v>
      </c>
      <c r="N27" s="311" t="s">
        <v>322</v>
      </c>
      <c r="O27" s="311" t="s">
        <v>322</v>
      </c>
      <c r="P27" s="307"/>
      <c r="Q27" s="307"/>
    </row>
    <row r="28" spans="1:17" s="269" customFormat="1" ht="38.25" customHeight="1">
      <c r="A28" s="306" t="s">
        <v>1118</v>
      </c>
      <c r="B28" s="289">
        <v>887</v>
      </c>
      <c r="C28" s="290">
        <v>7592433001981</v>
      </c>
      <c r="D28" s="291" t="s">
        <v>1119</v>
      </c>
      <c r="E28" s="290">
        <v>24</v>
      </c>
      <c r="F28" s="292">
        <v>2.1</v>
      </c>
      <c r="G28" s="293">
        <v>50.4</v>
      </c>
      <c r="H28" s="294">
        <v>2.63</v>
      </c>
      <c r="I28" s="295" t="s">
        <v>1109</v>
      </c>
      <c r="J28" s="310">
        <v>2.63</v>
      </c>
      <c r="K28" s="311" t="s">
        <v>279</v>
      </c>
      <c r="L28" s="311" t="s">
        <v>630</v>
      </c>
      <c r="M28" s="311" t="s">
        <v>630</v>
      </c>
      <c r="N28" s="311" t="s">
        <v>322</v>
      </c>
      <c r="O28" s="311" t="s">
        <v>322</v>
      </c>
      <c r="P28" s="307"/>
      <c r="Q28" s="307"/>
    </row>
    <row r="29" spans="1:17" s="269" customFormat="1" ht="63.75" hidden="1" customHeight="1">
      <c r="A29" s="295" t="s">
        <v>1118</v>
      </c>
      <c r="B29" s="289">
        <v>181</v>
      </c>
      <c r="C29" s="290">
        <v>7592433001042</v>
      </c>
      <c r="D29" s="291" t="s">
        <v>1115</v>
      </c>
      <c r="E29" s="290">
        <v>48</v>
      </c>
      <c r="F29" s="292">
        <v>0.66</v>
      </c>
      <c r="G29" s="293">
        <v>31.68</v>
      </c>
      <c r="H29" s="294">
        <v>0.83</v>
      </c>
      <c r="I29" s="295" t="s">
        <v>1109</v>
      </c>
      <c r="J29" s="310">
        <v>0.83</v>
      </c>
      <c r="K29" s="311"/>
      <c r="L29" s="311"/>
      <c r="M29" s="311"/>
      <c r="N29" s="311"/>
      <c r="O29" s="311"/>
      <c r="P29" s="307"/>
      <c r="Q29" s="307"/>
    </row>
    <row r="30" spans="1:17" s="269" customFormat="1" ht="63.75" hidden="1" customHeight="1">
      <c r="A30" s="996" t="s">
        <v>1194</v>
      </c>
      <c r="B30" s="997"/>
      <c r="C30" s="997"/>
      <c r="D30" s="997"/>
      <c r="E30" s="997"/>
      <c r="F30" s="997"/>
      <c r="G30" s="997"/>
      <c r="H30" s="997"/>
      <c r="I30" s="997"/>
      <c r="J30" s="997"/>
      <c r="K30" s="311"/>
      <c r="L30" s="311"/>
      <c r="M30" s="311"/>
      <c r="N30" s="311"/>
      <c r="O30" s="311"/>
      <c r="P30" s="307"/>
      <c r="Q30" s="307"/>
    </row>
    <row r="31" spans="1:17" s="269" customFormat="1" ht="39.75" customHeight="1">
      <c r="A31" s="297" t="s">
        <v>1120</v>
      </c>
      <c r="B31" s="289">
        <v>17</v>
      </c>
      <c r="C31" s="290">
        <v>7592433000342</v>
      </c>
      <c r="D31" s="291" t="s">
        <v>1121</v>
      </c>
      <c r="E31" s="290">
        <v>24</v>
      </c>
      <c r="F31" s="292">
        <v>1.67</v>
      </c>
      <c r="G31" s="293">
        <v>40.159999999999997</v>
      </c>
      <c r="H31" s="294">
        <v>2.38</v>
      </c>
      <c r="I31" s="295" t="s">
        <v>1109</v>
      </c>
      <c r="J31" s="310">
        <v>2.38</v>
      </c>
      <c r="K31" s="311" t="s">
        <v>322</v>
      </c>
      <c r="L31" s="311" t="s">
        <v>631</v>
      </c>
      <c r="M31" s="311" t="s">
        <v>631</v>
      </c>
      <c r="N31" s="311" t="s">
        <v>630</v>
      </c>
      <c r="O31" s="311" t="s">
        <v>669</v>
      </c>
      <c r="P31" s="307"/>
      <c r="Q31" s="307"/>
    </row>
    <row r="32" spans="1:17" s="269" customFormat="1" ht="55.5" customHeight="1">
      <c r="A32" s="281" t="s">
        <v>1195</v>
      </c>
      <c r="B32" s="289">
        <v>921</v>
      </c>
      <c r="C32" s="290">
        <v>7592433000175</v>
      </c>
      <c r="D32" s="291" t="s">
        <v>1121</v>
      </c>
      <c r="E32" s="290">
        <v>24</v>
      </c>
      <c r="F32" s="292">
        <v>1.27</v>
      </c>
      <c r="G32" s="293">
        <v>30.48</v>
      </c>
      <c r="H32" s="294">
        <v>1.65</v>
      </c>
      <c r="I32" s="295" t="s">
        <v>1109</v>
      </c>
      <c r="J32" s="310">
        <v>1.65</v>
      </c>
      <c r="K32" s="311" t="s">
        <v>1178</v>
      </c>
      <c r="L32" s="311" t="s">
        <v>631</v>
      </c>
      <c r="M32" s="311" t="s">
        <v>631</v>
      </c>
      <c r="N32" s="311" t="s">
        <v>630</v>
      </c>
      <c r="O32" s="311" t="s">
        <v>631</v>
      </c>
      <c r="P32" s="307"/>
      <c r="Q32" s="307"/>
    </row>
    <row r="33" spans="1:17" s="269" customFormat="1" ht="63.75" hidden="1" customHeight="1">
      <c r="A33" s="998" t="s">
        <v>1196</v>
      </c>
      <c r="B33" s="999"/>
      <c r="C33" s="999"/>
      <c r="D33" s="999"/>
      <c r="E33" s="999"/>
      <c r="F33" s="999"/>
      <c r="G33" s="999"/>
      <c r="H33" s="999"/>
      <c r="I33" s="999"/>
      <c r="J33" s="999"/>
      <c r="K33" s="311"/>
      <c r="L33" s="311"/>
      <c r="M33" s="311"/>
      <c r="N33" s="311"/>
      <c r="O33" s="311"/>
      <c r="P33" s="307"/>
      <c r="Q33" s="307"/>
    </row>
    <row r="34" spans="1:17" s="269" customFormat="1" ht="34.5" customHeight="1">
      <c r="A34" s="295" t="s">
        <v>1122</v>
      </c>
      <c r="B34" s="289">
        <v>52</v>
      </c>
      <c r="C34" s="290">
        <v>7592433001103</v>
      </c>
      <c r="D34" s="291" t="s">
        <v>1123</v>
      </c>
      <c r="E34" s="290">
        <v>24</v>
      </c>
      <c r="F34" s="292">
        <v>3.06</v>
      </c>
      <c r="G34" s="293">
        <v>73.33</v>
      </c>
      <c r="H34" s="294">
        <v>4.34</v>
      </c>
      <c r="I34" s="295" t="s">
        <v>1109</v>
      </c>
      <c r="J34" s="310">
        <v>4.34</v>
      </c>
      <c r="K34" s="311" t="s">
        <v>322</v>
      </c>
      <c r="L34" s="311" t="s">
        <v>669</v>
      </c>
      <c r="M34" s="311" t="s">
        <v>669</v>
      </c>
      <c r="N34" s="311" t="s">
        <v>631</v>
      </c>
      <c r="O34" s="311" t="s">
        <v>669</v>
      </c>
      <c r="P34" s="307"/>
      <c r="Q34" s="307"/>
    </row>
    <row r="35" spans="1:17" s="269" customFormat="1" ht="39.75" customHeight="1">
      <c r="A35" s="295" t="s">
        <v>1122</v>
      </c>
      <c r="B35" s="289">
        <v>73</v>
      </c>
      <c r="C35" s="290">
        <v>7592433000960</v>
      </c>
      <c r="D35" s="291" t="s">
        <v>1124</v>
      </c>
      <c r="E35" s="290">
        <v>25</v>
      </c>
      <c r="F35" s="292">
        <v>1.36</v>
      </c>
      <c r="G35" s="293">
        <v>33.950000000000003</v>
      </c>
      <c r="H35" s="294">
        <v>1.93</v>
      </c>
      <c r="I35" s="295" t="s">
        <v>1109</v>
      </c>
      <c r="J35" s="310">
        <v>1.93</v>
      </c>
      <c r="K35" s="311" t="s">
        <v>669</v>
      </c>
      <c r="L35" s="311" t="s">
        <v>669</v>
      </c>
      <c r="M35" s="311" t="s">
        <v>669</v>
      </c>
      <c r="N35" s="311" t="s">
        <v>631</v>
      </c>
      <c r="O35" s="311" t="s">
        <v>669</v>
      </c>
      <c r="P35" s="307"/>
      <c r="Q35" s="307"/>
    </row>
    <row r="36" spans="1:17" s="269" customFormat="1" ht="63.75" hidden="1" customHeight="1">
      <c r="A36" s="1000" t="s">
        <v>1197</v>
      </c>
      <c r="B36" s="1001"/>
      <c r="C36" s="1001"/>
      <c r="D36" s="1001"/>
      <c r="E36" s="1001"/>
      <c r="F36" s="1001"/>
      <c r="G36" s="1001"/>
      <c r="H36" s="1001"/>
      <c r="I36" s="1001"/>
      <c r="J36" s="1001"/>
      <c r="K36" s="311"/>
      <c r="L36" s="311"/>
      <c r="M36" s="311"/>
      <c r="N36" s="311"/>
      <c r="O36" s="311"/>
      <c r="P36" s="307"/>
      <c r="Q36" s="307"/>
    </row>
    <row r="37" spans="1:17" s="269" customFormat="1" ht="63.75" hidden="1" customHeight="1">
      <c r="A37" s="298" t="s">
        <v>1125</v>
      </c>
      <c r="B37" s="299">
        <v>791</v>
      </c>
      <c r="C37" s="300">
        <v>7592433007044</v>
      </c>
      <c r="D37" s="301" t="s">
        <v>1126</v>
      </c>
      <c r="E37" s="302">
        <v>4</v>
      </c>
      <c r="F37" s="303">
        <v>18.079999999999998</v>
      </c>
      <c r="G37" s="293">
        <v>72.33</v>
      </c>
      <c r="H37" s="304">
        <v>25.68</v>
      </c>
      <c r="I37" s="296">
        <v>4.1100000000000003</v>
      </c>
      <c r="J37" s="310">
        <v>29.79</v>
      </c>
      <c r="K37" s="311"/>
      <c r="L37" s="311"/>
      <c r="M37" s="311"/>
      <c r="N37" s="311"/>
      <c r="O37" s="311"/>
      <c r="P37" s="307"/>
      <c r="Q37" s="307"/>
    </row>
    <row r="38" spans="1:17" s="269" customFormat="1" ht="63.75" hidden="1" customHeight="1">
      <c r="A38" s="1002" t="s">
        <v>1198</v>
      </c>
      <c r="B38" s="1003"/>
      <c r="C38" s="1003"/>
      <c r="D38" s="1003"/>
      <c r="E38" s="1003"/>
      <c r="F38" s="1003"/>
      <c r="G38" s="1003"/>
      <c r="H38" s="1003"/>
      <c r="I38" s="1003"/>
      <c r="J38" s="1003"/>
      <c r="K38" s="311"/>
      <c r="L38" s="311"/>
      <c r="M38" s="311"/>
      <c r="N38" s="311"/>
      <c r="O38" s="311"/>
      <c r="P38" s="307"/>
      <c r="Q38" s="307"/>
    </row>
    <row r="39" spans="1:17" s="269" customFormat="1" ht="63.75" hidden="1" customHeight="1">
      <c r="A39" s="295" t="s">
        <v>1127</v>
      </c>
      <c r="B39" s="289">
        <v>571</v>
      </c>
      <c r="C39" s="290">
        <v>7592433001752</v>
      </c>
      <c r="D39" s="291" t="s">
        <v>1128</v>
      </c>
      <c r="E39" s="290">
        <v>24</v>
      </c>
      <c r="F39" s="292">
        <v>1.1399999999999999</v>
      </c>
      <c r="G39" s="293">
        <v>27.27</v>
      </c>
      <c r="H39" s="294">
        <v>1.61</v>
      </c>
      <c r="I39" s="296">
        <v>0.26</v>
      </c>
      <c r="J39" s="310">
        <v>1.87</v>
      </c>
      <c r="K39" s="311"/>
      <c r="L39" s="311"/>
      <c r="M39" s="311"/>
      <c r="N39" s="311"/>
      <c r="O39" s="311"/>
      <c r="P39" s="307"/>
      <c r="Q39" s="307"/>
    </row>
    <row r="40" spans="1:17" s="269" customFormat="1" ht="63.75" hidden="1" customHeight="1">
      <c r="A40" s="295" t="s">
        <v>1127</v>
      </c>
      <c r="B40" s="289">
        <v>572</v>
      </c>
      <c r="C40" s="290">
        <v>7592433001875</v>
      </c>
      <c r="D40" s="291" t="s">
        <v>1129</v>
      </c>
      <c r="E40" s="290">
        <v>48</v>
      </c>
      <c r="F40" s="292">
        <v>0.69</v>
      </c>
      <c r="G40" s="293">
        <v>32.93</v>
      </c>
      <c r="H40" s="294">
        <v>0.97</v>
      </c>
      <c r="I40" s="296">
        <v>0.16</v>
      </c>
      <c r="J40" s="310">
        <v>1.1299999999999999</v>
      </c>
      <c r="K40" s="311"/>
      <c r="L40" s="311"/>
      <c r="M40" s="311"/>
      <c r="N40" s="311"/>
      <c r="O40" s="311"/>
      <c r="P40" s="307"/>
      <c r="Q40" s="307"/>
    </row>
    <row r="41" spans="1:17" s="269" customFormat="1" ht="63.75" hidden="1" customHeight="1">
      <c r="A41" s="295" t="s">
        <v>1130</v>
      </c>
      <c r="B41" s="289">
        <v>587</v>
      </c>
      <c r="C41" s="290">
        <v>7592433006801</v>
      </c>
      <c r="D41" s="291" t="s">
        <v>1131</v>
      </c>
      <c r="E41" s="290">
        <v>12</v>
      </c>
      <c r="F41" s="292">
        <v>3.91</v>
      </c>
      <c r="G41" s="293">
        <v>46.97</v>
      </c>
      <c r="H41" s="294">
        <v>5.56</v>
      </c>
      <c r="I41" s="296">
        <v>0.89</v>
      </c>
      <c r="J41" s="310">
        <v>6.45</v>
      </c>
      <c r="K41" s="311"/>
      <c r="L41" s="311"/>
      <c r="M41" s="311"/>
      <c r="N41" s="311"/>
      <c r="O41" s="311"/>
      <c r="P41" s="307"/>
      <c r="Q41" s="307"/>
    </row>
    <row r="42" spans="1:17" s="269" customFormat="1" ht="63.75" hidden="1" customHeight="1">
      <c r="A42" s="295" t="s">
        <v>1132</v>
      </c>
      <c r="B42" s="289">
        <v>372</v>
      </c>
      <c r="C42" s="290">
        <v>7592433000991</v>
      </c>
      <c r="D42" s="291" t="s">
        <v>1128</v>
      </c>
      <c r="E42" s="290">
        <v>24</v>
      </c>
      <c r="F42" s="292">
        <v>1.7</v>
      </c>
      <c r="G42" s="293">
        <v>40.869999999999997</v>
      </c>
      <c r="H42" s="294">
        <v>2.42</v>
      </c>
      <c r="I42" s="296">
        <v>0.39</v>
      </c>
      <c r="J42" s="310">
        <v>2.81</v>
      </c>
      <c r="K42" s="311"/>
      <c r="L42" s="311"/>
      <c r="M42" s="311"/>
      <c r="N42" s="311"/>
      <c r="O42" s="311"/>
      <c r="P42" s="307"/>
      <c r="Q42" s="307"/>
    </row>
    <row r="43" spans="1:17" s="269" customFormat="1" ht="63.75" hidden="1" customHeight="1">
      <c r="A43" s="295" t="s">
        <v>1132</v>
      </c>
      <c r="B43" s="289">
        <v>574</v>
      </c>
      <c r="C43" s="290">
        <v>7592433001882</v>
      </c>
      <c r="D43" s="291" t="s">
        <v>1129</v>
      </c>
      <c r="E43" s="290">
        <v>48</v>
      </c>
      <c r="F43" s="292">
        <v>0.87</v>
      </c>
      <c r="G43" s="293">
        <v>41.77</v>
      </c>
      <c r="H43" s="294">
        <v>1.24</v>
      </c>
      <c r="I43" s="296">
        <v>0.2</v>
      </c>
      <c r="J43" s="310">
        <v>1.43</v>
      </c>
      <c r="K43" s="311"/>
      <c r="L43" s="311"/>
      <c r="M43" s="311"/>
      <c r="N43" s="311"/>
      <c r="O43" s="311"/>
      <c r="P43" s="307"/>
      <c r="Q43" s="307"/>
    </row>
    <row r="44" spans="1:17" s="269" customFormat="1" ht="36" customHeight="1">
      <c r="A44" s="295" t="s">
        <v>1133</v>
      </c>
      <c r="B44" s="289">
        <v>23</v>
      </c>
      <c r="C44" s="290">
        <v>7592433000618</v>
      </c>
      <c r="D44" s="291" t="s">
        <v>1131</v>
      </c>
      <c r="E44" s="290">
        <v>12</v>
      </c>
      <c r="F44" s="292">
        <v>4.09</v>
      </c>
      <c r="G44" s="293">
        <v>49.08</v>
      </c>
      <c r="H44" s="294">
        <v>5.32</v>
      </c>
      <c r="I44" s="295" t="s">
        <v>1109</v>
      </c>
      <c r="J44" s="310">
        <v>5.32</v>
      </c>
      <c r="K44" s="311" t="s">
        <v>280</v>
      </c>
      <c r="L44" s="311" t="s">
        <v>631</v>
      </c>
      <c r="M44" s="311" t="s">
        <v>669</v>
      </c>
      <c r="N44" s="311" t="s">
        <v>631</v>
      </c>
      <c r="O44" s="311" t="s">
        <v>669</v>
      </c>
      <c r="P44" s="307"/>
      <c r="Q44" s="307"/>
    </row>
    <row r="45" spans="1:17" s="269" customFormat="1" ht="63.75" hidden="1" customHeight="1">
      <c r="A45" s="295" t="s">
        <v>1133</v>
      </c>
      <c r="B45" s="289">
        <v>679</v>
      </c>
      <c r="C45" s="290">
        <v>7592433002902</v>
      </c>
      <c r="D45" s="291" t="s">
        <v>1134</v>
      </c>
      <c r="E45" s="290">
        <v>24</v>
      </c>
      <c r="F45" s="292">
        <v>2.0699999999999998</v>
      </c>
      <c r="G45" s="293">
        <v>49.7</v>
      </c>
      <c r="H45" s="294">
        <v>2.69</v>
      </c>
      <c r="I45" s="295" t="s">
        <v>1109</v>
      </c>
      <c r="J45" s="310">
        <v>2.69</v>
      </c>
      <c r="K45" s="311"/>
      <c r="L45" s="311"/>
      <c r="M45" s="311"/>
      <c r="N45" s="311"/>
      <c r="O45" s="311"/>
      <c r="P45" s="307"/>
      <c r="Q45" s="307"/>
    </row>
    <row r="46" spans="1:17" s="269" customFormat="1" ht="63.75" hidden="1" customHeight="1">
      <c r="A46" s="295" t="s">
        <v>1133</v>
      </c>
      <c r="B46" s="289">
        <v>672</v>
      </c>
      <c r="C46" s="290">
        <v>7592433002896</v>
      </c>
      <c r="D46" s="291" t="s">
        <v>1129</v>
      </c>
      <c r="E46" s="290">
        <v>48</v>
      </c>
      <c r="F46" s="292">
        <v>0.93</v>
      </c>
      <c r="G46" s="293">
        <v>44.83</v>
      </c>
      <c r="H46" s="294">
        <v>1.21</v>
      </c>
      <c r="I46" s="295" t="s">
        <v>1109</v>
      </c>
      <c r="J46" s="310">
        <v>1.21</v>
      </c>
      <c r="K46" s="311"/>
      <c r="L46" s="311"/>
      <c r="M46" s="311"/>
      <c r="N46" s="311"/>
      <c r="O46" s="311"/>
      <c r="P46" s="307"/>
      <c r="Q46" s="307"/>
    </row>
    <row r="47" spans="1:17" s="269" customFormat="1" ht="63.75" hidden="1" customHeight="1">
      <c r="A47" s="1004" t="s">
        <v>1135</v>
      </c>
      <c r="B47" s="1005"/>
      <c r="C47" s="1005"/>
      <c r="D47" s="1005"/>
      <c r="E47" s="1005"/>
      <c r="F47" s="1005"/>
      <c r="G47" s="1005"/>
      <c r="H47" s="1005"/>
      <c r="I47" s="1005"/>
      <c r="J47" s="1005"/>
      <c r="K47" s="311"/>
      <c r="L47" s="311"/>
      <c r="M47" s="311"/>
      <c r="N47" s="311"/>
      <c r="O47" s="311"/>
      <c r="P47" s="307"/>
      <c r="Q47" s="307"/>
    </row>
    <row r="48" spans="1:17" s="269" customFormat="1" ht="38.25" customHeight="1">
      <c r="A48" s="288" t="s">
        <v>1136</v>
      </c>
      <c r="B48" s="289">
        <v>62</v>
      </c>
      <c r="C48" s="290">
        <v>7592433001073</v>
      </c>
      <c r="D48" s="305" t="s">
        <v>1137</v>
      </c>
      <c r="E48" s="290">
        <v>12</v>
      </c>
      <c r="F48" s="292">
        <v>1.3</v>
      </c>
      <c r="G48" s="293">
        <v>15.6</v>
      </c>
      <c r="H48" s="294">
        <v>1.85</v>
      </c>
      <c r="I48" s="296">
        <v>0.3</v>
      </c>
      <c r="J48" s="310">
        <v>2.14</v>
      </c>
      <c r="K48" s="311" t="s">
        <v>1179</v>
      </c>
      <c r="L48" s="311" t="s">
        <v>631</v>
      </c>
      <c r="M48" s="311" t="s">
        <v>630</v>
      </c>
      <c r="N48" s="311" t="s">
        <v>630</v>
      </c>
      <c r="O48" s="311" t="s">
        <v>630</v>
      </c>
      <c r="P48" s="307"/>
      <c r="Q48" s="307"/>
    </row>
    <row r="49" spans="1:17" s="269" customFormat="1" ht="42.75" customHeight="1">
      <c r="A49" s="288" t="s">
        <v>1136</v>
      </c>
      <c r="B49" s="289">
        <v>63</v>
      </c>
      <c r="C49" s="290">
        <v>7592433001080</v>
      </c>
      <c r="D49" s="305" t="s">
        <v>1138</v>
      </c>
      <c r="E49" s="290">
        <v>12</v>
      </c>
      <c r="F49" s="292">
        <v>2.04</v>
      </c>
      <c r="G49" s="293">
        <v>24.53</v>
      </c>
      <c r="H49" s="294">
        <v>2.9</v>
      </c>
      <c r="I49" s="296">
        <v>0.46</v>
      </c>
      <c r="J49" s="310">
        <v>3.37</v>
      </c>
      <c r="K49" s="311" t="s">
        <v>1179</v>
      </c>
      <c r="L49" s="311" t="s">
        <v>669</v>
      </c>
      <c r="M49" s="311" t="s">
        <v>630</v>
      </c>
      <c r="N49" s="311" t="s">
        <v>630</v>
      </c>
      <c r="O49" s="311" t="s">
        <v>630</v>
      </c>
      <c r="P49" s="307"/>
      <c r="Q49" s="307"/>
    </row>
    <row r="50" spans="1:17" s="269" customFormat="1" ht="63.75" hidden="1" customHeight="1">
      <c r="A50" s="295" t="s">
        <v>1139</v>
      </c>
      <c r="B50" s="289">
        <v>643</v>
      </c>
      <c r="C50" s="290">
        <v>7592433001523</v>
      </c>
      <c r="D50" s="305" t="s">
        <v>1137</v>
      </c>
      <c r="E50" s="290">
        <v>12</v>
      </c>
      <c r="F50" s="292">
        <v>1.1100000000000001</v>
      </c>
      <c r="G50" s="293">
        <v>13.33</v>
      </c>
      <c r="H50" s="294">
        <v>1.58</v>
      </c>
      <c r="I50" s="296">
        <v>0.25</v>
      </c>
      <c r="J50" s="310">
        <v>1.83</v>
      </c>
      <c r="K50" s="311"/>
      <c r="L50" s="311"/>
      <c r="M50" s="311"/>
      <c r="N50" s="311"/>
      <c r="O50" s="311"/>
      <c r="P50" s="307"/>
      <c r="Q50" s="307"/>
    </row>
    <row r="51" spans="1:17" s="269" customFormat="1" ht="63.75" hidden="1" customHeight="1">
      <c r="A51" s="295" t="s">
        <v>1140</v>
      </c>
      <c r="B51" s="289">
        <v>321</v>
      </c>
      <c r="C51" s="290">
        <v>7592433001455</v>
      </c>
      <c r="D51" s="305" t="s">
        <v>1141</v>
      </c>
      <c r="E51" s="290">
        <v>4</v>
      </c>
      <c r="F51" s="303">
        <v>21.4</v>
      </c>
      <c r="G51" s="293">
        <v>85.58</v>
      </c>
      <c r="H51" s="304">
        <v>30.38</v>
      </c>
      <c r="I51" s="296">
        <v>4.8600000000000003</v>
      </c>
      <c r="J51" s="310">
        <v>35.24</v>
      </c>
      <c r="K51" s="311"/>
      <c r="L51" s="311"/>
      <c r="M51" s="311"/>
      <c r="N51" s="311"/>
      <c r="O51" s="311"/>
      <c r="P51" s="307"/>
      <c r="Q51" s="307"/>
    </row>
    <row r="52" spans="1:17" s="269" customFormat="1" ht="63.75" hidden="1" customHeight="1">
      <c r="A52" s="984" t="s">
        <v>1142</v>
      </c>
      <c r="B52" s="985"/>
      <c r="C52" s="985"/>
      <c r="D52" s="985"/>
      <c r="E52" s="985"/>
      <c r="F52" s="985"/>
      <c r="G52" s="985"/>
      <c r="H52" s="985"/>
      <c r="I52" s="985"/>
      <c r="J52" s="985"/>
      <c r="K52" s="311"/>
      <c r="L52" s="311"/>
      <c r="M52" s="311"/>
      <c r="N52" s="311"/>
      <c r="O52" s="311"/>
      <c r="P52" s="307"/>
      <c r="Q52" s="307"/>
    </row>
    <row r="53" spans="1:17" s="269" customFormat="1" ht="63.75" hidden="1" customHeight="1">
      <c r="A53" s="295" t="s">
        <v>1143</v>
      </c>
      <c r="B53" s="289">
        <v>512</v>
      </c>
      <c r="C53" s="290">
        <v>7592433001578</v>
      </c>
      <c r="D53" s="295" t="s">
        <v>1144</v>
      </c>
      <c r="E53" s="290">
        <v>3</v>
      </c>
      <c r="F53" s="292">
        <v>6.05</v>
      </c>
      <c r="G53" s="293">
        <v>18.16</v>
      </c>
      <c r="H53" s="294">
        <v>8.7799999999999994</v>
      </c>
      <c r="I53" s="296">
        <v>1.4</v>
      </c>
      <c r="J53" s="310">
        <v>10.18</v>
      </c>
      <c r="K53" s="311"/>
      <c r="L53" s="311"/>
      <c r="M53" s="311"/>
      <c r="N53" s="311"/>
      <c r="O53" s="311"/>
      <c r="P53" s="307"/>
      <c r="Q53" s="307"/>
    </row>
    <row r="54" spans="1:17" s="269" customFormat="1" ht="63.75" hidden="1" customHeight="1">
      <c r="A54" s="295" t="s">
        <v>1145</v>
      </c>
      <c r="B54" s="289">
        <v>331</v>
      </c>
      <c r="C54" s="290">
        <v>7592433006986</v>
      </c>
      <c r="D54" s="295" t="s">
        <v>1144</v>
      </c>
      <c r="E54" s="290">
        <v>2</v>
      </c>
      <c r="F54" s="292">
        <v>7.75</v>
      </c>
      <c r="G54" s="293">
        <v>15.51</v>
      </c>
      <c r="H54" s="304">
        <v>11.24</v>
      </c>
      <c r="I54" s="296">
        <v>1.8</v>
      </c>
      <c r="J54" s="310">
        <v>13.04</v>
      </c>
      <c r="K54" s="311"/>
      <c r="L54" s="311"/>
      <c r="M54" s="311"/>
      <c r="N54" s="311"/>
      <c r="O54" s="311"/>
      <c r="P54" s="307"/>
      <c r="Q54" s="307"/>
    </row>
    <row r="55" spans="1:17" s="269" customFormat="1" ht="63.75" hidden="1" customHeight="1">
      <c r="A55" s="295" t="s">
        <v>1146</v>
      </c>
      <c r="B55" s="289">
        <v>289</v>
      </c>
      <c r="C55" s="290">
        <v>7592433006832</v>
      </c>
      <c r="D55" s="295" t="s">
        <v>1147</v>
      </c>
      <c r="E55" s="290">
        <v>4</v>
      </c>
      <c r="F55" s="303">
        <v>21.18</v>
      </c>
      <c r="G55" s="293">
        <v>84.72</v>
      </c>
      <c r="H55" s="304">
        <v>30.71</v>
      </c>
      <c r="I55" s="296">
        <v>4.91</v>
      </c>
      <c r="J55" s="310">
        <v>35.619999999999997</v>
      </c>
      <c r="K55" s="311"/>
      <c r="L55" s="311"/>
      <c r="M55" s="311"/>
      <c r="N55" s="311"/>
      <c r="O55" s="311"/>
      <c r="P55" s="307"/>
      <c r="Q55" s="307"/>
    </row>
    <row r="56" spans="1:17" s="269" customFormat="1" ht="63.75" hidden="1" customHeight="1">
      <c r="A56" s="295" t="s">
        <v>1148</v>
      </c>
      <c r="B56" s="289">
        <v>726</v>
      </c>
      <c r="C56" s="290">
        <v>7592433007006</v>
      </c>
      <c r="D56" s="295" t="s">
        <v>1149</v>
      </c>
      <c r="E56" s="290">
        <v>3</v>
      </c>
      <c r="F56" s="292">
        <v>4.8</v>
      </c>
      <c r="G56" s="293">
        <v>14.4</v>
      </c>
      <c r="H56" s="294">
        <v>6.96</v>
      </c>
      <c r="I56" s="295" t="s">
        <v>1109</v>
      </c>
      <c r="J56" s="310">
        <v>6.96</v>
      </c>
      <c r="K56" s="311"/>
      <c r="L56" s="311"/>
      <c r="M56" s="311"/>
      <c r="N56" s="311"/>
      <c r="O56" s="311"/>
      <c r="P56" s="307"/>
      <c r="Q56" s="307"/>
    </row>
    <row r="57" spans="1:17" s="269" customFormat="1" ht="63.75" hidden="1" customHeight="1">
      <c r="A57" s="295" t="s">
        <v>1150</v>
      </c>
      <c r="B57" s="289">
        <v>287</v>
      </c>
      <c r="C57" s="290">
        <v>7592433001394</v>
      </c>
      <c r="D57" s="295" t="s">
        <v>1149</v>
      </c>
      <c r="E57" s="290">
        <v>3</v>
      </c>
      <c r="F57" s="292">
        <v>4.7699999999999996</v>
      </c>
      <c r="G57" s="293">
        <v>14.31</v>
      </c>
      <c r="H57" s="294">
        <v>6.92</v>
      </c>
      <c r="I57" s="296">
        <v>1.1100000000000001</v>
      </c>
      <c r="J57" s="310">
        <v>8.02</v>
      </c>
      <c r="K57" s="311"/>
      <c r="L57" s="311"/>
      <c r="M57" s="311"/>
      <c r="N57" s="311"/>
      <c r="O57" s="311"/>
      <c r="P57" s="307"/>
      <c r="Q57" s="307"/>
    </row>
    <row r="58" spans="1:17" s="269" customFormat="1" ht="63.75" hidden="1" customHeight="1">
      <c r="A58" s="295" t="s">
        <v>1151</v>
      </c>
      <c r="B58" s="289">
        <v>285</v>
      </c>
      <c r="C58" s="290">
        <v>7592433001141</v>
      </c>
      <c r="D58" s="295" t="s">
        <v>1149</v>
      </c>
      <c r="E58" s="290">
        <v>3</v>
      </c>
      <c r="F58" s="292">
        <v>3.39</v>
      </c>
      <c r="G58" s="293">
        <v>10.17</v>
      </c>
      <c r="H58" s="294">
        <v>4.92</v>
      </c>
      <c r="I58" s="295" t="s">
        <v>1109</v>
      </c>
      <c r="J58" s="310">
        <v>4.92</v>
      </c>
      <c r="K58" s="311"/>
      <c r="L58" s="311"/>
      <c r="M58" s="311"/>
      <c r="N58" s="311"/>
      <c r="O58" s="311"/>
      <c r="P58" s="307"/>
      <c r="Q58" s="307"/>
    </row>
    <row r="59" spans="1:17" s="269" customFormat="1" ht="63.75" hidden="1" customHeight="1">
      <c r="A59" s="280" t="s">
        <v>1199</v>
      </c>
      <c r="B59" s="289">
        <v>1027</v>
      </c>
      <c r="C59" s="290">
        <v>7592433001974</v>
      </c>
      <c r="D59" s="295" t="s">
        <v>1152</v>
      </c>
      <c r="E59" s="290">
        <v>12</v>
      </c>
      <c r="F59" s="292">
        <v>4.5</v>
      </c>
      <c r="G59" s="293">
        <v>54</v>
      </c>
      <c r="H59" s="294">
        <v>6.53</v>
      </c>
      <c r="I59" s="296">
        <v>1.04</v>
      </c>
      <c r="J59" s="310">
        <v>7.57</v>
      </c>
      <c r="K59" s="311"/>
      <c r="L59" s="311"/>
      <c r="M59" s="311"/>
      <c r="N59" s="311"/>
      <c r="O59" s="311"/>
      <c r="P59" s="307"/>
      <c r="Q59" s="307"/>
    </row>
    <row r="60" spans="1:17" s="269" customFormat="1" ht="63.75" hidden="1" customHeight="1">
      <c r="A60" s="280" t="s">
        <v>1200</v>
      </c>
      <c r="B60" s="289">
        <v>1028</v>
      </c>
      <c r="C60" s="290">
        <v>7592433001967</v>
      </c>
      <c r="D60" s="295" t="s">
        <v>1152</v>
      </c>
      <c r="E60" s="290">
        <v>12</v>
      </c>
      <c r="F60" s="292">
        <v>4.5</v>
      </c>
      <c r="G60" s="293">
        <v>54</v>
      </c>
      <c r="H60" s="294">
        <v>6.53</v>
      </c>
      <c r="I60" s="296">
        <v>1.04</v>
      </c>
      <c r="J60" s="310">
        <v>7.57</v>
      </c>
      <c r="K60" s="311"/>
      <c r="L60" s="311"/>
      <c r="M60" s="311"/>
      <c r="N60" s="311"/>
      <c r="O60" s="311"/>
      <c r="P60" s="307"/>
      <c r="Q60" s="307"/>
    </row>
    <row r="61" spans="1:17" s="269" customFormat="1" ht="63.75" hidden="1" customHeight="1">
      <c r="A61" s="280" t="s">
        <v>1201</v>
      </c>
      <c r="B61" s="289">
        <v>1024</v>
      </c>
      <c r="C61" s="290">
        <v>7592433001943</v>
      </c>
      <c r="D61" s="295" t="s">
        <v>1152</v>
      </c>
      <c r="E61" s="290">
        <v>12</v>
      </c>
      <c r="F61" s="292">
        <v>4.5999999999999996</v>
      </c>
      <c r="G61" s="293">
        <v>55.2</v>
      </c>
      <c r="H61" s="294">
        <v>6.67</v>
      </c>
      <c r="I61" s="296">
        <v>1.07</v>
      </c>
      <c r="J61" s="310">
        <v>7.74</v>
      </c>
      <c r="K61" s="311"/>
      <c r="L61" s="311"/>
      <c r="M61" s="311"/>
      <c r="N61" s="311"/>
      <c r="O61" s="311"/>
      <c r="P61" s="307"/>
      <c r="Q61" s="307"/>
    </row>
    <row r="62" spans="1:17" s="269" customFormat="1" ht="63.75" hidden="1" customHeight="1">
      <c r="A62" s="986" t="s">
        <v>1202</v>
      </c>
      <c r="B62" s="987"/>
      <c r="C62" s="987"/>
      <c r="D62" s="987"/>
      <c r="E62" s="987"/>
      <c r="F62" s="987"/>
      <c r="G62" s="987"/>
      <c r="H62" s="987"/>
      <c r="I62" s="987"/>
      <c r="J62" s="987"/>
      <c r="K62" s="311"/>
      <c r="L62" s="311"/>
      <c r="M62" s="311"/>
      <c r="N62" s="311"/>
      <c r="O62" s="311"/>
      <c r="P62" s="307"/>
      <c r="Q62" s="307"/>
    </row>
    <row r="63" spans="1:17" s="269" customFormat="1" ht="63.75" hidden="1" customHeight="1">
      <c r="A63" s="295" t="s">
        <v>1153</v>
      </c>
      <c r="B63" s="289">
        <v>641</v>
      </c>
      <c r="C63" s="290">
        <v>7592433001820</v>
      </c>
      <c r="D63" s="291" t="s">
        <v>1154</v>
      </c>
      <c r="E63" s="290">
        <v>12</v>
      </c>
      <c r="F63" s="292">
        <v>1.37</v>
      </c>
      <c r="G63" s="293">
        <v>16.440000000000001</v>
      </c>
      <c r="H63" s="294">
        <v>1.95</v>
      </c>
      <c r="I63" s="296">
        <v>0.31</v>
      </c>
      <c r="J63" s="310">
        <v>2.2599999999999998</v>
      </c>
      <c r="K63" s="311"/>
      <c r="L63" s="311"/>
      <c r="M63" s="311"/>
      <c r="N63" s="311"/>
      <c r="O63" s="311"/>
      <c r="P63" s="307"/>
      <c r="Q63" s="307"/>
    </row>
    <row r="64" spans="1:17" s="269" customFormat="1" ht="63.75" hidden="1" customHeight="1">
      <c r="A64" s="295" t="s">
        <v>1155</v>
      </c>
      <c r="B64" s="289">
        <v>642</v>
      </c>
      <c r="C64" s="290">
        <v>7592433001813</v>
      </c>
      <c r="D64" s="291" t="s">
        <v>1154</v>
      </c>
      <c r="E64" s="290">
        <v>12</v>
      </c>
      <c r="F64" s="292">
        <v>1.37</v>
      </c>
      <c r="G64" s="293">
        <v>16.440000000000001</v>
      </c>
      <c r="H64" s="294">
        <v>1.95</v>
      </c>
      <c r="I64" s="296">
        <v>0.31</v>
      </c>
      <c r="J64" s="310">
        <v>2.2599999999999998</v>
      </c>
      <c r="K64" s="311"/>
      <c r="L64" s="311"/>
      <c r="M64" s="311"/>
      <c r="N64" s="311"/>
      <c r="O64" s="311"/>
      <c r="P64" s="307"/>
      <c r="Q64" s="307"/>
    </row>
    <row r="65" spans="1:17" s="269" customFormat="1" ht="63.75" hidden="1" customHeight="1">
      <c r="A65" s="295" t="s">
        <v>1156</v>
      </c>
      <c r="B65" s="289">
        <v>629</v>
      </c>
      <c r="C65" s="290">
        <v>7592433001837</v>
      </c>
      <c r="D65" s="291" t="s">
        <v>1157</v>
      </c>
      <c r="E65" s="290">
        <v>72</v>
      </c>
      <c r="F65" s="292">
        <v>0.37</v>
      </c>
      <c r="G65" s="293">
        <v>26.64</v>
      </c>
      <c r="H65" s="294">
        <v>0.53</v>
      </c>
      <c r="I65" s="296">
        <v>0.08</v>
      </c>
      <c r="J65" s="310">
        <v>0.61</v>
      </c>
      <c r="K65" s="311"/>
      <c r="L65" s="311"/>
      <c r="M65" s="311"/>
      <c r="N65" s="311"/>
      <c r="O65" s="311"/>
      <c r="P65" s="307"/>
      <c r="Q65" s="307"/>
    </row>
    <row r="66" spans="1:17" s="269" customFormat="1" ht="63.75" hidden="1" customHeight="1">
      <c r="A66" s="295" t="s">
        <v>1158</v>
      </c>
      <c r="B66" s="289">
        <v>628</v>
      </c>
      <c r="C66" s="290">
        <v>7592433001844</v>
      </c>
      <c r="D66" s="291" t="s">
        <v>1157</v>
      </c>
      <c r="E66" s="290">
        <v>72</v>
      </c>
      <c r="F66" s="292">
        <v>0.37</v>
      </c>
      <c r="G66" s="293">
        <v>26.64</v>
      </c>
      <c r="H66" s="294">
        <v>0.53</v>
      </c>
      <c r="I66" s="296">
        <v>0.08</v>
      </c>
      <c r="J66" s="310">
        <v>0.61</v>
      </c>
      <c r="K66" s="311"/>
      <c r="L66" s="311"/>
      <c r="M66" s="311"/>
      <c r="N66" s="311"/>
      <c r="O66" s="311"/>
      <c r="P66" s="307"/>
      <c r="Q66" s="307"/>
    </row>
    <row r="67" spans="1:17" s="269" customFormat="1" ht="63.75" hidden="1" customHeight="1">
      <c r="A67" s="280" t="s">
        <v>1203</v>
      </c>
      <c r="B67" s="289">
        <v>630</v>
      </c>
      <c r="C67" s="290">
        <v>7592433001783</v>
      </c>
      <c r="D67" s="291" t="s">
        <v>1159</v>
      </c>
      <c r="E67" s="290">
        <v>72</v>
      </c>
      <c r="F67" s="292">
        <v>0.22</v>
      </c>
      <c r="G67" s="293">
        <v>15.84</v>
      </c>
      <c r="H67" s="294">
        <v>0.31</v>
      </c>
      <c r="I67" s="296">
        <v>0.05</v>
      </c>
      <c r="J67" s="310">
        <v>0.36</v>
      </c>
      <c r="K67" s="311"/>
      <c r="L67" s="311"/>
      <c r="M67" s="311"/>
      <c r="N67" s="311"/>
      <c r="O67" s="311"/>
      <c r="P67" s="307"/>
      <c r="Q67" s="307"/>
    </row>
    <row r="68" spans="1:17" s="269" customFormat="1" ht="63.75" hidden="1" customHeight="1">
      <c r="A68" s="280" t="s">
        <v>1204</v>
      </c>
      <c r="B68" s="289">
        <v>631</v>
      </c>
      <c r="C68" s="290">
        <v>7592433001769</v>
      </c>
      <c r="D68" s="291" t="s">
        <v>1159</v>
      </c>
      <c r="E68" s="290">
        <v>72</v>
      </c>
      <c r="F68" s="292">
        <v>0.22</v>
      </c>
      <c r="G68" s="293">
        <v>15.84</v>
      </c>
      <c r="H68" s="294">
        <v>0.31</v>
      </c>
      <c r="I68" s="296">
        <v>0.05</v>
      </c>
      <c r="J68" s="310">
        <v>0.36</v>
      </c>
      <c r="K68" s="311"/>
      <c r="L68" s="311"/>
      <c r="M68" s="311"/>
      <c r="N68" s="311"/>
      <c r="O68" s="311"/>
      <c r="P68" s="307"/>
      <c r="Q68" s="307"/>
    </row>
    <row r="69" spans="1:17" s="269" customFormat="1" ht="63.75" hidden="1" customHeight="1">
      <c r="A69" s="280" t="s">
        <v>1205</v>
      </c>
      <c r="B69" s="289">
        <v>632</v>
      </c>
      <c r="C69" s="290">
        <v>7592433001776</v>
      </c>
      <c r="D69" s="291" t="s">
        <v>1159</v>
      </c>
      <c r="E69" s="290">
        <v>72</v>
      </c>
      <c r="F69" s="292">
        <v>0.22</v>
      </c>
      <c r="G69" s="293">
        <v>15.84</v>
      </c>
      <c r="H69" s="294">
        <v>0.31</v>
      </c>
      <c r="I69" s="296">
        <v>0.05</v>
      </c>
      <c r="J69" s="310">
        <v>0.36</v>
      </c>
      <c r="K69" s="311"/>
      <c r="L69" s="311"/>
      <c r="M69" s="311"/>
      <c r="N69" s="311"/>
      <c r="O69" s="311"/>
      <c r="P69" s="307"/>
      <c r="Q69" s="307"/>
    </row>
    <row r="70" spans="1:17" s="269" customFormat="1" ht="63.75" hidden="1" customHeight="1">
      <c r="A70" s="988" t="s">
        <v>1160</v>
      </c>
      <c r="B70" s="989"/>
      <c r="C70" s="989"/>
      <c r="D70" s="989"/>
      <c r="E70" s="989"/>
      <c r="F70" s="989"/>
      <c r="G70" s="989"/>
      <c r="H70" s="989"/>
      <c r="I70" s="989"/>
      <c r="J70" s="989"/>
      <c r="K70" s="311"/>
      <c r="L70" s="311"/>
      <c r="M70" s="311"/>
      <c r="N70" s="311"/>
      <c r="O70" s="311"/>
      <c r="P70" s="307"/>
      <c r="Q70" s="307"/>
    </row>
    <row r="71" spans="1:17" s="269" customFormat="1" ht="63.75" hidden="1" customHeight="1">
      <c r="A71" s="295" t="s">
        <v>1161</v>
      </c>
      <c r="B71" s="289">
        <v>936</v>
      </c>
      <c r="C71" s="290">
        <v>7592433006662</v>
      </c>
      <c r="D71" s="291" t="s">
        <v>1162</v>
      </c>
      <c r="E71" s="290">
        <v>18</v>
      </c>
      <c r="F71" s="292">
        <v>0.85</v>
      </c>
      <c r="G71" s="293">
        <v>15.3</v>
      </c>
      <c r="H71" s="294">
        <v>1.06</v>
      </c>
      <c r="I71" s="295" t="s">
        <v>1109</v>
      </c>
      <c r="J71" s="310">
        <v>1.06</v>
      </c>
      <c r="K71" s="311"/>
      <c r="L71" s="311"/>
      <c r="M71" s="311"/>
      <c r="N71" s="311"/>
      <c r="O71" s="311"/>
      <c r="P71" s="307"/>
      <c r="Q71" s="307"/>
    </row>
    <row r="72" spans="1:17" s="269" customFormat="1" ht="42" customHeight="1">
      <c r="A72" s="288" t="s">
        <v>1180</v>
      </c>
      <c r="B72" s="289">
        <v>881</v>
      </c>
      <c r="C72" s="290">
        <v>7592433006665</v>
      </c>
      <c r="D72" s="291" t="s">
        <v>1162</v>
      </c>
      <c r="E72" s="290">
        <v>18</v>
      </c>
      <c r="F72" s="292">
        <v>0.85</v>
      </c>
      <c r="G72" s="293">
        <v>15.3</v>
      </c>
      <c r="H72" s="294">
        <v>1.06</v>
      </c>
      <c r="I72" s="295" t="s">
        <v>1109</v>
      </c>
      <c r="J72" s="310">
        <v>1.06</v>
      </c>
      <c r="K72" s="311" t="s">
        <v>1182</v>
      </c>
      <c r="L72" s="311" t="s">
        <v>631</v>
      </c>
      <c r="M72" s="311" t="s">
        <v>631</v>
      </c>
      <c r="N72" s="311" t="s">
        <v>669</v>
      </c>
      <c r="O72" s="311" t="s">
        <v>669</v>
      </c>
      <c r="P72" s="307"/>
      <c r="Q72" s="307"/>
    </row>
    <row r="73" spans="1:17" s="269" customFormat="1" ht="63.75" hidden="1" customHeight="1">
      <c r="A73" s="295" t="s">
        <v>1163</v>
      </c>
      <c r="B73" s="289">
        <v>931</v>
      </c>
      <c r="C73" s="290">
        <v>7592433006689</v>
      </c>
      <c r="D73" s="291" t="s">
        <v>1162</v>
      </c>
      <c r="E73" s="290">
        <v>18</v>
      </c>
      <c r="F73" s="292">
        <v>0.85</v>
      </c>
      <c r="G73" s="293">
        <v>15.3</v>
      </c>
      <c r="H73" s="294">
        <v>1.06</v>
      </c>
      <c r="I73" s="295" t="s">
        <v>1109</v>
      </c>
      <c r="J73" s="310">
        <v>1.06</v>
      </c>
      <c r="K73" s="311"/>
      <c r="L73" s="311"/>
      <c r="M73" s="311"/>
      <c r="N73" s="311"/>
      <c r="O73" s="311"/>
      <c r="P73" s="307"/>
      <c r="Q73" s="307"/>
    </row>
    <row r="74" spans="1:17" s="269" customFormat="1" ht="63.75" hidden="1" customHeight="1">
      <c r="A74" s="306" t="s">
        <v>1181</v>
      </c>
      <c r="B74" s="289">
        <v>849</v>
      </c>
      <c r="C74" s="290">
        <v>7592433006689</v>
      </c>
      <c r="D74" s="291" t="s">
        <v>1162</v>
      </c>
      <c r="E74" s="290">
        <v>18</v>
      </c>
      <c r="F74" s="292">
        <v>0.85</v>
      </c>
      <c r="G74" s="293">
        <v>15.3</v>
      </c>
      <c r="H74" s="294">
        <v>1.06</v>
      </c>
      <c r="I74" s="295" t="s">
        <v>1109</v>
      </c>
      <c r="J74" s="310">
        <v>1.06</v>
      </c>
      <c r="K74" s="311" t="s">
        <v>630</v>
      </c>
      <c r="L74" s="311" t="s">
        <v>631</v>
      </c>
      <c r="M74" s="311"/>
      <c r="N74" s="311"/>
      <c r="O74" s="311"/>
      <c r="P74" s="307"/>
      <c r="Q74" s="307"/>
    </row>
    <row r="75" spans="1:17" s="269" customFormat="1" ht="63.75" hidden="1" customHeight="1">
      <c r="A75" s="295" t="s">
        <v>1164</v>
      </c>
      <c r="B75" s="289">
        <v>932</v>
      </c>
      <c r="C75" s="290">
        <v>7592433006672</v>
      </c>
      <c r="D75" s="291" t="s">
        <v>1162</v>
      </c>
      <c r="E75" s="290">
        <v>18</v>
      </c>
      <c r="F75" s="292">
        <v>0.85</v>
      </c>
      <c r="G75" s="293">
        <v>15.3</v>
      </c>
      <c r="H75" s="294">
        <v>1.06</v>
      </c>
      <c r="I75" s="295" t="s">
        <v>1109</v>
      </c>
      <c r="J75" s="310">
        <v>1.06</v>
      </c>
      <c r="K75" s="311"/>
      <c r="L75" s="311"/>
      <c r="M75" s="311"/>
      <c r="N75" s="311"/>
      <c r="O75" s="311"/>
      <c r="P75" s="307"/>
      <c r="Q75" s="307"/>
    </row>
    <row r="76" spans="1:17" s="269" customFormat="1" ht="63.75" hidden="1" customHeight="1">
      <c r="A76" s="306" t="s">
        <v>1165</v>
      </c>
      <c r="B76" s="289">
        <v>850</v>
      </c>
      <c r="C76" s="290">
        <v>7592433006672</v>
      </c>
      <c r="D76" s="291" t="s">
        <v>1162</v>
      </c>
      <c r="E76" s="290">
        <v>18</v>
      </c>
      <c r="F76" s="292">
        <v>0.85</v>
      </c>
      <c r="G76" s="293">
        <v>15.3</v>
      </c>
      <c r="H76" s="294">
        <v>1.06</v>
      </c>
      <c r="I76" s="295" t="s">
        <v>1109</v>
      </c>
      <c r="J76" s="310">
        <v>1.06</v>
      </c>
      <c r="K76" s="311" t="s">
        <v>1182</v>
      </c>
      <c r="L76" s="311" t="s">
        <v>631</v>
      </c>
      <c r="M76" s="311"/>
      <c r="N76" s="311"/>
      <c r="O76" s="311"/>
      <c r="P76" s="307"/>
      <c r="Q76" s="307"/>
    </row>
    <row r="77" spans="1:17" s="269" customFormat="1" ht="63.75" hidden="1" customHeight="1">
      <c r="A77" s="295" t="s">
        <v>1166</v>
      </c>
      <c r="B77" s="289">
        <v>935</v>
      </c>
      <c r="C77" s="290">
        <v>7592433006702</v>
      </c>
      <c r="D77" s="291" t="s">
        <v>1162</v>
      </c>
      <c r="E77" s="290">
        <v>18</v>
      </c>
      <c r="F77" s="292">
        <v>0.71</v>
      </c>
      <c r="G77" s="293">
        <v>12.78</v>
      </c>
      <c r="H77" s="294">
        <v>0.89</v>
      </c>
      <c r="I77" s="295" t="s">
        <v>1109</v>
      </c>
      <c r="J77" s="310">
        <v>0.89</v>
      </c>
      <c r="K77" s="311"/>
      <c r="L77" s="311"/>
      <c r="M77" s="311"/>
      <c r="N77" s="311"/>
      <c r="O77" s="311"/>
      <c r="P77" s="307"/>
      <c r="Q77" s="307"/>
    </row>
    <row r="78" spans="1:17" s="269" customFormat="1" ht="39" customHeight="1">
      <c r="A78" s="306" t="s">
        <v>1167</v>
      </c>
      <c r="B78" s="289">
        <v>848</v>
      </c>
      <c r="C78" s="290">
        <v>7592433006702</v>
      </c>
      <c r="D78" s="291" t="s">
        <v>1162</v>
      </c>
      <c r="E78" s="290">
        <v>18</v>
      </c>
      <c r="F78" s="292">
        <v>0.71</v>
      </c>
      <c r="G78" s="293">
        <v>12.78</v>
      </c>
      <c r="H78" s="294">
        <v>0.89</v>
      </c>
      <c r="I78" s="295" t="s">
        <v>1109</v>
      </c>
      <c r="J78" s="310">
        <v>0.89</v>
      </c>
      <c r="K78" s="311" t="s">
        <v>630</v>
      </c>
      <c r="L78" s="311" t="s">
        <v>631</v>
      </c>
      <c r="M78" s="311" t="s">
        <v>631</v>
      </c>
      <c r="N78" s="311" t="s">
        <v>669</v>
      </c>
      <c r="O78" s="311" t="s">
        <v>669</v>
      </c>
      <c r="P78" s="307"/>
      <c r="Q78" s="307"/>
    </row>
    <row r="79" spans="1:17" s="269" customFormat="1" ht="63.75" hidden="1" customHeight="1">
      <c r="A79" s="990" t="s">
        <v>1168</v>
      </c>
      <c r="B79" s="991"/>
      <c r="C79" s="991"/>
      <c r="D79" s="991"/>
      <c r="E79" s="991"/>
      <c r="F79" s="991"/>
      <c r="G79" s="991"/>
      <c r="H79" s="991"/>
      <c r="I79" s="991"/>
      <c r="J79" s="992"/>
    </row>
    <row r="80" spans="1:17" s="269" customFormat="1" ht="63.75" hidden="1" customHeight="1">
      <c r="A80" s="278" t="s">
        <v>1169</v>
      </c>
      <c r="B80" s="271">
        <v>613</v>
      </c>
      <c r="C80" s="279"/>
      <c r="D80" s="278" t="s">
        <v>1149</v>
      </c>
      <c r="E80" s="272">
        <v>25</v>
      </c>
      <c r="F80" s="273">
        <v>4.95</v>
      </c>
      <c r="G80" s="273">
        <v>123.75</v>
      </c>
      <c r="H80" s="275">
        <v>4.95</v>
      </c>
      <c r="I80" s="279"/>
      <c r="J80" s="279"/>
    </row>
    <row r="81" spans="1:10" s="269" customFormat="1" ht="63.75" hidden="1" customHeight="1">
      <c r="A81" s="280" t="s">
        <v>1170</v>
      </c>
      <c r="B81" s="271">
        <v>22</v>
      </c>
      <c r="C81" s="279"/>
      <c r="D81" s="278" t="s">
        <v>1171</v>
      </c>
      <c r="E81" s="272">
        <v>1</v>
      </c>
      <c r="F81" s="276">
        <v>24.75</v>
      </c>
      <c r="G81" s="274">
        <v>24.75</v>
      </c>
      <c r="H81" s="277">
        <v>24.75</v>
      </c>
      <c r="I81" s="279"/>
      <c r="J81" s="279"/>
    </row>
    <row r="82" spans="1:10" s="269" customFormat="1" ht="63.75" hidden="1" customHeight="1">
      <c r="A82" s="278" t="s">
        <v>1172</v>
      </c>
      <c r="B82" s="271">
        <v>569</v>
      </c>
      <c r="C82" s="279"/>
      <c r="D82" s="278" t="s">
        <v>1149</v>
      </c>
      <c r="E82" s="272">
        <v>25</v>
      </c>
      <c r="F82" s="273">
        <v>6.9</v>
      </c>
      <c r="G82" s="273">
        <v>172.5</v>
      </c>
      <c r="H82" s="275">
        <v>6.9</v>
      </c>
      <c r="I82" s="279"/>
      <c r="J82" s="279"/>
    </row>
    <row r="83" spans="1:10" s="269" customFormat="1" ht="63.75" hidden="1" customHeight="1">
      <c r="A83" s="278" t="s">
        <v>1173</v>
      </c>
      <c r="B83" s="271">
        <v>684</v>
      </c>
      <c r="C83" s="279"/>
      <c r="D83" s="278" t="s">
        <v>1149</v>
      </c>
      <c r="E83" s="272">
        <v>25</v>
      </c>
      <c r="F83" s="273">
        <v>6.5</v>
      </c>
      <c r="G83" s="273">
        <v>162.5</v>
      </c>
      <c r="H83" s="275">
        <v>6.5</v>
      </c>
      <c r="I83" s="279"/>
      <c r="J83" s="279"/>
    </row>
    <row r="84" spans="1:10" s="269" customFormat="1" ht="63.75" hidden="1" customHeight="1">
      <c r="A84" s="278" t="s">
        <v>1174</v>
      </c>
      <c r="B84" s="271">
        <v>570</v>
      </c>
      <c r="C84" s="279"/>
      <c r="D84" s="278" t="s">
        <v>1149</v>
      </c>
      <c r="E84" s="272">
        <v>25</v>
      </c>
      <c r="F84" s="273">
        <v>5.9</v>
      </c>
      <c r="G84" s="273">
        <v>147.5</v>
      </c>
      <c r="H84" s="275">
        <v>5.9</v>
      </c>
      <c r="I84" s="279"/>
      <c r="J84" s="279"/>
    </row>
  </sheetData>
  <mergeCells count="10">
    <mergeCell ref="A52:J52"/>
    <mergeCell ref="A62:J62"/>
    <mergeCell ref="A70:J70"/>
    <mergeCell ref="A79:J79"/>
    <mergeCell ref="A16:J16"/>
    <mergeCell ref="A30:J30"/>
    <mergeCell ref="A33:J33"/>
    <mergeCell ref="A36:J36"/>
    <mergeCell ref="A38:J38"/>
    <mergeCell ref="A47:J47"/>
  </mergeCells>
  <pageMargins left="0.7" right="0.7" top="0.75" bottom="0.75" header="0.3" footer="0.3"/>
  <pageSetup paperSize="119"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U19"/>
  <sheetViews>
    <sheetView workbookViewId="0">
      <selection activeCell="C22" sqref="C22"/>
    </sheetView>
  </sheetViews>
  <sheetFormatPr baseColWidth="10" defaultRowHeight="15"/>
  <cols>
    <col min="3" max="3" width="48.140625" style="73" customWidth="1"/>
    <col min="4" max="5" width="11.85546875" style="73" customWidth="1"/>
    <col min="6" max="6" width="11.5703125" style="73" customWidth="1"/>
    <col min="7" max="7" width="16.28515625" customWidth="1"/>
    <col min="8" max="11" width="16.28515625" style="494" hidden="1" customWidth="1"/>
    <col min="12" max="12" width="14" customWidth="1"/>
    <col min="13" max="16" width="14" style="494" hidden="1" customWidth="1"/>
    <col min="18" max="21" width="0" hidden="1" customWidth="1"/>
  </cols>
  <sheetData>
    <row r="3" spans="1:21">
      <c r="C3" s="73" t="s">
        <v>3047</v>
      </c>
    </row>
    <row r="4" spans="1:21">
      <c r="G4" s="494" t="s">
        <v>72</v>
      </c>
    </row>
    <row r="5" spans="1:21" ht="45">
      <c r="A5" t="s">
        <v>3149</v>
      </c>
      <c r="B5" s="679" t="s">
        <v>1312</v>
      </c>
      <c r="C5" s="679" t="s">
        <v>113</v>
      </c>
      <c r="D5" s="356" t="s">
        <v>1061</v>
      </c>
      <c r="E5" s="356" t="s">
        <v>75</v>
      </c>
      <c r="F5" s="356" t="s">
        <v>637</v>
      </c>
      <c r="G5" s="356" t="s">
        <v>24</v>
      </c>
      <c r="H5" s="356" t="s">
        <v>2352</v>
      </c>
      <c r="I5" s="679" t="s">
        <v>2353</v>
      </c>
      <c r="J5" s="356" t="s">
        <v>2354</v>
      </c>
      <c r="K5" s="356" t="s">
        <v>2355</v>
      </c>
      <c r="L5" s="356" t="s">
        <v>25</v>
      </c>
      <c r="M5" s="356" t="s">
        <v>2352</v>
      </c>
      <c r="N5" s="356" t="s">
        <v>2353</v>
      </c>
      <c r="O5" s="356" t="s">
        <v>2354</v>
      </c>
      <c r="P5" s="356" t="s">
        <v>2355</v>
      </c>
      <c r="Q5" s="356" t="s">
        <v>26</v>
      </c>
      <c r="R5" s="756" t="s">
        <v>2352</v>
      </c>
      <c r="S5" s="42" t="s">
        <v>2353</v>
      </c>
      <c r="T5" s="43" t="s">
        <v>2354</v>
      </c>
      <c r="U5" s="444" t="s">
        <v>2355</v>
      </c>
    </row>
    <row r="6" spans="1:21">
      <c r="A6">
        <v>24</v>
      </c>
      <c r="B6" s="679">
        <v>2867</v>
      </c>
      <c r="C6" s="401" t="s">
        <v>1299</v>
      </c>
      <c r="D6" s="356">
        <v>18.48</v>
      </c>
      <c r="E6" s="356">
        <v>0</v>
      </c>
      <c r="F6" s="356">
        <f>+D6*E6</f>
        <v>0</v>
      </c>
      <c r="G6" s="679">
        <v>5</v>
      </c>
      <c r="H6" s="679">
        <v>21</v>
      </c>
      <c r="I6" s="760">
        <f>H6/24</f>
        <v>0.875</v>
      </c>
      <c r="J6" s="679">
        <v>6</v>
      </c>
      <c r="K6" s="760">
        <f>J6/24</f>
        <v>0.25</v>
      </c>
      <c r="L6" s="679">
        <v>1</v>
      </c>
      <c r="M6" s="679">
        <v>0</v>
      </c>
      <c r="N6" s="679">
        <f>M6/24</f>
        <v>0</v>
      </c>
      <c r="O6" s="679">
        <v>0</v>
      </c>
      <c r="P6" s="679">
        <f>O6/24</f>
        <v>0</v>
      </c>
      <c r="Q6" s="679">
        <v>1</v>
      </c>
      <c r="R6" s="759">
        <v>0</v>
      </c>
      <c r="S6" s="23">
        <f>R6/24</f>
        <v>0</v>
      </c>
      <c r="T6" s="23">
        <v>0</v>
      </c>
      <c r="U6" s="23">
        <f>T6/24</f>
        <v>0</v>
      </c>
    </row>
    <row r="7" spans="1:21" hidden="1">
      <c r="B7" s="679">
        <v>7976</v>
      </c>
      <c r="C7" s="401" t="s">
        <v>1300</v>
      </c>
      <c r="D7" s="356">
        <v>22.49</v>
      </c>
      <c r="E7" s="356">
        <v>0</v>
      </c>
      <c r="F7" s="356">
        <f t="shared" ref="F7:F16" si="0">+D7*E7</f>
        <v>0</v>
      </c>
      <c r="G7" s="679"/>
      <c r="H7" s="679">
        <v>19</v>
      </c>
      <c r="I7" s="760">
        <f>H7/24</f>
        <v>0.79166666666666663</v>
      </c>
      <c r="J7" s="679">
        <v>179</v>
      </c>
      <c r="K7" s="760">
        <f>J7/24</f>
        <v>7.458333333333333</v>
      </c>
      <c r="L7" s="679"/>
      <c r="M7" s="679">
        <v>0</v>
      </c>
      <c r="N7" s="679">
        <f>M7/24</f>
        <v>0</v>
      </c>
      <c r="O7" s="679">
        <v>0</v>
      </c>
      <c r="P7" s="679">
        <f>O7/24</f>
        <v>0</v>
      </c>
      <c r="Q7" s="679"/>
      <c r="R7" s="759">
        <v>0</v>
      </c>
      <c r="S7" s="23">
        <f>R7/24</f>
        <v>0</v>
      </c>
      <c r="T7" s="23">
        <v>0</v>
      </c>
      <c r="U7" s="23">
        <f>T7/24</f>
        <v>0</v>
      </c>
    </row>
    <row r="8" spans="1:21" hidden="1">
      <c r="B8" s="679">
        <v>12944</v>
      </c>
      <c r="C8" s="401" t="s">
        <v>1301</v>
      </c>
      <c r="D8" s="356">
        <v>20.79</v>
      </c>
      <c r="E8" s="356">
        <v>0</v>
      </c>
      <c r="F8" s="356">
        <f t="shared" si="0"/>
        <v>0</v>
      </c>
      <c r="G8" s="679"/>
      <c r="H8" s="679">
        <v>6</v>
      </c>
      <c r="I8" s="760">
        <f>H8/12</f>
        <v>0.5</v>
      </c>
      <c r="J8" s="679">
        <v>136</v>
      </c>
      <c r="K8" s="760">
        <f>J8/12</f>
        <v>11.333333333333334</v>
      </c>
      <c r="L8" s="679"/>
      <c r="M8" s="679">
        <v>0</v>
      </c>
      <c r="N8" s="679">
        <f>M8/12</f>
        <v>0</v>
      </c>
      <c r="O8" s="679">
        <v>0</v>
      </c>
      <c r="P8" s="679">
        <f>O8/12</f>
        <v>0</v>
      </c>
      <c r="Q8" s="679"/>
      <c r="R8" s="759">
        <v>0</v>
      </c>
      <c r="S8" s="23">
        <f>R8/12</f>
        <v>0</v>
      </c>
      <c r="T8" s="23">
        <v>0</v>
      </c>
      <c r="U8" s="23">
        <f>T8/12</f>
        <v>0</v>
      </c>
    </row>
    <row r="9" spans="1:21">
      <c r="A9">
        <v>20</v>
      </c>
      <c r="B9" s="679">
        <v>4342</v>
      </c>
      <c r="C9" s="401" t="s">
        <v>1302</v>
      </c>
      <c r="D9" s="356">
        <v>17.170000000000002</v>
      </c>
      <c r="E9" s="356">
        <v>120</v>
      </c>
      <c r="F9" s="356">
        <f t="shared" si="0"/>
        <v>2060.4</v>
      </c>
      <c r="G9" s="679">
        <v>120</v>
      </c>
      <c r="H9" s="679">
        <v>742</v>
      </c>
      <c r="I9" s="760">
        <f>H9/20</f>
        <v>37.1</v>
      </c>
      <c r="J9" s="679">
        <v>1184</v>
      </c>
      <c r="K9" s="760">
        <f>J8:J9/20</f>
        <v>59.2</v>
      </c>
      <c r="L9" s="679">
        <v>10</v>
      </c>
      <c r="M9" s="679">
        <v>0</v>
      </c>
      <c r="N9" s="679">
        <f>M9/20</f>
        <v>0</v>
      </c>
      <c r="O9" s="679">
        <v>0</v>
      </c>
      <c r="P9" s="679">
        <f>O8:O9/20</f>
        <v>0</v>
      </c>
      <c r="Q9" s="679">
        <v>5</v>
      </c>
      <c r="R9" s="759">
        <v>0</v>
      </c>
      <c r="S9" s="23">
        <f>R9/20</f>
        <v>0</v>
      </c>
      <c r="T9" s="23">
        <v>0</v>
      </c>
      <c r="U9" s="23">
        <f>T8:T9/20</f>
        <v>0</v>
      </c>
    </row>
    <row r="10" spans="1:21" hidden="1">
      <c r="B10" s="679">
        <v>12591</v>
      </c>
      <c r="C10" s="401" t="s">
        <v>1303</v>
      </c>
      <c r="D10" s="356"/>
      <c r="E10" s="356"/>
      <c r="F10" s="356">
        <f t="shared" si="0"/>
        <v>0</v>
      </c>
      <c r="G10" s="679"/>
      <c r="H10" s="679"/>
      <c r="I10" s="760">
        <f t="shared" ref="I10:I13" si="1">H10/20</f>
        <v>0</v>
      </c>
      <c r="J10" s="679"/>
      <c r="K10" s="760">
        <f t="shared" ref="K10:K13" si="2">J9:J10/20</f>
        <v>0</v>
      </c>
      <c r="L10" s="679"/>
      <c r="M10" s="679">
        <v>0</v>
      </c>
      <c r="N10" s="679">
        <f t="shared" ref="N10:N13" si="3">M10/20</f>
        <v>0</v>
      </c>
      <c r="O10" s="679">
        <v>0</v>
      </c>
      <c r="P10" s="679">
        <f t="shared" ref="P10:P13" si="4">O9:O10/20</f>
        <v>0</v>
      </c>
      <c r="Q10" s="679"/>
      <c r="R10" s="759">
        <v>0</v>
      </c>
      <c r="S10" s="23">
        <f t="shared" ref="S10:S13" si="5">R10/20</f>
        <v>0</v>
      </c>
      <c r="T10" s="23">
        <v>0</v>
      </c>
      <c r="U10" s="23">
        <f t="shared" ref="U10:U13" si="6">T9:T10/20</f>
        <v>0</v>
      </c>
    </row>
    <row r="11" spans="1:21" hidden="1">
      <c r="B11" s="679">
        <v>9372</v>
      </c>
      <c r="C11" s="401" t="s">
        <v>1304</v>
      </c>
      <c r="D11" s="356"/>
      <c r="E11" s="356"/>
      <c r="F11" s="356">
        <f t="shared" si="0"/>
        <v>0</v>
      </c>
      <c r="G11" s="679"/>
      <c r="H11" s="679">
        <v>136</v>
      </c>
      <c r="I11" s="760">
        <f t="shared" si="1"/>
        <v>6.8</v>
      </c>
      <c r="J11" s="679">
        <v>470</v>
      </c>
      <c r="K11" s="760">
        <f t="shared" si="2"/>
        <v>23.5</v>
      </c>
      <c r="L11" s="679">
        <v>2</v>
      </c>
      <c r="M11" s="679">
        <v>0</v>
      </c>
      <c r="N11" s="679">
        <f t="shared" si="3"/>
        <v>0</v>
      </c>
      <c r="O11" s="679">
        <v>0</v>
      </c>
      <c r="P11" s="679">
        <f t="shared" si="4"/>
        <v>0</v>
      </c>
      <c r="Q11" s="679"/>
      <c r="R11" s="759">
        <v>0</v>
      </c>
      <c r="S11" s="23">
        <f t="shared" si="5"/>
        <v>0</v>
      </c>
      <c r="T11" s="23">
        <v>0</v>
      </c>
      <c r="U11" s="23">
        <f t="shared" si="6"/>
        <v>0</v>
      </c>
    </row>
    <row r="12" spans="1:21">
      <c r="A12">
        <v>20</v>
      </c>
      <c r="B12" s="679">
        <v>8337</v>
      </c>
      <c r="C12" s="401" t="s">
        <v>1305</v>
      </c>
      <c r="D12" s="356">
        <v>17.12</v>
      </c>
      <c r="E12" s="356">
        <v>0</v>
      </c>
      <c r="F12" s="356">
        <f t="shared" si="0"/>
        <v>0</v>
      </c>
      <c r="G12" s="679">
        <v>10</v>
      </c>
      <c r="H12" s="679"/>
      <c r="I12" s="760">
        <f t="shared" si="1"/>
        <v>0</v>
      </c>
      <c r="J12" s="679"/>
      <c r="K12" s="760">
        <f t="shared" si="2"/>
        <v>0</v>
      </c>
      <c r="L12" s="679">
        <v>3</v>
      </c>
      <c r="M12" s="679">
        <v>0</v>
      </c>
      <c r="N12" s="679">
        <f t="shared" si="3"/>
        <v>0</v>
      </c>
      <c r="O12" s="679">
        <v>0</v>
      </c>
      <c r="P12" s="679">
        <f t="shared" si="4"/>
        <v>0</v>
      </c>
      <c r="Q12" s="679">
        <v>3</v>
      </c>
      <c r="R12" s="759">
        <v>0</v>
      </c>
      <c r="S12" s="23">
        <f t="shared" si="5"/>
        <v>0</v>
      </c>
      <c r="T12" s="23">
        <v>0</v>
      </c>
      <c r="U12" s="23">
        <f t="shared" si="6"/>
        <v>0</v>
      </c>
    </row>
    <row r="13" spans="1:21">
      <c r="A13">
        <v>20</v>
      </c>
      <c r="B13" s="679">
        <v>8554</v>
      </c>
      <c r="C13" s="401" t="s">
        <v>1306</v>
      </c>
      <c r="D13" s="356"/>
      <c r="E13" s="356"/>
      <c r="F13" s="356">
        <f t="shared" si="0"/>
        <v>0</v>
      </c>
      <c r="G13" s="679" t="s">
        <v>669</v>
      </c>
      <c r="H13" s="679">
        <v>126</v>
      </c>
      <c r="I13" s="760">
        <f t="shared" si="1"/>
        <v>6.3</v>
      </c>
      <c r="J13" s="679">
        <v>207</v>
      </c>
      <c r="K13" s="760">
        <f t="shared" si="2"/>
        <v>10.35</v>
      </c>
      <c r="L13" s="679">
        <v>2</v>
      </c>
      <c r="M13" s="679">
        <v>0</v>
      </c>
      <c r="N13" s="679">
        <f t="shared" si="3"/>
        <v>0</v>
      </c>
      <c r="O13" s="679">
        <v>0</v>
      </c>
      <c r="P13" s="679">
        <f t="shared" si="4"/>
        <v>0</v>
      </c>
      <c r="Q13" s="679">
        <v>1</v>
      </c>
      <c r="R13" s="759">
        <v>0</v>
      </c>
      <c r="S13" s="23">
        <f t="shared" si="5"/>
        <v>0</v>
      </c>
      <c r="T13" s="23">
        <v>0</v>
      </c>
      <c r="U13" s="23">
        <f t="shared" si="6"/>
        <v>0</v>
      </c>
    </row>
    <row r="14" spans="1:21">
      <c r="A14">
        <v>24</v>
      </c>
      <c r="B14" s="679">
        <v>10239</v>
      </c>
      <c r="C14" s="401" t="s">
        <v>1307</v>
      </c>
      <c r="D14" s="356"/>
      <c r="E14" s="356"/>
      <c r="F14" s="356">
        <f t="shared" si="0"/>
        <v>0</v>
      </c>
      <c r="G14" s="679">
        <v>1</v>
      </c>
      <c r="H14" s="679">
        <v>0</v>
      </c>
      <c r="I14" s="760">
        <f>H14/12</f>
        <v>0</v>
      </c>
      <c r="J14" s="679">
        <v>0</v>
      </c>
      <c r="K14" s="760">
        <f>J14/12</f>
        <v>0</v>
      </c>
      <c r="L14" s="679">
        <v>1</v>
      </c>
      <c r="M14" s="679">
        <v>0</v>
      </c>
      <c r="N14" s="679">
        <f>M14/12</f>
        <v>0</v>
      </c>
      <c r="O14" s="679">
        <v>0</v>
      </c>
      <c r="P14" s="679">
        <f>O14/12</f>
        <v>0</v>
      </c>
      <c r="Q14" s="679" t="s">
        <v>669</v>
      </c>
      <c r="R14" s="759">
        <v>0</v>
      </c>
      <c r="S14" s="23">
        <f>R14/12</f>
        <v>0</v>
      </c>
      <c r="T14" s="23">
        <v>0</v>
      </c>
      <c r="U14" s="23">
        <f>T14/12</f>
        <v>0</v>
      </c>
    </row>
    <row r="15" spans="1:21">
      <c r="A15">
        <v>24</v>
      </c>
      <c r="B15" s="679">
        <v>9658</v>
      </c>
      <c r="C15" s="401" t="s">
        <v>1308</v>
      </c>
      <c r="D15" s="356"/>
      <c r="E15" s="356"/>
      <c r="F15" s="356">
        <f t="shared" si="0"/>
        <v>0</v>
      </c>
      <c r="G15" s="679">
        <v>1</v>
      </c>
      <c r="H15" s="679">
        <v>5</v>
      </c>
      <c r="I15" s="760">
        <f t="shared" ref="I15:I16" si="7">H15/12</f>
        <v>0.41666666666666669</v>
      </c>
      <c r="J15" s="679">
        <v>3</v>
      </c>
      <c r="K15" s="760">
        <f t="shared" ref="K15:K16" si="8">J15/12</f>
        <v>0.25</v>
      </c>
      <c r="L15" s="679" t="s">
        <v>669</v>
      </c>
      <c r="M15" s="679">
        <v>0</v>
      </c>
      <c r="N15" s="679">
        <f t="shared" ref="N15:N16" si="9">M15/12</f>
        <v>0</v>
      </c>
      <c r="O15" s="679">
        <v>0</v>
      </c>
      <c r="P15" s="679">
        <f t="shared" ref="P15:P16" si="10">O15/12</f>
        <v>0</v>
      </c>
      <c r="Q15" s="679" t="s">
        <v>669</v>
      </c>
      <c r="R15" s="759">
        <v>0</v>
      </c>
      <c r="S15" s="23">
        <f t="shared" ref="S15:S16" si="11">R15/12</f>
        <v>0</v>
      </c>
      <c r="T15" s="23">
        <v>0</v>
      </c>
      <c r="U15" s="23">
        <f t="shared" ref="U15:U16" si="12">T15/12</f>
        <v>0</v>
      </c>
    </row>
    <row r="16" spans="1:21">
      <c r="A16">
        <v>24</v>
      </c>
      <c r="B16" s="679">
        <v>9330</v>
      </c>
      <c r="C16" s="401" t="s">
        <v>1309</v>
      </c>
      <c r="D16" s="356"/>
      <c r="E16" s="356"/>
      <c r="F16" s="356">
        <f t="shared" si="0"/>
        <v>0</v>
      </c>
      <c r="G16" s="679" t="s">
        <v>669</v>
      </c>
      <c r="H16" s="679">
        <v>0</v>
      </c>
      <c r="I16" s="760">
        <f t="shared" si="7"/>
        <v>0</v>
      </c>
      <c r="J16" s="679">
        <v>0</v>
      </c>
      <c r="K16" s="760">
        <f t="shared" si="8"/>
        <v>0</v>
      </c>
      <c r="L16" s="679" t="s">
        <v>669</v>
      </c>
      <c r="M16" s="679">
        <v>0</v>
      </c>
      <c r="N16" s="679">
        <f t="shared" si="9"/>
        <v>0</v>
      </c>
      <c r="O16" s="679">
        <v>0</v>
      </c>
      <c r="P16" s="679">
        <f t="shared" si="10"/>
        <v>0</v>
      </c>
      <c r="Q16" s="679" t="s">
        <v>669</v>
      </c>
      <c r="R16" s="759">
        <v>0</v>
      </c>
      <c r="S16" s="23">
        <f t="shared" si="11"/>
        <v>0</v>
      </c>
      <c r="T16" s="23">
        <v>0</v>
      </c>
      <c r="U16" s="23">
        <f t="shared" si="12"/>
        <v>0</v>
      </c>
    </row>
    <row r="17" spans="1:17">
      <c r="A17">
        <v>12</v>
      </c>
      <c r="B17" s="357"/>
      <c r="C17" s="401" t="s">
        <v>3150</v>
      </c>
      <c r="D17" s="401">
        <v>2</v>
      </c>
      <c r="E17" s="401">
        <v>2</v>
      </c>
      <c r="F17" s="401">
        <f>SUM(F6:F16)</f>
        <v>2060.4</v>
      </c>
      <c r="G17" s="679">
        <v>2</v>
      </c>
      <c r="H17" s="357"/>
      <c r="I17" s="357"/>
      <c r="J17" s="357"/>
      <c r="K17" s="357"/>
      <c r="L17" s="679">
        <v>1</v>
      </c>
      <c r="M17" s="357"/>
      <c r="N17" s="357"/>
      <c r="O17" s="357"/>
      <c r="P17" s="357"/>
      <c r="Q17" s="679">
        <v>1</v>
      </c>
    </row>
    <row r="18" spans="1:17">
      <c r="F18" s="73">
        <v>1559.43</v>
      </c>
    </row>
    <row r="19" spans="1:17">
      <c r="F19" s="73">
        <f>F17-F18</f>
        <v>500.97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4:K78"/>
  <sheetViews>
    <sheetView topLeftCell="A68" workbookViewId="0">
      <selection activeCell="A81" sqref="A81"/>
    </sheetView>
  </sheetViews>
  <sheetFormatPr baseColWidth="10" defaultRowHeight="15"/>
  <cols>
    <col min="2" max="2" width="52" customWidth="1"/>
    <col min="3" max="3" width="12.140625" style="4" customWidth="1"/>
    <col min="4" max="4" width="14.85546875" style="4" customWidth="1"/>
    <col min="5" max="5" width="12" style="4" customWidth="1"/>
    <col min="6" max="6" width="11.42578125" style="4" customWidth="1"/>
    <col min="7" max="7" width="11" style="4" customWidth="1"/>
    <col min="8" max="8" width="11.42578125" style="4" customWidth="1"/>
    <col min="9" max="9" width="14.5703125" customWidth="1"/>
    <col min="10" max="11" width="11.42578125" customWidth="1"/>
  </cols>
  <sheetData>
    <row r="4" spans="1:8">
      <c r="B4" s="445" t="s">
        <v>2817</v>
      </c>
    </row>
    <row r="5" spans="1:8" ht="75">
      <c r="A5" s="1" t="s">
        <v>0</v>
      </c>
      <c r="B5" s="1" t="s">
        <v>1</v>
      </c>
      <c r="C5" s="3" t="s">
        <v>24</v>
      </c>
      <c r="D5" s="3" t="s">
        <v>25</v>
      </c>
      <c r="E5" s="3" t="s">
        <v>26</v>
      </c>
      <c r="F5" s="3" t="s">
        <v>28</v>
      </c>
      <c r="G5" s="3" t="s">
        <v>29</v>
      </c>
    </row>
    <row r="6" spans="1:8" hidden="1">
      <c r="A6" s="1">
        <v>15586</v>
      </c>
      <c r="B6" s="1" t="s">
        <v>47</v>
      </c>
      <c r="C6" s="5"/>
      <c r="D6" s="5"/>
      <c r="E6" s="5"/>
      <c r="F6" s="5"/>
      <c r="G6" s="5"/>
      <c r="H6" s="5"/>
    </row>
    <row r="7" spans="1:8" hidden="1">
      <c r="A7" s="1">
        <v>3059</v>
      </c>
      <c r="B7" s="1" t="s">
        <v>62</v>
      </c>
      <c r="C7" s="5" t="s">
        <v>669</v>
      </c>
      <c r="D7" s="5" t="s">
        <v>279</v>
      </c>
      <c r="E7" s="5" t="s">
        <v>669</v>
      </c>
      <c r="F7" s="5"/>
      <c r="G7" s="5"/>
      <c r="H7" s="5"/>
    </row>
    <row r="8" spans="1:8" hidden="1">
      <c r="A8" s="1">
        <v>3061</v>
      </c>
      <c r="B8" s="1" t="s">
        <v>55</v>
      </c>
      <c r="C8" s="5">
        <v>0</v>
      </c>
      <c r="D8" s="5" t="s">
        <v>72</v>
      </c>
      <c r="E8" s="5" t="s">
        <v>669</v>
      </c>
      <c r="F8" s="5"/>
      <c r="G8" s="5"/>
      <c r="H8" s="5"/>
    </row>
    <row r="9" spans="1:8" hidden="1">
      <c r="A9" s="1">
        <v>3064</v>
      </c>
      <c r="B9" s="1" t="s">
        <v>66</v>
      </c>
      <c r="C9" s="5" t="s">
        <v>2818</v>
      </c>
      <c r="D9" s="5" t="s">
        <v>2819</v>
      </c>
      <c r="E9" s="5" t="s">
        <v>803</v>
      </c>
      <c r="F9" s="5"/>
      <c r="G9" s="5"/>
      <c r="H9" s="5"/>
    </row>
    <row r="10" spans="1:8" hidden="1">
      <c r="A10" s="1">
        <v>3062</v>
      </c>
      <c r="B10" s="1" t="s">
        <v>1496</v>
      </c>
      <c r="C10" s="5">
        <v>0</v>
      </c>
      <c r="D10" s="5">
        <v>0</v>
      </c>
      <c r="E10" s="5" t="s">
        <v>669</v>
      </c>
      <c r="F10" s="5"/>
      <c r="G10" s="5"/>
      <c r="H10" s="5"/>
    </row>
    <row r="11" spans="1:8" hidden="1">
      <c r="A11" s="1">
        <v>12849</v>
      </c>
      <c r="B11" s="1" t="s">
        <v>120</v>
      </c>
      <c r="C11" s="5">
        <v>0</v>
      </c>
      <c r="D11" s="5">
        <v>0</v>
      </c>
      <c r="E11" s="5" t="s">
        <v>669</v>
      </c>
      <c r="F11" s="5"/>
      <c r="G11" s="5"/>
      <c r="H11" s="5"/>
    </row>
    <row r="12" spans="1:8" hidden="1">
      <c r="A12" s="1">
        <v>13273</v>
      </c>
      <c r="B12" s="1" t="s">
        <v>51</v>
      </c>
      <c r="C12" s="5" t="s">
        <v>669</v>
      </c>
      <c r="D12" s="4" t="s">
        <v>2552</v>
      </c>
      <c r="E12" s="5" t="s">
        <v>669</v>
      </c>
      <c r="F12" s="5" t="s">
        <v>72</v>
      </c>
      <c r="G12" s="5"/>
      <c r="H12" s="5"/>
    </row>
    <row r="13" spans="1:8" hidden="1">
      <c r="A13" s="1">
        <v>587</v>
      </c>
      <c r="B13" s="402" t="s">
        <v>57</v>
      </c>
      <c r="C13" s="5" t="s">
        <v>669</v>
      </c>
      <c r="D13" s="5" t="s">
        <v>2552</v>
      </c>
      <c r="E13" s="5" t="s">
        <v>669</v>
      </c>
      <c r="F13" s="5" t="s">
        <v>72</v>
      </c>
      <c r="G13" s="5"/>
      <c r="H13" s="5"/>
    </row>
    <row r="14" spans="1:8" hidden="1">
      <c r="A14" s="1">
        <v>13055</v>
      </c>
      <c r="B14" s="1" t="s">
        <v>52</v>
      </c>
      <c r="C14" s="5" t="s">
        <v>785</v>
      </c>
      <c r="D14" s="95" t="s">
        <v>2552</v>
      </c>
      <c r="E14" s="5" t="s">
        <v>280</v>
      </c>
      <c r="F14" s="5" t="s">
        <v>72</v>
      </c>
      <c r="G14" s="5"/>
      <c r="H14" s="5"/>
    </row>
    <row r="15" spans="1:8">
      <c r="A15" s="1">
        <v>2818</v>
      </c>
      <c r="B15" s="1" t="s">
        <v>56</v>
      </c>
      <c r="C15" s="5" t="s">
        <v>1932</v>
      </c>
      <c r="D15" s="5" t="s">
        <v>1495</v>
      </c>
      <c r="E15" s="5" t="s">
        <v>322</v>
      </c>
      <c r="F15" s="16" t="s">
        <v>786</v>
      </c>
      <c r="G15" s="5"/>
      <c r="H15" s="5"/>
    </row>
    <row r="16" spans="1:8" hidden="1">
      <c r="A16" s="1">
        <v>9731</v>
      </c>
      <c r="B16" s="1" t="s">
        <v>122</v>
      </c>
      <c r="C16" s="5" t="s">
        <v>669</v>
      </c>
      <c r="D16" s="5" t="s">
        <v>2552</v>
      </c>
      <c r="E16" s="5" t="s">
        <v>669</v>
      </c>
      <c r="F16" s="5"/>
      <c r="G16" s="5"/>
      <c r="H16" s="5"/>
    </row>
    <row r="17" spans="1:8" hidden="1">
      <c r="A17" s="1">
        <v>9515</v>
      </c>
      <c r="B17" s="1" t="s">
        <v>121</v>
      </c>
      <c r="C17" s="5" t="s">
        <v>669</v>
      </c>
      <c r="D17" s="5" t="s">
        <v>2552</v>
      </c>
      <c r="E17" s="5" t="s">
        <v>669</v>
      </c>
      <c r="F17" s="5"/>
      <c r="G17" s="5"/>
      <c r="H17" s="5"/>
    </row>
    <row r="18" spans="1:8">
      <c r="A18" s="1">
        <v>3739</v>
      </c>
      <c r="B18" s="1" t="s">
        <v>65</v>
      </c>
      <c r="C18" s="5" t="s">
        <v>279</v>
      </c>
      <c r="D18" s="5" t="s">
        <v>2552</v>
      </c>
      <c r="E18" s="5" t="s">
        <v>669</v>
      </c>
      <c r="F18" s="16" t="s">
        <v>322</v>
      </c>
      <c r="G18" s="5"/>
      <c r="H18" s="5"/>
    </row>
    <row r="19" spans="1:8">
      <c r="A19" s="1">
        <v>1289</v>
      </c>
      <c r="B19" s="1" t="s">
        <v>59</v>
      </c>
      <c r="C19" s="5" t="s">
        <v>669</v>
      </c>
      <c r="D19" s="5" t="s">
        <v>2552</v>
      </c>
      <c r="E19" s="5" t="s">
        <v>630</v>
      </c>
      <c r="F19" s="16" t="s">
        <v>280</v>
      </c>
      <c r="G19" s="5"/>
      <c r="H19" s="5"/>
    </row>
    <row r="20" spans="1:8" hidden="1">
      <c r="A20" s="1">
        <v>1295</v>
      </c>
      <c r="B20" s="1" t="s">
        <v>53</v>
      </c>
      <c r="C20" s="5" t="s">
        <v>669</v>
      </c>
      <c r="D20" s="5" t="s">
        <v>2552</v>
      </c>
      <c r="E20" s="5" t="s">
        <v>669</v>
      </c>
      <c r="F20" s="5" t="s">
        <v>72</v>
      </c>
      <c r="G20" s="5"/>
      <c r="H20" s="5"/>
    </row>
    <row r="21" spans="1:8">
      <c r="A21" s="1">
        <v>5355</v>
      </c>
      <c r="B21" s="1" t="s">
        <v>58</v>
      </c>
      <c r="C21" s="5" t="s">
        <v>280</v>
      </c>
      <c r="D21" s="5" t="s">
        <v>2552</v>
      </c>
      <c r="E21" s="5" t="s">
        <v>279</v>
      </c>
      <c r="F21" s="16" t="s">
        <v>322</v>
      </c>
      <c r="G21" s="5"/>
      <c r="H21" s="5"/>
    </row>
    <row r="22" spans="1:8" ht="15.75" customHeight="1">
      <c r="A22" s="1">
        <v>3740</v>
      </c>
      <c r="B22" s="1" t="s">
        <v>64</v>
      </c>
      <c r="C22" s="5" t="s">
        <v>2820</v>
      </c>
      <c r="D22" s="5" t="s">
        <v>2552</v>
      </c>
      <c r="E22" s="5" t="s">
        <v>669</v>
      </c>
      <c r="F22" s="16" t="s">
        <v>631</v>
      </c>
      <c r="G22" s="5"/>
      <c r="H22" s="5"/>
    </row>
    <row r="23" spans="1:8" hidden="1">
      <c r="A23" s="1">
        <v>6250</v>
      </c>
      <c r="B23" s="1" t="s">
        <v>61</v>
      </c>
      <c r="C23" s="5" t="s">
        <v>669</v>
      </c>
      <c r="D23" s="5" t="s">
        <v>2552</v>
      </c>
      <c r="E23" s="5" t="s">
        <v>669</v>
      </c>
      <c r="F23" s="5"/>
      <c r="G23" s="5"/>
      <c r="H23" s="5"/>
    </row>
    <row r="24" spans="1:8" hidden="1">
      <c r="A24" s="1">
        <v>7590</v>
      </c>
      <c r="B24" s="1" t="s">
        <v>60</v>
      </c>
      <c r="C24" s="5" t="s">
        <v>786</v>
      </c>
      <c r="D24" s="5" t="s">
        <v>2552</v>
      </c>
      <c r="E24" s="5" t="s">
        <v>322</v>
      </c>
      <c r="F24" s="5"/>
      <c r="G24" s="5"/>
      <c r="H24" s="5"/>
    </row>
    <row r="25" spans="1:8" hidden="1">
      <c r="A25" s="1">
        <v>544</v>
      </c>
      <c r="B25" s="1" t="s">
        <v>63</v>
      </c>
      <c r="C25" s="5" t="s">
        <v>786</v>
      </c>
      <c r="D25" s="5" t="s">
        <v>1481</v>
      </c>
      <c r="E25" s="5" t="s">
        <v>280</v>
      </c>
      <c r="F25" s="5"/>
      <c r="G25" s="5"/>
      <c r="H25" s="5"/>
    </row>
    <row r="26" spans="1:8" hidden="1">
      <c r="A26" s="1">
        <v>13453</v>
      </c>
      <c r="B26" s="1" t="s">
        <v>50</v>
      </c>
      <c r="C26" s="5" t="s">
        <v>669</v>
      </c>
      <c r="D26" s="5" t="s">
        <v>2552</v>
      </c>
      <c r="E26" s="5"/>
      <c r="F26" s="5"/>
      <c r="G26" s="5"/>
      <c r="H26" s="5"/>
    </row>
    <row r="28" spans="1:8" ht="30">
      <c r="B28" s="12" t="s">
        <v>69</v>
      </c>
      <c r="C28" s="13" t="s">
        <v>67</v>
      </c>
      <c r="D28" s="13" t="s">
        <v>70</v>
      </c>
      <c r="E28" s="13" t="s">
        <v>73</v>
      </c>
      <c r="F28" s="13" t="s">
        <v>74</v>
      </c>
      <c r="G28" s="13" t="s">
        <v>75</v>
      </c>
      <c r="H28" s="13" t="s">
        <v>76</v>
      </c>
    </row>
    <row r="29" spans="1:8" hidden="1">
      <c r="A29" s="1">
        <v>15586</v>
      </c>
      <c r="B29" s="1" t="s">
        <v>47</v>
      </c>
      <c r="C29" s="5">
        <v>2.59</v>
      </c>
      <c r="D29" s="5" t="s">
        <v>72</v>
      </c>
      <c r="E29" s="5"/>
      <c r="F29" s="5"/>
      <c r="G29" s="584">
        <v>0</v>
      </c>
      <c r="H29" s="5">
        <f>C29*G29</f>
        <v>0</v>
      </c>
    </row>
    <row r="30" spans="1:8" hidden="1">
      <c r="A30" s="1">
        <v>3059</v>
      </c>
      <c r="B30" s="1" t="s">
        <v>62</v>
      </c>
      <c r="C30" s="5">
        <v>13.6</v>
      </c>
      <c r="D30" s="5" t="s">
        <v>71</v>
      </c>
      <c r="E30" s="5">
        <v>36</v>
      </c>
      <c r="F30" s="6">
        <f>C30/E30</f>
        <v>0.37777777777777777</v>
      </c>
      <c r="G30" s="584">
        <v>0</v>
      </c>
      <c r="H30" s="5">
        <f>G30*C30</f>
        <v>0</v>
      </c>
    </row>
    <row r="31" spans="1:8" hidden="1">
      <c r="A31" s="1">
        <v>3061</v>
      </c>
      <c r="B31" s="1" t="s">
        <v>55</v>
      </c>
      <c r="C31" s="5">
        <v>13.6</v>
      </c>
      <c r="D31" s="5" t="s">
        <v>71</v>
      </c>
      <c r="E31" s="5">
        <v>36</v>
      </c>
      <c r="F31" s="6">
        <f t="shared" ref="F31:F48" si="0">C31/E31</f>
        <v>0.37777777777777777</v>
      </c>
      <c r="G31" s="584">
        <v>0</v>
      </c>
      <c r="H31" s="5">
        <f t="shared" ref="H31:H48" si="1">G31*C31</f>
        <v>0</v>
      </c>
    </row>
    <row r="32" spans="1:8" hidden="1">
      <c r="A32" s="1">
        <v>3064</v>
      </c>
      <c r="B32" s="1" t="s">
        <v>66</v>
      </c>
      <c r="C32" s="5">
        <v>13.6</v>
      </c>
      <c r="D32" s="5" t="s">
        <v>71</v>
      </c>
      <c r="E32" s="5">
        <v>36</v>
      </c>
      <c r="F32" s="6">
        <f t="shared" si="0"/>
        <v>0.37777777777777777</v>
      </c>
      <c r="G32" s="584">
        <v>0</v>
      </c>
      <c r="H32" s="5">
        <f t="shared" si="1"/>
        <v>0</v>
      </c>
    </row>
    <row r="33" spans="1:9" hidden="1">
      <c r="A33" s="1">
        <v>3062</v>
      </c>
      <c r="B33" s="1" t="s">
        <v>54</v>
      </c>
      <c r="C33" s="5">
        <v>15.2</v>
      </c>
      <c r="D33" s="5" t="s">
        <v>71</v>
      </c>
      <c r="E33" s="5">
        <v>36</v>
      </c>
      <c r="F33" s="6">
        <f t="shared" si="0"/>
        <v>0.42222222222222222</v>
      </c>
      <c r="G33" s="584">
        <v>0</v>
      </c>
      <c r="H33" s="5">
        <f t="shared" si="1"/>
        <v>0</v>
      </c>
    </row>
    <row r="34" spans="1:9" hidden="1">
      <c r="A34" s="1">
        <v>12849</v>
      </c>
      <c r="B34" s="1" t="s">
        <v>77</v>
      </c>
      <c r="C34" s="5">
        <v>15.2</v>
      </c>
      <c r="D34" s="5" t="s">
        <v>71</v>
      </c>
      <c r="E34" s="5">
        <v>36</v>
      </c>
      <c r="F34" s="6">
        <f t="shared" si="0"/>
        <v>0.42222222222222222</v>
      </c>
      <c r="G34" s="584">
        <v>0</v>
      </c>
      <c r="H34" s="5">
        <f t="shared" si="1"/>
        <v>0</v>
      </c>
    </row>
    <row r="35" spans="1:9" hidden="1">
      <c r="A35" s="1">
        <v>9731</v>
      </c>
      <c r="B35" s="1" t="s">
        <v>48</v>
      </c>
      <c r="C35" s="5">
        <v>0</v>
      </c>
      <c r="D35" s="5" t="s">
        <v>71</v>
      </c>
      <c r="E35" s="5">
        <v>36</v>
      </c>
      <c r="F35" s="6">
        <f t="shared" si="0"/>
        <v>0</v>
      </c>
      <c r="G35" s="584">
        <v>0</v>
      </c>
      <c r="H35" s="5">
        <f t="shared" si="1"/>
        <v>0</v>
      </c>
    </row>
    <row r="36" spans="1:9" hidden="1">
      <c r="A36" s="1">
        <v>9515</v>
      </c>
      <c r="B36" s="1" t="s">
        <v>49</v>
      </c>
      <c r="C36" s="5">
        <v>0</v>
      </c>
      <c r="D36" s="5" t="s">
        <v>71</v>
      </c>
      <c r="E36" s="5">
        <v>36</v>
      </c>
      <c r="F36" s="6">
        <f t="shared" si="0"/>
        <v>0</v>
      </c>
      <c r="G36" s="584">
        <v>0</v>
      </c>
      <c r="H36" s="5">
        <f t="shared" si="1"/>
        <v>0</v>
      </c>
    </row>
    <row r="37" spans="1:9" hidden="1">
      <c r="A37" s="1">
        <v>13273</v>
      </c>
      <c r="B37" s="1" t="s">
        <v>51</v>
      </c>
      <c r="C37" s="5">
        <v>8</v>
      </c>
      <c r="D37" s="5" t="s">
        <v>71</v>
      </c>
      <c r="E37" s="5">
        <v>12</v>
      </c>
      <c r="F37" s="6">
        <f t="shared" si="0"/>
        <v>0.66666666666666663</v>
      </c>
      <c r="G37" s="584">
        <v>0</v>
      </c>
      <c r="H37" s="5">
        <f t="shared" si="1"/>
        <v>0</v>
      </c>
    </row>
    <row r="38" spans="1:9" hidden="1">
      <c r="A38" s="1">
        <v>587</v>
      </c>
      <c r="B38" s="1" t="s">
        <v>2697</v>
      </c>
      <c r="C38" s="5">
        <v>8.4</v>
      </c>
      <c r="D38" s="5" t="s">
        <v>71</v>
      </c>
      <c r="E38" s="5">
        <v>12</v>
      </c>
      <c r="F38" s="6">
        <f t="shared" si="0"/>
        <v>0.70000000000000007</v>
      </c>
      <c r="G38" s="584">
        <v>0</v>
      </c>
      <c r="H38" s="5">
        <f t="shared" si="1"/>
        <v>0</v>
      </c>
    </row>
    <row r="39" spans="1:9" hidden="1">
      <c r="A39" s="1">
        <v>13055</v>
      </c>
      <c r="B39" s="1" t="s">
        <v>52</v>
      </c>
      <c r="C39" s="5">
        <v>8</v>
      </c>
      <c r="D39" s="5" t="s">
        <v>71</v>
      </c>
      <c r="E39" s="5">
        <v>12</v>
      </c>
      <c r="F39" s="6">
        <f t="shared" si="0"/>
        <v>0.66666666666666663</v>
      </c>
      <c r="G39" s="584">
        <v>0</v>
      </c>
      <c r="H39" s="5">
        <f t="shared" si="1"/>
        <v>0</v>
      </c>
    </row>
    <row r="40" spans="1:9" hidden="1">
      <c r="A40" s="1">
        <v>2818</v>
      </c>
      <c r="B40" s="1" t="s">
        <v>2659</v>
      </c>
      <c r="C40" s="5">
        <v>8.4</v>
      </c>
      <c r="D40" s="5" t="s">
        <v>71</v>
      </c>
      <c r="E40" s="5">
        <v>12</v>
      </c>
      <c r="F40" s="6">
        <f t="shared" si="0"/>
        <v>0.70000000000000007</v>
      </c>
      <c r="G40" s="584">
        <v>0</v>
      </c>
      <c r="H40" s="5">
        <f t="shared" si="1"/>
        <v>0</v>
      </c>
    </row>
    <row r="41" spans="1:9" hidden="1">
      <c r="A41" s="1">
        <v>6250</v>
      </c>
      <c r="B41" s="1" t="s">
        <v>61</v>
      </c>
      <c r="C41" s="5">
        <v>31.2</v>
      </c>
      <c r="D41" s="5" t="s">
        <v>71</v>
      </c>
      <c r="E41" s="5">
        <v>6</v>
      </c>
      <c r="F41" s="6">
        <f t="shared" si="0"/>
        <v>5.2</v>
      </c>
      <c r="G41" s="584">
        <v>0</v>
      </c>
      <c r="H41" s="5">
        <f t="shared" si="1"/>
        <v>0</v>
      </c>
    </row>
    <row r="42" spans="1:9" hidden="1">
      <c r="A42" s="1">
        <v>7590</v>
      </c>
      <c r="B42" s="1" t="s">
        <v>60</v>
      </c>
      <c r="C42" s="5">
        <v>31.2</v>
      </c>
      <c r="D42" s="5" t="s">
        <v>71</v>
      </c>
      <c r="E42" s="5">
        <v>6</v>
      </c>
      <c r="F42" s="6">
        <f t="shared" si="0"/>
        <v>5.2</v>
      </c>
      <c r="G42" s="584">
        <v>0</v>
      </c>
      <c r="H42" s="5">
        <f t="shared" si="1"/>
        <v>0</v>
      </c>
    </row>
    <row r="43" spans="1:9" hidden="1">
      <c r="A43" s="1">
        <v>544</v>
      </c>
      <c r="B43" s="1" t="s">
        <v>63</v>
      </c>
      <c r="C43" s="5">
        <v>31.2</v>
      </c>
      <c r="D43" s="5" t="s">
        <v>71</v>
      </c>
      <c r="E43" s="5">
        <v>6</v>
      </c>
      <c r="F43" s="6">
        <f t="shared" si="0"/>
        <v>5.2</v>
      </c>
      <c r="G43" s="584">
        <v>0</v>
      </c>
      <c r="H43" s="5">
        <f t="shared" si="1"/>
        <v>0</v>
      </c>
    </row>
    <row r="44" spans="1:9" hidden="1">
      <c r="A44" s="118">
        <v>3739</v>
      </c>
      <c r="B44" s="118" t="s">
        <v>65</v>
      </c>
      <c r="C44" s="549">
        <v>7</v>
      </c>
      <c r="D44" s="548">
        <v>0.16</v>
      </c>
      <c r="E44" s="484">
        <v>6</v>
      </c>
      <c r="F44" s="549">
        <f t="shared" si="0"/>
        <v>1.1666666666666667</v>
      </c>
      <c r="G44" s="584">
        <v>0</v>
      </c>
      <c r="H44" s="484">
        <f t="shared" si="1"/>
        <v>0</v>
      </c>
      <c r="I44" s="616">
        <v>8.1199999999999992</v>
      </c>
    </row>
    <row r="45" spans="1:9" hidden="1">
      <c r="A45" s="118">
        <v>3740</v>
      </c>
      <c r="B45" s="118" t="s">
        <v>64</v>
      </c>
      <c r="C45" s="549">
        <v>7</v>
      </c>
      <c r="D45" s="548">
        <v>0.16</v>
      </c>
      <c r="E45" s="484">
        <v>6</v>
      </c>
      <c r="F45" s="549">
        <f t="shared" si="0"/>
        <v>1.1666666666666667</v>
      </c>
      <c r="G45" s="584">
        <v>0</v>
      </c>
      <c r="H45" s="484">
        <f t="shared" si="1"/>
        <v>0</v>
      </c>
      <c r="I45" s="616"/>
    </row>
    <row r="46" spans="1:9" hidden="1">
      <c r="A46" s="118">
        <v>1289</v>
      </c>
      <c r="B46" s="118" t="s">
        <v>59</v>
      </c>
      <c r="C46" s="549">
        <v>3.7</v>
      </c>
      <c r="D46" s="548">
        <v>0.16</v>
      </c>
      <c r="E46" s="484">
        <v>12</v>
      </c>
      <c r="F46" s="549">
        <f t="shared" si="0"/>
        <v>0.30833333333333335</v>
      </c>
      <c r="G46" s="584">
        <v>0</v>
      </c>
      <c r="H46" s="484">
        <f t="shared" si="1"/>
        <v>0</v>
      </c>
      <c r="I46" s="616">
        <v>4.3</v>
      </c>
    </row>
    <row r="47" spans="1:9">
      <c r="A47" s="118">
        <v>1295</v>
      </c>
      <c r="B47" s="118" t="s">
        <v>53</v>
      </c>
      <c r="C47" s="549">
        <v>3.7</v>
      </c>
      <c r="D47" s="548">
        <v>0.16</v>
      </c>
      <c r="E47" s="484">
        <v>12</v>
      </c>
      <c r="F47" s="549">
        <f t="shared" si="0"/>
        <v>0.30833333333333335</v>
      </c>
      <c r="G47" s="584">
        <v>4</v>
      </c>
      <c r="H47" s="484">
        <f t="shared" si="1"/>
        <v>14.8</v>
      </c>
      <c r="I47" s="616"/>
    </row>
    <row r="48" spans="1:9">
      <c r="A48" s="118">
        <v>5355</v>
      </c>
      <c r="B48" s="118" t="s">
        <v>58</v>
      </c>
      <c r="C48" s="549">
        <v>6.9</v>
      </c>
      <c r="D48" s="548">
        <v>0.16</v>
      </c>
      <c r="E48" s="484">
        <v>36</v>
      </c>
      <c r="F48" s="549">
        <f t="shared" si="0"/>
        <v>0.19166666666666668</v>
      </c>
      <c r="G48" s="584">
        <v>10</v>
      </c>
      <c r="H48" s="484">
        <f t="shared" si="1"/>
        <v>69</v>
      </c>
      <c r="I48" s="616">
        <v>8</v>
      </c>
    </row>
    <row r="49" spans="1:11">
      <c r="E49" s="9"/>
      <c r="F49" s="9"/>
      <c r="G49" s="584" t="s">
        <v>2662</v>
      </c>
      <c r="H49" s="5">
        <f>SUM(H30:H48)</f>
        <v>83.8</v>
      </c>
    </row>
    <row r="50" spans="1:11">
      <c r="E50" s="9"/>
      <c r="F50" s="9"/>
      <c r="G50" s="23" t="s">
        <v>79</v>
      </c>
      <c r="H50" s="5">
        <f>H30+H31+H32+H33+H34+H35+H36+H37+H38+H39+H40+H41+H42+H43+H29</f>
        <v>0</v>
      </c>
    </row>
    <row r="51" spans="1:11" ht="45" customHeight="1" thickBot="1">
      <c r="E51" s="9"/>
      <c r="F51" s="9"/>
      <c r="G51" s="43" t="s">
        <v>80</v>
      </c>
      <c r="H51" s="5">
        <f>+H44+H45+H46+H47+H48</f>
        <v>83.8</v>
      </c>
    </row>
    <row r="52" spans="1:11" ht="15.75" thickBot="1">
      <c r="A52" s="7"/>
      <c r="B52" s="7"/>
      <c r="C52" s="8"/>
      <c r="D52" s="8"/>
      <c r="E52" s="8"/>
      <c r="F52" s="8"/>
      <c r="G52" s="556" t="s">
        <v>68</v>
      </c>
      <c r="H52" s="557">
        <f>H51*16%</f>
        <v>13.407999999999999</v>
      </c>
      <c r="I52" s="550" t="s">
        <v>1662</v>
      </c>
      <c r="J52" s="551">
        <v>4.1900000000000004</v>
      </c>
      <c r="K52" s="552">
        <f>H53*J52</f>
        <v>407.30152000000004</v>
      </c>
    </row>
    <row r="53" spans="1:11" ht="30.75" thickBot="1">
      <c r="A53" s="7"/>
      <c r="B53" s="7"/>
      <c r="C53" s="8"/>
      <c r="D53" s="8"/>
      <c r="E53" s="8"/>
      <c r="F53" s="8"/>
      <c r="G53" s="558" t="s">
        <v>81</v>
      </c>
      <c r="H53" s="559">
        <f>H50+H51+H52</f>
        <v>97.207999999999998</v>
      </c>
      <c r="I53" s="553" t="s">
        <v>2287</v>
      </c>
      <c r="J53" s="554">
        <v>4.1399999999999997</v>
      </c>
      <c r="K53" s="555">
        <f>J53*H53</f>
        <v>402.44111999999996</v>
      </c>
    </row>
    <row r="54" spans="1:11">
      <c r="A54" s="7"/>
      <c r="B54" s="7"/>
      <c r="C54" s="8"/>
      <c r="D54" s="8"/>
      <c r="E54" s="8"/>
      <c r="F54" s="8"/>
      <c r="G54" s="9"/>
      <c r="H54" s="9"/>
    </row>
    <row r="55" spans="1:11">
      <c r="A55" s="7"/>
      <c r="B55" s="7"/>
      <c r="C55" s="8"/>
      <c r="D55" s="8"/>
      <c r="E55" s="8"/>
      <c r="F55" s="8"/>
      <c r="G55" s="9"/>
      <c r="H55" s="9"/>
    </row>
    <row r="57" spans="1:11" ht="30">
      <c r="A57" s="494"/>
      <c r="B57" s="12" t="s">
        <v>2661</v>
      </c>
      <c r="C57" s="13" t="s">
        <v>2660</v>
      </c>
      <c r="D57" s="13" t="s">
        <v>73</v>
      </c>
      <c r="E57" s="13" t="s">
        <v>74</v>
      </c>
      <c r="F57" s="13" t="s">
        <v>75</v>
      </c>
      <c r="G57" s="13" t="s">
        <v>76</v>
      </c>
      <c r="H57" s="494"/>
      <c r="I57" s="494"/>
    </row>
    <row r="58" spans="1:11">
      <c r="A58" s="495">
        <v>15586</v>
      </c>
      <c r="B58" s="495" t="s">
        <v>47</v>
      </c>
      <c r="C58" s="617">
        <v>2.4300000000000002</v>
      </c>
      <c r="D58" s="617"/>
      <c r="E58" s="617">
        <v>2.59</v>
      </c>
      <c r="F58" s="617">
        <v>200</v>
      </c>
      <c r="G58" s="617">
        <f>C58*F58</f>
        <v>486.00000000000006</v>
      </c>
      <c r="H58" s="494"/>
      <c r="I58" s="494"/>
    </row>
    <row r="59" spans="1:11">
      <c r="A59" s="414">
        <v>3059</v>
      </c>
      <c r="B59" s="414" t="s">
        <v>62</v>
      </c>
      <c r="C59" s="617">
        <v>13.6</v>
      </c>
      <c r="D59" s="617">
        <v>36</v>
      </c>
      <c r="E59" s="6">
        <f t="shared" ref="E59:E77" si="2">C59/D59</f>
        <v>0.37777777777777777</v>
      </c>
      <c r="F59" s="617">
        <v>0</v>
      </c>
      <c r="G59" s="617">
        <f t="shared" ref="G59:G77" si="3">F59*C59</f>
        <v>0</v>
      </c>
      <c r="H59" s="494"/>
      <c r="I59" s="494"/>
    </row>
    <row r="60" spans="1:11">
      <c r="A60" s="414">
        <v>3061</v>
      </c>
      <c r="B60" s="414" t="s">
        <v>55</v>
      </c>
      <c r="C60" s="617">
        <v>13.6</v>
      </c>
      <c r="D60" s="617">
        <v>36</v>
      </c>
      <c r="E60" s="6">
        <f t="shared" si="2"/>
        <v>0.37777777777777777</v>
      </c>
      <c r="F60" s="617">
        <v>0</v>
      </c>
      <c r="G60" s="617">
        <f t="shared" si="3"/>
        <v>0</v>
      </c>
      <c r="H60" s="494"/>
      <c r="I60" s="494"/>
    </row>
    <row r="61" spans="1:11">
      <c r="A61" s="414">
        <v>3064</v>
      </c>
      <c r="B61" s="414" t="s">
        <v>66</v>
      </c>
      <c r="C61" s="617">
        <v>13.6</v>
      </c>
      <c r="D61" s="617">
        <v>36</v>
      </c>
      <c r="E61" s="6">
        <f t="shared" si="2"/>
        <v>0.37777777777777777</v>
      </c>
      <c r="F61" s="617">
        <v>155</v>
      </c>
      <c r="G61" s="617">
        <f t="shared" si="3"/>
        <v>2108</v>
      </c>
      <c r="H61" s="494"/>
      <c r="I61" s="494"/>
    </row>
    <row r="62" spans="1:11">
      <c r="A62" s="414">
        <v>3062</v>
      </c>
      <c r="B62" s="414" t="s">
        <v>54</v>
      </c>
      <c r="C62" s="617">
        <v>15.2</v>
      </c>
      <c r="D62" s="617">
        <v>36</v>
      </c>
      <c r="E62" s="6">
        <f t="shared" si="2"/>
        <v>0.42222222222222222</v>
      </c>
      <c r="F62" s="617">
        <v>0</v>
      </c>
      <c r="G62" s="617">
        <f t="shared" si="3"/>
        <v>0</v>
      </c>
      <c r="H62" s="494"/>
      <c r="I62" s="494"/>
    </row>
    <row r="63" spans="1:11">
      <c r="A63" s="414">
        <v>12849</v>
      </c>
      <c r="B63" s="414" t="s">
        <v>77</v>
      </c>
      <c r="C63" s="617">
        <v>15.2</v>
      </c>
      <c r="D63" s="617">
        <v>36</v>
      </c>
      <c r="E63" s="6">
        <f t="shared" si="2"/>
        <v>0.42222222222222222</v>
      </c>
      <c r="F63" s="617">
        <v>0</v>
      </c>
      <c r="G63" s="617">
        <f t="shared" si="3"/>
        <v>0</v>
      </c>
      <c r="H63" s="494"/>
      <c r="I63" s="494"/>
    </row>
    <row r="64" spans="1:11">
      <c r="A64" s="495">
        <v>9731</v>
      </c>
      <c r="B64" s="495" t="s">
        <v>48</v>
      </c>
      <c r="C64" s="617">
        <v>0</v>
      </c>
      <c r="D64" s="617">
        <v>36</v>
      </c>
      <c r="E64" s="6">
        <f t="shared" si="2"/>
        <v>0</v>
      </c>
      <c r="F64" s="617">
        <v>0</v>
      </c>
      <c r="G64" s="617">
        <f t="shared" si="3"/>
        <v>0</v>
      </c>
      <c r="H64" s="494"/>
      <c r="I64" s="494"/>
    </row>
    <row r="65" spans="1:10">
      <c r="A65" s="495">
        <v>9515</v>
      </c>
      <c r="B65" s="495" t="s">
        <v>49</v>
      </c>
      <c r="C65" s="617">
        <v>0</v>
      </c>
      <c r="D65" s="617">
        <v>36</v>
      </c>
      <c r="E65" s="6">
        <f t="shared" si="2"/>
        <v>0</v>
      </c>
      <c r="F65" s="617">
        <v>0</v>
      </c>
      <c r="G65" s="617">
        <f t="shared" si="3"/>
        <v>0</v>
      </c>
      <c r="H65" s="494"/>
      <c r="I65" s="494"/>
    </row>
    <row r="66" spans="1:10">
      <c r="A66" s="495">
        <v>13273</v>
      </c>
      <c r="B66" s="495" t="s">
        <v>51</v>
      </c>
      <c r="C66" s="617">
        <v>8</v>
      </c>
      <c r="D66" s="617">
        <v>12</v>
      </c>
      <c r="E66" s="6">
        <f t="shared" si="2"/>
        <v>0.66666666666666663</v>
      </c>
      <c r="F66" s="617">
        <v>5</v>
      </c>
      <c r="G66" s="617">
        <f t="shared" si="3"/>
        <v>40</v>
      </c>
      <c r="H66" s="494"/>
      <c r="I66" s="494"/>
    </row>
    <row r="67" spans="1:10">
      <c r="A67" s="495">
        <v>587</v>
      </c>
      <c r="B67" s="495" t="s">
        <v>57</v>
      </c>
      <c r="C67" s="617">
        <v>8.4</v>
      </c>
      <c r="D67" s="617">
        <v>12</v>
      </c>
      <c r="E67" s="6">
        <f t="shared" si="2"/>
        <v>0.70000000000000007</v>
      </c>
      <c r="F67" s="617">
        <v>30</v>
      </c>
      <c r="G67" s="617">
        <f t="shared" si="3"/>
        <v>252</v>
      </c>
      <c r="H67" s="494"/>
      <c r="I67" s="494"/>
    </row>
    <row r="68" spans="1:10">
      <c r="A68" s="495">
        <v>13055</v>
      </c>
      <c r="B68" s="495" t="s">
        <v>52</v>
      </c>
      <c r="C68" s="617">
        <v>8</v>
      </c>
      <c r="D68" s="617">
        <v>12</v>
      </c>
      <c r="E68" s="6">
        <f t="shared" si="2"/>
        <v>0.66666666666666663</v>
      </c>
      <c r="F68" s="617">
        <v>50</v>
      </c>
      <c r="G68" s="617">
        <f t="shared" si="3"/>
        <v>400</v>
      </c>
      <c r="H68" s="494"/>
      <c r="I68" s="494"/>
    </row>
    <row r="69" spans="1:10">
      <c r="A69" s="495">
        <v>2818</v>
      </c>
      <c r="B69" s="495" t="s">
        <v>2659</v>
      </c>
      <c r="C69" s="617">
        <v>8.4</v>
      </c>
      <c r="D69" s="617">
        <v>12</v>
      </c>
      <c r="E69" s="6">
        <f t="shared" si="2"/>
        <v>0.70000000000000007</v>
      </c>
      <c r="F69" s="617">
        <v>0</v>
      </c>
      <c r="G69" s="617">
        <f t="shared" si="3"/>
        <v>0</v>
      </c>
      <c r="H69" s="494"/>
      <c r="I69" s="494"/>
    </row>
    <row r="70" spans="1:10">
      <c r="A70" s="495">
        <v>6250</v>
      </c>
      <c r="B70" s="495" t="s">
        <v>61</v>
      </c>
      <c r="C70" s="617">
        <v>31.2</v>
      </c>
      <c r="D70" s="617">
        <v>6</v>
      </c>
      <c r="E70" s="6">
        <f t="shared" si="2"/>
        <v>5.2</v>
      </c>
      <c r="F70" s="617">
        <v>0</v>
      </c>
      <c r="G70" s="617">
        <f t="shared" si="3"/>
        <v>0</v>
      </c>
      <c r="H70" s="494"/>
      <c r="I70" s="494"/>
    </row>
    <row r="71" spans="1:10">
      <c r="A71" s="495">
        <v>7590</v>
      </c>
      <c r="B71" s="495" t="s">
        <v>60</v>
      </c>
      <c r="C71" s="617">
        <v>31.2</v>
      </c>
      <c r="D71" s="617">
        <v>6</v>
      </c>
      <c r="E71" s="6">
        <f t="shared" si="2"/>
        <v>5.2</v>
      </c>
      <c r="F71" s="617">
        <v>0</v>
      </c>
      <c r="G71" s="617">
        <f t="shared" si="3"/>
        <v>0</v>
      </c>
      <c r="H71" s="494"/>
      <c r="I71" s="494"/>
    </row>
    <row r="72" spans="1:10">
      <c r="A72" s="495">
        <v>544</v>
      </c>
      <c r="B72" s="495" t="s">
        <v>63</v>
      </c>
      <c r="C72" s="617">
        <v>31.2</v>
      </c>
      <c r="D72" s="617">
        <v>6</v>
      </c>
      <c r="E72" s="6">
        <f t="shared" si="2"/>
        <v>5.2</v>
      </c>
      <c r="F72" s="617">
        <v>30</v>
      </c>
      <c r="G72" s="617">
        <f t="shared" si="3"/>
        <v>936</v>
      </c>
      <c r="H72" s="494"/>
      <c r="I72" s="494"/>
    </row>
    <row r="73" spans="1:10">
      <c r="A73" s="118">
        <v>3739</v>
      </c>
      <c r="B73" s="118" t="s">
        <v>65</v>
      </c>
      <c r="C73" s="549">
        <v>8.1199999999999992</v>
      </c>
      <c r="D73" s="484">
        <v>6</v>
      </c>
      <c r="E73" s="549">
        <f t="shared" si="2"/>
        <v>1.3533333333333333</v>
      </c>
      <c r="F73" s="617">
        <v>0</v>
      </c>
      <c r="G73" s="484">
        <f t="shared" si="3"/>
        <v>0</v>
      </c>
      <c r="H73" s="616">
        <v>8.1199999999999992</v>
      </c>
      <c r="I73" s="494"/>
    </row>
    <row r="74" spans="1:10">
      <c r="A74" s="118">
        <v>3740</v>
      </c>
      <c r="B74" s="118" t="s">
        <v>64</v>
      </c>
      <c r="C74" s="549">
        <v>8.1199999999999992</v>
      </c>
      <c r="D74" s="484">
        <v>6</v>
      </c>
      <c r="E74" s="549">
        <f t="shared" si="2"/>
        <v>1.3533333333333333</v>
      </c>
      <c r="F74" s="617">
        <v>0</v>
      </c>
      <c r="G74" s="484">
        <f t="shared" si="3"/>
        <v>0</v>
      </c>
      <c r="H74" s="616"/>
      <c r="I74" s="494"/>
    </row>
    <row r="75" spans="1:10">
      <c r="A75" s="118">
        <v>1289</v>
      </c>
      <c r="B75" s="118" t="s">
        <v>59</v>
      </c>
      <c r="C75" s="549">
        <v>4.3</v>
      </c>
      <c r="D75" s="484">
        <v>12</v>
      </c>
      <c r="E75" s="549">
        <f t="shared" si="2"/>
        <v>0.35833333333333334</v>
      </c>
      <c r="F75" s="617">
        <v>0</v>
      </c>
      <c r="G75" s="484">
        <f t="shared" si="3"/>
        <v>0</v>
      </c>
      <c r="H75" s="616">
        <v>4.3</v>
      </c>
      <c r="I75" s="494"/>
    </row>
    <row r="76" spans="1:10">
      <c r="A76" s="118">
        <v>1295</v>
      </c>
      <c r="B76" s="118" t="s">
        <v>53</v>
      </c>
      <c r="C76" s="549">
        <v>4.3</v>
      </c>
      <c r="D76" s="484">
        <v>12</v>
      </c>
      <c r="E76" s="549">
        <f t="shared" si="2"/>
        <v>0.35833333333333334</v>
      </c>
      <c r="F76" s="617">
        <v>0</v>
      </c>
      <c r="G76" s="484">
        <f t="shared" si="3"/>
        <v>0</v>
      </c>
      <c r="H76" s="616"/>
      <c r="I76" s="494"/>
    </row>
    <row r="77" spans="1:10">
      <c r="A77" s="118">
        <v>5355</v>
      </c>
      <c r="B77" s="118" t="s">
        <v>58</v>
      </c>
      <c r="C77" s="549">
        <v>8</v>
      </c>
      <c r="D77" s="484">
        <v>36</v>
      </c>
      <c r="E77" s="549">
        <f t="shared" si="2"/>
        <v>0.22222222222222221</v>
      </c>
      <c r="F77" s="617">
        <v>0</v>
      </c>
      <c r="G77" s="484">
        <f t="shared" si="3"/>
        <v>0</v>
      </c>
      <c r="H77" s="616">
        <v>8</v>
      </c>
      <c r="I77" s="494"/>
    </row>
    <row r="78" spans="1:10">
      <c r="A78" s="494"/>
      <c r="B78" s="494"/>
      <c r="C78" s="616"/>
      <c r="D78" s="616"/>
      <c r="E78" s="9"/>
      <c r="F78" s="9"/>
      <c r="G78" s="617">
        <f>SUM(G58:G77)</f>
        <v>4222</v>
      </c>
      <c r="H78" s="617" t="s">
        <v>72</v>
      </c>
      <c r="I78" s="494"/>
      <c r="J78" s="494"/>
    </row>
  </sheetData>
  <sortState ref="A6:B26">
    <sortCondition ref="B6:B26"/>
  </sortState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88</vt:i4>
      </vt:variant>
      <vt:variant>
        <vt:lpstr>Rangos con nombre</vt:lpstr>
      </vt:variant>
      <vt:variant>
        <vt:i4>1</vt:i4>
      </vt:variant>
    </vt:vector>
  </HeadingPairs>
  <TitlesOfParts>
    <vt:vector size="89" baseType="lpstr">
      <vt:lpstr>CASABE INVERSIONES BENAR</vt:lpstr>
      <vt:lpstr>EFE</vt:lpstr>
      <vt:lpstr>VERDUGO</vt:lpstr>
      <vt:lpstr>QUESOLANDIA charcuteria</vt:lpstr>
      <vt:lpstr>CALICANTO CHACUTERIA</vt:lpstr>
      <vt:lpstr>HERMO CHARCUTERIA</vt:lpstr>
      <vt:lpstr>TUNAL CHARCUTERIA LECHE</vt:lpstr>
      <vt:lpstr>LACTIOS R.D.C.A charcuteria</vt:lpstr>
      <vt:lpstr>CERVEZA POLAR</vt:lpstr>
      <vt:lpstr>REGIONAL</vt:lpstr>
      <vt:lpstr>INV VICTORIA</vt:lpstr>
      <vt:lpstr>INPRODELCA</vt:lpstr>
      <vt:lpstr>AVION</vt:lpstr>
      <vt:lpstr>AGUA LOS ALPES</vt:lpstr>
      <vt:lpstr>LA LUCHA</vt:lpstr>
      <vt:lpstr>ARROZ SANTONI</vt:lpstr>
      <vt:lpstr>MONDELEZ</vt:lpstr>
      <vt:lpstr>FRUTAS IMPORTADAS</vt:lpstr>
      <vt:lpstr>PULPA FRUTAS</vt:lpstr>
      <vt:lpstr>CAPRI</vt:lpstr>
      <vt:lpstr>DOÑA ALISA</vt:lpstr>
      <vt:lpstr>ARROZ MARY</vt:lpstr>
      <vt:lpstr>RICHAR PEREIRA</vt:lpstr>
      <vt:lpstr>SALINERA</vt:lpstr>
      <vt:lpstr>VELANDIA</vt:lpstr>
      <vt:lpstr>CARBON LA ISLEÑA</vt:lpstr>
      <vt:lpstr>DAVIMAR</vt:lpstr>
      <vt:lpstr>COMERCIALIZADO GLOBAL ALIMENTOS</vt:lpstr>
      <vt:lpstr>VENTA DE CERVEZA DE MES OCTUBRE</vt:lpstr>
      <vt:lpstr>VENTA DE CERVEZA DEL SEPTIEMBRE</vt:lpstr>
      <vt:lpstr>VENTA DE CERVEZA DEL MES AGOSTO</vt:lpstr>
      <vt:lpstr>VENTA DE CERVEZA DEL MES JULIO</vt:lpstr>
      <vt:lpstr>VENTA DE CERVEZA DEL JUNIO</vt:lpstr>
      <vt:lpstr>ANALISIS VENT CAMBUR  PLATANO</vt:lpstr>
      <vt:lpstr>EUREKA DIRECTO</vt:lpstr>
      <vt:lpstr>DISMARKET EXPRESS.C.A</vt:lpstr>
      <vt:lpstr>COPOSA</vt:lpstr>
      <vt:lpstr>TAPA AMARILLA</vt:lpstr>
      <vt:lpstr>AMANECER  KALDY  VERO CAFE</vt:lpstr>
      <vt:lpstr>CAFÉ</vt:lpstr>
      <vt:lpstr>MASAS FACILES TEQUEÑO</vt:lpstr>
      <vt:lpstr>ALFONZO RIVAS</vt:lpstr>
      <vt:lpstr>PAPELERIA MARACAY</vt:lpstr>
      <vt:lpstr>TORONDOY CHARCUTERIA</vt:lpstr>
      <vt:lpstr>CHARCUTERIA TOVAR</vt:lpstr>
      <vt:lpstr>PLUMROSE</vt:lpstr>
      <vt:lpstr>DOÑAFLORA  SERVIPOR CHARCUTERI</vt:lpstr>
      <vt:lpstr>LA GRANJA CHARCUTERIA</vt:lpstr>
      <vt:lpstr>LAMARSELLINA CHARCUTERIA </vt:lpstr>
      <vt:lpstr>FLOR DE ARAGUA CHARCUTERIA</vt:lpstr>
      <vt:lpstr>MONTALBAN Y ROMAC.A</vt:lpstr>
      <vt:lpstr>DAMASCU</vt:lpstr>
      <vt:lpstr>PRESUPUESTO 2 DE SEPT</vt:lpstr>
      <vt:lpstr>CASA AZUL </vt:lpstr>
      <vt:lpstr>PROTINAL</vt:lpstr>
      <vt:lpstr>PROMEDIADO HEINZFRANCIS</vt:lpstr>
      <vt:lpstr>HEINZ VENEZUELA</vt:lpstr>
      <vt:lpstr>CORTE PROM PEPSI FIN SEMANA </vt:lpstr>
      <vt:lpstr>BOLSAS ECO  DEMPRESA</vt:lpstr>
      <vt:lpstr>CARGIL</vt:lpstr>
      <vt:lpstr>ALIMENTOS POLAR </vt:lpstr>
      <vt:lpstr>GLUP</vt:lpstr>
      <vt:lpstr>COCA COLA</vt:lpstr>
      <vt:lpstr>ESTUDIO DE COMPRA DE PEPSI 1.25</vt:lpstr>
      <vt:lpstr>PEPSI</vt:lpstr>
      <vt:lpstr>COMBOS NAVIDEÑOS</vt:lpstr>
      <vt:lpstr>HISTORIA PROCT NAVIDAD 2020</vt:lpstr>
      <vt:lpstr>ROMA C.A</vt:lpstr>
      <vt:lpstr>DISBECA</vt:lpstr>
      <vt:lpstr>FACIMEN DE QUESO </vt:lpstr>
      <vt:lpstr>FACILICITADOR DE CIGARRILLO</vt:lpstr>
      <vt:lpstr>CHARCUTERIA FRANCIS</vt:lpstr>
      <vt:lpstr>FACIMEN POLLO </vt:lpstr>
      <vt:lpstr>GRUPO CAPITAL</vt:lpstr>
      <vt:lpstr>ROMHER CENTRAL</vt:lpstr>
      <vt:lpstr>CORPORACION D-S.M PERFUMERIA</vt:lpstr>
      <vt:lpstr>PRODUCTOS MAS AMERIACA PRODUCTO</vt:lpstr>
      <vt:lpstr>UNO PUREZA PERFUMERIA</vt:lpstr>
      <vt:lpstr>DIMASSI PERFUMERIA</vt:lpstr>
      <vt:lpstr>DIPROCHER PERFUMERIAA</vt:lpstr>
      <vt:lpstr> DURACENTRO PREFUMERIA</vt:lpstr>
      <vt:lpstr>TUTTO IMPOT PERFUMERIA</vt:lpstr>
      <vt:lpstr> ROLDAL PERFUMERIA</vt:lpstr>
      <vt:lpstr>CAMACHO PERFUMERIA</vt:lpstr>
      <vt:lpstr>LA MARCONA</vt:lpstr>
      <vt:lpstr>NATULAC</vt:lpstr>
      <vt:lpstr>GENICA</vt:lpstr>
      <vt:lpstr>MONACA</vt:lpstr>
      <vt:lpstr>REFRESCO_PEPSI_2_LTS_PEPSI_COLA.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TESORERIA-15</dc:creator>
  <cp:lastModifiedBy>ThecnoMacVZLA</cp:lastModifiedBy>
  <cp:lastPrinted>2022-03-07T17:34:18Z</cp:lastPrinted>
  <dcterms:created xsi:type="dcterms:W3CDTF">2021-08-31T17:43:05Z</dcterms:created>
  <dcterms:modified xsi:type="dcterms:W3CDTF">2022-03-09T13:00:19Z</dcterms:modified>
</cp:coreProperties>
</file>