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\BRANDO\"/>
    </mc:Choice>
  </mc:AlternateContent>
  <bookViews>
    <workbookView xWindow="0" yWindow="0" windowWidth="20490" windowHeight="7665" firstSheet="5" activeTab="8"/>
  </bookViews>
  <sheets>
    <sheet name="TERRA FERTIL" sheetId="19" r:id="rId1"/>
    <sheet name="MOTOTRACTOR" sheetId="20" r:id="rId2"/>
    <sheet name="EVORA" sheetId="18" r:id="rId3"/>
    <sheet name="PROMO Y VALORES" sheetId="17" r:id="rId4"/>
    <sheet name="CANTOLAGO" sheetId="16" r:id="rId5"/>
    <sheet name="STOP" sheetId="14" r:id="rId6"/>
    <sheet name="SAUDE" sheetId="13" r:id="rId7"/>
    <sheet name="HITO" sheetId="12" r:id="rId8"/>
    <sheet name="METROFARMA" sheetId="11" r:id="rId9"/>
    <sheet name="ROMA" sheetId="10" r:id="rId10"/>
    <sheet name="DIARIO AVANCE" sheetId="9" r:id="rId11"/>
    <sheet name="AMERICAN OIL" sheetId="8" r:id="rId12"/>
    <sheet name="EXPRESS 2707" sheetId="4" r:id="rId13"/>
    <sheet name="Hoja4" sheetId="21" r:id="rId14"/>
    <sheet name="CARRIZAL" sheetId="1" r:id="rId15"/>
    <sheet name="Hoja2" sheetId="5" r:id="rId16"/>
    <sheet name="RESERVAS" sheetId="6" r:id="rId17"/>
    <sheet name="Hoja1" sheetId="7" r:id="rId18"/>
    <sheet name="Hoja3" sheetId="15" r:id="rId19"/>
  </sheets>
  <calcPr calcId="162913"/>
</workbook>
</file>

<file path=xl/calcChain.xml><?xml version="1.0" encoding="utf-8"?>
<calcChain xmlns="http://schemas.openxmlformats.org/spreadsheetml/2006/main">
  <c r="B41" i="4" l="1"/>
  <c r="I13" i="21" l="1"/>
  <c r="F13" i="21"/>
  <c r="G13" i="21"/>
  <c r="E13" i="21"/>
  <c r="F12" i="21"/>
  <c r="G12" i="21" s="1"/>
  <c r="F11" i="21"/>
  <c r="G11" i="21" s="1"/>
  <c r="F3" i="21"/>
  <c r="G3" i="21" s="1"/>
  <c r="F4" i="21"/>
  <c r="G4" i="21" s="1"/>
  <c r="F5" i="21"/>
  <c r="G5" i="21" s="1"/>
  <c r="F6" i="21"/>
  <c r="G6" i="21" s="1"/>
  <c r="F7" i="21"/>
  <c r="G7" i="21" s="1"/>
  <c r="F8" i="21"/>
  <c r="G8" i="21" s="1"/>
  <c r="F9" i="21"/>
  <c r="G9" i="21" s="1"/>
  <c r="F10" i="21"/>
  <c r="G10" i="21" s="1"/>
  <c r="G2" i="21"/>
  <c r="F2" i="21"/>
  <c r="M49" i="4" l="1"/>
  <c r="M42" i="4"/>
  <c r="M41" i="4"/>
  <c r="M40" i="4"/>
  <c r="M39" i="4"/>
  <c r="L42" i="4"/>
  <c r="L41" i="4"/>
  <c r="V49" i="4" l="1"/>
  <c r="W49" i="4"/>
  <c r="X49" i="4"/>
  <c r="U49" i="4"/>
  <c r="B42" i="4"/>
  <c r="J33" i="11" l="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K33" i="11" l="1"/>
  <c r="K24" i="11"/>
  <c r="K23" i="11"/>
  <c r="T33" i="11"/>
  <c r="T24" i="11"/>
  <c r="T23" i="11"/>
  <c r="B32" i="11"/>
  <c r="B33" i="16" l="1"/>
  <c r="M33" i="16"/>
  <c r="L33" i="16"/>
  <c r="J33" i="16"/>
  <c r="I33" i="16"/>
  <c r="K33" i="16"/>
  <c r="I31" i="10" l="1"/>
  <c r="H31" i="10"/>
  <c r="B40" i="4" l="1"/>
  <c r="B39" i="4"/>
  <c r="B38" i="4"/>
  <c r="L40" i="4" l="1"/>
  <c r="L39" i="4"/>
  <c r="L38" i="4"/>
  <c r="L37" i="4" l="1"/>
  <c r="B37" i="4"/>
  <c r="K49" i="4" l="1"/>
  <c r="I49" i="4"/>
  <c r="L49" i="4"/>
  <c r="B49" i="4"/>
  <c r="J28" i="4" l="1"/>
  <c r="J27" i="4"/>
  <c r="I24" i="11" l="1"/>
  <c r="I23" i="11"/>
  <c r="E24" i="11"/>
  <c r="E23" i="11"/>
  <c r="B33" i="11"/>
  <c r="B31" i="11"/>
  <c r="B30" i="11"/>
  <c r="B29" i="11"/>
  <c r="H24" i="11"/>
  <c r="B28" i="11"/>
  <c r="B27" i="11"/>
  <c r="B26" i="11"/>
  <c r="B25" i="11"/>
  <c r="B24" i="11"/>
  <c r="B23" i="11"/>
  <c r="B22" i="11"/>
  <c r="B21" i="11"/>
  <c r="B20" i="11"/>
  <c r="B19" i="11"/>
  <c r="U31" i="10" l="1"/>
  <c r="U24" i="10"/>
  <c r="U23" i="10"/>
  <c r="B30" i="10" l="1"/>
  <c r="B29" i="10"/>
  <c r="B28" i="10" l="1"/>
  <c r="K31" i="10" l="1"/>
  <c r="K24" i="10"/>
  <c r="K23" i="10"/>
  <c r="J31" i="10"/>
  <c r="J23" i="10"/>
  <c r="J30" i="10"/>
  <c r="J29" i="10"/>
  <c r="J28" i="10"/>
  <c r="J27" i="10"/>
  <c r="J26" i="10"/>
  <c r="J25" i="10"/>
  <c r="J24" i="10"/>
  <c r="J22" i="10"/>
  <c r="J21" i="10"/>
  <c r="J20" i="10"/>
  <c r="J19" i="10"/>
  <c r="J18" i="10"/>
  <c r="J17" i="10"/>
  <c r="H24" i="10"/>
  <c r="K27" i="4" l="1"/>
  <c r="K28" i="4" s="1"/>
  <c r="K33" i="4" s="1"/>
  <c r="L32" i="4"/>
  <c r="L31" i="4"/>
  <c r="L30" i="4"/>
  <c r="L29" i="4"/>
  <c r="L26" i="4"/>
  <c r="L25" i="4"/>
  <c r="L24" i="4"/>
  <c r="L23" i="4"/>
  <c r="L22" i="4"/>
  <c r="L21" i="4"/>
  <c r="L20" i="4"/>
  <c r="L19" i="4"/>
  <c r="L27" i="4" s="1"/>
  <c r="L28" i="4" s="1"/>
  <c r="L33" i="4" s="1"/>
  <c r="H33" i="4"/>
  <c r="W27" i="4" l="1"/>
  <c r="W28" i="4" s="1"/>
  <c r="W33" i="4" s="1"/>
  <c r="X33" i="4"/>
  <c r="V28" i="4"/>
  <c r="V33" i="4" s="1"/>
  <c r="V27" i="4"/>
  <c r="U27" i="4"/>
  <c r="U28" i="4" s="1"/>
  <c r="U33" i="4" s="1"/>
  <c r="B32" i="4" l="1"/>
  <c r="B31" i="4"/>
  <c r="J29" i="8" l="1"/>
  <c r="C28" i="8" l="1"/>
  <c r="C29" i="8" s="1"/>
  <c r="E29" i="8"/>
  <c r="B29" i="8"/>
  <c r="B33" i="8" s="1"/>
  <c r="B28" i="8"/>
  <c r="G33" i="20" l="1"/>
  <c r="F33" i="20"/>
  <c r="G32" i="20"/>
  <c r="F32" i="20"/>
  <c r="D31" i="20"/>
  <c r="F31" i="20" s="1"/>
  <c r="G31" i="20" s="1"/>
  <c r="F30" i="20"/>
  <c r="G30" i="20" s="1"/>
  <c r="D30" i="20"/>
  <c r="G29" i="20"/>
  <c r="F29" i="20"/>
  <c r="D28" i="20"/>
  <c r="F28" i="20" s="1"/>
  <c r="G28" i="20" s="1"/>
  <c r="F27" i="20"/>
  <c r="G27" i="20" s="1"/>
  <c r="D27" i="20"/>
  <c r="D26" i="20"/>
  <c r="F26" i="20" s="1"/>
  <c r="G26" i="20" s="1"/>
  <c r="F25" i="20"/>
  <c r="G25" i="20" s="1"/>
  <c r="F24" i="20"/>
  <c r="G24" i="20" s="1"/>
  <c r="D24" i="20"/>
  <c r="D23" i="20"/>
  <c r="F23" i="20" s="1"/>
  <c r="G23" i="20" s="1"/>
  <c r="G34" i="20" s="1"/>
  <c r="L16" i="20"/>
  <c r="J16" i="20"/>
  <c r="K11" i="20"/>
  <c r="K12" i="20" s="1"/>
  <c r="K16" i="20" s="1"/>
  <c r="B11" i="20"/>
  <c r="B12" i="20" s="1"/>
  <c r="B16" i="20" s="1"/>
  <c r="D28" i="19"/>
  <c r="D27" i="19"/>
  <c r="D23" i="19"/>
  <c r="D30" i="19"/>
  <c r="D26" i="19"/>
  <c r="F25" i="19"/>
  <c r="G25" i="19" s="1"/>
  <c r="D24" i="19"/>
  <c r="F24" i="19"/>
  <c r="G24" i="19" s="1"/>
  <c r="D31" i="19"/>
  <c r="F31" i="19"/>
  <c r="G31" i="19" s="1"/>
  <c r="F26" i="19"/>
  <c r="G26" i="19" s="1"/>
  <c r="F27" i="19"/>
  <c r="G27" i="19" s="1"/>
  <c r="F28" i="19"/>
  <c r="G28" i="19" s="1"/>
  <c r="F29" i="19"/>
  <c r="G29" i="19" s="1"/>
  <c r="F30" i="19"/>
  <c r="G30" i="19" s="1"/>
  <c r="F32" i="19"/>
  <c r="G32" i="19" s="1"/>
  <c r="F33" i="19"/>
  <c r="G33" i="19" s="1"/>
  <c r="F23" i="19"/>
  <c r="G23" i="19" s="1"/>
  <c r="G34" i="19" l="1"/>
  <c r="K11" i="19"/>
  <c r="K12" i="19" s="1"/>
  <c r="K16" i="19" s="1"/>
  <c r="L16" i="19"/>
  <c r="J16" i="19"/>
  <c r="B11" i="19"/>
  <c r="B12" i="19" s="1"/>
  <c r="B16" i="19" s="1"/>
  <c r="K33" i="12" l="1"/>
  <c r="K32" i="12"/>
  <c r="K31" i="12"/>
  <c r="K29" i="12"/>
  <c r="K21" i="12"/>
  <c r="K22" i="12"/>
  <c r="K23" i="12"/>
  <c r="K24" i="12"/>
  <c r="K25" i="12"/>
  <c r="K26" i="12"/>
  <c r="K27" i="12"/>
  <c r="K28" i="12"/>
  <c r="K20" i="12"/>
  <c r="B29" i="12"/>
  <c r="B33" i="12" s="1"/>
  <c r="B28" i="12"/>
  <c r="L33" i="12"/>
  <c r="J33" i="12"/>
  <c r="I33" i="12"/>
  <c r="L33" i="1"/>
  <c r="L29" i="1"/>
  <c r="L28" i="1"/>
  <c r="C32" i="1" l="1"/>
  <c r="K32" i="1"/>
  <c r="K31" i="1"/>
  <c r="K30" i="1"/>
  <c r="K28" i="1"/>
  <c r="K29" i="1" s="1"/>
  <c r="K33" i="1" s="1"/>
  <c r="C33" i="1"/>
  <c r="H32" i="1"/>
  <c r="S31" i="1"/>
  <c r="S30" i="1"/>
  <c r="S27" i="1"/>
  <c r="S26" i="1"/>
  <c r="S28" i="1" s="1"/>
  <c r="S29" i="1" s="1"/>
  <c r="S33" i="1" s="1"/>
  <c r="B32" i="1" l="1"/>
  <c r="B31" i="1"/>
  <c r="B30" i="1"/>
  <c r="B27" i="1"/>
  <c r="C29" i="1"/>
  <c r="B28" i="1"/>
  <c r="B29" i="1" s="1"/>
  <c r="B33" i="1" l="1"/>
  <c r="H33" i="14"/>
  <c r="E33" i="14"/>
  <c r="B32" i="14"/>
  <c r="B31" i="14"/>
  <c r="L32" i="14"/>
  <c r="L31" i="14"/>
  <c r="L30" i="14"/>
  <c r="L27" i="14"/>
  <c r="L26" i="14"/>
  <c r="L25" i="14"/>
  <c r="L28" i="14"/>
  <c r="L29" i="14" s="1"/>
  <c r="L24" i="14"/>
  <c r="L23" i="14"/>
  <c r="L22" i="14"/>
  <c r="L21" i="14"/>
  <c r="L20" i="14"/>
  <c r="L19" i="14"/>
  <c r="B30" i="14"/>
  <c r="E29" i="14"/>
  <c r="E28" i="14"/>
  <c r="K28" i="14"/>
  <c r="K29" i="14" s="1"/>
  <c r="K33" i="14" s="1"/>
  <c r="L33" i="14" l="1"/>
  <c r="B31" i="13"/>
  <c r="B29" i="13"/>
  <c r="B28" i="13"/>
  <c r="K12" i="18" l="1"/>
  <c r="K11" i="18"/>
  <c r="B11" i="18" l="1"/>
  <c r="B12" i="18" s="1"/>
  <c r="B16" i="18" s="1"/>
  <c r="L16" i="18"/>
  <c r="J16" i="18"/>
  <c r="K16" i="18"/>
  <c r="L52" i="9" l="1"/>
  <c r="K52" i="9"/>
  <c r="I52" i="9"/>
  <c r="H52" i="9"/>
  <c r="E52" i="9"/>
  <c r="B52" i="9"/>
  <c r="T52" i="9"/>
  <c r="J52" i="9"/>
  <c r="K11" i="16" l="1"/>
  <c r="K12" i="16" s="1"/>
  <c r="K16" i="16" s="1"/>
  <c r="B15" i="16"/>
  <c r="B14" i="16"/>
  <c r="J33" i="9" l="1"/>
  <c r="J29" i="9"/>
  <c r="J28" i="9"/>
  <c r="L33" i="9"/>
  <c r="B33" i="9"/>
  <c r="K33" i="9" l="1"/>
  <c r="E33" i="9"/>
  <c r="I33" i="9"/>
  <c r="H33" i="9"/>
  <c r="B15" i="17" l="1"/>
  <c r="L15" i="17" l="1"/>
  <c r="L16" i="17" s="1"/>
  <c r="L13" i="17"/>
  <c r="L12" i="17"/>
  <c r="L10" i="17"/>
  <c r="L9" i="17"/>
  <c r="L8" i="17"/>
  <c r="L7" i="17"/>
  <c r="L6" i="17"/>
  <c r="L5" i="17"/>
  <c r="L4" i="17"/>
  <c r="L3" i="17"/>
  <c r="L2" i="17"/>
  <c r="K16" i="17"/>
  <c r="K12" i="17"/>
  <c r="K11" i="17"/>
  <c r="B14" i="17" l="1"/>
  <c r="S16" i="17" l="1"/>
  <c r="S11" i="17"/>
  <c r="S12" i="17" s="1"/>
  <c r="H11" i="17" l="1"/>
  <c r="H12" i="17" s="1"/>
  <c r="I11" i="17"/>
  <c r="I12" i="17" s="1"/>
  <c r="B13" i="17"/>
  <c r="C12" i="17"/>
  <c r="C11" i="17"/>
  <c r="B10" i="17"/>
  <c r="B11" i="17" s="1"/>
  <c r="B12" i="17" s="1"/>
  <c r="B16" i="17" s="1"/>
  <c r="B30" i="4" l="1"/>
  <c r="B29" i="4"/>
  <c r="I28" i="4" l="1"/>
  <c r="H28" i="4"/>
  <c r="E28" i="4"/>
  <c r="C27" i="4"/>
  <c r="C12" i="16" l="1"/>
  <c r="B10" i="16"/>
  <c r="H12" i="16" l="1"/>
  <c r="B26" i="4" l="1"/>
  <c r="B25" i="4" l="1"/>
  <c r="B28" i="14" l="1"/>
  <c r="B29" i="14" s="1"/>
  <c r="B33" i="14" s="1"/>
  <c r="J33" i="14" l="1"/>
  <c r="I33" i="14"/>
  <c r="T29" i="9" l="1"/>
  <c r="T33" i="9" s="1"/>
  <c r="T28" i="9"/>
  <c r="E24" i="10" l="1"/>
  <c r="B25" i="10" l="1"/>
  <c r="B22" i="10"/>
  <c r="B21" i="10"/>
  <c r="B20" i="10"/>
  <c r="B19" i="10"/>
  <c r="B18" i="10"/>
  <c r="J16" i="17" l="1"/>
  <c r="B17" i="10" l="1"/>
  <c r="B23" i="10" s="1"/>
  <c r="B24" i="10" s="1"/>
  <c r="B31" i="10" s="1"/>
  <c r="B9" i="16" l="1"/>
  <c r="B8" i="16" l="1"/>
  <c r="B7" i="16"/>
  <c r="B6" i="16"/>
  <c r="B5" i="16" l="1"/>
  <c r="B3" i="16"/>
  <c r="B2" i="16"/>
  <c r="B11" i="16" s="1"/>
  <c r="B12" i="16" s="1"/>
  <c r="B16" i="16" s="1"/>
  <c r="M16" i="16"/>
  <c r="L16" i="16"/>
  <c r="J16" i="16"/>
  <c r="I16" i="16"/>
  <c r="B24" i="4" l="1"/>
  <c r="B23" i="4"/>
  <c r="B22" i="4"/>
  <c r="B21" i="4"/>
  <c r="B20" i="4"/>
  <c r="B19" i="4"/>
  <c r="B27" i="4" l="1"/>
  <c r="B28" i="4" s="1"/>
  <c r="B33" i="4" s="1"/>
  <c r="B13" i="11"/>
  <c r="B12" i="11"/>
  <c r="B11" i="11" l="1"/>
  <c r="B10" i="11"/>
  <c r="B9" i="11" l="1"/>
  <c r="B8" i="11"/>
  <c r="B7" i="11"/>
  <c r="T14" i="11" l="1"/>
  <c r="B6" i="11"/>
  <c r="M31" i="10" l="1"/>
  <c r="C31" i="10"/>
  <c r="C14" i="10" l="1"/>
  <c r="U14" i="10" l="1"/>
  <c r="J14" i="10" l="1"/>
  <c r="B2" i="10" l="1"/>
  <c r="B9" i="10"/>
  <c r="B8" i="10"/>
  <c r="B7" i="10"/>
  <c r="B6" i="10"/>
  <c r="B5" i="10"/>
  <c r="B4" i="10"/>
  <c r="B3" i="10"/>
  <c r="B13" i="10"/>
  <c r="B12" i="10"/>
  <c r="B11" i="10"/>
  <c r="B10" i="10" l="1"/>
  <c r="K14" i="1" l="1"/>
  <c r="L13" i="4" l="1"/>
  <c r="L12" i="4"/>
  <c r="L11" i="4"/>
  <c r="L10" i="4"/>
  <c r="L14" i="14" l="1"/>
  <c r="K14" i="14"/>
  <c r="J14" i="14"/>
  <c r="I14" i="14"/>
  <c r="B14" i="14"/>
  <c r="J14" i="13" l="1"/>
  <c r="L14" i="13"/>
  <c r="M14" i="13" l="1"/>
  <c r="K14" i="13"/>
  <c r="I14" i="13"/>
  <c r="B14" i="13"/>
  <c r="L14" i="12"/>
  <c r="J14" i="12"/>
  <c r="I14" i="12"/>
  <c r="B14" i="12"/>
  <c r="C2" i="11" l="1"/>
  <c r="L14" i="11"/>
  <c r="K14" i="11"/>
  <c r="B14" i="11"/>
  <c r="M14" i="10" l="1"/>
  <c r="K14" i="10"/>
  <c r="B14" i="10"/>
  <c r="C2" i="9" l="1"/>
  <c r="L14" i="9" l="1"/>
  <c r="J14" i="9"/>
  <c r="I14" i="9"/>
  <c r="B14" i="9"/>
  <c r="B9" i="4" l="1"/>
  <c r="L14" i="4" l="1"/>
  <c r="B14" i="8" l="1"/>
  <c r="C3" i="4" l="1"/>
  <c r="I14" i="4"/>
  <c r="K14" i="4" l="1"/>
  <c r="C2" i="4" l="1"/>
  <c r="B4" i="6" l="1"/>
  <c r="B5" i="6" s="1"/>
  <c r="B2" i="4" l="1"/>
  <c r="B14" i="4" s="1"/>
  <c r="B14" i="1" l="1"/>
</calcChain>
</file>

<file path=xl/comments1.xml><?xml version="1.0" encoding="utf-8"?>
<comments xmlns="http://schemas.openxmlformats.org/spreadsheetml/2006/main">
  <authors>
    <author>Contaduria</author>
  </authors>
  <commentList>
    <comment ref="S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06/2021</t>
        </r>
      </text>
    </comment>
  </commentList>
</comments>
</file>

<file path=xl/comments2.xml><?xml version="1.0" encoding="utf-8"?>
<comments xmlns="http://schemas.openxmlformats.org/spreadsheetml/2006/main">
  <authors>
    <author>Contaduria</author>
  </authors>
  <commentList>
    <comment ref="S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06/2021</t>
        </r>
      </text>
    </comment>
  </commentList>
</comments>
</file>

<file path=xl/comments3.xml><?xml version="1.0" encoding="utf-8"?>
<comments xmlns="http://schemas.openxmlformats.org/spreadsheetml/2006/main">
  <authors>
    <author>Contaduria</author>
  </authors>
  <commentList>
    <comment ref="S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06/2021</t>
        </r>
      </text>
    </comment>
  </commentList>
</comments>
</file>

<file path=xl/comments4.xml><?xml version="1.0" encoding="utf-8"?>
<comments xmlns="http://schemas.openxmlformats.org/spreadsheetml/2006/main">
  <authors>
    <author>Contaduria</author>
  </authors>
  <commentList>
    <comment ref="S9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JULIO</t>
        </r>
      </text>
    </comment>
  </commentList>
</comments>
</file>

<file path=xl/comments5.xml><?xml version="1.0" encoding="utf-8"?>
<comments xmlns="http://schemas.openxmlformats.org/spreadsheetml/2006/main">
  <authors>
    <author>Contaduria</author>
  </authors>
  <commentList>
    <comment ref="T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06/2021</t>
        </r>
      </text>
    </comment>
  </commentList>
</comments>
</file>

<file path=xl/comments6.xml><?xml version="1.0" encoding="utf-8"?>
<comments xmlns="http://schemas.openxmlformats.org/spreadsheetml/2006/main">
  <authors>
    <author>Contaduria</author>
  </authors>
  <commentList>
    <comment ref="T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01/04/20 AL 30/06/20</t>
        </r>
      </text>
    </comment>
    <comment ref="T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JULIO 2020</t>
        </r>
      </text>
    </comment>
    <comment ref="T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AGOSTO 2020</t>
        </r>
      </text>
    </comment>
    <comment ref="T6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SEPTIEMBRE 2020</t>
        </r>
      </text>
    </comment>
    <comment ref="T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OCTUBRE 2020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NOVIEMBRE 2020</t>
        </r>
      </text>
    </comment>
    <comment ref="T9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DICIEMBRE 2020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ENERO 2021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</rPr>
          <t>Contadu
FEBRERO</t>
        </r>
        <r>
          <rPr>
            <sz val="9"/>
            <color indexed="81"/>
            <rFont val="Tahoma"/>
            <family val="2"/>
          </rPr>
          <t xml:space="preserve"> 2021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MARZO 2021</t>
        </r>
      </text>
    </comment>
    <comment ref="T1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ABRIL 2021</t>
        </r>
      </text>
    </comment>
  </commentList>
</comments>
</file>

<file path=xl/comments7.xml><?xml version="1.0" encoding="utf-8"?>
<comments xmlns="http://schemas.openxmlformats.org/spreadsheetml/2006/main">
  <authors>
    <author>Contaduria</author>
  </authors>
  <commentList>
    <comment ref="U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AGOSTO 2020</t>
        </r>
      </text>
    </comment>
    <comment ref="U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SEPTIEMBRE 2020</t>
        </r>
      </text>
    </comment>
    <comment ref="U9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OCTUBRE 2020</t>
        </r>
      </text>
    </comment>
    <comment ref="U11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DICIEMBRE 2020
</t>
        </r>
      </text>
    </comment>
    <comment ref="U12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ENERO 2021
</t>
        </r>
      </text>
    </comment>
    <comment ref="U1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FEBRERO 2021</t>
        </r>
      </text>
    </comment>
  </commentList>
</comments>
</file>

<file path=xl/comments8.xml><?xml version="1.0" encoding="utf-8"?>
<comments xmlns="http://schemas.openxmlformats.org/spreadsheetml/2006/main">
  <authors>
    <author>Contaduria</author>
    <author>Contabilidad</author>
  </authors>
  <commentList>
    <comment ref="T2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DEF TRIMESTRE 4 2019
EST TRIMESTRE 1 2020
</t>
        </r>
      </text>
    </comment>
    <comment ref="T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TRIMESTRE I 2020</t>
        </r>
      </text>
    </comment>
    <comment ref="T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TRIMESTRE II 2020</t>
        </r>
      </text>
    </comment>
    <comment ref="T9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MES 7/2020</t>
        </r>
      </text>
    </comment>
    <comment ref="T10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MES 08/2020</t>
        </r>
      </text>
    </comment>
    <comment ref="T11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MES 09/2020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MES 10/2020</t>
        </r>
      </text>
    </comment>
    <comment ref="T1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MES 11/2020</t>
        </r>
      </text>
    </comment>
    <comment ref="T19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12/2020
BANESCO EXQUISITECES REF 3054745153
DIA 06-01-2021
</t>
        </r>
      </text>
    </comment>
    <comment ref="T20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01/2021
BANESCO EXQUISITECES
REF 3075157670
DIA 03/02/2021</t>
        </r>
      </text>
    </comment>
    <comment ref="T21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02/2021
BANESCO EXPRESS
REF 3094710602
DIA 02/03/2021</t>
        </r>
      </text>
    </comment>
    <comment ref="T22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03/2021
BANESCO EXPRESS
REF 3119742806
DIA 07/04/2021</t>
        </r>
      </text>
    </comment>
    <comment ref="T2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04/2021
BANESCO EXPRESS
REF 3137745412
DIA 04/05/2021</t>
        </r>
      </text>
    </comment>
    <comment ref="T2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05/2021
BANESCO EXPRESS
REF3156303366
DIA 02/06/2021</t>
        </r>
      </text>
    </comment>
    <comment ref="T2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06/2021
BANESCO EXQUISITECES
REF 3175225796
DIA 05/07/2021</t>
        </r>
      </text>
    </comment>
    <comment ref="T26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07/2021
BANESCO HIPER MODEL
REF 3192190022
DIA 04/08/2021</t>
        </r>
      </text>
    </comment>
    <comment ref="T2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08/2021
BANESCO EXPRESS
REF 3207680289
DIA 03/09/2021</t>
        </r>
      </text>
    </comment>
    <comment ref="T30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09/2021
BANESCO EXPRESS
REF 3223647185
DIA 06/10/2021</t>
        </r>
      </text>
    </comment>
    <comment ref="T31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10/2021
BANESCO EXPRESS
REF 3237372741
DIA 04/11/2021</t>
        </r>
      </text>
    </comment>
    <comment ref="T32" authorId="1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MES 11/2021</t>
        </r>
      </text>
    </comment>
    <comment ref="T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12/2020
PERIODO 12/2022
</t>
        </r>
      </text>
    </comment>
    <comment ref="T39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01/2021
BANESCO EXQUISITECES
REF 3075157670
DIA 03/02/2021</t>
        </r>
      </text>
    </comment>
    <comment ref="T40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02/2021
BANESCO EXPRESS
REF 3094710602
DIA 02/03/2021</t>
        </r>
      </text>
    </comment>
    <comment ref="T41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03/2021
BANESCO EXPRESS
REF 3119742806
DIA 07/04/2021</t>
        </r>
      </text>
    </comment>
    <comment ref="T42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04/2021
BANESCO EXPRESS
REF 3137745412
DIA 04/05/2021</t>
        </r>
      </text>
    </comment>
    <comment ref="T4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05/2021
BANESCO EXPRESS
REF3156303366
DIA 02/06/2021</t>
        </r>
      </text>
    </comment>
    <comment ref="T4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06/2021
BANESCO EXQUISITECES
REF 3175225796
DIA 05/07/2021</t>
        </r>
      </text>
    </comment>
    <comment ref="T4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07/2021
BANESCO HIPER MODEL
REF 3192190022
DIA 04/08/2021</t>
        </r>
      </text>
    </comment>
    <comment ref="T46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08/2021
BANESCO EXPRESS
REF 3207680289
DIA 03/09/2021</t>
        </r>
      </text>
    </comment>
    <comment ref="T49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09/2021
BANESCO EXPRESS
REF 3223647185
DIA 06/10/2021</t>
        </r>
      </text>
    </comment>
    <comment ref="T50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PERIODO 10/2021
BANESCO EXPRESS
REF 3237372741
DIA 04/11/2021</t>
        </r>
      </text>
    </comment>
    <comment ref="T51" authorId="1" shapeId="0">
      <text>
        <r>
          <rPr>
            <b/>
            <sz val="9"/>
            <color indexed="81"/>
            <rFont val="Tahoma"/>
            <family val="2"/>
          </rPr>
          <t>Contabilidad:</t>
        </r>
        <r>
          <rPr>
            <sz val="9"/>
            <color indexed="81"/>
            <rFont val="Tahoma"/>
            <family val="2"/>
          </rPr>
          <t xml:space="preserve">
MES 11/2021</t>
        </r>
      </text>
    </comment>
  </commentList>
</comments>
</file>

<file path=xl/comments9.xml><?xml version="1.0" encoding="utf-8"?>
<comments xmlns="http://schemas.openxmlformats.org/spreadsheetml/2006/main">
  <authors>
    <author>Contaduria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02-01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02-02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02-03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02-05</t>
        </r>
      </text>
    </comment>
    <comment ref="R2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DICIEMBRE 2019
ENERO 2020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03-01
</t>
        </r>
      </text>
    </comment>
    <comment ref="K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03-05</t>
        </r>
      </text>
    </comment>
    <comment ref="R3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FEBRERO 2020</t>
        </r>
      </text>
    </comment>
    <comment ref="B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04-01</t>
        </r>
      </text>
    </comment>
    <comment ref="K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04-05</t>
        </r>
      </text>
    </comment>
    <comment ref="R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MARZO 2020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05-01</t>
        </r>
      </text>
    </comment>
    <comment ref="K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05-05</t>
        </r>
      </text>
    </comment>
    <comment ref="S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ENERO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06-01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06-05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07-01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07-05</t>
        </r>
      </text>
    </comment>
    <comment ref="R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ABRIL 2020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08-01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08-05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MAYO 2020
JUNIO 2020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3.179.043.028,53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09-05</t>
        </r>
      </text>
    </comment>
    <comment ref="R9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JULIO 2020
AGOSTO 2020</t>
        </r>
      </text>
    </comment>
    <comment ref="S9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FEBRERO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SEPTIEMBRE 2020
</t>
        </r>
      </text>
    </comment>
    <comment ref="S10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MARZO, ABRIL Y MAYO</t>
        </r>
      </text>
    </comment>
    <comment ref="S11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JUNIO, JULIO, AGOSTO Y SEPTIEMBRE</t>
        </r>
      </text>
    </comment>
    <comment ref="T12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4/2019
1-2-3/2020</t>
        </r>
      </text>
    </comment>
  </commentList>
</comments>
</file>

<file path=xl/sharedStrings.xml><?xml version="1.0" encoding="utf-8"?>
<sst xmlns="http://schemas.openxmlformats.org/spreadsheetml/2006/main" count="5840" uniqueCount="829">
  <si>
    <t>VENTAS</t>
  </si>
  <si>
    <t>COMPRAS</t>
  </si>
  <si>
    <t>CXP</t>
  </si>
  <si>
    <t>IVA DEBITO</t>
  </si>
  <si>
    <t>IVA CREDITO</t>
  </si>
  <si>
    <t>RET IVA</t>
  </si>
  <si>
    <t>RET ISLR</t>
  </si>
  <si>
    <t>AT IVA</t>
  </si>
  <si>
    <t>AT ISLR</t>
  </si>
  <si>
    <t>AT ISLR DECRETO</t>
  </si>
  <si>
    <t>COMPENSACION</t>
  </si>
  <si>
    <t>NOMINA</t>
  </si>
  <si>
    <t>CESTA TICKET</t>
  </si>
  <si>
    <t>SSO</t>
  </si>
  <si>
    <t>LPH</t>
  </si>
  <si>
    <t>INCE</t>
  </si>
  <si>
    <t>ALCALDIA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</si>
  <si>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</si>
  <si>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</si>
  <si>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</si>
  <si>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</si>
  <si>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</si>
  <si>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</si>
  <si>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</si>
  <si>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</si>
  <si>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</si>
  <si>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</si>
  <si>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</si>
  <si>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</si>
  <si>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EJERCICIO (2020)</t>
  </si>
  <si>
    <t>X</t>
  </si>
  <si>
    <t>BANCO PROVINCIAL</t>
  </si>
  <si>
    <t>INICIO OP</t>
  </si>
  <si>
    <t>NO</t>
  </si>
  <si>
    <t>TOTAL</t>
  </si>
  <si>
    <t>BONO UNICO $</t>
  </si>
  <si>
    <t>UTILIDAD DEL EJERCICIO</t>
  </si>
  <si>
    <t>ISLR POR PAGAR</t>
  </si>
  <si>
    <t>CAPITAL</t>
  </si>
  <si>
    <t>RESERVA</t>
  </si>
  <si>
    <t>AT IVA DECRETO 1162008</t>
  </si>
  <si>
    <t>AT IVA 1162004</t>
  </si>
  <si>
    <t>AT ISLR 1162001</t>
  </si>
  <si>
    <t>AT ISLR DECRETO 1162009</t>
  </si>
  <si>
    <t>BANCO DEL TESORO</t>
  </si>
  <si>
    <t>CORPOELEC</t>
  </si>
  <si>
    <t>SIN SOPORT</t>
  </si>
  <si>
    <t>-</t>
  </si>
  <si>
    <t>I TRIM 2020</t>
  </si>
  <si>
    <t>II TRIM 2020</t>
  </si>
  <si>
    <t>JULIO 2020</t>
  </si>
  <si>
    <t>AGOSTO 2020</t>
  </si>
  <si>
    <t>SEPT 2020</t>
  </si>
  <si>
    <t>ALCALDIA SUC HOYADA</t>
  </si>
  <si>
    <t>ALCALDIA SUC CASA MATRIZ</t>
  </si>
  <si>
    <t>ALCALDIA SUC SAN ANTONIO</t>
  </si>
  <si>
    <t>AT IVA DECRETO 1162006</t>
  </si>
  <si>
    <t>BANCO BICENTENARIO</t>
  </si>
  <si>
    <t>BANCO BANESCO</t>
  </si>
  <si>
    <t>BANCO BANCAMIGA</t>
  </si>
  <si>
    <t xml:space="preserve">BANCO PROVINCIAL </t>
  </si>
  <si>
    <t>UTILIDADES</t>
  </si>
  <si>
    <t>AT ISLR 1151004</t>
  </si>
  <si>
    <t>AT ISLR DECRETO 1151008</t>
  </si>
  <si>
    <t>OCT 2020</t>
  </si>
  <si>
    <t>NOV 2020</t>
  </si>
  <si>
    <t>DIC 2020</t>
  </si>
  <si>
    <t>EXONERADA</t>
  </si>
  <si>
    <t xml:space="preserve">ALCALDIA </t>
  </si>
  <si>
    <t>BANCO DE VENEZUELA</t>
  </si>
  <si>
    <t>AT ISLR DECRETO 1162003</t>
  </si>
  <si>
    <t>EJERCICIO (2021)</t>
  </si>
  <si>
    <t xml:space="preserve">                                  AUTOMERCADO EXPRESS 2707 C.A.                                                   REPORTE DE PRE-NOMINA DETALLADA</t>
  </si>
  <si>
    <t xml:space="preserve">                                                                                              ---------------------------------------------------------------------------</t>
  </si>
  <si>
    <t xml:space="preserve">                             Localidad:AUTOMERCADO EXPRESS 2707 C.A.                                                 AUTOMERCADO EXPRESS 2707 C.A.</t>
  </si>
  <si>
    <t xml:space="preserve">                                                                                                         Corrida: 0000000093 - NOMINA OPERATIVA (01/06/2021 al</t>
  </si>
  <si>
    <t xml:space="preserve">                                                                                                                              15/06/2021)</t>
  </si>
  <si>
    <t xml:space="preserve">                                            Teléfonos:                                        ---------------------------------------------------------------------------</t>
  </si>
  <si>
    <t xml:space="preserve">                                                                                                      Fecha de Emisión: 21/06/2021                             Pg 1 de 65</t>
  </si>
  <si>
    <t xml:space="preserve">                                   Rif: J-40670082-7</t>
  </si>
  <si>
    <t xml:space="preserve">       Código:             25237728                                                   ID:              25237728</t>
  </si>
  <si>
    <t xml:space="preserve">       Apellidos:          ABELLO BRICEÑO                                            Nombre:           ANGERLYN MILEIBY</t>
  </si>
  <si>
    <t xml:space="preserve">       Salario:            7,000,000.00            Ingreso:    03/03/2021             Servicio:        3 Meses 12 Dias</t>
  </si>
  <si>
    <t xml:space="preserve">       Tipo Contrato:      INDETERMINADO                                              Contrato:</t>
  </si>
  <si>
    <t xml:space="preserve">       Estatus:     ACTIVO</t>
  </si>
  <si>
    <t xml:space="preserve">       Código        Descripción:                                                 Cantidad           Asignación            Deducción               Saldo</t>
  </si>
  <si>
    <t xml:space="preserve">       --------------------------------------------------------------------------------------------------------------------------------------------------</t>
  </si>
  <si>
    <t xml:space="preserve">       N001           SUELDOS Y SALARIOS                                             11.00         2,566,666.67               0.00         2,566,666.67</t>
  </si>
  <si>
    <t xml:space="preserve">       N002           DIAS DE DESCANSO                                                4.00           933,333.33               0.00           933,333.33</t>
  </si>
  <si>
    <t xml:space="preserve">       N003           DOMINGO TRABAJADO                                               2.00           700,000.00               0.00           700,000.00</t>
  </si>
  <si>
    <t xml:space="preserve">       N006           BONO POR INFLACION                                              1.00           420,000.00               0.00           420,000.00</t>
  </si>
  <si>
    <t xml:space="preserve">       D001           SEGURO SOCIAL OBLIGATORIO                                       2.00                 0.00         129,230.77           129,230.77</t>
  </si>
  <si>
    <t xml:space="preserve">       D002           FAOV                                                           15.00                 0.00          35,000.00            35,000.00</t>
  </si>
  <si>
    <t xml:space="preserve">       D003           SEGURO PARO FORZOSO                                             2.00                 0.00          16,153.85            16,153.85</t>
  </si>
  <si>
    <t xml:space="preserve">                                                                                                   4,620,000.00          180,384.62         4,439,615.38</t>
  </si>
  <si>
    <t xml:space="preserve">       Código:             15914364                                                   ID:              15914364</t>
  </si>
  <si>
    <t xml:space="preserve">       Apellidos:          ACEVEDO ALAYON                                            Nombre:           LISBETH ANAIS</t>
  </si>
  <si>
    <t xml:space="preserve">       Salario:            7,000,000.00            Ingreso:    19/02/2021             Servicio:        3 Meses 27 Dias</t>
  </si>
  <si>
    <t xml:space="preserve">       N004           DIAS LIBRES TRABAJADO                                           1.00           559,999.99               0.00           559,999.99</t>
  </si>
  <si>
    <t xml:space="preserve">       N006           BONO POR INFLACION                                              1.00           500,000.00               0.00           500,000.00</t>
  </si>
  <si>
    <t xml:space="preserve">                                                                                                   4,559,999.99          180,384.62         4,379,615.37</t>
  </si>
  <si>
    <t xml:space="preserve">       Código:             6728448                                                    ID:              6728448</t>
  </si>
  <si>
    <t xml:space="preserve">       Apellidos:          ACOSTA DELGADO                                            Nombre:           JOSE GREGORIO</t>
  </si>
  <si>
    <t xml:space="preserve">       Salario:            7,000,000.00            Ingreso:    10/02/2021             Servicio:        4 Meses 5 Dias</t>
  </si>
  <si>
    <t xml:space="preserve">       N006           BONO POR INFLACION                                              1.00           600,000.00               0.00           600,000.00</t>
  </si>
  <si>
    <t xml:space="preserve">                                                                                                      Fecha de Emisión: 21/06/2021                             Pg 2 de 65</t>
  </si>
  <si>
    <t xml:space="preserve">                                                                                                   5,359,999.99          180,384.62         5,179,615.37</t>
  </si>
  <si>
    <t xml:space="preserve">       Código:             26825857                                                   ID:              26825857</t>
  </si>
  <si>
    <t xml:space="preserve">       Apellidos:          ACOSTA FIGUERA                                            Nombre:           WILMARIS GERALDINE</t>
  </si>
  <si>
    <t xml:space="preserve">       Salario:            7,000,000.00            Ingreso:    13/04/2021             Servicio:        2 Meses 2 Dias</t>
  </si>
  <si>
    <t xml:space="preserve">       N006           BONO POR INFLACION                                              1.00           540,000.00               0.00           540,000.00</t>
  </si>
  <si>
    <t xml:space="preserve">                                                                                                   4,740,000.00          180,384.62         4,559,615.38</t>
  </si>
  <si>
    <t xml:space="preserve">       Código:             19930152                                                   ID:              19930152</t>
  </si>
  <si>
    <t xml:space="preserve">       Apellidos:          ACOSTA VARGAS                                             Nombre:           GLENDA ODALIN</t>
  </si>
  <si>
    <t xml:space="preserve">       Salario:            7,000,000.00            Ingreso:    03/05/2019             Servicio:        2 Años 1 Meses 12 Dias</t>
  </si>
  <si>
    <t xml:space="preserve">                                                                                                   4,000,000.00          180,384.62         3,819,615.38</t>
  </si>
  <si>
    <t xml:space="preserve">       Código:             6462530                                                    ID:              6462530</t>
  </si>
  <si>
    <t xml:space="preserve">       Apellidos:          ALAMO LUGO                                                Nombre:           PABLO ENRIQUE</t>
  </si>
  <si>
    <t xml:space="preserve">       Salario:            7,000,000.00            Ingreso:    12/01/2018             Servicio:        3 Años 5 Meses 3 Dias</t>
  </si>
  <si>
    <t xml:space="preserve">                                                                                                      Fecha de Emisión: 21/06/2021                             Pg 3 de 65</t>
  </si>
  <si>
    <t xml:space="preserve">       Código:             29951994                                                   ID:              29951994</t>
  </si>
  <si>
    <t xml:space="preserve">       Apellidos:          ALGARIN RAMIREZ                                           Nombre:           ISAURA YONALIC</t>
  </si>
  <si>
    <t xml:space="preserve">       Salario:            7,000,000.00            Ingreso:    02/06/2021             Servicio:        13 Dias</t>
  </si>
  <si>
    <t xml:space="preserve">       N006           BONO POR INFLACION                                              1.00           396,666.67               0.00           396,666.67</t>
  </si>
  <si>
    <t xml:space="preserve">       D004           INASISTENCIA JUSTIFICADA                                        1.00                 0.00         233,333.33           233,333.33</t>
  </si>
  <si>
    <t xml:space="preserve">                                                                                                   4,596,666.67          413,717.95         4,182,948.72</t>
  </si>
  <si>
    <t xml:space="preserve">       Código:             16369994                                                   ID:              16369994</t>
  </si>
  <si>
    <t xml:space="preserve">       Apellidos:          ALMENAR REINA                                             Nombre:           DANIEL ENRIQUE</t>
  </si>
  <si>
    <t xml:space="preserve">       Salario:            7,000,000.00            Ingreso:    15/01/2021             Servicio:        5 Meses</t>
  </si>
  <si>
    <t xml:space="preserve">       N004           DIAS LIBRES TRABAJADO                                           1.00           839,999.99               0.00           839,999.99</t>
  </si>
  <si>
    <t xml:space="preserve">                                                                                                   5,639,999.99          180,384.62         5,459,615.37</t>
  </si>
  <si>
    <t xml:space="preserve">       Código:             17426811                                                   ID:              17426811</t>
  </si>
  <si>
    <t xml:space="preserve">       Apellidos:          ALVAREZ GONZALEZ                                          Nombre:           ELENA DEL VALLE</t>
  </si>
  <si>
    <t xml:space="preserve">       Salario:            7,000,000.00            Ingreso:    09/08/2020             Servicio:        10 Meses 6 Dias</t>
  </si>
  <si>
    <t xml:space="preserve">       Tipo Contrato:      DETERMINADO                                                Contrato:</t>
  </si>
  <si>
    <t xml:space="preserve">                                                                                                      Fecha de Emisión: 21/06/2021                             Pg 4 de 65</t>
  </si>
  <si>
    <t xml:space="preserve">       Código:             24523030                                                   ID:              24523030</t>
  </si>
  <si>
    <t xml:space="preserve">       Apellidos:          ALVAREZ SEQUERA                                           Nombre:           YOLIBER ANDREA</t>
  </si>
  <si>
    <t xml:space="preserve">       Salario:            7,000,000.00            Ingreso:    12/05/2021             Servicio:        1 Meses 3 Dias</t>
  </si>
  <si>
    <t xml:space="preserve">       Código:             12158513                                                   ID:              12158513</t>
  </si>
  <si>
    <t xml:space="preserve">       Apellidos:          APONTE ROBLES                                             Nombre:           JOSE LUIS</t>
  </si>
  <si>
    <t xml:space="preserve">       Salario:            7,000,000.00            Ingreso:    09/04/2021             Servicio:        2 Meses 6 Dias</t>
  </si>
  <si>
    <t xml:space="preserve">       Código:             13727560                                                   ID:              13727560</t>
  </si>
  <si>
    <t xml:space="preserve">       Apellidos:          ARRIOJAS BRICES                                           Nombre:           CARMEN AMERICA</t>
  </si>
  <si>
    <t xml:space="preserve">       Salario:            7,000,000.00            Ingreso:    25/04/2019             Servicio:        2 Años 1 Meses 21 Dias</t>
  </si>
  <si>
    <t xml:space="preserve">                                                                                                      Fecha de Emisión: 21/06/2021                             Pg 5 de 65</t>
  </si>
  <si>
    <t xml:space="preserve">       Código:             10042276                                                   ID:              10042276</t>
  </si>
  <si>
    <t xml:space="preserve">       Apellidos:          AVILES TORREALBA                                          Nombre:           LUZ CELESTE</t>
  </si>
  <si>
    <t xml:space="preserve">       Salario:            7,000,000.00            Ingreso:    22/03/2021             Servicio:        2 Meses 24 Dias</t>
  </si>
  <si>
    <t xml:space="preserve">       Código:             24069025                                                   ID:              24069025</t>
  </si>
  <si>
    <t xml:space="preserve">       Apellidos:          AZUAJE TORREZ                                             Nombre:           ADRIANA COROMOTO</t>
  </si>
  <si>
    <t xml:space="preserve">       Salario:            7,000,000.00            Ingreso:    25/08/2019             Servicio:        1 Años 9 Meses 21 Dias</t>
  </si>
  <si>
    <t xml:space="preserve">       Código:             10276588                                                   ID:              10276588</t>
  </si>
  <si>
    <t xml:space="preserve">       Apellidos:          BALLESTERO                                                Nombre:           RICHARD</t>
  </si>
  <si>
    <t xml:space="preserve">                                                                                                      Fecha de Emisión: 21/06/2021                             Pg 6 de 65</t>
  </si>
  <si>
    <t xml:space="preserve">       N006           BONO POR INFLACION                                              1.00           533,333.33               0.00           533,333.33</t>
  </si>
  <si>
    <t xml:space="preserve">       D004           INASISTENCIA JUSTIFICADA                                        2.00                 0.00         466,666.67           466,666.67</t>
  </si>
  <si>
    <t xml:space="preserve">                                                                                                   5,293,333.32          647,051.29         4,646,282.03</t>
  </si>
  <si>
    <t xml:space="preserve">       Código:             28444560                                                   ID:              28444560</t>
  </si>
  <si>
    <t xml:space="preserve">       Apellidos:          BARBOZA PEÑA                                              Nombre:           ORLANDO GABRIEL</t>
  </si>
  <si>
    <t xml:space="preserve">       Salario:            7,000,000.00            Ingreso:    30/09/2020             Servicio:        8 Meses 16 Dias</t>
  </si>
  <si>
    <t xml:space="preserve">       N004           DIAS LIBRES TRABAJADO                                           1.00           276,666.66               0.00           276,666.66</t>
  </si>
  <si>
    <t xml:space="preserve">                                                                                                   5,016,666.66          180,384.62         4,836,282.04</t>
  </si>
  <si>
    <t xml:space="preserve">       Código:             23625140                                                   ID:              23625140</t>
  </si>
  <si>
    <t xml:space="preserve">       Apellidos:          BARON GARCIA                                              Nombre:           JISTA MILKENDRI</t>
  </si>
  <si>
    <t xml:space="preserve">       Salario:            7,000,000.00            Ingreso:    04/07/2018             Servicio:        2 Años 11 Meses 11 Dias</t>
  </si>
  <si>
    <t xml:space="preserve">       Código:             10907955                                                   ID:              10907955</t>
  </si>
  <si>
    <t xml:space="preserve">       Apellidos:          BARRIOS CARRIZO                                           Nombre:           RAMON ALFONSO</t>
  </si>
  <si>
    <t xml:space="preserve">       Salario:            7,000,000.00            Ingreso:    19/05/2021             Servicio:        27 Dias</t>
  </si>
  <si>
    <t xml:space="preserve">                                                                                                      Fecha de Emisión: 21/06/2021                             Pg 7 de 65</t>
  </si>
  <si>
    <t xml:space="preserve">       N006           BONO POR INFLACION                                              1.00           350,000.00               0.00           350,000.00</t>
  </si>
  <si>
    <t xml:space="preserve">                                                                                                   3,850,000.00          180,384.62         3,669,615.38</t>
  </si>
  <si>
    <t xml:space="preserve">       Código:             29557338                                                   ID:              29557338</t>
  </si>
  <si>
    <t xml:space="preserve">       Apellidos:          BARRIOS PEREZ                                             Nombre:           ANGELY DEL CARMEN</t>
  </si>
  <si>
    <t xml:space="preserve">       Salario:            7,000,000.00            Ingreso:    20/07/2020             Servicio:        10 Meses 26 Dias</t>
  </si>
  <si>
    <t xml:space="preserve">       D005           INASISTENCIA INJUSTIFICADA                                      1.00                 0.00         233,333.33           233,333.33</t>
  </si>
  <si>
    <t xml:space="preserve">                                                                                                   4,200,000.00          413,717.95         3,786,282.05</t>
  </si>
  <si>
    <t xml:space="preserve">       Código:             11039609                                                   ID:              11039609</t>
  </si>
  <si>
    <t xml:space="preserve">       Apellidos:          BASTIDAS TOCUYO                                           Nombre:           JOSE ALEXANDER</t>
  </si>
  <si>
    <t xml:space="preserve">       Salario:            7,000,000.00            Ingreso:    01/02/2019             Servicio:        2 Años 4 Meses 14 Dias</t>
  </si>
  <si>
    <t xml:space="preserve">       Código:             13958154                                                   ID:              13958154</t>
  </si>
  <si>
    <t xml:space="preserve">       Apellidos:          BAYONA LAZARO                                             Nombre:           SANDRA MARIA</t>
  </si>
  <si>
    <t xml:space="preserve">       Salario:            7,000,000.00            Ingreso:    19/01/2018             Servicio:        3 Años 4 Meses 27 Dias</t>
  </si>
  <si>
    <t xml:space="preserve">                                                                                                      Fecha de Emisión: 21/06/2021                             Pg 8 de 65</t>
  </si>
  <si>
    <t xml:space="preserve">       Estatus:     RETIRADO</t>
  </si>
  <si>
    <t xml:space="preserve">       Código:             4457738                                                    ID:              4457738</t>
  </si>
  <si>
    <t xml:space="preserve">       Apellidos:          BERRIO TORRES                                             Nombre:           GREGORIA DEL MILAGRO</t>
  </si>
  <si>
    <t xml:space="preserve">       Salario:            7,000,000.00            Ingreso:    14/02/2017             Servicio:        4 Años 4 Meses 1 Dias</t>
  </si>
  <si>
    <t xml:space="preserve">       Código:             28306909                                                   ID:              28306909</t>
  </si>
  <si>
    <t xml:space="preserve">       Apellidos:          BERROTERAN PEREZ                                          Nombre:           HENRY GREGORIO</t>
  </si>
  <si>
    <t xml:space="preserve">       Salario:            7,000,000.00            Ingreso:    02/12/2020             Servicio:        6 Meses 13 Dias</t>
  </si>
  <si>
    <t xml:space="preserve">       N004           DIAS LIBRES TRABAJADO                                           1.00           270,000.00               0.00           270,000.00</t>
  </si>
  <si>
    <t xml:space="preserve">                                                                                                   4,890,000.00          180,384.62         4,709,615.38</t>
  </si>
  <si>
    <t xml:space="preserve">       Código:             8679454                                                    ID:              8679454</t>
  </si>
  <si>
    <t xml:space="preserve">       Apellidos:          BETANCOURT ALFARO                                         Nombre:           PABLO GABRIEL</t>
  </si>
  <si>
    <t xml:space="preserve">                                                                                                      Fecha de Emisión: 21/06/2021                             Pg 9 de 65</t>
  </si>
  <si>
    <t xml:space="preserve">       Salario:            7,000,000.00            Ingreso:    26/08/2020             Servicio:        9 Meses 20 Dias</t>
  </si>
  <si>
    <t xml:space="preserve">       Código:             27979611                                                   ID:              27979611</t>
  </si>
  <si>
    <t xml:space="preserve">       Apellidos:          BLANCO ZAMBRANO                                           Nombre:           JUAN ANTONIO</t>
  </si>
  <si>
    <t xml:space="preserve">       Salario:            7,000,000.00            Ingreso:    16/04/2021             Servicio:        1 Meses 30 Dias</t>
  </si>
  <si>
    <t xml:space="preserve">       Código:             18971663                                                   ID:              18971663</t>
  </si>
  <si>
    <t xml:space="preserve">       Apellidos:          BOLIVAR DAZA                                              Nombre:           DERVIN ABIGAIL</t>
  </si>
  <si>
    <t xml:space="preserve">       Salario:            7,000,000.00            Ingreso:    03/06/2021             Servicio:        12 Dias</t>
  </si>
  <si>
    <t xml:space="preserve">                                                                                                   4,733,333.33          647,051.29         4,086,282.04</t>
  </si>
  <si>
    <t xml:space="preserve">                                                                                                      Fecha de Emisión: 21/06/2021                            Pg 10 de 65</t>
  </si>
  <si>
    <t xml:space="preserve">       Código:             27446109                                                   ID:              27446109</t>
  </si>
  <si>
    <t xml:space="preserve">       Apellidos:          BORGES ORTIZ                                              Nombre:           MILENIS NAIBETH</t>
  </si>
  <si>
    <t xml:space="preserve">       Salario:            7,000,000.00            Ingreso:    17/04/2021             Servicio:        1 Meses 29 Dias</t>
  </si>
  <si>
    <t xml:space="preserve">       Código:             FB436411                                                   ID:              FB436411</t>
  </si>
  <si>
    <t xml:space="preserve">       Apellidos:          BRAVO MARTINEZ                                            Nombre:           WILMER ANDRES</t>
  </si>
  <si>
    <t xml:space="preserve">       Salario:            7,000,000.00            Ingreso:    08/02/2021             Servicio:        4 Meses 7 Dias</t>
  </si>
  <si>
    <t xml:space="preserve">       N004           DIAS LIBRES TRABAJADO                                           1.00           539,999.99               0.00           539,999.99</t>
  </si>
  <si>
    <t xml:space="preserve">                                                                                                   5,159,999.99          180,384.62         4,979,615.37</t>
  </si>
  <si>
    <t xml:space="preserve">       Código:             13600014                                                   ID:              13600014</t>
  </si>
  <si>
    <t xml:space="preserve">       Apellidos:          BRUZUAL MARIÑA                                            Nombre:           LILIAN DEL VALLE</t>
  </si>
  <si>
    <t xml:space="preserve">       Salario:            7,000,000.00            Ingreso:    09/09/2017             Servicio:        3 Años 9 Meses 6 Dias</t>
  </si>
  <si>
    <t xml:space="preserve">                                                                                                      Fecha de Emisión: 21/06/2021                            Pg 11 de 65</t>
  </si>
  <si>
    <t xml:space="preserve">       Código:             26473638                                                   ID:              26473638</t>
  </si>
  <si>
    <t xml:space="preserve">       Apellidos:          CAMARGO CAMARGO                                           Nombre:           MAYERLING ROSALINA</t>
  </si>
  <si>
    <t xml:space="preserve">       Salario:            7,000,000.00            Ingreso:    13/11/2020             Servicio:        7 Meses 2 Dias</t>
  </si>
  <si>
    <t xml:space="preserve">       Código:             20709000                                                   ID:              20709000</t>
  </si>
  <si>
    <t xml:space="preserve">       Apellidos:          CAÑIZALEZ GODOY                                           Nombre:           LORENA DEL CARMEN</t>
  </si>
  <si>
    <t xml:space="preserve">       Salario:            7,000,000.00            Ingreso:    15/01/2020             Servicio:        1 Años 5 Meses</t>
  </si>
  <si>
    <t xml:space="preserve">       Código:             29676471                                                   ID:              29676471</t>
  </si>
  <si>
    <t xml:space="preserve">       Apellidos:          CARDENAS BLANCO                                           Nombre:           SIREIBIS</t>
  </si>
  <si>
    <t xml:space="preserve">       Salario:            7,000,000.00            Ingreso:    31/05/2021             Servicio:        15 Dias</t>
  </si>
  <si>
    <t xml:space="preserve">       N007           OTRAS ASIGNACIONES                                              1.00           263,333.33               0.00           263,333.33</t>
  </si>
  <si>
    <t xml:space="preserve">                                                                                                      Fecha de Emisión: 21/06/2021                            Pg 12 de 65</t>
  </si>
  <si>
    <t xml:space="preserve">                                                                                                   5,003,333.33          180,384.62         4,822,948.71</t>
  </si>
  <si>
    <t xml:space="preserve">       Código:             27669240                                                   ID:              27669240</t>
  </si>
  <si>
    <t xml:space="preserve">       Apellidos:          CARDENAS BLANCO                                           Nombre:           HOSFMAN HUTCHINZON</t>
  </si>
  <si>
    <t xml:space="preserve">       Salario:            7,000,000.00            Ingreso:    17/05/2021             Servicio:        29 Dias</t>
  </si>
  <si>
    <t xml:space="preserve">       Código:             4843186                                                    ID:              4843186</t>
  </si>
  <si>
    <t xml:space="preserve">       Apellidos:          CARPIO LUNA                                               Nombre:           SIMON ABAD</t>
  </si>
  <si>
    <t xml:space="preserve">       Salario:            7,000,000.00            Ingreso:    25/03/2021             Servicio:        2 Meses 21 Dias</t>
  </si>
  <si>
    <t xml:space="preserve">       N004           DIAS LIBRES TRABAJADO                                           1.00           553,333.33               0.00           553,333.33</t>
  </si>
  <si>
    <t xml:space="preserve">                                                                                                   5,293,333.33          180,384.62         5,112,948.71</t>
  </si>
  <si>
    <t xml:space="preserve">       Código:             29557936                                                   ID:              29557936</t>
  </si>
  <si>
    <t xml:space="preserve">       Apellidos:          CARVALHO MELENDEZ                                         Nombre:           OWEN JESUS</t>
  </si>
  <si>
    <t xml:space="preserve">       Salario:            7,000,000.00            Ingreso:    01/03/2021             Servicio:        3 Meses 14 Dias</t>
  </si>
  <si>
    <t xml:space="preserve">                                                                                                      Fecha de Emisión: 21/06/2021                            Pg 13 de 65</t>
  </si>
  <si>
    <t xml:space="preserve">       Código:             29951887                                                   ID:              29951887</t>
  </si>
  <si>
    <t xml:space="preserve">       Apellidos:          CASTELLANOS CAYASPO                                       Nombre:           YENDERLIN ORIANA</t>
  </si>
  <si>
    <t xml:space="preserve">       Salario:            7,000,000.00            Ingreso:    14/04/2021             Servicio:        2 Meses 1 Dias</t>
  </si>
  <si>
    <t xml:space="preserve">       Código:             29830101                                                   ID:              29830101</t>
  </si>
  <si>
    <t xml:space="preserve">       Apellidos:          CASTELLANOS PEÑA                                          Nombre:           HECTOR LUIS</t>
  </si>
  <si>
    <t xml:space="preserve">       Salario:            7,000,000.00            Ingreso:    06/05/2021             Servicio:        1 Meses 9 Dias</t>
  </si>
  <si>
    <t xml:space="preserve">       N006           BONO POR INFLACION                                              1.00           360,000.00               0.00           360,000.00</t>
  </si>
  <si>
    <t xml:space="preserve">                                                                                                   4,560,000.00          180,384.62         4,379,615.38</t>
  </si>
  <si>
    <t xml:space="preserve">       Código:             11040855                                                   ID:              11040855</t>
  </si>
  <si>
    <t xml:space="preserve">       Apellidos:          CASTRO DE DE CASTRO                                       Nombre:           JUANA</t>
  </si>
  <si>
    <t xml:space="preserve">                                                                                                      Fecha de Emisión: 21/06/2021                            Pg 14 de 65</t>
  </si>
  <si>
    <t xml:space="preserve">       Código:             12730557                                                   ID:              12730557</t>
  </si>
  <si>
    <t xml:space="preserve">       Apellidos:          CEDEÑO RAMOS                                              Nombre:           MERCEDES CAROLINA</t>
  </si>
  <si>
    <t xml:space="preserve">       Salario:            7,000,000.00            Ingreso:    10/07/2019             Servicio:        1 Años 11 Meses 5 Dias</t>
  </si>
  <si>
    <t xml:space="preserve">       Código:             27669578                                                   ID:              27669578</t>
  </si>
  <si>
    <t xml:space="preserve">       Apellidos:          CEDEÑOS MANSO                                             Nombre:           YORMAN ENRIQUE</t>
  </si>
  <si>
    <t xml:space="preserve">       Código:             14446313                                                   ID:              14446313</t>
  </si>
  <si>
    <t xml:space="preserve">       Apellidos:          CENTENO GONZALEZ                                          Nombre:           AIKER YAREMI</t>
  </si>
  <si>
    <t xml:space="preserve">       Salario:            7,000,000.00            Ingreso:    16/11/2020             Servicio:        6 Meses 30 Dias</t>
  </si>
  <si>
    <t xml:space="preserve">                                                                                                      Fecha de Emisión: 21/06/2021                            Pg 15 de 65</t>
  </si>
  <si>
    <t xml:space="preserve">       Código:             4284440                                                    ID:              4284440</t>
  </si>
  <si>
    <t xml:space="preserve">       Apellidos:          CHACON UTRERA                                             Nombre:           LUIS RAMON</t>
  </si>
  <si>
    <t xml:space="preserve">       Salario:            7,000,000.00            Ingreso:    18/05/2021             Servicio:        28 Dias</t>
  </si>
  <si>
    <t xml:space="preserve">       Código:             29511218                                                   ID:              29511218</t>
  </si>
  <si>
    <t xml:space="preserve">       Apellidos:          CISNEROS GAVIDIA                                          Nombre:           MIGUEL ANGEL</t>
  </si>
  <si>
    <t xml:space="preserve">       Salario:            7,000,000.00            Ingreso:    05/01/2021             Servicio:        5 Meses 10 Dias</t>
  </si>
  <si>
    <t xml:space="preserve">       Código:             21571499                                                   ID:              21571499</t>
  </si>
  <si>
    <t xml:space="preserve">       Apellidos:          CONTRERAS ZAMBRANO                                        Nombre:           MILAGROS DEL VALLE</t>
  </si>
  <si>
    <t xml:space="preserve">       Salario:            7,000,000.00            Ingreso:    11/07/2019             Servicio:        1 Años 11 Meses 4 Dias</t>
  </si>
  <si>
    <t xml:space="preserve">                                                                                                      Fecha de Emisión: 21/06/2021                            Pg 16 de 65</t>
  </si>
  <si>
    <t xml:space="preserve">       Código:             28330288                                                   ID:              28330288</t>
  </si>
  <si>
    <t xml:space="preserve">       Apellidos:          CORRALES VELASQUEZ                                        Nombre:           DIVIANA DANIELA</t>
  </si>
  <si>
    <t xml:space="preserve">       Código:             16600622                                                   ID:              16600622</t>
  </si>
  <si>
    <t xml:space="preserve">       Apellidos:          CORTEZ MOREY                                              Nombre:           MARILY JOSEFINA</t>
  </si>
  <si>
    <t xml:space="preserve">       Código:             29622879                                                   ID:              29622879</t>
  </si>
  <si>
    <t xml:space="preserve">       Apellidos:          CROQUER AMARO                                             Nombre:           JOSE GREGORIO</t>
  </si>
  <si>
    <t xml:space="preserve">                                                                                                      Fecha de Emisión: 21/06/2021                            Pg 17 de 65</t>
  </si>
  <si>
    <t xml:space="preserve">       Salario:            7,000,000.00            Ingreso:    15/03/2021             Servicio:        3 Meses</t>
  </si>
  <si>
    <t xml:space="preserve">       Código:             25236374                                                   ID:              25236374</t>
  </si>
  <si>
    <t xml:space="preserve">       Apellidos:          CRUCES URRIOLA                                            Nombre:           JHOCSELIX DESIRRE</t>
  </si>
  <si>
    <t xml:space="preserve">       Código:             23526345                                                   ID:              23526345</t>
  </si>
  <si>
    <t xml:space="preserve">       Apellidos:          CUEVAS VALDERRAMA                                         Nombre:           JOSE DEL CARMEN</t>
  </si>
  <si>
    <t xml:space="preserve">       Salario:            7,000,000.00            Ingreso:    01/02/2008             Servicio:        13 Años 4 Meses 14 Dias</t>
  </si>
  <si>
    <t xml:space="preserve">                                                                                                   4,800,000.00          180,384.62         4,619,615.38</t>
  </si>
  <si>
    <t xml:space="preserve">       Código:             9519190                                                    ID:              9519190</t>
  </si>
  <si>
    <t xml:space="preserve">                                                                                                      Fecha de Emisión: 21/06/2021                            Pg 18 de 65</t>
  </si>
  <si>
    <t xml:space="preserve">       Apellidos:          DELGADO FERNANDEZ                                         Nombre:           XIOMARA TEODORA</t>
  </si>
  <si>
    <t xml:space="preserve">       Salario:            7,000,000.00            Ingreso:    30/04/2021             Servicio:        1 Meses 16 Dias</t>
  </si>
  <si>
    <t xml:space="preserve">       N003           DOMINGO TRABAJADO                                               1.00           350,000.00               0.00           350,000.00</t>
  </si>
  <si>
    <t xml:space="preserve">       N006           BONO POR INFLACION                                              1.00           310,000.00               0.00           310,000.00</t>
  </si>
  <si>
    <t xml:space="preserve">                                                                                                   4,160,000.00          413,717.95         3,746,282.05</t>
  </si>
  <si>
    <t xml:space="preserve">       Código:             21120252                                                   ID:              21120252</t>
  </si>
  <si>
    <t xml:space="preserve">       Apellidos:          DELGADO FRANCO                                            Nombre:           KAREN ALEJANDRA</t>
  </si>
  <si>
    <t xml:space="preserve">       Código:             28463470                                                   ID:              28463470</t>
  </si>
  <si>
    <t xml:space="preserve">       Apellidos:          DIAZ MORA                                                 Nombre:           LUIS JESUS</t>
  </si>
  <si>
    <t xml:space="preserve">       Salario:            7,000,000.00            Ingreso:    12/03/2021             Servicio:        3 Meses 3 Dias</t>
  </si>
  <si>
    <t xml:space="preserve">                                                                                                      Fecha de Emisión: 21/06/2021                            Pg 19 de 65</t>
  </si>
  <si>
    <t xml:space="preserve">       Código:             17117336                                                   ID:              17117336</t>
  </si>
  <si>
    <t xml:space="preserve">       Apellidos:          ESCALONA                                                  Nombre:           LUIS ENRIQUE</t>
  </si>
  <si>
    <t xml:space="preserve">       Salario:            7,000,000.00            Ingreso:    13/01/2021             Servicio:        5 Meses 2 Dias</t>
  </si>
  <si>
    <t xml:space="preserve">                                                                                                   4,839,999.99          180,384.62         4,659,615.37</t>
  </si>
  <si>
    <t xml:space="preserve">       Código:             25896117                                                   ID:              25896117</t>
  </si>
  <si>
    <t xml:space="preserve">       Apellidos:          ESCALONA ROMAN                                            Nombre:           ORAIMA NOHEMI</t>
  </si>
  <si>
    <t xml:space="preserve">       Salario:            7,000,000.00            Ingreso:    03/11/2020             Servicio:        7 Meses 12 Dias</t>
  </si>
  <si>
    <t xml:space="preserve">       Código:             17532469                                                   ID:              17532469</t>
  </si>
  <si>
    <t xml:space="preserve">       Apellidos:          FALCON GARCIA                                             Nombre:           EMPERATRIZ MILAGROS</t>
  </si>
  <si>
    <t xml:space="preserve">       Salario:            7,000,000.00            Ingreso:    19/02/2020             Servicio:        1 Años 3 Meses 27 Dias</t>
  </si>
  <si>
    <t xml:space="preserve">                                                                                                      Fecha de Emisión: 21/06/2021                            Pg 20 de 65</t>
  </si>
  <si>
    <t xml:space="preserve">       Código:             13903499                                                   ID:              13903499</t>
  </si>
  <si>
    <t xml:space="preserve">       Apellidos:          FEBRES SALAS                                              Nombre:           ERIKA YULBEY</t>
  </si>
  <si>
    <t xml:space="preserve">       Código:             17197642                                                   ID:              17197642</t>
  </si>
  <si>
    <t xml:space="preserve">       Apellidos:          FERNANDES DE OLIVAL                                       Nombre:           KARINA</t>
  </si>
  <si>
    <t xml:space="preserve">       Salario:            7,000,000.00            Ingreso:    19/11/2020             Servicio:        6 Meses 27 Dias</t>
  </si>
  <si>
    <t xml:space="preserve">       Código:             17533969                                                   ID:              17533969</t>
  </si>
  <si>
    <t xml:space="preserve">       Apellidos:          FLORES FARIAS                                             Nombre:           ESTHER</t>
  </si>
  <si>
    <t xml:space="preserve">       Salario:            7,000,000.00            Ingreso:    28/08/2015             Servicio:        5 Años 9 Meses 18 Dias</t>
  </si>
  <si>
    <t xml:space="preserve">                                                                                                      Fecha de Emisión: 21/06/2021                            Pg 21 de 65</t>
  </si>
  <si>
    <t xml:space="preserve">       Código:             27764466                                                   ID:              27764466</t>
  </si>
  <si>
    <t xml:space="preserve">       Apellidos:          FUENTES MOYA                                              Nombre:           DARVINSON ABRAHAM</t>
  </si>
  <si>
    <t xml:space="preserve">       Salario:            7,000,000.00            Ingreso:    19/01/2021             Servicio:        4 Meses 27 Dias</t>
  </si>
  <si>
    <t xml:space="preserve">       Código:             29753052                                                   ID:              29753052</t>
  </si>
  <si>
    <t xml:space="preserve">       Apellidos:          GARCIA BARRIOS                                            Nombre:           PEDRO ALEJANDRO</t>
  </si>
  <si>
    <t xml:space="preserve">       Salario:            7,000,000.00            Ingreso:    11/05/2021             Servicio:        1 Meses 4 Dias</t>
  </si>
  <si>
    <t xml:space="preserve">       N006           BONO POR INFLACION                                              1.00           495,000.00               0.00           495,000.00</t>
  </si>
  <si>
    <t xml:space="preserve">                                                                                                   4,345,000.00          180,384.62         4,164,615.38</t>
  </si>
  <si>
    <t xml:space="preserve">       Código:             6841978                                                    ID:              6841978</t>
  </si>
  <si>
    <t xml:space="preserve">       Apellidos:          GARCIA CAMPOS                                             Nombre:           WILLIAM ALFREDO</t>
  </si>
  <si>
    <t xml:space="preserve">       Salario:            7,000,000.00            Ingreso:    20/05/2021             Servicio:        26 Dias</t>
  </si>
  <si>
    <t xml:space="preserve">                                                                                                      Fecha de Emisión: 21/06/2021                            Pg 22 de 65</t>
  </si>
  <si>
    <t xml:space="preserve">       Código:             29676012                                                   ID:              29676012</t>
  </si>
  <si>
    <t xml:space="preserve">       Apellidos:          GARCIA CHAPELLIN                                          Nombre:           RYAN ISAAC</t>
  </si>
  <si>
    <t xml:space="preserve">       Código:             19014434                                                   ID:              19014434</t>
  </si>
  <si>
    <t xml:space="preserve">       Apellidos:          GIL CAMARGO                                               Nombre:           JAVIER ANTONIO</t>
  </si>
  <si>
    <t xml:space="preserve">       Código:             19764105                                                   ID:              19764105</t>
  </si>
  <si>
    <t xml:space="preserve">       Apellidos:          GONZALEZ ESCALANTE                                        Nombre:           ALISSON STEISY</t>
  </si>
  <si>
    <t xml:space="preserve">       Salario:            7,000,000.00            Ingreso:    08/05/2015             Servicio:        6 Años 1 Meses 7 Dias</t>
  </si>
  <si>
    <t xml:space="preserve">                                                                                                      Fecha de Emisión: 21/06/2021                            Pg 23 de 65</t>
  </si>
  <si>
    <t xml:space="preserve">       Código:             26223975                                                   ID:              26223975</t>
  </si>
  <si>
    <t xml:space="preserve">       Apellidos:          GONZALEZ FORTE                                            Nombre:           WHITNEY ROXANDRA EINALEM</t>
  </si>
  <si>
    <t xml:space="preserve">       Salario:            7,000,000.00            Ingreso:    07/12/2020             Servicio:        6 Meses 8 Dias</t>
  </si>
  <si>
    <t xml:space="preserve">       Código:             19473020                                                   ID:              19473020</t>
  </si>
  <si>
    <t xml:space="preserve">       Apellidos:          GONZALEZ GARCIA                                           Nombre:           MILAGROS COROMOTO</t>
  </si>
  <si>
    <t xml:space="preserve">       Salario:            7,000,000.00            Ingreso:    16/03/2021             Servicio:        2 Meses 30 Dias</t>
  </si>
  <si>
    <t xml:space="preserve">       Código:             20114047                                                   ID:              20114047</t>
  </si>
  <si>
    <t xml:space="preserve">       Apellidos:          GONZALEZ GUZMAN                                           Nombre:           JOHANNA RAQUEL</t>
  </si>
  <si>
    <t xml:space="preserve">       Salario:            7,000,000.00            Ingreso:    30/01/2018             Servicio:        3 Años 4 Meses 16 Dias</t>
  </si>
  <si>
    <t xml:space="preserve">                                                                                                      Fecha de Emisión: 21/06/2021                            Pg 24 de 65</t>
  </si>
  <si>
    <t xml:space="preserve">       Código:             13231196                                                   ID:              13231196</t>
  </si>
  <si>
    <t xml:space="preserve">       Apellidos:          GONZALEZ PARRA                                            Nombre:           JONATHAN ALEXANDER</t>
  </si>
  <si>
    <t xml:space="preserve">       Salario:            7,000,000.00            Ingreso:    02/03/2020             Servicio:        1 Años 3 Meses 13 Dias</t>
  </si>
  <si>
    <t xml:space="preserve">       Código:             23413245                                                   ID:              23413245</t>
  </si>
  <si>
    <t xml:space="preserve">       Apellidos:          GONZALEZ RODRIGUEZ                                        Nombre:           HEIDI NAUDERLIN</t>
  </si>
  <si>
    <t xml:space="preserve">       N006           BONO POR INFLACION                                              1.00           510,000.00               0.00           510,000.00</t>
  </si>
  <si>
    <t xml:space="preserve">                                                                                                   4,710,000.00          413,717.95         4,296,282.05</t>
  </si>
  <si>
    <t xml:space="preserve">       Código:             18118718                                                   ID:              18118718</t>
  </si>
  <si>
    <t xml:space="preserve">       Apellidos:          GRATEROL                                                  Nombre:           JENNIFER ANDREINA</t>
  </si>
  <si>
    <t xml:space="preserve">       Salario:            7,000,000.00            Ingreso:    30/03/2021             Servicio:        2 Meses 16 Dias</t>
  </si>
  <si>
    <t xml:space="preserve">                                                                                                      Fecha de Emisión: 21/06/2021                            Pg 25 de 65</t>
  </si>
  <si>
    <t xml:space="preserve">       Código:             14480253                                                   ID:              14480253</t>
  </si>
  <si>
    <t xml:space="preserve">       Apellidos:          GUITIAN MARTINEZ                                          Nombre:           HUMBERTO ENRIQUE</t>
  </si>
  <si>
    <t xml:space="preserve">       Salario:            7,000,000.00            Ingreso:    03/02/2021             Servicio:        4 Meses 12 Dias</t>
  </si>
  <si>
    <t xml:space="preserve">       Código:             28301641                                                   ID:              28301641</t>
  </si>
  <si>
    <t xml:space="preserve">       Apellidos:          GUTIERREZ BULLON                                          Nombre:           PAOLA SARAY</t>
  </si>
  <si>
    <t xml:space="preserve">       Salario:            7,000,000.00            Ingreso:    30/10/2020             Servicio:        7 Meses 16 Dias</t>
  </si>
  <si>
    <t xml:space="preserve">       N006           BONO POR INFLACION                                              1.00           450,000.00               0.00           450,000.00</t>
  </si>
  <si>
    <t xml:space="preserve">                                                                                                   3,950,000.00          180,384.62         3,769,615.38</t>
  </si>
  <si>
    <t xml:space="preserve">       Código:             27908941                                                   ID:              27908941</t>
  </si>
  <si>
    <t xml:space="preserve">       Apellidos:          GUTIERREZ SILVA                                           Nombre:           NOHELY ISABEL</t>
  </si>
  <si>
    <t xml:space="preserve">                                                                                                      Fecha de Emisión: 21/06/2021                            Pg 26 de 65</t>
  </si>
  <si>
    <t xml:space="preserve">       Código:             27771532                                                   ID:              27771532</t>
  </si>
  <si>
    <t xml:space="preserve">       Apellidos:          HERNANDEZ ALVARADO                                        Nombre:           ALBERT SMITH</t>
  </si>
  <si>
    <t xml:space="preserve">       Código:             4848329                                                    ID:              4848329</t>
  </si>
  <si>
    <t xml:space="preserve">       Apellidos:          HERNANDEZ BELLO                                           Nombre:           LUIS ARMANDO</t>
  </si>
  <si>
    <t xml:space="preserve">       Salario:            7,000,000.00            Ingreso:    05/08/2019             Servicio:        1 Años 10 Meses 10 Dias</t>
  </si>
  <si>
    <t xml:space="preserve">       Código:             27446199                                                   ID:              27446199</t>
  </si>
  <si>
    <t xml:space="preserve">       Apellidos:          HERNANDEZ BOGADO                                          Nombre:           ARIANNY NAZARETH</t>
  </si>
  <si>
    <t xml:space="preserve">       Salario:            7,000,000.00            Ingreso:    01/12/2020             Servicio:        6 Meses 14 Dias</t>
  </si>
  <si>
    <t xml:space="preserve">                                                                                                      Fecha de Emisión: 21/06/2021                            Pg 27 de 65</t>
  </si>
  <si>
    <t xml:space="preserve">       Código:             27515523                                                   ID:              27515523</t>
  </si>
  <si>
    <t xml:space="preserve">       Apellidos:          HERNANDEZ CASARIS                                         Nombre:           CHRISTOPHER REY</t>
  </si>
  <si>
    <t xml:space="preserve">       Código:             27805181                                                   ID:              27805181</t>
  </si>
  <si>
    <t xml:space="preserve">       Apellidos:          HERNANDEZ ESCALONA                                        Nombre:           RAFAEL ARMANDO</t>
  </si>
  <si>
    <t xml:space="preserve">       Salario:            7,000,000.00            Ingreso:    23/04/2019             Servicio:        2 Años 1 Meses 23 Dias</t>
  </si>
  <si>
    <t xml:space="preserve">       N006           BONO POR INFLACION                                              1.00           480,000.00               0.00           480,000.00</t>
  </si>
  <si>
    <t xml:space="preserve">                                                                                                   4,680,000.00          180,384.62         4,499,615.38</t>
  </si>
  <si>
    <t xml:space="preserve">       Código:             6458708                                                    ID:              6458708</t>
  </si>
  <si>
    <t xml:space="preserve">       Apellidos:          HERNANDEZ GALLARDO                                        Nombre:           FERNANDO ANTONIO</t>
  </si>
  <si>
    <t xml:space="preserve">       Salario:            7,000,000.00            Ingreso:    05/05/2021             Servicio:        1 Meses 10 Dias</t>
  </si>
  <si>
    <t xml:space="preserve">                                                                                                      Fecha de Emisión: 21/06/2021                            Pg 28 de 65</t>
  </si>
  <si>
    <t xml:space="preserve">       Código:             26497567                                                   ID:              26497567</t>
  </si>
  <si>
    <t xml:space="preserve">       Apellidos:          HERNANDEZ SANCHEZ                                         Nombre:           FRANCIS CAROLINA</t>
  </si>
  <si>
    <t xml:space="preserve">       Código:             29969333                                                   ID:              26969333</t>
  </si>
  <si>
    <t xml:space="preserve">       Apellidos:          HURBINA SILVA                                             Nombre:           KEIBER JOSUE</t>
  </si>
  <si>
    <t xml:space="preserve">       Salario:            7,000,000.00            Ingreso:    22/01/2021             Servicio:        4 Meses 24 Dias</t>
  </si>
  <si>
    <t xml:space="preserve">       Código:             18270075                                                   ID:              18270075</t>
  </si>
  <si>
    <t xml:space="preserve">       Apellidos:          JIMENEZ HALL                                              Nombre:           ELIZABETH VANESSA</t>
  </si>
  <si>
    <t xml:space="preserve">       Salario:            7,000,000.00            Ingreso:    20/02/2020             Servicio:        1 Años 3 Meses 26 Dias</t>
  </si>
  <si>
    <t xml:space="preserve">                                                                                                      Fecha de Emisión: 21/06/2021                            Pg 29 de 65</t>
  </si>
  <si>
    <t xml:space="preserve">       Código:             6841430                                                    ID:              6841430</t>
  </si>
  <si>
    <t xml:space="preserve">       Apellidos:          JIMENEZ ORTIZ                                             Nombre:           MERCEDES BEATRIZ</t>
  </si>
  <si>
    <t xml:space="preserve">       Código:             24285478                                                   ID:              24285478</t>
  </si>
  <si>
    <t xml:space="preserve">       Apellidos:          LANDAEZ REYES                                             Nombre:           NEIVLIN BEZABETH</t>
  </si>
  <si>
    <t xml:space="preserve">       Salario:            7,000,000.00            Ingreso:    10/01/2019             Servicio:        2 Años 5 Meses 5 Dias</t>
  </si>
  <si>
    <t xml:space="preserve">                                                                                                   3,850,000.00          413,717.95         3,436,282.05</t>
  </si>
  <si>
    <t xml:space="preserve">       Código:             26219356                                                   ID:              26219356</t>
  </si>
  <si>
    <t xml:space="preserve">       Apellidos:          LOPEZ HERNANDEZ                                           Nombre:           JOSEPH LENIN</t>
  </si>
  <si>
    <t xml:space="preserve">                                                                                                      Fecha de Emisión: 21/06/2021                            Pg 30 de 65</t>
  </si>
  <si>
    <t xml:space="preserve">       Salario:            7,000,000.00            Ingreso:    08/01/2021             Servicio:        5 Meses 7 Dias</t>
  </si>
  <si>
    <t xml:space="preserve">       Código:             11818123                                                   ID:              11818123</t>
  </si>
  <si>
    <t xml:space="preserve">       Apellidos:          LOPEZ YUSTY                                               Nombre:           RICHARD JOSE</t>
  </si>
  <si>
    <t xml:space="preserve">       D004           INASISTENCIA JUSTIFICADA                                        3.00                 0.00         700,000.00           700,000.00</t>
  </si>
  <si>
    <t xml:space="preserve">                                                                                                   4,859,999.99          880,384.62         3,979,615.37</t>
  </si>
  <si>
    <t xml:space="preserve">       Código:             17978079                                                   ID:              17978079</t>
  </si>
  <si>
    <t xml:space="preserve">       Apellidos:          LOVERA COLMENARES                                         Nombre:           DEIBY MARIA</t>
  </si>
  <si>
    <t xml:space="preserve">       Salario:            7,000,000.00            Ingreso:    05/04/2021             Servicio:        2 Meses 10 Dias</t>
  </si>
  <si>
    <t xml:space="preserve">                                                                                                      Fecha de Emisión: 21/06/2021                            Pg 31 de 65</t>
  </si>
  <si>
    <t xml:space="preserve">       Código:             15914246                                                   ID:              15914246</t>
  </si>
  <si>
    <t xml:space="preserve">       Apellidos:          LUGO SALAZAR                                              Nombre:           MIGUEL JOSE</t>
  </si>
  <si>
    <t xml:space="preserve">       N006           BONO POR INFLACION                                              1.00           566,666.67               0.00           566,666.67</t>
  </si>
  <si>
    <t xml:space="preserve">                                                                                                   4,766,666.67          413,717.95         4,352,948.72</t>
  </si>
  <si>
    <t xml:space="preserve">       Código:             6891667                                                    ID:              6891667</t>
  </si>
  <si>
    <t xml:space="preserve">       Apellidos:          MACHADO ESCOBAR                                           Nombre:           MARCOS JOSE</t>
  </si>
  <si>
    <t xml:space="preserve">       Salario:            7,000,000.00            Ingreso:    28/10/2017             Servicio:        3 Años 7 Meses 18 Dias</t>
  </si>
  <si>
    <t xml:space="preserve">       N004           DIAS LIBRES TRABAJADO                                           1.00         1,119,999.99               0.00         1,119,999.99</t>
  </si>
  <si>
    <t xml:space="preserve">                                                                                                   5,919,999.99          180,384.62         5,739,615.37</t>
  </si>
  <si>
    <t xml:space="preserve">       Código:             27707385                                                   ID:              27707385</t>
  </si>
  <si>
    <t xml:space="preserve">       Apellidos:          MARQUEZ BLANCO                                            Nombre:            MIGUEL ANGEL</t>
  </si>
  <si>
    <t xml:space="preserve">       Salario:            7,000,000.00            Ingreso:    08/07/2019             Servicio:        1 Años 11 Meses 7 Dias</t>
  </si>
  <si>
    <t xml:space="preserve">                                                                                                      Fecha de Emisión: 21/06/2021                            Pg 32 de 65</t>
  </si>
  <si>
    <t xml:space="preserve">       Código:             22440644                                                   ID:              22440644</t>
  </si>
  <si>
    <t xml:space="preserve">       Apellidos:          MARQUEZ VALERA                                            Nombre:           LUIS MIGUEL</t>
  </si>
  <si>
    <t xml:space="preserve">       Salario:            7,000,000.00            Ingreso:    07/05/2021             Servicio:        1 Meses 8 Dias</t>
  </si>
  <si>
    <t xml:space="preserve">       Código:             15714977                                                   ID:              15714977</t>
  </si>
  <si>
    <t xml:space="preserve">       Apellidos:          MARTINS FIGUEIRA                                          Nombre:           MARIA LISA</t>
  </si>
  <si>
    <t xml:space="preserve">       Salario:            7,000,000.00            Ingreso:    04/11/2016             Servicio:        4 Años 7 Meses 11 Dias</t>
  </si>
  <si>
    <t xml:space="preserve">       Código:             27138064                                                   ID:              27138064</t>
  </si>
  <si>
    <t xml:space="preserve">       Apellidos:          MEJIA IGUARAN                                             Nombre:           YELEANNY MERIET</t>
  </si>
  <si>
    <t xml:space="preserve">                                                                                                      Fecha de Emisión: 21/06/2021                            Pg 33 de 65</t>
  </si>
  <si>
    <t xml:space="preserve">       Código:             18233737                                                   ID:              18233737</t>
  </si>
  <si>
    <t xml:space="preserve">       Apellidos:          MEJIAS GARCIA                                             Nombre:           ROSANGELA</t>
  </si>
  <si>
    <t xml:space="preserve">       Código:             27222443                                                   ID:              27222443</t>
  </si>
  <si>
    <t xml:space="preserve">       Apellidos:          MENDOZA MASTROGIUSEPPE                                    Nombre:           LUIS MAURIZIO</t>
  </si>
  <si>
    <t xml:space="preserve">       Salario:            7,000,000.00            Ingreso:    25/01/2021             Servicio:        4 Meses 21 Dias</t>
  </si>
  <si>
    <t xml:space="preserve">       Código:             19525440                                                   ID:              19525440</t>
  </si>
  <si>
    <t xml:space="preserve">       Apellidos:          MERCADO                                                   Nombre:           VICTOR SEGUNDO</t>
  </si>
  <si>
    <t xml:space="preserve">                                                                                                      Fecha de Emisión: 21/06/2021                            Pg 34 de 65</t>
  </si>
  <si>
    <t xml:space="preserve">       Código:             23637770                                                   ID:              23637770</t>
  </si>
  <si>
    <t xml:space="preserve">       Apellidos:          MIJARES PEÑA                                              Nombre:           BRIGGITTE KASSANDRA</t>
  </si>
  <si>
    <t xml:space="preserve">       Salario:            7,000,000.00            Ingreso:    07/08/2015             Servicio:        5 Años 10 Meses 8 Dias</t>
  </si>
  <si>
    <t xml:space="preserve">       Código:             11821819                                                   ID:              11821819</t>
  </si>
  <si>
    <t xml:space="preserve">       Apellidos:          MORALES ALMEIDA                                           Nombre:           FRANKLIN HERNAN</t>
  </si>
  <si>
    <t xml:space="preserve">       Salario:            7,000,000.00            Ingreso:    24/05/2019             Servicio:        2 Años 22 Dias</t>
  </si>
  <si>
    <t xml:space="preserve">       Código:             26078778                                                   ID:              26078778</t>
  </si>
  <si>
    <t xml:space="preserve">       Apellidos:          MORALES ANTICHE                                           Nombre:           KEVIN JOSE</t>
  </si>
  <si>
    <t xml:space="preserve">       Salario:            7,000,000.00            Ingreso:    02/03/2018             Servicio:        3 Años 3 Meses 13 Dias</t>
  </si>
  <si>
    <t xml:space="preserve">                                                                                                      Fecha de Emisión: 21/06/2021                            Pg 35 de 65</t>
  </si>
  <si>
    <t xml:space="preserve">       N004           DIAS LIBRES TRABAJADO                                           1.00         1,106,666.65               0.00         1,106,666.65</t>
  </si>
  <si>
    <t xml:space="preserve">                                                                                                   5,846,666.65          180,384.62         5,666,282.03</t>
  </si>
  <si>
    <t xml:space="preserve">       Código:             9119689                                                    ID:              9119689</t>
  </si>
  <si>
    <t xml:space="preserve">       Apellidos:          MORALES DE CARREÑO                                        Nombre:           ROSA YUNIRAY</t>
  </si>
  <si>
    <t xml:space="preserve">       Salario:            7,000,000.00            Ingreso:    21/04/2021             Servicio:        1 Meses 25 Dias</t>
  </si>
  <si>
    <t xml:space="preserve">       Código:             27040927                                                   ID:              27040927</t>
  </si>
  <si>
    <t xml:space="preserve">       Apellidos:          MORALES DOMINGUEZ                                         Nombre:           CRISTHIAN ANDDY</t>
  </si>
  <si>
    <t xml:space="preserve">       Salario:            7,000,000.00            Ingreso:    17/11/2020             Servicio:        6 Meses 29 Dias</t>
  </si>
  <si>
    <t xml:space="preserve">       N006           BONO POR INFLACION                                              1.00           233,333.33               0.00           233,333.33</t>
  </si>
  <si>
    <t xml:space="preserve">       D004           INASISTENCIA JUSTIFICADA                                        8.00                 0.00       1,866,666.67         1,866,666.67</t>
  </si>
  <si>
    <t xml:space="preserve">                                                                                                   3,733,333.33        2,047,051.29         1,686,282.04</t>
  </si>
  <si>
    <t xml:space="preserve">       Código:             8681106                                                    ID:              8681106</t>
  </si>
  <si>
    <t xml:space="preserve">       Apellidos:          MORALES PALENZUELA                                        Nombre:           JOEL ANTONIO</t>
  </si>
  <si>
    <t xml:space="preserve">       Salario:            7,000,000.00            Ingreso:    18/05/2020             Servicio:        1 Años 28 Dias</t>
  </si>
  <si>
    <t xml:space="preserve">                                                                                                      Fecha de Emisión: 21/06/2021                            Pg 36 de 65</t>
  </si>
  <si>
    <t xml:space="preserve">       Código:             25948266                                                   ID:              25948266</t>
  </si>
  <si>
    <t xml:space="preserve">       Apellidos:          MORENO ESCALONA                                           Nombre:           JENDERLY JOHANNA</t>
  </si>
  <si>
    <t xml:space="preserve">       Código:             19595657                                                   ID:              19595657</t>
  </si>
  <si>
    <t xml:space="preserve">       Apellidos:          MUJICA PIÑERO                                             Nombre:           DAVID ALEXANDER</t>
  </si>
  <si>
    <t xml:space="preserve">       Salario:            7,000,000.00            Ingreso:    08/01/2020             Servicio:        1 Años 5 Meses 7 Dias</t>
  </si>
  <si>
    <t xml:space="preserve">       Código:             28306369                                                   ID:              28306369</t>
  </si>
  <si>
    <t xml:space="preserve">       Apellidos:          MUÑOZ RODRIGUEZ                                           Nombre:           DANIEL ALEJANDRO</t>
  </si>
  <si>
    <t xml:space="preserve">       Salario:            7,000,000.00            Ingreso:    18/02/2021             Servicio:        3 Meses 28 Dias</t>
  </si>
  <si>
    <t xml:space="preserve">                                                                                                      Fecha de Emisión: 21/06/2021                            Pg 37 de 65</t>
  </si>
  <si>
    <t xml:space="preserve">       Código:             15519051                                                   ID:              15519051</t>
  </si>
  <si>
    <t xml:space="preserve">       Apellidos:          NOMELY MOLINA                                             Nombre:           RICARDO ANTONIO</t>
  </si>
  <si>
    <t xml:space="preserve">       Salario:            7,000,000.00            Ingreso:    22/04/2021             Servicio:        1 Meses 24 Dias</t>
  </si>
  <si>
    <t xml:space="preserve">       Código:             10872572                                                   ID:              10872572</t>
  </si>
  <si>
    <t xml:space="preserve">       Apellidos:          NUCETI GUANIPA                                            Nombre:           EDDY WILLIAM</t>
  </si>
  <si>
    <t xml:space="preserve">       Código:             17978078                                                   ID:              17978078</t>
  </si>
  <si>
    <t xml:space="preserve">       Apellidos:          OCARIZ ESQUEDA                                            Nombre:           ANGEL DANIEL</t>
  </si>
  <si>
    <t xml:space="preserve">       Salario:            7,000,000.00            Ingreso:    19/04/2021             Servicio:        1 Meses 27 Dias</t>
  </si>
  <si>
    <t xml:space="preserve">                                                                                                      Fecha de Emisión: 21/06/2021                            Pg 38 de 65</t>
  </si>
  <si>
    <t xml:space="preserve">       Código:             16889815                                                   ID:              16889815</t>
  </si>
  <si>
    <t xml:space="preserve">       Apellidos:          OLIVAR VITORIA                                            Nombre:           GERALDINE COROMOTO</t>
  </si>
  <si>
    <t xml:space="preserve">       Salario:            7,000,000.00            Ingreso:    23/01/2021             Servicio:        4 Meses 23 Dias</t>
  </si>
  <si>
    <t xml:space="preserve">       Código:             23726636                                                   ID:              23726636</t>
  </si>
  <si>
    <t xml:space="preserve">       Apellidos:          PABON OROPEZA                                             Nombre:           GREGORY WILLIAM</t>
  </si>
  <si>
    <t xml:space="preserve">                                                                                                      Fecha de Emisión: 21/06/2021                            Pg 39 de 65</t>
  </si>
  <si>
    <t xml:space="preserve">       Código:             21121396                                                   ID:              21121396</t>
  </si>
  <si>
    <t xml:space="preserve">       Apellidos:          PAEZ LOZANO                                               Nombre:           YULIMAR DANIELA</t>
  </si>
  <si>
    <t xml:space="preserve">       Salario:            7,000,000.00            Ingreso:    18/03/2017             Servicio:        4 Años 2 Meses 28 Dias</t>
  </si>
  <si>
    <t xml:space="preserve">       Código:             6149328                                                    ID:              6149328</t>
  </si>
  <si>
    <t xml:space="preserve">       Apellidos:          PAGUA BARCENAS                                            Nombre:           ESTEBAN JOSE</t>
  </si>
  <si>
    <t xml:space="preserve">       Salario:            7,000,000.00            Ingreso:    10/05/2021             Servicio:        1 Meses 5 Dias</t>
  </si>
  <si>
    <t xml:space="preserve">       Código:             18537667                                                   ID:              18537667</t>
  </si>
  <si>
    <t xml:space="preserve">       Apellidos:          PAGUA GIL                                                 Nombre:           FATIMA CAROLINA</t>
  </si>
  <si>
    <t xml:space="preserve">       Salario:            7,000,000.00            Ingreso:    22/11/2018             Servicio:        2 Años 6 Meses 24 Dias</t>
  </si>
  <si>
    <t xml:space="preserve">                                                                                                      Fecha de Emisión: 21/06/2021                            Pg 40 de 65</t>
  </si>
  <si>
    <t xml:space="preserve">       Código:             17298801-2                                                 ID:              17298801</t>
  </si>
  <si>
    <t xml:space="preserve">       Apellidos:          PALACIO GIL                                               Nombre:           MARY ANGEL</t>
  </si>
  <si>
    <t xml:space="preserve">       Salario:            7,000,000.00            Ingreso:    11/01/2021             Servicio:        5 Meses 4 Dias</t>
  </si>
  <si>
    <t xml:space="preserve">       Código:             30457290                                                   ID:              30457290</t>
  </si>
  <si>
    <t xml:space="preserve">       Apellidos:          PARRA MIRANDA                                             Nombre:           FRANNI GABRIELA</t>
  </si>
  <si>
    <t xml:space="preserve">       Salario:            7,000,000.00            Ingreso:    13/05/2021             Servicio:        1 Meses 2 Dias</t>
  </si>
  <si>
    <t xml:space="preserve">       Código:             25716632                                                   ID:              25716632</t>
  </si>
  <si>
    <t xml:space="preserve">       Apellidos:          PEÑA AMPUEDA                                              Nombre:           JESUS DAVID</t>
  </si>
  <si>
    <t xml:space="preserve">                                                                                                      Fecha de Emisión: 21/06/2021                            Pg 41 de 65</t>
  </si>
  <si>
    <t xml:space="preserve">       Código:             1614794                                                    ID:              16147794</t>
  </si>
  <si>
    <t xml:space="preserve">       Apellidos:          PEÑA D LIMA                                               Nombre:           SAMAI ZURISADDAI</t>
  </si>
  <si>
    <t xml:space="preserve">       Salario:            7,000,000.00            Ingreso:    21/01/2021             Servicio:        4 Meses 25 Dias</t>
  </si>
  <si>
    <t xml:space="preserve">       Código:             8676595                                                    ID:              8676595</t>
  </si>
  <si>
    <t xml:space="preserve">       Apellidos:          PERDOMO BRICEÑO                                           Nombre:           LUISA MARGARITA</t>
  </si>
  <si>
    <t xml:space="preserve">       Salario:            7,000,000.00            Ingreso:    21/06/2017             Servicio:        3 Años 11 Meses 25 Dias</t>
  </si>
  <si>
    <t xml:space="preserve">       Código:             27908572                                                   ID:              27908572</t>
  </si>
  <si>
    <t xml:space="preserve">       Apellidos:          PERDOMO PIÑATE                                            Nombre:           MELANY EUKARI</t>
  </si>
  <si>
    <t xml:space="preserve">       N006           BONO POR INFLACION                                              1.00           375,000.00               0.00           375,000.00</t>
  </si>
  <si>
    <t xml:space="preserve">                                                                                                      Fecha de Emisión: 21/06/2021                            Pg 42 de 65</t>
  </si>
  <si>
    <t xml:space="preserve">       D004           INASISTENCIA JUSTIFICADA                                        4.00                 0.00         933,333.33           933,333.33</t>
  </si>
  <si>
    <t xml:space="preserve">                                                                                                   4,225,000.00        1,113,717.95         3,111,282.05</t>
  </si>
  <si>
    <t xml:space="preserve">       Código:             27988755                                                   ID:              27988755</t>
  </si>
  <si>
    <t xml:space="preserve">       Apellidos:          PEREZ ARTEAGA                                             Nombre:           ANGELO JESUS</t>
  </si>
  <si>
    <t xml:space="preserve">       Código:             19556209                                                   ID:              19556209</t>
  </si>
  <si>
    <t xml:space="preserve">       Apellidos:          PEREZ CATIRE                                              Nombre:           YANIS REBECA</t>
  </si>
  <si>
    <t xml:space="preserve">       Código:             6271036                                                    ID:              6271036</t>
  </si>
  <si>
    <t xml:space="preserve">       Apellidos:          PEREZ DRIJA                                               Nombre:           SONIA MARGARITA</t>
  </si>
  <si>
    <t xml:space="preserve">       Salario:            7,000,000.00            Ingreso:    07/06/2021             Servicio:        8 Dias</t>
  </si>
  <si>
    <t xml:space="preserve">                                                                                                      Fecha de Emisión: 21/06/2021                            Pg 43 de 65</t>
  </si>
  <si>
    <t xml:space="preserve">       N006           BONO POR INFLACION                                              1.00           300,000.00               0.00           300,000.00</t>
  </si>
  <si>
    <t xml:space="preserve">       D004           INASISTENCIA JUSTIFICADA                                        6.00                 0.00       1,400,000.00         1,400,000.00</t>
  </si>
  <si>
    <t xml:space="preserve">                                                                                                   3,800,000.00        1,580,384.62         2,219,615.38</t>
  </si>
  <si>
    <t xml:space="preserve">       Código:             27994456                                                   ID:              27994456</t>
  </si>
  <si>
    <t xml:space="preserve">       Apellidos:          PEREZ GUERRA                                              Nombre:           VICTORIA DEL CARMEN</t>
  </si>
  <si>
    <t xml:space="preserve">       Código:             26825579                                                   ID:              26825579</t>
  </si>
  <si>
    <t xml:space="preserve">       Apellidos:          PEREZ PERERA                                              Nombre:           FRANKIN JAVIER</t>
  </si>
  <si>
    <t xml:space="preserve">       Salario:            7,000,000.00            Ingreso:    03/03/2020             Servicio:        1 Años 3 Meses 12 Dias</t>
  </si>
  <si>
    <t xml:space="preserve">                                                                                                   3,920,000.00          413,717.95         3,506,282.05</t>
  </si>
  <si>
    <t xml:space="preserve">       Código:             8679860                                                    ID:              8679860</t>
  </si>
  <si>
    <t xml:space="preserve">       Apellidos:          PEREZ TERAN                                               Nombre:           CARLOS ALBERTO</t>
  </si>
  <si>
    <t xml:space="preserve">       Salario:            7,000,000.00            Ingreso:    08/11/2016             Servicio:        4 Años 7 Meses 7 Dias</t>
  </si>
  <si>
    <t xml:space="preserve">                                                                                                      Fecha de Emisión: 21/06/2021                            Pg 44 de 65</t>
  </si>
  <si>
    <t xml:space="preserve">       Código:             11913797                                                   ID:              11913797</t>
  </si>
  <si>
    <t xml:space="preserve">       Apellidos:          PEREZ ZAMBRANO                                            Nombre:           DEYANIRA ELENA</t>
  </si>
  <si>
    <t xml:space="preserve">       Salario:            7,000,000.00            Ingreso:    01/02/2021             Servicio:        4 Meses 14 Dias</t>
  </si>
  <si>
    <t xml:space="preserve">       Código:             10276362                                                   ID:              10276362</t>
  </si>
  <si>
    <t xml:space="preserve">       Apellidos:          PIÑERO DE RODRIGUEZ                                       Nombre:           CARMEN GRACIELA</t>
  </si>
  <si>
    <t xml:space="preserve">       Salario:            7,000,000.00            Ingreso:    30/09/2019             Servicio:        1 Años 8 Meses 16 Dias</t>
  </si>
  <si>
    <t xml:space="preserve">       Código:             26498249                                                   ID:              26498249</t>
  </si>
  <si>
    <t xml:space="preserve">       Apellidos:          PIÑERO HERNANDEZ                                          Nombre:           JOICE JAVIER</t>
  </si>
  <si>
    <t xml:space="preserve">                                                                                                      Fecha de Emisión: 21/06/2021                            Pg 45 de 65</t>
  </si>
  <si>
    <t xml:space="preserve">       Código:             8675105                                                    ID:              8675105</t>
  </si>
  <si>
    <t xml:space="preserve">       Apellidos:          PIÑERO VIERMA                                             Nombre:           LORENZO EUGENIO</t>
  </si>
  <si>
    <t xml:space="preserve">       Código:             10283963                                                   ID:              10283963</t>
  </si>
  <si>
    <t xml:space="preserve">       Apellidos:          PIÑERO YANES                                              Nombre:           INES MARIA</t>
  </si>
  <si>
    <t xml:space="preserve">       Salario:            7,000,000.00            Ingreso:    22/08/2017             Servicio:        3 Años 9 Meses 24 Dias</t>
  </si>
  <si>
    <t xml:space="preserve">       Código:             12354248                                                   ID:              12354248</t>
  </si>
  <si>
    <t xml:space="preserve">       Apellidos:          PIÑUELA                                                   Nombre:           UBITZON ANTONIO</t>
  </si>
  <si>
    <t xml:space="preserve">       Salario:            7,000,000.00            Ingreso:    18/04/2016             Servicio:        5 Años 1 Meses 28 Dias</t>
  </si>
  <si>
    <t xml:space="preserve">                                                                                                      Fecha de Emisión: 21/06/2021                            Pg 46 de 65</t>
  </si>
  <si>
    <t xml:space="preserve">       Código:             28210671                                                   ID:              28210671</t>
  </si>
  <si>
    <t xml:space="preserve">       Apellidos:          PORTILLO GARCIA                                           Nombre:           GABRIELA STEFANY</t>
  </si>
  <si>
    <t xml:space="preserve">       Salario:            7,000,000.00            Ingreso:    16/12/2020             Servicio:        5 Meses 30 Dias</t>
  </si>
  <si>
    <t xml:space="preserve">       Código:             27098793                                                   ID:              27098793</t>
  </si>
  <si>
    <t xml:space="preserve">       Apellidos:          PORTILLO GARCIA                                           Nombre:           SAMUEL EMILIO</t>
  </si>
  <si>
    <t xml:space="preserve">       Salario:            7,000,000.00            Ingreso:    29/06/2020             Servicio:        11 Meses 17 Dias</t>
  </si>
  <si>
    <t xml:space="preserve">       Código:             27908206                                                   ID:              27908206</t>
  </si>
  <si>
    <t xml:space="preserve">       Apellidos:          PORTILLO MALAVE                                           Nombre:           FERNANDO ENRIQUE</t>
  </si>
  <si>
    <t xml:space="preserve">       Salario:            7,000,000.00            Ingreso:    12/07/2000             Servicio:        20 Años 11 Meses 3 Dias</t>
  </si>
  <si>
    <t xml:space="preserve">                                                                                                      Fecha de Emisión: 21/06/2021                            Pg 47 de 65</t>
  </si>
  <si>
    <t xml:space="preserve">       N006           BONO POR INFLACION                                              1.00           373,333.33               0.00           373,333.33</t>
  </si>
  <si>
    <t xml:space="preserve">                                                                                                   4,573,333.33          647,051.29         3,926,282.04</t>
  </si>
  <si>
    <t xml:space="preserve">       Código:             29952232                                                   ID:              29952232</t>
  </si>
  <si>
    <t xml:space="preserve">       Apellidos:          QUINTANA MIJARES                                          Nombre:           KAREN ANDREINA</t>
  </si>
  <si>
    <t xml:space="preserve">       Código:             8568484                                                    ID:              8568484</t>
  </si>
  <si>
    <t xml:space="preserve">       Apellidos:          RAMIREZ                                                   Nombre:           PEDRO MOISES</t>
  </si>
  <si>
    <t xml:space="preserve">       Código:             13399548                                                   ID:              13399548</t>
  </si>
  <si>
    <t xml:space="preserve">       Apellidos:          RAMIREZ BARILLAS                                          Nombre:           EDUARDO</t>
  </si>
  <si>
    <t xml:space="preserve">                                                                                                      Fecha de Emisión: 21/06/2021                            Pg 48 de 65</t>
  </si>
  <si>
    <t xml:space="preserve">       Código:             9391418                                                    ID:              9391418</t>
  </si>
  <si>
    <t xml:space="preserve">       Apellidos:          RAMIREZ SALAS                                             Nombre:           JOSE RAMON</t>
  </si>
  <si>
    <t xml:space="preserve">       Salario:            7,000,000.00            Ingreso:    27/02/2017             Servicio:        4 Años 3 Meses 19 Dias</t>
  </si>
  <si>
    <t xml:space="preserve">       Código:             26135625                                                   ID:              26135525</t>
  </si>
  <si>
    <t xml:space="preserve">       Apellidos:          RENGEL QUERALEZ                                           Nombre:           ENDRY JOSE</t>
  </si>
  <si>
    <t xml:space="preserve">       Salario:            7,000,000.00            Ingreso:    04/07/2020             Servicio:        11 Meses 11 Dias</t>
  </si>
  <si>
    <t xml:space="preserve">                                                                                                      Fecha de Emisión: 21/06/2021                            Pg 49 de 65</t>
  </si>
  <si>
    <t xml:space="preserve">       Código:             22440104                                                   ID:              22440104</t>
  </si>
  <si>
    <t xml:space="preserve">       Apellidos:          RENTROIA AFONSO                                           Nombre:           DANIELA ALEJANDRA</t>
  </si>
  <si>
    <t xml:space="preserve">       Salario:            7,000,000.00            Ingreso:    03/10/2012             Servicio:        8 Años 8 Meses 12 Dias</t>
  </si>
  <si>
    <t xml:space="preserve">       Código:             4562930                                                    ID:              4562930</t>
  </si>
  <si>
    <t xml:space="preserve">       Apellidos:          RISQUEZ ARRIAGA                                           Nombre:           JESUS MARIA</t>
  </si>
  <si>
    <t xml:space="preserve">       Salario:            7,000,000.00            Ingreso:    21/02/2019             Servicio:        2 Años 3 Meses 25 Dias</t>
  </si>
  <si>
    <t xml:space="preserve">       Código:             16075158                                                   ID:              16075158</t>
  </si>
  <si>
    <t xml:space="preserve">       Apellidos:          RIVAS CONTRERAS                                           Nombre:           MARIOLIS JOSEFINA</t>
  </si>
  <si>
    <t xml:space="preserve">                                                                                                      Fecha de Emisión: 21/06/2021                            Pg 50 de 65</t>
  </si>
  <si>
    <t xml:space="preserve">       Código:             8817954                                                    ID:              8817954</t>
  </si>
  <si>
    <t xml:space="preserve">       Apellidos:          RIVAS SALVATIERRA                                         Nombre:           MIGUEL MARGARITO</t>
  </si>
  <si>
    <t xml:space="preserve">       Salario:            7,000,000.00            Ingreso:    23/07/2019             Servicio:        1 Años 10 Meses 23 Dias</t>
  </si>
  <si>
    <t xml:space="preserve">       Código:             23787006                                                   ID:              23787006</t>
  </si>
  <si>
    <t xml:space="preserve">       Apellidos:          RIVERO MOYA                                               Nombre:           WHITNEY URIANA</t>
  </si>
  <si>
    <t xml:space="preserve">       Salario:            7,000,000.00            Ingreso:    22/10/2019             Servicio:        1 Años 7 Meses 24 Dias</t>
  </si>
  <si>
    <t xml:space="preserve">       Código:             28463751                                                   ID:              28463751</t>
  </si>
  <si>
    <t xml:space="preserve">       Apellidos:          RIZO JIMENEZ                                              Nombre:           MALLUXY ANDREINA</t>
  </si>
  <si>
    <t xml:space="preserve">       Salario:            7,000,000.00            Ingreso:    03/05/2021             Servicio:        1 Meses 12 Dias</t>
  </si>
  <si>
    <t xml:space="preserve">                                                                                                      Fecha de Emisión: 21/06/2021                            Pg 51 de 65</t>
  </si>
  <si>
    <t xml:space="preserve">       Código:             11471293                                                   ID:              11471293</t>
  </si>
  <si>
    <t xml:space="preserve">       Apellidos:          RODRIGUES MONTILLA                                        Nombre:           MARY TRINI</t>
  </si>
  <si>
    <t xml:space="preserve">       Salario:            7,000,000.00            Ingreso:    06/12/2019             Servicio:        1 Años 6 Meses 9 Dias</t>
  </si>
  <si>
    <t xml:space="preserve">       Código:             5403822                                                    ID:              5403822</t>
  </si>
  <si>
    <t xml:space="preserve">       Apellidos:          RODRIGUEZ                                                 Nombre:           JOSE RAFAEL</t>
  </si>
  <si>
    <t xml:space="preserve">       Salario:            7,000,000.00            Ingreso:    27/06/2013             Servicio:        7 Años 11 Meses 19 Dias</t>
  </si>
  <si>
    <t xml:space="preserve">       Código:             26248543                                                   ID:              26248543</t>
  </si>
  <si>
    <t xml:space="preserve">       Apellidos:          RODRIGUEZ  CANCHICA                                       Nombre:           YOSLERY YOSIMAR</t>
  </si>
  <si>
    <t xml:space="preserve">       Salario:            7,000,000.00            Ingreso:    09/07/2019             Servicio:        1 Años 11 Meses 6 Dias</t>
  </si>
  <si>
    <t xml:space="preserve">                                                                                                      Fecha de Emisión: 21/06/2021                            Pg 52 de 65</t>
  </si>
  <si>
    <t xml:space="preserve">       Código:             8812104                                                    ID:              8812104</t>
  </si>
  <si>
    <t xml:space="preserve">       Apellidos:          RODRIGUEZ AGRIZONE                                        Nombre:           ALIRIO JOSE</t>
  </si>
  <si>
    <t xml:space="preserve">       Salario:            7,000,000.00            Ingreso:    12/11/2016             Servicio:        4 Años 7 Meses 3 Dias</t>
  </si>
  <si>
    <t xml:space="preserve">       Código:             10277349                                                   ID:              10277349</t>
  </si>
  <si>
    <t xml:space="preserve">       Apellidos:          RODRIGUEZ DE RANGEL                                       Nombre:           ANGELA MARIA</t>
  </si>
  <si>
    <t xml:space="preserve">       Salario:            7,000,000.00            Ingreso:    19/08/2011             Servicio:        9 Años 9 Meses 27 Dias</t>
  </si>
  <si>
    <t xml:space="preserve">                                                                                                   4,389,999.99          180,384.62         4,209,615.37</t>
  </si>
  <si>
    <t xml:space="preserve">       Código:             27988978                                                   ID:              27988978</t>
  </si>
  <si>
    <t xml:space="preserve">       Apellidos:          RODRIGUEZ MARTINEZ                                        Nombre:           HECTOR LUIS</t>
  </si>
  <si>
    <t xml:space="preserve">       Salario:            7,000,000.00            Ingreso:    02/03/2021             Servicio:        3 Meses 13 Dias</t>
  </si>
  <si>
    <t xml:space="preserve">                                                                                                      Fecha de Emisión: 21/06/2021                            Pg 53 de 65</t>
  </si>
  <si>
    <t xml:space="preserve">       Código:             26921139                                                   ID:              26921139</t>
  </si>
  <si>
    <t xml:space="preserve">       Apellidos:          RODRIGUEZ MARTINEZ                                        Nombre:           ZADQUIEL YIBRAAN</t>
  </si>
  <si>
    <t xml:space="preserve">       Salario:            7,000,000.00            Ingreso:    14/12/2020             Servicio:        6 Meses 1 Dias</t>
  </si>
  <si>
    <t xml:space="preserve">       Código:             28148810                                                   ID:              28148810</t>
  </si>
  <si>
    <t xml:space="preserve">       Apellidos:          RODRIGUEZ MARTINS                                         Nombre:           DANIEL ALEJANDRO</t>
  </si>
  <si>
    <t xml:space="preserve">       Código:             10284720                                                   ID:              10284720</t>
  </si>
  <si>
    <t xml:space="preserve">       Apellidos:          RODRIGUEZ MORENO                                          Nombre:           JOSEFINA MARINA</t>
  </si>
  <si>
    <t xml:space="preserve">       Salario:            7,000,000.00            Ingreso:    25/10/2016             Servicio:        4 Años 7 Meses 21 Dias</t>
  </si>
  <si>
    <t xml:space="preserve">                                                                                                      Fecha de Emisión: 21/06/2021                            Pg 54 de 65</t>
  </si>
  <si>
    <t xml:space="preserve">       Código:             8683816                                                    ID:              8683816</t>
  </si>
  <si>
    <t xml:space="preserve">       Apellidos:          RODRIGUEZ PEREZ                                           Nombre:           ARMANDA ROSARIO</t>
  </si>
  <si>
    <t xml:space="preserve">       Salario:            7,000,000.00            Ingreso:    18/08/2020             Servicio:        9 Meses 28 Dias</t>
  </si>
  <si>
    <t xml:space="preserve">       Código:             17744743                                                   ID:              17744743</t>
  </si>
  <si>
    <t xml:space="preserve">       Apellidos:          RODRIGUEZ POLEO                                           Nombre:           CESAR AMAURI</t>
  </si>
  <si>
    <t xml:space="preserve">       Código:             17533970                                                   ID:              17533970</t>
  </si>
  <si>
    <t xml:space="preserve">       Apellidos:          ROJAS CAPOTE                                              Nombre:           DAYANA KATIUSKA</t>
  </si>
  <si>
    <t xml:space="preserve">       Salario:            7,000,000.00            Ingreso:    12/12/2016             Servicio:        4 Años 6 Meses 3 Dias</t>
  </si>
  <si>
    <t xml:space="preserve">                                                                                                      Fecha de Emisión: 21/06/2021                            Pg 55 de 65</t>
  </si>
  <si>
    <t xml:space="preserve">       Código:             6682790                                                    ID:              6682790</t>
  </si>
  <si>
    <t xml:space="preserve">       Apellidos:          ROMERO SANCHEZ                                            Nombre:           TOMAS ENRIQUE</t>
  </si>
  <si>
    <t xml:space="preserve">       Salario:            7,000,000.00            Ingreso:    13/12/2019             Servicio:        1 Años 6 Meses 2 Dias</t>
  </si>
  <si>
    <t xml:space="preserve">       Código:             24058573                                                   ID:              24058573</t>
  </si>
  <si>
    <t xml:space="preserve">       Apellidos:          SAINT LOUIS NERVIL                                        Nombre:           FRITZ JUNIOR</t>
  </si>
  <si>
    <t xml:space="preserve">       Salario:            7,000,000.00            Ingreso:    21/05/2021             Servicio:        25 Dias</t>
  </si>
  <si>
    <t xml:space="preserve">       Código:             16645109                                                   ID:              16645109</t>
  </si>
  <si>
    <t xml:space="preserve">       Apellidos:          SALAS RODRIGUEZ                                           Nombre:           EDUVINA DEL CARMEN</t>
  </si>
  <si>
    <t xml:space="preserve">       Salario:            7,000,000.00            Ingreso:    20/06/2013             Servicio:        7 Años 11 Meses 26 Dias</t>
  </si>
  <si>
    <t xml:space="preserve">                                                                                                      Fecha de Emisión: 21/06/2021                            Pg 56 de 65</t>
  </si>
  <si>
    <t xml:space="preserve">       Código:             17744630                                                   ID:              17744630</t>
  </si>
  <si>
    <t xml:space="preserve">       Apellidos:          SALCEDO BERNAL                                            Nombre:           LUIS AGUSTIN</t>
  </si>
  <si>
    <t xml:space="preserve">       Salario:            7,000,000.00            Ingreso:    11/11/2017             Servicio:        3 Años 7 Meses 4 Dias</t>
  </si>
  <si>
    <t xml:space="preserve">       Código:             9124914                                                    ID:              9124914</t>
  </si>
  <si>
    <t xml:space="preserve">       Apellidos:          SANCHEZ BELLO                                             Nombre:           CHARLES EDUARDO</t>
  </si>
  <si>
    <t xml:space="preserve">       Salario:            7,000,000.00            Ingreso:    09/11/2017             Servicio:        3 Años 7 Meses 6 Dias</t>
  </si>
  <si>
    <t xml:space="preserve">       Código:             27988061                                                   ID:              27988061</t>
  </si>
  <si>
    <t xml:space="preserve">       Apellidos:          SANTANA PEÑA                                              Nombre:           JAHDIEL AMITAI</t>
  </si>
  <si>
    <t xml:space="preserve">                                                                                                      Fecha de Emisión: 21/06/2021                            Pg 57 de 65</t>
  </si>
  <si>
    <t xml:space="preserve">       Código:             12511448                                                   ID:              12511448</t>
  </si>
  <si>
    <t xml:space="preserve">       Apellidos:          SOLANO                                                    Nombre:           ERASMO</t>
  </si>
  <si>
    <t xml:space="preserve">       Salario:            7,000,000.00            Ingreso:    09/02/2021             Servicio:        4 Meses 6 Dias</t>
  </si>
  <si>
    <t xml:space="preserve">       Código:             7441705                                                    ID:              7441705</t>
  </si>
  <si>
    <t xml:space="preserve">       Apellidos:          SUAREZ ALMAO                                              Nombre:           VICTOR MANUEL</t>
  </si>
  <si>
    <t xml:space="preserve">       Salario:            7,000,000.00            Ingreso:    26/01/2021             Servicio:        4 Meses 20 Dias</t>
  </si>
  <si>
    <t xml:space="preserve">       Código:             18022275                                                   ID:              18022275</t>
  </si>
  <si>
    <t xml:space="preserve">       Apellidos:          TORO GARCIAS                                              Nombre:           PEDRO ALEJANDRO</t>
  </si>
  <si>
    <t xml:space="preserve">       Salario:            7,000,000.00            Ingreso:    23/11/2020             Servicio:        6 Meses 23 Dias</t>
  </si>
  <si>
    <t xml:space="preserve">                                                                                                      Fecha de Emisión: 21/06/2021                            Pg 58 de 65</t>
  </si>
  <si>
    <t xml:space="preserve">       Código:             15713962                                                   ID:              15713962</t>
  </si>
  <si>
    <t xml:space="preserve">       Apellidos:          TORRES CORONADO                                           Nombre:           DANIEL EDUARDO</t>
  </si>
  <si>
    <t xml:space="preserve">       Salario:            7,000,000.00            Ingreso:    01/06/2020             Servicio:        1 Años 14 Dias</t>
  </si>
  <si>
    <t xml:space="preserve">       Código:             19388095                                                   ID:              19388095</t>
  </si>
  <si>
    <t xml:space="preserve">       Apellidos:          TORRES ORTUÑO                                             Nombre:           LUIS LEONARDO</t>
  </si>
  <si>
    <t xml:space="preserve">       Salario:            7,000,000.00            Ingreso:    28/12/2019             Servicio:        1 Años 5 Meses 18 Dias</t>
  </si>
  <si>
    <t xml:space="preserve">                                                                                                   4,120,000.00          180,384.62         3,939,615.38</t>
  </si>
  <si>
    <t xml:space="preserve">       Código:             28073249                                                   ID:              28073249</t>
  </si>
  <si>
    <t xml:space="preserve">       Apellidos:          TORRES TOLEDO                                             Nombre:           ERIKA JOSE</t>
  </si>
  <si>
    <t xml:space="preserve">                                                                                                      Fecha de Emisión: 21/06/2021                            Pg 59 de 65</t>
  </si>
  <si>
    <t xml:space="preserve">       Código:             14683519                                                   ID:              14683519</t>
  </si>
  <si>
    <t xml:space="preserve">       Apellidos:          TORTOZO GUZMAN                                            Nombre:           ZULEIMA COROMOTO</t>
  </si>
  <si>
    <t xml:space="preserve">       N006           BONO POR INFLACION                                              1.00           361,666.67               0.00           361,666.67</t>
  </si>
  <si>
    <t xml:space="preserve">                                                                                                   4,211,666.67          413,717.95         3,797,948.72</t>
  </si>
  <si>
    <t xml:space="preserve">       Código:             13600528                                                   ID:              13600528</t>
  </si>
  <si>
    <t xml:space="preserve">       Apellidos:          TUAREZ PARICAGUAN                                         Nombre:           JOSE NEPTALI</t>
  </si>
  <si>
    <t xml:space="preserve">                                                                                                      Fecha de Emisión: 21/06/2021                            Pg 60 de 65</t>
  </si>
  <si>
    <t xml:space="preserve">       Código:             28015762                                                   ID:              28015762</t>
  </si>
  <si>
    <t xml:space="preserve">       Apellidos:          UGAS GARCIA                                               Nombre:           PAOLA ANDREA</t>
  </si>
  <si>
    <t xml:space="preserve">       Código:             6871888                                                    ID:              6871888</t>
  </si>
  <si>
    <t xml:space="preserve">       Apellidos:          URBINA MENDOZA                                            Nombre:           ALEX ANTONIO</t>
  </si>
  <si>
    <t xml:space="preserve">       Salario:            7,000,000.00            Ingreso:    26/04/2021             Servicio:        1 Meses 20 Dias</t>
  </si>
  <si>
    <t xml:space="preserve">       Código:             14097955                                                   ID:              14097955</t>
  </si>
  <si>
    <t xml:space="preserve">       Apellidos:          URBINA SERRANO                                            Nombre:           ZULEIMA AGUSTINA</t>
  </si>
  <si>
    <t xml:space="preserve">       Salario:            7,000,000.00            Ingreso:    12/07/2017             Servicio:        3 Años 11 Meses 3 Dias</t>
  </si>
  <si>
    <t xml:space="preserve">                                                                                                      Fecha de Emisión: 21/06/2021                            Pg 61 de 65</t>
  </si>
  <si>
    <t xml:space="preserve">       Código:             6841951                                                    ID:              6841951</t>
  </si>
  <si>
    <t xml:space="preserve">       Apellidos:          USECHE SANCHEZ                                            Nombre:           ELEAZAR</t>
  </si>
  <si>
    <t xml:space="preserve">       Código:             24286222                                                   ID:              24286222</t>
  </si>
  <si>
    <t xml:space="preserve">       Apellidos:          UZCATEGUI JARAMILLO                                       Nombre:           EUDIS DE JESUS</t>
  </si>
  <si>
    <t xml:space="preserve">       Salario:            7,000,000.00            Ingreso:    23/03/2018             Servicio:        3 Años 2 Meses 23 Dias</t>
  </si>
  <si>
    <t xml:space="preserve">       Código:             3479290                                                    ID:              3479290</t>
  </si>
  <si>
    <t xml:space="preserve">       Apellidos:          VASQUEZ ORTIZ                                             Nombre:           ANGEL ESTEBAN</t>
  </si>
  <si>
    <t xml:space="preserve">       Salario:            7,000,000.00            Ingreso:    25/07/2018             Servicio:        2 Años 10 Meses 21 Dias</t>
  </si>
  <si>
    <t xml:space="preserve">                                                                                                      Fecha de Emisión: 21/06/2021                            Pg 62 de 65</t>
  </si>
  <si>
    <t xml:space="preserve">       Código:             84402330                                                   ID:              84402230</t>
  </si>
  <si>
    <t xml:space="preserve">       Apellidos:          VASQUEZ SANCHEZ                                           Nombre:           NORMA ZULAY</t>
  </si>
  <si>
    <t xml:space="preserve">       Código:             27879033                                                   ID:              27879033</t>
  </si>
  <si>
    <t xml:space="preserve">       Apellidos:          VELAZQUEZ GRATEROL                                        Nombre:           ANGIE DANIELA</t>
  </si>
  <si>
    <t xml:space="preserve">       Código:             9894434                                                    ID:              9894434</t>
  </si>
  <si>
    <t xml:space="preserve">       Apellidos:          VELIZ                                                     Nombre:           JORGE RAFAEL</t>
  </si>
  <si>
    <t xml:space="preserve">       Salario:            7,000,000.00            Ingreso:    25/07/2017             Servicio:        3 Años 10 Meses 21 Dias</t>
  </si>
  <si>
    <t xml:space="preserve">       N004           DIAS LIBRES TRABAJADO                                           1.00           280,000.00               0.00           280,000.00</t>
  </si>
  <si>
    <t xml:space="preserve">                                                                                                      Fecha de Emisión: 21/06/2021                            Pg 63 de 65</t>
  </si>
  <si>
    <t xml:space="preserve">                                                                                                   4,280,000.00          180,384.62         4,099,615.38</t>
  </si>
  <si>
    <t xml:space="preserve">       Código:             25539472                                                   ID:              25539472</t>
  </si>
  <si>
    <t xml:space="preserve">       Apellidos:          VIANA ROJAS                                               Nombre:           WINIFER EDERLIN</t>
  </si>
  <si>
    <t xml:space="preserve">       Salario:            7,000,000.00            Ingreso:    04/02/2021             Servicio:        4 Meses 11 Dias</t>
  </si>
  <si>
    <t xml:space="preserve">       N006           BONO POR INFLACION                                              1.00           405,000.00               0.00           405,000.00</t>
  </si>
  <si>
    <t xml:space="preserve">                                                                                                   4,255,000.00          880,384.62         3,374,615.38</t>
  </si>
  <si>
    <t xml:space="preserve">       Código:             12258502                                                   ID:              12258502</t>
  </si>
  <si>
    <t xml:space="preserve">       Apellidos:          VILLAMIZAR CONTRERAS                                      Nombre:           GILBERTO JOSE</t>
  </si>
  <si>
    <t xml:space="preserve">       Salario:            7,000,000.00            Ingreso:    16/10/2020             Servicio:        7 Meses 30 Dias</t>
  </si>
  <si>
    <t xml:space="preserve">       Código:             24285821                                                   ID:              24285821</t>
  </si>
  <si>
    <t xml:space="preserve">       Apellidos:          VILLASMIL CEDEÑO                                          Nombre:           MARIA MERCEDES</t>
  </si>
  <si>
    <t xml:space="preserve">       Salario:            7,000,000.00            Ingreso:    17/06/2020             Servicio:        11 Meses 29 Dias</t>
  </si>
  <si>
    <t xml:space="preserve">                                                                                                      Fecha de Emisión: 21/06/2021                            Pg 64 de 65</t>
  </si>
  <si>
    <t xml:space="preserve">       Código:             24286876                                                   ID:              24286876</t>
  </si>
  <si>
    <t xml:space="preserve">       Apellidos:          VIZCAYA MONTILLA                                          Nombre:           GREIKER YORJHAN</t>
  </si>
  <si>
    <t xml:space="preserve">       Código:             6435914                                                    ID:              6435914</t>
  </si>
  <si>
    <t xml:space="preserve">       Apellidos:          YNFANTE LARA                                              Nombre:           CARLOS JOSE</t>
  </si>
  <si>
    <t xml:space="preserve">       N004           DIAS LIBRES TRABAJADO                                           1.00           266,666.66               0.00           266,666.66</t>
  </si>
  <si>
    <t xml:space="preserve">                                                                                                   4,826,666.66          180,384.62         4,646,282.04</t>
  </si>
  <si>
    <t xml:space="preserve">       Código:             6842752                                                    ID:              6842752</t>
  </si>
  <si>
    <t xml:space="preserve">       Apellidos:          ZAPATA PIÑERO                                             Nombre:           RUBEN DARIO</t>
  </si>
  <si>
    <t xml:space="preserve">       Salario:            7,000,000.00            Ingreso:    02/10/2020             Servicio:        8 Meses 13 Dias</t>
  </si>
  <si>
    <t xml:space="preserve">                                   AUTOMERCADO EXPRESS 2707 C.A.                                                    REPORTE DE PRE-NOMINA DETALLADA</t>
  </si>
  <si>
    <t xml:space="preserve">                                                                                               ------------------------------------------------------------------------------</t>
  </si>
  <si>
    <t xml:space="preserve">                              Localidad:AUTOMERCADO EXPRESS 2707 C.A.                                                  AUTOMERCADO EXPRESS 2707 C.A.</t>
  </si>
  <si>
    <t xml:space="preserve">                                                                                                           Corrida: 0000000093 - NOMINA OPERATIVA (01/06/2021 al</t>
  </si>
  <si>
    <t xml:space="preserve">                                                                                                                                15/06/2021)</t>
  </si>
  <si>
    <t xml:space="preserve">                                            Teléfonos:                                         ------------------------------------------------------------------------------</t>
  </si>
  <si>
    <t xml:space="preserve">                                                                                                         Fecha de Emisión: 21/06/2021                             Pg 65 de 65</t>
  </si>
  <si>
    <t xml:space="preserve">       N004           DIAS LIBRES TRABAJADO                                            1.00             559,999.99               0.00           559,999.99</t>
  </si>
  <si>
    <t xml:space="preserve">       N006           BONO POR INFLACION                                               1.00             600,000.00               0.00           600,000.00</t>
  </si>
  <si>
    <t xml:space="preserve">       D001           SEGURO SOCIAL OBLIGATORIO                                        2.00                   0.00         129,230.77           129,230.77</t>
  </si>
  <si>
    <t xml:space="preserve">       D002           FAOV                                                            15.00                   0.00          35,000.00            35,000.00</t>
  </si>
  <si>
    <t xml:space="preserve">       D003           SEGURO PARO FORZOSO                                              2.00                   0.00          16,153.85            16,153.85</t>
  </si>
  <si>
    <t xml:space="preserve">                                                                                                      5,359,999.99          180,384.62         5,179,615.37</t>
  </si>
  <si>
    <t xml:space="preserve">       Código:             15587327                                                    ID:               15587327</t>
  </si>
  <si>
    <t xml:space="preserve">       Apellidos:          ZERPA NUÑEZ                                                Nombre:            ERIKA DAYANA</t>
  </si>
  <si>
    <t xml:space="preserve">       Salario:            7,000,000.00             Ingreso:    23/03/2021             Servicio:         2 Meses 23 Dias</t>
  </si>
  <si>
    <t xml:space="preserve">       Tipo Contrato:      INDETERMINADO                                               Contrato:</t>
  </si>
  <si>
    <t xml:space="preserve">       Código        Descripción:                                                  Cantidad            Asignación             Deducción               Saldo</t>
  </si>
  <si>
    <t xml:space="preserve">       ------------------------------------------------------------------------------------------------------------------------------------------------------</t>
  </si>
  <si>
    <t xml:space="preserve">       N001           SUELDOS Y SALARIOS                                              11.00           2,566,666.67               0.00         2,566,666.67</t>
  </si>
  <si>
    <t xml:space="preserve">       N002           DIAS DE DESCANSO                                                 4.00             933,333.33               0.00           933,333.33</t>
  </si>
  <si>
    <t xml:space="preserve">       N003           DOMINGO TRABAJADO                                                2.00             700,000.00               0.00           700,000.00</t>
  </si>
  <si>
    <t xml:space="preserve">        Sub-Total                                                                                  877,396,666.30         44,231,923.91</t>
  </si>
  <si>
    <t xml:space="preserve">        Total General                                                                                                                         833,164,742.39</t>
  </si>
  <si>
    <t xml:space="preserve">        Total Personal:       187</t>
  </si>
  <si>
    <t>4TO 2020</t>
  </si>
  <si>
    <t>BANCO BNC</t>
  </si>
  <si>
    <t>BANCO EXTERIOR</t>
  </si>
  <si>
    <t>BOLIVAR SOB</t>
  </si>
  <si>
    <t>BOLIVAR DIG</t>
  </si>
  <si>
    <t>47,67</t>
  </si>
  <si>
    <t>BS SOBERANO</t>
  </si>
  <si>
    <t>BS DIGITAL</t>
  </si>
  <si>
    <t>Bs SOBERANO</t>
  </si>
  <si>
    <t>Bs DIGITAL</t>
  </si>
  <si>
    <t>EJERCICIO (2022)</t>
  </si>
  <si>
    <t>AT ISLR BANCOS</t>
  </si>
  <si>
    <t>ALVARO MANCENA</t>
  </si>
  <si>
    <t>TRABAJADORES</t>
  </si>
  <si>
    <t>ELIO ANTONIO MARTINEZ</t>
  </si>
  <si>
    <t>BANCO MERCANTIL</t>
  </si>
  <si>
    <t>HAKAPHOS ROJO</t>
  </si>
  <si>
    <t>FUMIGADORA</t>
  </si>
  <si>
    <t>HAKAPHOS CALC PLUS P</t>
  </si>
  <si>
    <t>HAKAPHOS BASE</t>
  </si>
  <si>
    <t>ROLLOS 25</t>
  </si>
  <si>
    <t>FETRILON</t>
  </si>
  <si>
    <t>LANZA 2 FT</t>
  </si>
  <si>
    <t>MALLA SOMBRERO</t>
  </si>
  <si>
    <t>MALLA ANTIAFIDO</t>
  </si>
  <si>
    <t>HAKAPHOS CALCIDIC PLUS K</t>
  </si>
  <si>
    <t>NOVATEC SOLUB 21</t>
  </si>
  <si>
    <t>11 Y 12/2020</t>
  </si>
  <si>
    <t>12 2020</t>
  </si>
  <si>
    <t>01 2021</t>
  </si>
  <si>
    <t>02 2021</t>
  </si>
  <si>
    <t>02 AL 06-2021</t>
  </si>
  <si>
    <t>03 AL 06 2021</t>
  </si>
  <si>
    <t>07 2021</t>
  </si>
  <si>
    <t>08 Y 09 2021</t>
  </si>
  <si>
    <t>10 2021</t>
  </si>
  <si>
    <t>BS</t>
  </si>
  <si>
    <t>BD</t>
  </si>
  <si>
    <t>ALCALDIA SUC LAGUNETICA</t>
  </si>
  <si>
    <t xml:space="preserve">AT IVA </t>
  </si>
  <si>
    <t>B SOBERANO</t>
  </si>
  <si>
    <t>B DIGITAL</t>
  </si>
  <si>
    <t>TRIM 01-2022</t>
  </si>
  <si>
    <t>TRIM 04-2021</t>
  </si>
  <si>
    <t>01/2022</t>
  </si>
  <si>
    <t>03/2022</t>
  </si>
  <si>
    <t>02/2022</t>
  </si>
  <si>
    <t>CASILLA 60</t>
  </si>
  <si>
    <t>IGTF FORMA 99021</t>
  </si>
  <si>
    <t>FORMA 99021 6331002</t>
  </si>
  <si>
    <t>04-05/2022</t>
  </si>
  <si>
    <t>CANTV SAN ANTONIO</t>
  </si>
  <si>
    <t>HIDROCAPITAL</t>
  </si>
  <si>
    <t>INTERNET</t>
  </si>
  <si>
    <t>RET</t>
  </si>
  <si>
    <t>TRIM 02-2022</t>
  </si>
  <si>
    <t>04/2022</t>
  </si>
  <si>
    <t>05/2022</t>
  </si>
  <si>
    <t>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</si>
</sst>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/>
    <xf numFmtId="4" fontId="0" fillId="0" borderId="1" xfId="0" applyNumberFormat="1" applyBorder="1"/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0" fillId="0" borderId="1" xfId="0" applyFill="1" applyBorder="1"/>
    <xf numFmtId="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4" fontId="0" fillId="0" borderId="0" xfId="0" applyNumberFormat="1"/>
    <xf numFmtId="4" fontId="0" fillId="0" borderId="2" xfId="0" applyNumberFormat="1" applyBorder="1"/>
    <xf numFmtId="9" fontId="0" fillId="0" borderId="0" xfId="0" applyNumberFormat="1"/>
    <xf numFmtId="4" fontId="1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/>
    </xf>
    <xf numFmtId="4" fontId="4" fillId="0" borderId="1" xfId="0" applyNumberFormat="1" applyFont="1" applyBorder="1" applyAlignment="1" applyProtection="1">
      <alignment horizontal="right"/>
      <protection locked="0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4" fontId="4" fillId="0" borderId="1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/>
    <xf numFmtId="4" fontId="1" fillId="3" borderId="1" xfId="0" applyNumberFormat="1" applyFont="1" applyFill="1" applyBorder="1"/>
    <xf numFmtId="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0" fontId="1" fillId="3" borderId="0" xfId="0" applyFont="1" applyFill="1"/>
    <xf numFmtId="49" fontId="1" fillId="3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/>
    <xf numFmtId="43" fontId="0" fillId="0" borderId="1" xfId="1" applyFont="1" applyBorder="1"/>
    <xf numFmtId="43" fontId="0" fillId="0" borderId="1" xfId="1" applyFont="1" applyFill="1" applyBorder="1"/>
    <xf numFmtId="4" fontId="1" fillId="2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4" fontId="4" fillId="0" borderId="1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Fill="1" applyAlignment="1">
      <alignment horizontal="center"/>
    </xf>
    <xf numFmtId="4" fontId="0" fillId="2" borderId="1" xfId="0" applyNumberFormat="1" applyFill="1" applyBorder="1" applyAlignment="1">
      <alignment horizontal="center"/>
    </xf>
    <xf numFmtId="4" fontId="0" fillId="0" borderId="1" xfId="1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 applyProtection="1">
      <alignment horizontal="center"/>
      <protection locked="0"/>
    </xf>
    <xf numFmtId="43" fontId="1" fillId="3" borderId="1" xfId="1" applyFont="1" applyFill="1" applyBorder="1"/>
    <xf numFmtId="0" fontId="0" fillId="3" borderId="1" xfId="0" applyFill="1" applyBorder="1"/>
    <xf numFmtId="4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4" fontId="4" fillId="3" borderId="1" xfId="0" applyNumberFormat="1" applyFont="1" applyFill="1" applyBorder="1" applyAlignment="1" applyProtection="1">
      <alignment horizontal="center"/>
      <protection locked="0"/>
    </xf>
    <xf numFmtId="43" fontId="0" fillId="3" borderId="1" xfId="1" applyFont="1" applyFill="1" applyBorder="1"/>
    <xf numFmtId="0" fontId="0" fillId="3" borderId="0" xfId="0" applyFill="1"/>
    <xf numFmtId="0" fontId="0" fillId="4" borderId="1" xfId="0" applyFill="1" applyBorder="1"/>
    <xf numFmtId="4" fontId="0" fillId="4" borderId="1" xfId="0" applyNumberFormat="1" applyFill="1" applyBorder="1"/>
    <xf numFmtId="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>
      <alignment horizontal="center"/>
    </xf>
    <xf numFmtId="0" fontId="0" fillId="4" borderId="0" xfId="0" applyFill="1"/>
    <xf numFmtId="43" fontId="0" fillId="0" borderId="1" xfId="1" applyFont="1" applyFill="1" applyBorder="1" applyAlignment="1">
      <alignment horizontal="center"/>
    </xf>
    <xf numFmtId="43" fontId="0" fillId="0" borderId="1" xfId="1" applyFont="1" applyBorder="1" applyAlignment="1">
      <alignment horizontal="center"/>
    </xf>
    <xf numFmtId="4" fontId="6" fillId="4" borderId="1" xfId="0" applyNumberFormat="1" applyFont="1" applyFill="1" applyBorder="1" applyAlignment="1" applyProtection="1">
      <alignment horizontal="center"/>
      <protection locked="0"/>
    </xf>
    <xf numFmtId="4" fontId="1" fillId="4" borderId="1" xfId="0" applyNumberFormat="1" applyFont="1" applyFill="1" applyBorder="1"/>
    <xf numFmtId="4" fontId="1" fillId="4" borderId="1" xfId="0" applyNumberFormat="1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" fontId="0" fillId="4" borderId="1" xfId="1" applyNumberFormat="1" applyFont="1" applyFill="1" applyBorder="1" applyAlignment="1">
      <alignment horizontal="center"/>
    </xf>
    <xf numFmtId="4" fontId="7" fillId="0" borderId="1" xfId="1" applyNumberFormat="1" applyFont="1" applyFill="1" applyBorder="1" applyAlignment="1">
      <alignment horizontal="center"/>
    </xf>
    <xf numFmtId="43" fontId="0" fillId="4" borderId="1" xfId="1" applyFont="1" applyFill="1" applyBorder="1"/>
    <xf numFmtId="43" fontId="0" fillId="4" borderId="1" xfId="1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  <xf numFmtId="43" fontId="1" fillId="0" borderId="1" xfId="0" applyNumberFormat="1" applyFont="1" applyBorder="1" applyAlignment="1">
      <alignment horizontal="center"/>
    </xf>
    <xf numFmtId="2" fontId="0" fillId="0" borderId="1" xfId="1" applyNumberFormat="1" applyFont="1" applyFill="1" applyBorder="1" applyAlignment="1">
      <alignment horizontal="center"/>
    </xf>
    <xf numFmtId="2" fontId="0" fillId="0" borderId="0" xfId="1" applyNumberFormat="1" applyFont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3" borderId="0" xfId="0" applyFont="1" applyFill="1" applyBorder="1"/>
    <xf numFmtId="4" fontId="1" fillId="3" borderId="0" xfId="0" applyNumberFormat="1" applyFont="1" applyFill="1" applyBorder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4" fontId="0" fillId="3" borderId="0" xfId="0" applyNumberFormat="1" applyFill="1" applyBorder="1" applyAlignment="1">
      <alignment horizontal="center"/>
    </xf>
    <xf numFmtId="43" fontId="0" fillId="0" borderId="0" xfId="1" applyFont="1"/>
    <xf numFmtId="43" fontId="1" fillId="0" borderId="0" xfId="1" applyFont="1"/>
    <xf numFmtId="0" fontId="0" fillId="0" borderId="1" xfId="0" applyFont="1" applyFill="1" applyBorder="1"/>
    <xf numFmtId="4" fontId="0" fillId="0" borderId="1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" fontId="0" fillId="0" borderId="1" xfId="0" applyNumberFormat="1" applyFont="1" applyFill="1" applyBorder="1"/>
    <xf numFmtId="0" fontId="0" fillId="0" borderId="0" xfId="0" applyFont="1" applyFill="1"/>
    <xf numFmtId="43" fontId="1" fillId="3" borderId="1" xfId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49" fontId="0" fillId="0" borderId="0" xfId="1" applyNumberFormat="1" applyFont="1"/>
    <xf numFmtId="43" fontId="0" fillId="0" borderId="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4"/>
  <sheetViews>
    <sheetView topLeftCell="A7" workbookViewId="0">
      <pane xSplit="1" topLeftCell="B1" activePane="topRight" state="frozen"/>
      <selection pane="topRight" activeCell="H16" sqref="H16"/>
    </sheetView>
  </sheetViews>
  <sheetFormatPr baseColWidth="10" defaultRowHeight="15" x14ac:dyDescent="0.25"/>
  <cols>
    <col min="1" max="1" width="14.7109375" bestFit="1" customWidth="1"/>
    <col min="2" max="2" width="17.42578125" bestFit="1" customWidth="1"/>
    <col min="3" max="3" width="13.7109375" style="16" bestFit="1" customWidth="1"/>
    <col min="4" max="4" width="10" bestFit="1" customWidth="1"/>
    <col min="5" max="5" width="16.42578125" bestFit="1" customWidth="1"/>
    <col min="7" max="7" width="16.42578125" bestFit="1" customWidth="1"/>
    <col min="8" max="8" width="15.85546875" bestFit="1" customWidth="1"/>
    <col min="9" max="9" width="13.7109375" bestFit="1" customWidth="1"/>
    <col min="10" max="10" width="11.5703125" bestFit="1" customWidth="1"/>
    <col min="11" max="11" width="13.7109375" bestFit="1" customWidth="1"/>
    <col min="12" max="12" width="15.28515625" bestFit="1" customWidth="1"/>
    <col min="19" max="19" width="13.7109375" bestFit="1" customWidth="1"/>
    <col min="21" max="21" width="13.7109375" bestFit="1" customWidth="1"/>
  </cols>
  <sheetData>
    <row r="1" spans="1:22" s="1" customFormat="1" ht="45" x14ac:dyDescent="0.25">
      <c r="A1" s="2" t="s">
        <v>71</v>
      </c>
      <c r="B1" s="2" t="s">
        <v>0</v>
      </c>
      <c r="C1" s="19" t="s">
        <v>3</v>
      </c>
      <c r="D1" s="2" t="s">
        <v>1</v>
      </c>
      <c r="E1" s="2" t="s">
        <v>4</v>
      </c>
      <c r="F1" s="2" t="s">
        <v>10</v>
      </c>
      <c r="G1" s="2" t="s">
        <v>2</v>
      </c>
      <c r="H1" s="2" t="s">
        <v>5</v>
      </c>
      <c r="I1" s="2" t="s">
        <v>6</v>
      </c>
      <c r="J1" s="2" t="s">
        <v>41</v>
      </c>
      <c r="K1" s="2" t="s">
        <v>42</v>
      </c>
      <c r="L1" s="2" t="s">
        <v>70</v>
      </c>
      <c r="M1" s="2" t="s">
        <v>11</v>
      </c>
      <c r="N1" s="2" t="s">
        <v>12</v>
      </c>
      <c r="O1" s="2" t="s">
        <v>35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45</v>
      </c>
      <c r="U1" s="2" t="s">
        <v>771</v>
      </c>
      <c r="V1" s="2" t="s">
        <v>785</v>
      </c>
    </row>
    <row r="2" spans="1:22" x14ac:dyDescent="0.25">
      <c r="A2" s="3" t="s">
        <v>17</v>
      </c>
      <c r="B2" s="13">
        <v>0</v>
      </c>
      <c r="C2" s="10">
        <v>0</v>
      </c>
      <c r="D2" s="4" t="s">
        <v>30</v>
      </c>
      <c r="E2" s="10">
        <v>0</v>
      </c>
      <c r="F2" s="4" t="s">
        <v>30</v>
      </c>
      <c r="G2" s="11"/>
      <c r="H2" s="33">
        <v>0</v>
      </c>
      <c r="I2" s="10">
        <v>0</v>
      </c>
      <c r="J2" s="10">
        <v>0</v>
      </c>
      <c r="K2" s="10">
        <v>0</v>
      </c>
      <c r="L2" s="10">
        <v>0</v>
      </c>
      <c r="M2" s="4" t="s">
        <v>33</v>
      </c>
      <c r="N2" s="4" t="s">
        <v>33</v>
      </c>
      <c r="O2" s="4" t="s">
        <v>33</v>
      </c>
      <c r="P2" s="32"/>
      <c r="Q2" s="4"/>
      <c r="R2" s="3"/>
      <c r="S2" s="10">
        <v>0</v>
      </c>
      <c r="T2" s="4"/>
      <c r="U2" s="8"/>
      <c r="V2" s="10"/>
    </row>
    <row r="3" spans="1:22" x14ac:dyDescent="0.25">
      <c r="A3" s="3" t="s">
        <v>18</v>
      </c>
      <c r="B3" s="16">
        <v>0</v>
      </c>
      <c r="C3" s="11">
        <v>0</v>
      </c>
      <c r="D3" s="4" t="s">
        <v>30</v>
      </c>
      <c r="E3" s="10">
        <v>0</v>
      </c>
      <c r="F3" s="4" t="s">
        <v>30</v>
      </c>
      <c r="G3" s="11"/>
      <c r="H3" s="33">
        <v>0</v>
      </c>
      <c r="I3" s="10">
        <v>0</v>
      </c>
      <c r="J3" s="10">
        <v>0</v>
      </c>
      <c r="K3" s="10">
        <v>0</v>
      </c>
      <c r="L3" s="10">
        <v>0</v>
      </c>
      <c r="M3" s="4" t="s">
        <v>33</v>
      </c>
      <c r="N3" s="4" t="s">
        <v>33</v>
      </c>
      <c r="O3" s="4" t="s">
        <v>33</v>
      </c>
      <c r="P3" s="32"/>
      <c r="Q3" s="4"/>
      <c r="R3" s="3"/>
      <c r="S3" s="10">
        <v>0</v>
      </c>
      <c r="T3" s="4"/>
      <c r="U3" s="8"/>
      <c r="V3" s="8"/>
    </row>
    <row r="4" spans="1:22" x14ac:dyDescent="0.25">
      <c r="A4" s="3" t="s">
        <v>19</v>
      </c>
      <c r="B4" s="8">
        <v>0</v>
      </c>
      <c r="C4" s="11">
        <v>0</v>
      </c>
      <c r="D4" s="14" t="s">
        <v>30</v>
      </c>
      <c r="E4" s="11">
        <v>0</v>
      </c>
      <c r="F4" s="4" t="s">
        <v>30</v>
      </c>
      <c r="G4" s="11"/>
      <c r="H4" s="33">
        <v>0</v>
      </c>
      <c r="I4" s="10">
        <v>0</v>
      </c>
      <c r="J4" s="10">
        <v>0</v>
      </c>
      <c r="K4" s="10">
        <v>0</v>
      </c>
      <c r="L4" s="10">
        <v>0</v>
      </c>
      <c r="M4" s="4" t="s">
        <v>33</v>
      </c>
      <c r="N4" s="4" t="s">
        <v>33</v>
      </c>
      <c r="O4" s="4" t="s">
        <v>33</v>
      </c>
      <c r="P4" s="4"/>
      <c r="Q4" s="4"/>
      <c r="R4" s="3"/>
      <c r="S4" s="10">
        <v>0</v>
      </c>
      <c r="T4" s="4"/>
      <c r="U4" s="8"/>
      <c r="V4" s="8"/>
    </row>
    <row r="5" spans="1:22" x14ac:dyDescent="0.25">
      <c r="A5" s="3" t="s">
        <v>20</v>
      </c>
      <c r="B5" s="8">
        <v>0</v>
      </c>
      <c r="C5" s="11">
        <v>0</v>
      </c>
      <c r="D5" s="14" t="s">
        <v>30</v>
      </c>
      <c r="E5" s="11">
        <v>0</v>
      </c>
      <c r="F5" s="4" t="s">
        <v>30</v>
      </c>
      <c r="G5" s="11"/>
      <c r="H5" s="33">
        <v>0</v>
      </c>
      <c r="I5" s="10">
        <v>0</v>
      </c>
      <c r="J5" s="10">
        <v>0</v>
      </c>
      <c r="K5" s="10">
        <v>0</v>
      </c>
      <c r="L5" s="10">
        <v>0</v>
      </c>
      <c r="M5" s="4" t="s">
        <v>33</v>
      </c>
      <c r="N5" s="4" t="s">
        <v>33</v>
      </c>
      <c r="O5" s="4" t="s">
        <v>33</v>
      </c>
      <c r="P5" s="4"/>
      <c r="Q5" s="4"/>
      <c r="R5" s="3"/>
      <c r="S5" s="10">
        <v>0</v>
      </c>
      <c r="T5" s="4"/>
      <c r="U5" s="8"/>
      <c r="V5" s="8"/>
    </row>
    <row r="6" spans="1:22" x14ac:dyDescent="0.25">
      <c r="A6" s="3" t="s">
        <v>21</v>
      </c>
      <c r="B6" s="8">
        <v>0</v>
      </c>
      <c r="C6" s="11">
        <v>0</v>
      </c>
      <c r="D6" s="14" t="s">
        <v>30</v>
      </c>
      <c r="E6" s="11">
        <v>0</v>
      </c>
      <c r="F6" s="4" t="s">
        <v>30</v>
      </c>
      <c r="G6" s="11"/>
      <c r="H6" s="33">
        <v>0</v>
      </c>
      <c r="I6" s="10">
        <v>0</v>
      </c>
      <c r="J6" s="10">
        <v>0</v>
      </c>
      <c r="K6" s="10">
        <v>0</v>
      </c>
      <c r="L6" s="10">
        <v>0</v>
      </c>
      <c r="M6" s="4" t="s">
        <v>33</v>
      </c>
      <c r="N6" s="4" t="s">
        <v>33</v>
      </c>
      <c r="O6" s="4" t="s">
        <v>33</v>
      </c>
      <c r="P6" s="4"/>
      <c r="Q6" s="4"/>
      <c r="R6" s="3"/>
      <c r="S6" s="10">
        <v>0</v>
      </c>
      <c r="T6" s="4"/>
      <c r="U6" s="8"/>
      <c r="V6" s="8"/>
    </row>
    <row r="7" spans="1:22" x14ac:dyDescent="0.25">
      <c r="A7" s="3" t="s">
        <v>22</v>
      </c>
      <c r="B7" s="8">
        <v>0</v>
      </c>
      <c r="C7" s="11">
        <v>0</v>
      </c>
      <c r="D7" s="14" t="s">
        <v>30</v>
      </c>
      <c r="E7" s="11">
        <v>0</v>
      </c>
      <c r="F7" s="4" t="s">
        <v>30</v>
      </c>
      <c r="G7" s="11"/>
      <c r="H7" s="33">
        <v>0</v>
      </c>
      <c r="I7" s="10">
        <v>0</v>
      </c>
      <c r="J7" s="10">
        <v>0</v>
      </c>
      <c r="K7" s="10">
        <v>0</v>
      </c>
      <c r="L7" s="10">
        <v>0</v>
      </c>
      <c r="M7" s="4" t="s">
        <v>33</v>
      </c>
      <c r="N7" s="4" t="s">
        <v>33</v>
      </c>
      <c r="O7" s="4" t="s">
        <v>33</v>
      </c>
      <c r="P7" s="4"/>
      <c r="Q7" s="4"/>
      <c r="R7" s="3"/>
      <c r="S7" s="10">
        <v>0</v>
      </c>
      <c r="T7" s="4"/>
      <c r="U7" s="8"/>
      <c r="V7" s="8"/>
    </row>
    <row r="8" spans="1:22" x14ac:dyDescent="0.25">
      <c r="A8" s="3" t="s">
        <v>23</v>
      </c>
      <c r="B8" s="8">
        <v>0</v>
      </c>
      <c r="C8" s="11">
        <v>0</v>
      </c>
      <c r="D8" s="14" t="s">
        <v>30</v>
      </c>
      <c r="E8" s="11">
        <v>0</v>
      </c>
      <c r="F8" s="4" t="s">
        <v>30</v>
      </c>
      <c r="G8" s="11"/>
      <c r="H8" s="33">
        <v>0</v>
      </c>
      <c r="I8" s="10">
        <v>0</v>
      </c>
      <c r="J8" s="10">
        <v>0</v>
      </c>
      <c r="K8" s="10">
        <v>0</v>
      </c>
      <c r="L8" s="10">
        <v>0</v>
      </c>
      <c r="M8" s="4" t="s">
        <v>33</v>
      </c>
      <c r="N8" s="4" t="s">
        <v>33</v>
      </c>
      <c r="O8" s="4" t="s">
        <v>33</v>
      </c>
      <c r="P8" s="4"/>
      <c r="Q8" s="4"/>
      <c r="R8" s="3"/>
      <c r="S8" s="10">
        <v>0</v>
      </c>
      <c r="T8" s="4"/>
      <c r="U8" s="8"/>
      <c r="V8" s="8"/>
    </row>
    <row r="9" spans="1:22" x14ac:dyDescent="0.25">
      <c r="A9" s="3" t="s">
        <v>24</v>
      </c>
      <c r="B9" s="13">
        <v>9262624613.2000008</v>
      </c>
      <c r="C9" s="11">
        <v>0</v>
      </c>
      <c r="D9" s="14" t="s">
        <v>30</v>
      </c>
      <c r="E9" s="11">
        <v>0</v>
      </c>
      <c r="F9" s="4" t="s">
        <v>30</v>
      </c>
      <c r="G9" s="11"/>
      <c r="H9" s="33">
        <v>0</v>
      </c>
      <c r="I9" s="10">
        <v>0</v>
      </c>
      <c r="J9" s="10">
        <v>0</v>
      </c>
      <c r="K9" s="10">
        <v>0</v>
      </c>
      <c r="L9" s="10">
        <v>0</v>
      </c>
      <c r="M9" s="4" t="s">
        <v>30</v>
      </c>
      <c r="N9" s="4" t="s">
        <v>30</v>
      </c>
      <c r="O9" s="4" t="s">
        <v>30</v>
      </c>
      <c r="P9" s="4"/>
      <c r="Q9" s="4"/>
      <c r="R9" s="3"/>
      <c r="S9" s="10">
        <v>0</v>
      </c>
      <c r="T9" s="4"/>
      <c r="U9" s="8"/>
      <c r="V9" s="8"/>
    </row>
    <row r="10" spans="1:22" x14ac:dyDescent="0.25">
      <c r="A10" s="3" t="s">
        <v>25</v>
      </c>
      <c r="B10" s="8">
        <v>0</v>
      </c>
      <c r="C10" s="11">
        <v>0</v>
      </c>
      <c r="D10" s="14" t="s">
        <v>30</v>
      </c>
      <c r="E10" s="11">
        <v>0</v>
      </c>
      <c r="F10" s="4" t="s">
        <v>30</v>
      </c>
      <c r="G10" s="11"/>
      <c r="H10" s="33">
        <v>0</v>
      </c>
      <c r="I10" s="10">
        <v>0</v>
      </c>
      <c r="J10" s="10">
        <v>0</v>
      </c>
      <c r="K10" s="10">
        <v>0</v>
      </c>
      <c r="L10" s="10">
        <v>0</v>
      </c>
      <c r="M10" s="4" t="s">
        <v>30</v>
      </c>
      <c r="N10" s="4" t="s">
        <v>30</v>
      </c>
      <c r="O10" s="4" t="s">
        <v>30</v>
      </c>
      <c r="P10" s="4"/>
      <c r="Q10" s="30"/>
      <c r="R10" s="3"/>
      <c r="S10" s="10">
        <v>0</v>
      </c>
      <c r="T10" s="4"/>
      <c r="U10" s="8"/>
      <c r="V10" s="8"/>
    </row>
    <row r="11" spans="1:22" s="67" customFormat="1" x14ac:dyDescent="0.25">
      <c r="A11" s="61" t="s">
        <v>773</v>
      </c>
      <c r="B11" s="62">
        <f>SUM(B2:B10)</f>
        <v>9262624613.2000008</v>
      </c>
      <c r="C11" s="63">
        <v>0</v>
      </c>
      <c r="D11" s="64" t="s">
        <v>30</v>
      </c>
      <c r="E11" s="63">
        <v>0</v>
      </c>
      <c r="F11" s="64" t="s">
        <v>30</v>
      </c>
      <c r="G11" s="63"/>
      <c r="H11" s="65">
        <v>0</v>
      </c>
      <c r="I11" s="63">
        <v>0</v>
      </c>
      <c r="J11" s="63">
        <v>0</v>
      </c>
      <c r="K11" s="63">
        <f>SUM(K7:K10)</f>
        <v>0</v>
      </c>
      <c r="L11" s="63">
        <v>0</v>
      </c>
      <c r="M11" s="64"/>
      <c r="N11" s="64"/>
      <c r="O11" s="64"/>
      <c r="P11" s="64"/>
      <c r="Q11" s="66"/>
      <c r="R11" s="61"/>
      <c r="S11" s="63">
        <v>0</v>
      </c>
      <c r="T11" s="64"/>
      <c r="U11" s="62"/>
      <c r="V11" s="62"/>
    </row>
    <row r="12" spans="1:22" s="67" customFormat="1" x14ac:dyDescent="0.25">
      <c r="A12" s="61" t="s">
        <v>774</v>
      </c>
      <c r="B12" s="71">
        <f>+B11/1000000</f>
        <v>9262.6246132000015</v>
      </c>
      <c r="C12" s="72">
        <v>0</v>
      </c>
      <c r="D12" s="64" t="s">
        <v>30</v>
      </c>
      <c r="E12" s="63">
        <v>0</v>
      </c>
      <c r="F12" s="64" t="s">
        <v>30</v>
      </c>
      <c r="G12" s="63"/>
      <c r="H12" s="70">
        <v>0</v>
      </c>
      <c r="I12" s="63">
        <v>0</v>
      </c>
      <c r="J12" s="63">
        <v>0</v>
      </c>
      <c r="K12" s="63">
        <f>+K11/1000000</f>
        <v>0</v>
      </c>
      <c r="L12" s="63">
        <v>0</v>
      </c>
      <c r="M12" s="64"/>
      <c r="N12" s="64"/>
      <c r="O12" s="64"/>
      <c r="P12" s="64"/>
      <c r="Q12" s="66"/>
      <c r="R12" s="61"/>
      <c r="S12" s="63">
        <v>0</v>
      </c>
      <c r="T12" s="64"/>
      <c r="U12" s="62"/>
      <c r="V12" s="62"/>
    </row>
    <row r="13" spans="1:22" x14ac:dyDescent="0.25">
      <c r="A13" s="3" t="s">
        <v>26</v>
      </c>
      <c r="B13" s="8">
        <v>0</v>
      </c>
      <c r="C13" s="11">
        <v>0</v>
      </c>
      <c r="D13" s="14" t="s">
        <v>30</v>
      </c>
      <c r="E13" s="11">
        <v>0</v>
      </c>
      <c r="F13" s="4" t="s">
        <v>30</v>
      </c>
      <c r="G13" s="11"/>
      <c r="H13" s="33">
        <v>0</v>
      </c>
      <c r="I13" s="10">
        <v>0</v>
      </c>
      <c r="J13" s="10">
        <v>0</v>
      </c>
      <c r="K13" s="10">
        <v>0</v>
      </c>
      <c r="L13" s="10">
        <v>0</v>
      </c>
      <c r="M13" s="4" t="s">
        <v>30</v>
      </c>
      <c r="N13" s="4" t="s">
        <v>30</v>
      </c>
      <c r="O13" s="4" t="s">
        <v>30</v>
      </c>
      <c r="P13" s="4"/>
      <c r="Q13" s="4"/>
      <c r="R13" s="3"/>
      <c r="S13" s="10">
        <v>0</v>
      </c>
      <c r="T13" s="4"/>
      <c r="U13" s="8"/>
      <c r="V13" s="8"/>
    </row>
    <row r="14" spans="1:22" x14ac:dyDescent="0.25">
      <c r="A14" s="3" t="s">
        <v>27</v>
      </c>
      <c r="B14" s="8">
        <v>116075.19</v>
      </c>
      <c r="C14" s="10">
        <v>0</v>
      </c>
      <c r="D14" s="4" t="s">
        <v>30</v>
      </c>
      <c r="E14" s="10">
        <v>0</v>
      </c>
      <c r="F14" s="4" t="s">
        <v>30</v>
      </c>
      <c r="G14" s="10"/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4" t="s">
        <v>30</v>
      </c>
      <c r="N14" s="4" t="s">
        <v>30</v>
      </c>
      <c r="O14" s="4" t="s">
        <v>30</v>
      </c>
      <c r="P14" s="4"/>
      <c r="Q14" s="4"/>
      <c r="R14" s="3"/>
      <c r="S14" s="10">
        <v>0</v>
      </c>
      <c r="T14" s="4"/>
      <c r="U14" s="8"/>
      <c r="V14" s="8"/>
    </row>
    <row r="15" spans="1:22" s="15" customFormat="1" x14ac:dyDescent="0.25">
      <c r="A15" s="3" t="s">
        <v>28</v>
      </c>
      <c r="B15" s="13">
        <v>0</v>
      </c>
      <c r="C15" s="11">
        <v>0</v>
      </c>
      <c r="D15" s="14" t="s">
        <v>30</v>
      </c>
      <c r="E15" s="11">
        <v>0</v>
      </c>
      <c r="F15" s="4" t="s">
        <v>30</v>
      </c>
      <c r="G15" s="11"/>
      <c r="H15" s="11">
        <v>0</v>
      </c>
      <c r="I15" s="11">
        <v>0</v>
      </c>
      <c r="J15" s="10">
        <v>0</v>
      </c>
      <c r="K15" s="11">
        <v>0</v>
      </c>
      <c r="L15" s="10">
        <v>0</v>
      </c>
      <c r="M15" s="4" t="s">
        <v>30</v>
      </c>
      <c r="N15" s="4" t="s">
        <v>30</v>
      </c>
      <c r="O15" s="4" t="s">
        <v>30</v>
      </c>
      <c r="P15" s="14"/>
      <c r="Q15" s="14"/>
      <c r="R15" s="12"/>
      <c r="S15" s="10">
        <v>0</v>
      </c>
      <c r="T15" s="14"/>
      <c r="U15" s="13"/>
      <c r="V15" s="13"/>
    </row>
    <row r="16" spans="1:22" s="39" customFormat="1" x14ac:dyDescent="0.25">
      <c r="A16" s="34" t="s">
        <v>34</v>
      </c>
      <c r="B16" s="35">
        <f>SUM(B12:B15)</f>
        <v>125337.8146132</v>
      </c>
      <c r="C16" s="36"/>
      <c r="D16" s="37"/>
      <c r="E16" s="36"/>
      <c r="F16" s="37"/>
      <c r="G16" s="36"/>
      <c r="H16" s="36"/>
      <c r="I16" s="36"/>
      <c r="J16" s="36">
        <f>SUM(J2:J15)</f>
        <v>0</v>
      </c>
      <c r="K16" s="36">
        <f>SUM(K12:K15)</f>
        <v>0</v>
      </c>
      <c r="L16" s="36">
        <f>SUM(L2:L15)</f>
        <v>0</v>
      </c>
      <c r="M16" s="37"/>
      <c r="N16" s="37"/>
      <c r="O16" s="37"/>
      <c r="P16" s="37"/>
      <c r="Q16" s="37"/>
      <c r="R16" s="34"/>
      <c r="S16" s="38"/>
      <c r="T16" s="37"/>
      <c r="U16" s="35"/>
      <c r="V16" s="35"/>
    </row>
    <row r="17" spans="1:22" s="39" customFormat="1" x14ac:dyDescent="0.25">
      <c r="A17" s="86"/>
      <c r="B17" s="87"/>
      <c r="C17" s="88"/>
      <c r="D17" s="89"/>
      <c r="E17" s="88"/>
      <c r="F17" s="89"/>
      <c r="G17" s="88"/>
      <c r="H17" s="88"/>
      <c r="I17" s="88"/>
      <c r="J17" s="88"/>
      <c r="K17" s="88"/>
      <c r="L17" s="88"/>
      <c r="M17" s="89"/>
      <c r="N17" s="89"/>
      <c r="O17" s="89"/>
      <c r="P17" s="89"/>
      <c r="Q17" s="89"/>
      <c r="R17" s="86"/>
      <c r="S17" s="90"/>
      <c r="T17" s="89"/>
      <c r="U17" s="87"/>
      <c r="V17" s="87"/>
    </row>
    <row r="18" spans="1:22" x14ac:dyDescent="0.25">
      <c r="B18" t="s">
        <v>783</v>
      </c>
      <c r="S18" s="16"/>
    </row>
    <row r="19" spans="1:22" x14ac:dyDescent="0.25">
      <c r="B19" t="s">
        <v>784</v>
      </c>
    </row>
    <row r="20" spans="1:22" x14ac:dyDescent="0.25">
      <c r="B20" t="s">
        <v>782</v>
      </c>
    </row>
    <row r="23" spans="1:22" x14ac:dyDescent="0.25">
      <c r="A23">
        <v>40</v>
      </c>
      <c r="B23" t="s">
        <v>795</v>
      </c>
      <c r="D23">
        <f>3+10+2+14</f>
        <v>29</v>
      </c>
      <c r="E23">
        <v>239.72</v>
      </c>
      <c r="F23">
        <f>+A23-D23</f>
        <v>11</v>
      </c>
      <c r="G23" s="91">
        <f>+F23*E23</f>
        <v>2636.92</v>
      </c>
    </row>
    <row r="24" spans="1:22" x14ac:dyDescent="0.25">
      <c r="A24">
        <v>85</v>
      </c>
      <c r="B24" t="s">
        <v>786</v>
      </c>
      <c r="D24">
        <f>15+10+20+10+15+12</f>
        <v>82</v>
      </c>
      <c r="E24">
        <v>239.72</v>
      </c>
      <c r="F24">
        <f t="shared" ref="F24:F33" si="0">+A24-D24</f>
        <v>3</v>
      </c>
      <c r="G24" s="91">
        <f t="shared" ref="G24:G33" si="1">+F24*E24</f>
        <v>719.16</v>
      </c>
    </row>
    <row r="25" spans="1:22" x14ac:dyDescent="0.25">
      <c r="A25">
        <v>25</v>
      </c>
      <c r="B25" t="s">
        <v>796</v>
      </c>
      <c r="D25">
        <v>25</v>
      </c>
      <c r="E25">
        <v>140.13999999999999</v>
      </c>
      <c r="F25">
        <f t="shared" si="0"/>
        <v>0</v>
      </c>
      <c r="G25" s="91">
        <f t="shared" si="1"/>
        <v>0</v>
      </c>
    </row>
    <row r="26" spans="1:22" x14ac:dyDescent="0.25">
      <c r="A26">
        <v>45</v>
      </c>
      <c r="B26" t="s">
        <v>787</v>
      </c>
      <c r="D26">
        <f>3+10+5+17</f>
        <v>35</v>
      </c>
      <c r="E26">
        <v>258.16000000000003</v>
      </c>
      <c r="F26">
        <f t="shared" si="0"/>
        <v>10</v>
      </c>
      <c r="G26" s="91">
        <f t="shared" si="1"/>
        <v>2581.6000000000004</v>
      </c>
    </row>
    <row r="27" spans="1:22" x14ac:dyDescent="0.25">
      <c r="A27">
        <v>40</v>
      </c>
      <c r="B27" t="s">
        <v>788</v>
      </c>
      <c r="D27">
        <f>10+10+12</f>
        <v>32</v>
      </c>
      <c r="E27">
        <v>258.16000000000003</v>
      </c>
      <c r="F27">
        <f t="shared" si="0"/>
        <v>8</v>
      </c>
      <c r="G27" s="91">
        <f t="shared" si="1"/>
        <v>2065.2800000000002</v>
      </c>
    </row>
    <row r="28" spans="1:22" x14ac:dyDescent="0.25">
      <c r="A28">
        <v>65</v>
      </c>
      <c r="B28" t="s">
        <v>789</v>
      </c>
      <c r="D28">
        <f>13+10+1+6+5+17</f>
        <v>52</v>
      </c>
      <c r="E28">
        <v>276.60000000000002</v>
      </c>
      <c r="F28">
        <f t="shared" si="0"/>
        <v>13</v>
      </c>
      <c r="G28" s="91">
        <f t="shared" si="1"/>
        <v>3595.8</v>
      </c>
    </row>
    <row r="29" spans="1:22" x14ac:dyDescent="0.25">
      <c r="A29">
        <v>13</v>
      </c>
      <c r="B29" t="s">
        <v>790</v>
      </c>
      <c r="D29">
        <v>10</v>
      </c>
      <c r="E29">
        <v>2028.4</v>
      </c>
      <c r="F29">
        <f t="shared" si="0"/>
        <v>3</v>
      </c>
      <c r="G29" s="91">
        <f t="shared" si="1"/>
        <v>6085.2000000000007</v>
      </c>
    </row>
    <row r="30" spans="1:22" x14ac:dyDescent="0.25">
      <c r="A30">
        <v>32</v>
      </c>
      <c r="B30" t="s">
        <v>791</v>
      </c>
      <c r="D30">
        <f>1+5+9</f>
        <v>15</v>
      </c>
      <c r="E30">
        <v>40.56</v>
      </c>
      <c r="F30">
        <f t="shared" si="0"/>
        <v>17</v>
      </c>
      <c r="G30" s="91">
        <f t="shared" si="1"/>
        <v>689.52</v>
      </c>
    </row>
    <row r="31" spans="1:22" x14ac:dyDescent="0.25">
      <c r="A31">
        <v>15</v>
      </c>
      <c r="B31" t="s">
        <v>792</v>
      </c>
      <c r="D31">
        <f>5+10</f>
        <v>15</v>
      </c>
      <c r="E31">
        <v>70.069999999999993</v>
      </c>
      <c r="F31">
        <f t="shared" si="0"/>
        <v>0</v>
      </c>
      <c r="G31" s="91">
        <f t="shared" si="1"/>
        <v>0</v>
      </c>
    </row>
    <row r="32" spans="1:22" x14ac:dyDescent="0.25">
      <c r="A32">
        <v>6</v>
      </c>
      <c r="B32" t="s">
        <v>793</v>
      </c>
      <c r="D32">
        <v>5</v>
      </c>
      <c r="E32">
        <v>1290.8</v>
      </c>
      <c r="F32">
        <f t="shared" si="0"/>
        <v>1</v>
      </c>
      <c r="G32" s="91">
        <f t="shared" si="1"/>
        <v>1290.8</v>
      </c>
    </row>
    <row r="33" spans="1:7" x14ac:dyDescent="0.25">
      <c r="A33">
        <v>6</v>
      </c>
      <c r="B33" t="s">
        <v>794</v>
      </c>
      <c r="D33">
        <v>5</v>
      </c>
      <c r="E33">
        <v>1357.18</v>
      </c>
      <c r="F33">
        <f t="shared" si="0"/>
        <v>1</v>
      </c>
      <c r="G33" s="91">
        <f t="shared" si="1"/>
        <v>1357.18</v>
      </c>
    </row>
    <row r="34" spans="1:7" x14ac:dyDescent="0.25">
      <c r="G34" s="92">
        <f>SUM(G23:G33)</f>
        <v>21021.460000000003</v>
      </c>
    </row>
  </sheetData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46"/>
  <sheetViews>
    <sheetView topLeftCell="A14" workbookViewId="0">
      <pane xSplit="1" topLeftCell="D1" activePane="topRight" state="frozen"/>
      <selection pane="topRight" activeCell="C29" sqref="C29"/>
    </sheetView>
  </sheetViews>
  <sheetFormatPr baseColWidth="10" defaultRowHeight="15" x14ac:dyDescent="0.25"/>
  <cols>
    <col min="1" max="1" width="12.42578125" customWidth="1"/>
    <col min="2" max="2" width="19" bestFit="1" customWidth="1"/>
    <col min="3" max="3" width="13.7109375" style="16" bestFit="1" customWidth="1"/>
    <col min="4" max="4" width="10" bestFit="1" customWidth="1"/>
    <col min="5" max="5" width="13.7109375" bestFit="1" customWidth="1"/>
    <col min="7" max="7" width="17.42578125" bestFit="1" customWidth="1"/>
    <col min="8" max="8" width="15.28515625" bestFit="1" customWidth="1"/>
    <col min="9" max="9" width="12.7109375" bestFit="1" customWidth="1"/>
    <col min="10" max="10" width="16.42578125" bestFit="1" customWidth="1"/>
    <col min="11" max="11" width="13.7109375" bestFit="1" customWidth="1"/>
    <col min="12" max="12" width="12.7109375" bestFit="1" customWidth="1"/>
    <col min="13" max="13" width="15.28515625" hidden="1" customWidth="1"/>
    <col min="21" max="21" width="15.28515625" bestFit="1" customWidth="1"/>
    <col min="23" max="23" width="15.28515625" bestFit="1" customWidth="1"/>
    <col min="24" max="24" width="14.140625" customWidth="1"/>
    <col min="25" max="25" width="16.42578125" bestFit="1" customWidth="1"/>
    <col min="26" max="26" width="13.7109375" bestFit="1" customWidth="1"/>
    <col min="27" max="27" width="13.5703125" bestFit="1" customWidth="1"/>
  </cols>
  <sheetData>
    <row r="1" spans="1:27" s="1" customFormat="1" ht="45" x14ac:dyDescent="0.25">
      <c r="A1" s="2" t="s">
        <v>29</v>
      </c>
      <c r="B1" s="2" t="s">
        <v>0</v>
      </c>
      <c r="C1" s="19" t="s">
        <v>3</v>
      </c>
      <c r="D1" s="2" t="s">
        <v>1</v>
      </c>
      <c r="E1" s="2" t="s">
        <v>4</v>
      </c>
      <c r="F1" s="2" t="s">
        <v>10</v>
      </c>
      <c r="G1" s="2" t="s">
        <v>2</v>
      </c>
      <c r="H1" s="2" t="s">
        <v>5</v>
      </c>
      <c r="I1" s="2" t="s">
        <v>6</v>
      </c>
      <c r="J1" s="2" t="s">
        <v>70</v>
      </c>
      <c r="K1" s="2" t="s">
        <v>42</v>
      </c>
      <c r="L1" s="2" t="s">
        <v>56</v>
      </c>
      <c r="M1" s="2" t="s">
        <v>41</v>
      </c>
      <c r="N1" s="2" t="s">
        <v>11</v>
      </c>
      <c r="O1" s="2" t="s">
        <v>12</v>
      </c>
      <c r="P1" s="2" t="s">
        <v>35</v>
      </c>
      <c r="Q1" s="2" t="s">
        <v>13</v>
      </c>
      <c r="R1" s="2" t="s">
        <v>14</v>
      </c>
      <c r="S1" s="2" t="s">
        <v>15</v>
      </c>
      <c r="T1" s="2" t="s">
        <v>61</v>
      </c>
      <c r="U1" s="2" t="s">
        <v>68</v>
      </c>
      <c r="V1" s="2" t="s">
        <v>45</v>
      </c>
      <c r="W1" s="2" t="s">
        <v>58</v>
      </c>
      <c r="X1" s="2" t="s">
        <v>57</v>
      </c>
      <c r="Y1" s="2" t="s">
        <v>59</v>
      </c>
      <c r="Z1" s="2" t="s">
        <v>60</v>
      </c>
      <c r="AA1" s="2" t="s">
        <v>69</v>
      </c>
    </row>
    <row r="2" spans="1:27" x14ac:dyDescent="0.25">
      <c r="A2" s="3" t="s">
        <v>20</v>
      </c>
      <c r="B2" s="8">
        <f>719558146.16+719558146.16+781775348.4+391920199.56</f>
        <v>2612811840.2799997</v>
      </c>
      <c r="C2" s="10"/>
      <c r="D2" s="4"/>
      <c r="E2" s="10"/>
      <c r="F2" s="4" t="s">
        <v>30</v>
      </c>
      <c r="G2" s="11"/>
      <c r="H2" s="33"/>
      <c r="I2" s="10"/>
      <c r="J2" s="10">
        <v>0</v>
      </c>
      <c r="K2" s="20">
        <v>0</v>
      </c>
      <c r="L2" s="10"/>
      <c r="M2" s="10"/>
      <c r="N2" s="4" t="s">
        <v>30</v>
      </c>
      <c r="O2" s="4" t="s">
        <v>30</v>
      </c>
      <c r="P2" s="4"/>
      <c r="Q2" s="4" t="s">
        <v>30</v>
      </c>
      <c r="R2" s="4"/>
      <c r="S2" s="3"/>
      <c r="T2" s="3"/>
      <c r="U2" s="10" t="s">
        <v>30</v>
      </c>
      <c r="V2" s="4"/>
      <c r="W2" s="10"/>
      <c r="X2" s="10"/>
      <c r="Y2" s="10"/>
      <c r="Z2" s="8"/>
      <c r="AA2" s="42"/>
    </row>
    <row r="3" spans="1:27" x14ac:dyDescent="0.25">
      <c r="A3" s="3" t="s">
        <v>21</v>
      </c>
      <c r="B3" s="8">
        <f>1021861210.56+639322232.56+613774019.09+660628503.64</f>
        <v>2935585965.8499999</v>
      </c>
      <c r="C3" s="11"/>
      <c r="D3" s="4"/>
      <c r="E3" s="10"/>
      <c r="F3" s="4" t="s">
        <v>30</v>
      </c>
      <c r="G3" s="11"/>
      <c r="H3" s="33"/>
      <c r="I3" s="10"/>
      <c r="J3" s="10">
        <v>0</v>
      </c>
      <c r="K3" s="11">
        <v>0</v>
      </c>
      <c r="L3" s="10"/>
      <c r="M3" s="10"/>
      <c r="N3" s="4" t="s">
        <v>30</v>
      </c>
      <c r="O3" s="4" t="s">
        <v>30</v>
      </c>
      <c r="P3" s="4"/>
      <c r="Q3" s="4" t="s">
        <v>30</v>
      </c>
      <c r="R3" s="4"/>
      <c r="S3" s="3"/>
      <c r="T3" s="3"/>
      <c r="U3" s="10" t="s">
        <v>30</v>
      </c>
      <c r="V3" s="4"/>
      <c r="W3" s="10"/>
      <c r="X3" s="8"/>
      <c r="Y3" s="8"/>
      <c r="Z3" s="8"/>
      <c r="AA3" s="42"/>
    </row>
    <row r="4" spans="1:27" x14ac:dyDescent="0.25">
      <c r="A4" s="3" t="s">
        <v>22</v>
      </c>
      <c r="B4" s="8">
        <f>1220431544.49+1431430068.96+1410896715.98+1210219981.16+657968920.61</f>
        <v>5930947231.1999998</v>
      </c>
      <c r="C4" s="11"/>
      <c r="D4" s="14"/>
      <c r="E4" s="11"/>
      <c r="F4" s="14" t="s">
        <v>30</v>
      </c>
      <c r="G4" s="11"/>
      <c r="H4" s="33"/>
      <c r="I4" s="11"/>
      <c r="J4" s="11">
        <v>0</v>
      </c>
      <c r="K4" s="11">
        <v>0</v>
      </c>
      <c r="L4" s="10"/>
      <c r="M4" s="10"/>
      <c r="N4" s="4" t="s">
        <v>30</v>
      </c>
      <c r="O4" s="4" t="s">
        <v>30</v>
      </c>
      <c r="P4" s="4"/>
      <c r="Q4" s="4" t="s">
        <v>30</v>
      </c>
      <c r="R4" s="4"/>
      <c r="S4" s="3"/>
      <c r="T4" s="3"/>
      <c r="U4" s="10" t="s">
        <v>30</v>
      </c>
      <c r="V4" s="4"/>
      <c r="W4" s="10"/>
      <c r="X4" s="8"/>
      <c r="Y4" s="8"/>
      <c r="Z4" s="8"/>
      <c r="AA4" s="42"/>
    </row>
    <row r="5" spans="1:27" x14ac:dyDescent="0.25">
      <c r="A5" s="3" t="s">
        <v>23</v>
      </c>
      <c r="B5" s="8">
        <f>924884655.67+1016647498.94+869058215.2+675132810.38</f>
        <v>3485723180.1900005</v>
      </c>
      <c r="C5" s="11"/>
      <c r="D5" s="14"/>
      <c r="E5" s="11"/>
      <c r="F5" s="14" t="s">
        <v>30</v>
      </c>
      <c r="G5" s="11"/>
      <c r="H5" s="33"/>
      <c r="I5" s="11"/>
      <c r="J5" s="11">
        <v>0</v>
      </c>
      <c r="K5" s="11">
        <v>0</v>
      </c>
      <c r="L5" s="10"/>
      <c r="M5" s="10"/>
      <c r="N5" s="4" t="s">
        <v>30</v>
      </c>
      <c r="O5" s="4" t="s">
        <v>30</v>
      </c>
      <c r="P5" s="4"/>
      <c r="Q5" s="4" t="s">
        <v>30</v>
      </c>
      <c r="R5" s="4"/>
      <c r="S5" s="3"/>
      <c r="T5" s="3"/>
      <c r="U5" s="10" t="s">
        <v>30</v>
      </c>
      <c r="V5" s="4"/>
      <c r="W5" s="10"/>
      <c r="X5" s="8"/>
      <c r="Y5" s="8"/>
      <c r="Z5" s="8"/>
      <c r="AA5" s="42"/>
    </row>
    <row r="6" spans="1:27" x14ac:dyDescent="0.25">
      <c r="A6" s="3" t="s">
        <v>24</v>
      </c>
      <c r="B6" s="8">
        <f>1387995132.24+1641708080.44+1600678858.94+2222251072.34</f>
        <v>6852633143.960001</v>
      </c>
      <c r="C6" s="11"/>
      <c r="D6" s="14"/>
      <c r="E6" s="11"/>
      <c r="F6" s="14" t="s">
        <v>30</v>
      </c>
      <c r="G6" s="11"/>
      <c r="H6" s="33"/>
      <c r="I6" s="11"/>
      <c r="J6" s="11">
        <v>0</v>
      </c>
      <c r="K6" s="11">
        <v>0</v>
      </c>
      <c r="L6" s="10"/>
      <c r="M6" s="10"/>
      <c r="N6" s="4" t="s">
        <v>30</v>
      </c>
      <c r="O6" s="4" t="s">
        <v>30</v>
      </c>
      <c r="P6" s="4"/>
      <c r="Q6" s="4" t="s">
        <v>30</v>
      </c>
      <c r="R6" s="4"/>
      <c r="S6" s="3"/>
      <c r="T6" s="3"/>
      <c r="U6" s="10">
        <v>145736920.91999999</v>
      </c>
      <c r="V6" s="4"/>
      <c r="W6" s="10"/>
      <c r="X6" s="8"/>
      <c r="Y6" s="8"/>
      <c r="Z6" s="8"/>
      <c r="AA6" s="42"/>
    </row>
    <row r="7" spans="1:27" x14ac:dyDescent="0.25">
      <c r="A7" s="3" t="s">
        <v>25</v>
      </c>
      <c r="B7" s="16">
        <f>3566129850.43+4601697373.29</f>
        <v>8167827223.7199993</v>
      </c>
      <c r="C7" s="11">
        <v>75438402.239999995</v>
      </c>
      <c r="D7" s="14" t="s">
        <v>30</v>
      </c>
      <c r="E7" s="11">
        <v>0</v>
      </c>
      <c r="F7" s="14" t="s">
        <v>30</v>
      </c>
      <c r="G7" s="11">
        <v>1560227.76</v>
      </c>
      <c r="H7" s="33">
        <v>51960509.950000003</v>
      </c>
      <c r="I7" s="11">
        <v>0</v>
      </c>
      <c r="J7" s="11">
        <v>0</v>
      </c>
      <c r="K7" s="11">
        <v>0</v>
      </c>
      <c r="L7" s="10">
        <v>40127980.640000001</v>
      </c>
      <c r="M7" s="10"/>
      <c r="N7" s="4" t="s">
        <v>30</v>
      </c>
      <c r="O7" s="4" t="s">
        <v>30</v>
      </c>
      <c r="P7" s="4" t="s">
        <v>33</v>
      </c>
      <c r="Q7" s="4" t="s">
        <v>30</v>
      </c>
      <c r="R7" s="4"/>
      <c r="S7" s="3"/>
      <c r="T7" s="3"/>
      <c r="U7" s="10">
        <v>54414442.189999998</v>
      </c>
      <c r="V7" s="4" t="s">
        <v>33</v>
      </c>
      <c r="W7" s="10">
        <v>1416470.11</v>
      </c>
      <c r="X7" s="8">
        <v>101440457.84</v>
      </c>
      <c r="Y7" s="8">
        <v>192545606.56</v>
      </c>
      <c r="Z7" s="8">
        <v>56364533.009999998</v>
      </c>
      <c r="AA7" s="42"/>
    </row>
    <row r="8" spans="1:27" x14ac:dyDescent="0.25">
      <c r="A8" s="3" t="s">
        <v>26</v>
      </c>
      <c r="B8" s="8">
        <f>4418394021.66+6853216728.42</f>
        <v>11271610750.08</v>
      </c>
      <c r="C8" s="11">
        <v>71350178.260000005</v>
      </c>
      <c r="D8" s="14" t="s">
        <v>30</v>
      </c>
      <c r="E8" s="11">
        <v>0</v>
      </c>
      <c r="F8" s="14" t="s">
        <v>30</v>
      </c>
      <c r="G8" s="11">
        <v>17472000</v>
      </c>
      <c r="H8" s="11">
        <v>68790483.840000004</v>
      </c>
      <c r="I8" s="11">
        <v>0</v>
      </c>
      <c r="J8" s="11">
        <v>0</v>
      </c>
      <c r="K8" s="11">
        <v>12114316.380000001</v>
      </c>
      <c r="L8" s="10">
        <v>0</v>
      </c>
      <c r="M8" s="10">
        <v>0</v>
      </c>
      <c r="N8" s="4" t="s">
        <v>30</v>
      </c>
      <c r="O8" s="4" t="s">
        <v>30</v>
      </c>
      <c r="P8" s="4"/>
      <c r="Q8" s="4" t="s">
        <v>30</v>
      </c>
      <c r="R8" s="4"/>
      <c r="S8" s="3"/>
      <c r="T8" s="3"/>
      <c r="U8" s="10">
        <v>53568357.57</v>
      </c>
      <c r="V8" s="4" t="s">
        <v>30</v>
      </c>
      <c r="W8" s="10">
        <v>8039674.8799999999</v>
      </c>
      <c r="X8" s="13">
        <v>112601026.76000001</v>
      </c>
      <c r="Y8" s="8">
        <v>72650712.439999998</v>
      </c>
      <c r="Z8" s="8">
        <v>217001392.52000001</v>
      </c>
      <c r="AA8" s="42"/>
    </row>
    <row r="9" spans="1:27" x14ac:dyDescent="0.25">
      <c r="A9" s="3" t="s">
        <v>27</v>
      </c>
      <c r="B9" s="8">
        <f>10776034136.65+17014664482.27</f>
        <v>27790698618.919998</v>
      </c>
      <c r="C9" s="10">
        <v>243214624.38</v>
      </c>
      <c r="D9" s="4" t="s">
        <v>30</v>
      </c>
      <c r="E9" s="10">
        <v>0</v>
      </c>
      <c r="F9" s="4" t="s">
        <v>30</v>
      </c>
      <c r="G9" s="11">
        <v>0</v>
      </c>
      <c r="H9" s="10">
        <v>83577944.390000001</v>
      </c>
      <c r="I9" s="10"/>
      <c r="J9" s="10">
        <v>0</v>
      </c>
      <c r="K9" s="10">
        <v>5969576.6200000001</v>
      </c>
      <c r="L9" s="10">
        <v>0</v>
      </c>
      <c r="M9" s="10">
        <v>0</v>
      </c>
      <c r="N9" s="4" t="s">
        <v>30</v>
      </c>
      <c r="O9" s="4" t="s">
        <v>30</v>
      </c>
      <c r="P9" s="4"/>
      <c r="Q9" s="4" t="s">
        <v>30</v>
      </c>
      <c r="R9" s="4"/>
      <c r="S9" s="3"/>
      <c r="T9" s="4" t="s">
        <v>30</v>
      </c>
      <c r="U9" s="10">
        <v>77449177.760000005</v>
      </c>
      <c r="V9" s="4" t="s">
        <v>30</v>
      </c>
      <c r="W9" s="10">
        <v>1350974976.21</v>
      </c>
      <c r="X9" s="8">
        <v>77429353.790000007</v>
      </c>
      <c r="Y9" s="8">
        <v>5460618.1900000004</v>
      </c>
      <c r="Z9" s="8">
        <v>6827060.0300000003</v>
      </c>
      <c r="AA9" s="42"/>
    </row>
    <row r="10" spans="1:27" x14ac:dyDescent="0.25">
      <c r="A10" s="3" t="s">
        <v>28</v>
      </c>
      <c r="B10" s="8">
        <f>20779635388.86+26218975183.41</f>
        <v>46998610572.270004</v>
      </c>
      <c r="C10" s="10">
        <v>667084562.57000005</v>
      </c>
      <c r="D10" s="4" t="s">
        <v>30</v>
      </c>
      <c r="E10" s="10">
        <v>0</v>
      </c>
      <c r="F10" s="4" t="s">
        <v>30</v>
      </c>
      <c r="G10" s="13">
        <v>204170185.53</v>
      </c>
      <c r="H10" s="10">
        <v>263412886.38999999</v>
      </c>
      <c r="I10" s="10">
        <v>2677499.98</v>
      </c>
      <c r="J10" s="10">
        <v>969484705.73000002</v>
      </c>
      <c r="K10" s="10">
        <v>11615277.6</v>
      </c>
      <c r="L10" s="10">
        <v>0</v>
      </c>
      <c r="M10" s="10">
        <v>0</v>
      </c>
      <c r="N10" s="4" t="s">
        <v>30</v>
      </c>
      <c r="O10" s="4" t="s">
        <v>30</v>
      </c>
      <c r="P10" s="4"/>
      <c r="Q10" s="4" t="s">
        <v>30</v>
      </c>
      <c r="R10" s="30"/>
      <c r="S10" s="3"/>
      <c r="T10" s="3"/>
      <c r="U10" s="10">
        <v>185952480.94</v>
      </c>
      <c r="V10" s="4" t="s">
        <v>30</v>
      </c>
      <c r="W10" s="10">
        <v>5472876.7000000002</v>
      </c>
      <c r="X10" s="8">
        <v>229568330.83000001</v>
      </c>
      <c r="Y10" s="8">
        <v>184933406.80000001</v>
      </c>
      <c r="Z10" s="8">
        <v>395740620.77999997</v>
      </c>
      <c r="AA10" s="42"/>
    </row>
    <row r="11" spans="1:27" x14ac:dyDescent="0.25">
      <c r="A11" s="3" t="s">
        <v>17</v>
      </c>
      <c r="B11" s="8">
        <f>24232639594.15+31654512281.79</f>
        <v>55887151875.940002</v>
      </c>
      <c r="C11" s="10">
        <v>0</v>
      </c>
      <c r="D11" s="4" t="s">
        <v>30</v>
      </c>
      <c r="E11" s="10">
        <v>77848505.090000004</v>
      </c>
      <c r="F11" s="4" t="s">
        <v>30</v>
      </c>
      <c r="G11" s="13">
        <v>2724733375.5599999</v>
      </c>
      <c r="H11" s="10">
        <v>647530793.57000005</v>
      </c>
      <c r="I11" s="10">
        <v>0</v>
      </c>
      <c r="J11" s="10">
        <v>504516147.76999998</v>
      </c>
      <c r="K11" s="10">
        <v>5688450.3600000003</v>
      </c>
      <c r="L11" s="10">
        <v>0</v>
      </c>
      <c r="M11" s="10">
        <v>0</v>
      </c>
      <c r="N11" s="4" t="s">
        <v>30</v>
      </c>
      <c r="O11" s="4" t="s">
        <v>30</v>
      </c>
      <c r="P11" s="4"/>
      <c r="Q11" s="4" t="s">
        <v>30</v>
      </c>
      <c r="R11" s="4"/>
      <c r="S11" s="3"/>
      <c r="T11" s="3"/>
      <c r="U11" s="10">
        <v>392071272.75</v>
      </c>
      <c r="V11" s="4" t="s">
        <v>30</v>
      </c>
      <c r="W11" s="10">
        <v>5012338.3499999996</v>
      </c>
      <c r="X11" s="8">
        <v>77574587.950000003</v>
      </c>
      <c r="Y11" s="8">
        <v>2345668797.9299998</v>
      </c>
      <c r="Z11" s="8">
        <v>15132548.550000001</v>
      </c>
      <c r="AA11" s="42"/>
    </row>
    <row r="12" spans="1:27" x14ac:dyDescent="0.25">
      <c r="A12" s="3" t="s">
        <v>18</v>
      </c>
      <c r="B12" s="8">
        <f>33479837986.7+30994164057.45</f>
        <v>64474002044.150002</v>
      </c>
      <c r="C12" s="10">
        <v>153631179.66999999</v>
      </c>
      <c r="D12" s="4" t="s">
        <v>30</v>
      </c>
      <c r="E12" s="10">
        <v>0</v>
      </c>
      <c r="F12" s="4" t="s">
        <v>30</v>
      </c>
      <c r="G12" s="7"/>
      <c r="H12" s="10">
        <v>465576948.31999999</v>
      </c>
      <c r="I12" s="10">
        <v>2156250</v>
      </c>
      <c r="J12" s="10">
        <v>651343502.66999996</v>
      </c>
      <c r="K12" s="10">
        <v>12621152.050000001</v>
      </c>
      <c r="L12" s="10">
        <v>0</v>
      </c>
      <c r="M12" s="10">
        <v>0</v>
      </c>
      <c r="N12" s="4"/>
      <c r="O12" s="4"/>
      <c r="P12" s="4"/>
      <c r="Q12" s="4"/>
      <c r="R12" s="4"/>
      <c r="S12" s="3"/>
      <c r="T12" s="3"/>
      <c r="U12" s="10">
        <v>528747531.85000002</v>
      </c>
      <c r="V12" s="4" t="s">
        <v>30</v>
      </c>
      <c r="W12" s="10">
        <v>841906.98</v>
      </c>
      <c r="X12" s="8">
        <v>93474566.200000003</v>
      </c>
      <c r="Y12" s="8">
        <v>9562302433.2199993</v>
      </c>
      <c r="Z12" s="8">
        <v>3864827.85</v>
      </c>
      <c r="AA12" s="42">
        <v>6264664.7699999996</v>
      </c>
    </row>
    <row r="13" spans="1:27" s="15" customFormat="1" x14ac:dyDescent="0.25">
      <c r="A13" s="3" t="s">
        <v>19</v>
      </c>
      <c r="B13" s="13">
        <f>35691096415.6+39531673749.27</f>
        <v>75222770164.869995</v>
      </c>
      <c r="C13" s="13">
        <v>471265510.42000002</v>
      </c>
      <c r="D13" s="14" t="s">
        <v>30</v>
      </c>
      <c r="E13" s="11">
        <v>0</v>
      </c>
      <c r="F13" s="14" t="s">
        <v>30</v>
      </c>
      <c r="G13" s="7"/>
      <c r="H13" s="11">
        <v>342719527.06</v>
      </c>
      <c r="I13" s="13">
        <v>896250</v>
      </c>
      <c r="J13" s="13">
        <v>666852604.72000003</v>
      </c>
      <c r="K13" s="13">
        <v>28451497.969999999</v>
      </c>
      <c r="L13" s="10">
        <v>0</v>
      </c>
      <c r="M13" s="10">
        <v>0</v>
      </c>
      <c r="N13" s="14"/>
      <c r="O13" s="14"/>
      <c r="P13" s="14"/>
      <c r="Q13" s="14"/>
      <c r="R13" s="14"/>
      <c r="S13" s="12"/>
      <c r="T13" s="12"/>
      <c r="U13" s="11">
        <v>587390395.62</v>
      </c>
      <c r="V13" s="14" t="s">
        <v>30</v>
      </c>
      <c r="W13" s="11">
        <v>667159209.44000006</v>
      </c>
      <c r="X13" s="13">
        <v>93455281.200000003</v>
      </c>
      <c r="Y13" s="13">
        <v>18558425870.84</v>
      </c>
      <c r="Z13" s="13">
        <v>3845157.15</v>
      </c>
      <c r="AA13" s="43">
        <v>37866051.780000001</v>
      </c>
    </row>
    <row r="14" spans="1:27" s="25" customFormat="1" x14ac:dyDescent="0.25">
      <c r="A14" s="21" t="s">
        <v>34</v>
      </c>
      <c r="B14" s="41">
        <f>SUM(B2:B13)</f>
        <v>311630372611.42999</v>
      </c>
      <c r="C14" s="44">
        <f>+C13</f>
        <v>471265510.42000002</v>
      </c>
      <c r="D14" s="24"/>
      <c r="E14" s="23"/>
      <c r="F14" s="24"/>
      <c r="G14" s="41">
        <v>138148360111.63</v>
      </c>
      <c r="H14" s="44">
        <v>342719527.06</v>
      </c>
      <c r="I14" s="44">
        <v>896250</v>
      </c>
      <c r="J14" s="44">
        <f>SUM(J2:J13)</f>
        <v>2792196960.8900003</v>
      </c>
      <c r="K14" s="44">
        <f>SUM(K2:K13)</f>
        <v>76460270.980000004</v>
      </c>
      <c r="L14" s="23">
        <v>0</v>
      </c>
      <c r="M14" s="23">
        <f>SUM(M2:M13)</f>
        <v>0</v>
      </c>
      <c r="N14" s="24"/>
      <c r="O14" s="24"/>
      <c r="P14" s="24"/>
      <c r="Q14" s="24"/>
      <c r="R14" s="24"/>
      <c r="S14" s="21"/>
      <c r="T14" s="21"/>
      <c r="U14" s="44">
        <f>SUM(U2:U13)</f>
        <v>2025330579.5999999</v>
      </c>
      <c r="V14" s="24"/>
      <c r="W14" s="23"/>
      <c r="X14" s="22"/>
      <c r="Y14" s="22"/>
      <c r="Z14" s="22"/>
      <c r="AA14" s="21"/>
    </row>
    <row r="16" spans="1:27" ht="30" x14ac:dyDescent="0.25">
      <c r="A16" s="2" t="s">
        <v>71</v>
      </c>
      <c r="B16" s="2" t="s">
        <v>0</v>
      </c>
      <c r="C16" s="19" t="s">
        <v>3</v>
      </c>
      <c r="D16" s="2" t="s">
        <v>1</v>
      </c>
      <c r="E16" s="2" t="s">
        <v>4</v>
      </c>
      <c r="F16" s="2" t="s">
        <v>10</v>
      </c>
      <c r="G16" s="2" t="s">
        <v>2</v>
      </c>
      <c r="H16" s="2" t="s">
        <v>5</v>
      </c>
      <c r="I16" s="2" t="s">
        <v>6</v>
      </c>
      <c r="J16" s="2" t="s">
        <v>70</v>
      </c>
      <c r="K16" s="2" t="s">
        <v>42</v>
      </c>
      <c r="L16" s="2" t="s">
        <v>809</v>
      </c>
      <c r="M16" s="2" t="s">
        <v>41</v>
      </c>
      <c r="N16" s="2" t="s">
        <v>11</v>
      </c>
      <c r="O16" s="2" t="s">
        <v>12</v>
      </c>
      <c r="P16" s="2" t="s">
        <v>35</v>
      </c>
      <c r="Q16" s="2" t="s">
        <v>13</v>
      </c>
      <c r="R16" s="2" t="s">
        <v>14</v>
      </c>
      <c r="S16" s="2" t="s">
        <v>15</v>
      </c>
      <c r="T16" s="2" t="s">
        <v>61</v>
      </c>
      <c r="U16" s="2" t="s">
        <v>68</v>
      </c>
      <c r="V16" s="2" t="s">
        <v>45</v>
      </c>
      <c r="W16" s="2" t="s">
        <v>58</v>
      </c>
      <c r="X16" s="2" t="s">
        <v>57</v>
      </c>
      <c r="Y16" s="2" t="s">
        <v>59</v>
      </c>
      <c r="Z16" s="2" t="s">
        <v>60</v>
      </c>
      <c r="AA16" s="2" t="s">
        <v>69</v>
      </c>
    </row>
    <row r="17" spans="1:27" x14ac:dyDescent="0.25">
      <c r="A17" s="3" t="s">
        <v>20</v>
      </c>
      <c r="B17" s="8">
        <f>38248653663.44+45145861608.5</f>
        <v>83394515271.940002</v>
      </c>
      <c r="C17" s="10">
        <v>667443982.00999999</v>
      </c>
      <c r="D17" s="4" t="s">
        <v>30</v>
      </c>
      <c r="E17" s="10">
        <v>0</v>
      </c>
      <c r="F17" s="4" t="s">
        <v>30</v>
      </c>
      <c r="G17" s="11">
        <v>40441013438.199997</v>
      </c>
      <c r="H17" s="33">
        <v>363860857.05000001</v>
      </c>
      <c r="I17" s="10">
        <v>849999.96</v>
      </c>
      <c r="J17" s="10">
        <f>395316737.49+382486536.63</f>
        <v>777803274.12</v>
      </c>
      <c r="K17" s="20">
        <v>20235410.559999999</v>
      </c>
      <c r="L17" s="10" t="s">
        <v>33</v>
      </c>
      <c r="M17" s="10"/>
      <c r="N17" s="4" t="s">
        <v>30</v>
      </c>
      <c r="O17" s="4" t="s">
        <v>30</v>
      </c>
      <c r="P17" s="4" t="s">
        <v>30</v>
      </c>
      <c r="Q17" s="4"/>
      <c r="R17" s="4"/>
      <c r="S17" s="3"/>
      <c r="T17" s="3"/>
      <c r="U17" s="10">
        <v>685317047.58000004</v>
      </c>
      <c r="V17" s="4"/>
      <c r="W17" s="10">
        <v>103611116.06</v>
      </c>
      <c r="X17" s="10">
        <v>689172049.13</v>
      </c>
      <c r="Y17" s="10">
        <v>24839046828.23</v>
      </c>
      <c r="Z17" s="8">
        <v>154361430</v>
      </c>
      <c r="AA17" s="42">
        <v>73964543</v>
      </c>
    </row>
    <row r="18" spans="1:27" x14ac:dyDescent="0.25">
      <c r="A18" s="3" t="s">
        <v>21</v>
      </c>
      <c r="B18" s="8">
        <f>66028064634.1+52899235175.5</f>
        <v>118927299809.60001</v>
      </c>
      <c r="C18" s="11">
        <v>771902507.42999995</v>
      </c>
      <c r="D18" s="4" t="s">
        <v>30</v>
      </c>
      <c r="E18" s="10">
        <v>0</v>
      </c>
      <c r="F18" s="4" t="s">
        <v>30</v>
      </c>
      <c r="G18" s="11"/>
      <c r="H18" s="33">
        <v>690275046.98000002</v>
      </c>
      <c r="I18" s="10">
        <v>0</v>
      </c>
      <c r="J18" s="10">
        <f>451458616.08+528992351.75</f>
        <v>980450967.82999992</v>
      </c>
      <c r="K18" s="11">
        <v>32022949.989999998</v>
      </c>
      <c r="L18" s="10" t="s">
        <v>33</v>
      </c>
      <c r="M18" s="10"/>
      <c r="N18" s="4" t="s">
        <v>30</v>
      </c>
      <c r="O18" s="4" t="s">
        <v>30</v>
      </c>
      <c r="P18" s="4" t="s">
        <v>30</v>
      </c>
      <c r="Q18" s="4"/>
      <c r="R18" s="4"/>
      <c r="S18" s="3"/>
      <c r="T18" s="3"/>
      <c r="U18" s="10">
        <v>757388987.69000006</v>
      </c>
      <c r="V18" s="4"/>
      <c r="W18" s="10"/>
      <c r="X18" s="8"/>
      <c r="Y18" s="8"/>
      <c r="Z18" s="8"/>
      <c r="AA18" s="42"/>
    </row>
    <row r="19" spans="1:27" x14ac:dyDescent="0.25">
      <c r="A19" s="3" t="s">
        <v>22</v>
      </c>
      <c r="B19" s="8">
        <f>74146807943.65+95569508649.95</f>
        <v>169716316593.59998</v>
      </c>
      <c r="C19" s="11">
        <v>469124205.06</v>
      </c>
      <c r="D19" s="4" t="s">
        <v>30</v>
      </c>
      <c r="E19" s="10">
        <v>0</v>
      </c>
      <c r="F19" s="4" t="s">
        <v>30</v>
      </c>
      <c r="G19" s="11"/>
      <c r="H19" s="33">
        <v>1082810167.52</v>
      </c>
      <c r="I19" s="11">
        <v>1699999.92</v>
      </c>
      <c r="J19" s="11">
        <f>660280646.34+741468079.43</f>
        <v>1401748725.77</v>
      </c>
      <c r="K19" s="11">
        <v>42150280.149999999</v>
      </c>
      <c r="L19" s="10" t="s">
        <v>33</v>
      </c>
      <c r="M19" s="10"/>
      <c r="N19" s="4" t="s">
        <v>30</v>
      </c>
      <c r="O19" s="4" t="s">
        <v>30</v>
      </c>
      <c r="P19" s="4" t="s">
        <v>30</v>
      </c>
      <c r="Q19" s="4"/>
      <c r="R19" s="4"/>
      <c r="S19" s="3"/>
      <c r="T19" s="3"/>
      <c r="U19" s="10">
        <v>1080097736.8599999</v>
      </c>
      <c r="V19" s="4"/>
      <c r="W19" s="10"/>
      <c r="X19" s="8"/>
      <c r="Y19" s="8"/>
      <c r="Z19" s="8"/>
      <c r="AA19" s="42"/>
    </row>
    <row r="20" spans="1:27" x14ac:dyDescent="0.25">
      <c r="A20" s="3" t="s">
        <v>23</v>
      </c>
      <c r="B20" s="8">
        <f>105632704957.95+126835908236.66</f>
        <v>232468613194.60999</v>
      </c>
      <c r="C20" s="11">
        <v>605832046.73000002</v>
      </c>
      <c r="D20" s="4" t="s">
        <v>30</v>
      </c>
      <c r="E20" s="10">
        <v>0</v>
      </c>
      <c r="F20" s="4" t="s">
        <v>30</v>
      </c>
      <c r="G20" s="11"/>
      <c r="H20" s="33">
        <v>1639779810.6700001</v>
      </c>
      <c r="I20" s="11">
        <v>849999.96</v>
      </c>
      <c r="J20" s="11">
        <f>955695086.49+1056327049.57</f>
        <v>2012022136.0599999</v>
      </c>
      <c r="K20" s="11">
        <v>17606171.170000002</v>
      </c>
      <c r="L20" s="10" t="s">
        <v>33</v>
      </c>
      <c r="M20" s="10"/>
      <c r="N20" s="4" t="s">
        <v>30</v>
      </c>
      <c r="O20" s="4" t="s">
        <v>30</v>
      </c>
      <c r="P20" s="4" t="s">
        <v>30</v>
      </c>
      <c r="Q20" s="4"/>
      <c r="R20" s="4"/>
      <c r="S20" s="3"/>
      <c r="T20" s="3"/>
      <c r="U20" s="10">
        <v>1541363587.3</v>
      </c>
      <c r="V20" s="4"/>
      <c r="W20" s="10"/>
      <c r="X20" s="8"/>
      <c r="Y20" s="8"/>
      <c r="Z20" s="8"/>
      <c r="AA20" s="42"/>
    </row>
    <row r="21" spans="1:27" x14ac:dyDescent="0.25">
      <c r="A21" s="3" t="s">
        <v>24</v>
      </c>
      <c r="B21" s="8">
        <f>132119136543.08+143395013534.08</f>
        <v>275514150077.15997</v>
      </c>
      <c r="C21" s="11">
        <v>562027807.46000004</v>
      </c>
      <c r="D21" s="4" t="s">
        <v>30</v>
      </c>
      <c r="E21" s="10">
        <v>0</v>
      </c>
      <c r="F21" s="4" t="s">
        <v>30</v>
      </c>
      <c r="G21" s="11"/>
      <c r="H21" s="33">
        <v>1554140330.4300001</v>
      </c>
      <c r="I21" s="11">
        <v>849999.96</v>
      </c>
      <c r="J21" s="11">
        <f>1268359082.36+1321191365.43</f>
        <v>2589550447.79</v>
      </c>
      <c r="K21" s="11">
        <v>28932370.670000002</v>
      </c>
      <c r="L21" s="10" t="s">
        <v>33</v>
      </c>
      <c r="M21" s="10"/>
      <c r="N21" s="4" t="s">
        <v>30</v>
      </c>
      <c r="O21" s="4" t="s">
        <v>30</v>
      </c>
      <c r="P21" s="4" t="s">
        <v>30</v>
      </c>
      <c r="Q21" s="4"/>
      <c r="R21" s="4"/>
      <c r="S21" s="3"/>
      <c r="T21" s="3"/>
      <c r="U21" s="10">
        <v>2111279945.02</v>
      </c>
      <c r="V21" s="4"/>
      <c r="W21" s="10"/>
      <c r="X21" s="8"/>
      <c r="Y21" s="8"/>
      <c r="Z21" s="8"/>
      <c r="AA21" s="42"/>
    </row>
    <row r="22" spans="1:27" x14ac:dyDescent="0.25">
      <c r="A22" s="3" t="s">
        <v>25</v>
      </c>
      <c r="B22" s="8">
        <f>113875289685.7+148242451762.8</f>
        <v>262117741448.5</v>
      </c>
      <c r="C22" s="11">
        <v>0</v>
      </c>
      <c r="D22" s="4" t="s">
        <v>30</v>
      </c>
      <c r="E22" s="10">
        <v>339088920.80000001</v>
      </c>
      <c r="F22" s="4" t="s">
        <v>30</v>
      </c>
      <c r="G22" s="11"/>
      <c r="H22" s="33">
        <v>2407893111.0300002</v>
      </c>
      <c r="I22" s="11">
        <v>10240000</v>
      </c>
      <c r="J22" s="11">
        <f>1433950135.34+1138752896.85</f>
        <v>2572703032.1899996</v>
      </c>
      <c r="K22" s="11">
        <v>35490000</v>
      </c>
      <c r="L22" s="10" t="s">
        <v>33</v>
      </c>
      <c r="M22" s="10"/>
      <c r="N22" s="4" t="s">
        <v>30</v>
      </c>
      <c r="O22" s="4" t="s">
        <v>30</v>
      </c>
      <c r="P22" s="4" t="s">
        <v>30</v>
      </c>
      <c r="Q22" s="4"/>
      <c r="R22" s="4"/>
      <c r="S22" s="3"/>
      <c r="T22" s="3"/>
      <c r="U22" s="10">
        <v>2502219510.9899998</v>
      </c>
      <c r="V22" s="4"/>
      <c r="W22" s="10"/>
      <c r="X22" s="8"/>
      <c r="Y22" s="8"/>
      <c r="Z22" s="8"/>
      <c r="AA22" s="42"/>
    </row>
    <row r="23" spans="1:27" s="60" customFormat="1" x14ac:dyDescent="0.25">
      <c r="A23" s="55" t="s">
        <v>773</v>
      </c>
      <c r="B23" s="56">
        <f>SUM(B17:B22)</f>
        <v>1142138636395.4099</v>
      </c>
      <c r="C23" s="38">
        <v>0</v>
      </c>
      <c r="D23" s="57" t="s">
        <v>30</v>
      </c>
      <c r="E23" s="38">
        <v>339088920.80000001</v>
      </c>
      <c r="F23" s="57" t="s">
        <v>30</v>
      </c>
      <c r="G23" s="38"/>
      <c r="H23" s="58">
        <v>2407893111.0300002</v>
      </c>
      <c r="I23" s="38">
        <v>10240000</v>
      </c>
      <c r="J23" s="38">
        <f>SUM(J17:J22)</f>
        <v>10334278583.759998</v>
      </c>
      <c r="K23" s="38">
        <f>SUM(K17:K22)</f>
        <v>176437182.53999999</v>
      </c>
      <c r="L23" s="38"/>
      <c r="M23" s="38"/>
      <c r="N23" s="57"/>
      <c r="O23" s="57"/>
      <c r="P23" s="57"/>
      <c r="Q23" s="57"/>
      <c r="R23" s="57"/>
      <c r="S23" s="55"/>
      <c r="T23" s="55"/>
      <c r="U23" s="38">
        <f>SUM(U17:U22)</f>
        <v>8677666815.4400005</v>
      </c>
      <c r="V23" s="57"/>
      <c r="W23" s="38"/>
      <c r="X23" s="56"/>
      <c r="Y23" s="56"/>
      <c r="Z23" s="56"/>
      <c r="AA23" s="59"/>
    </row>
    <row r="24" spans="1:27" s="60" customFormat="1" x14ac:dyDescent="0.25">
      <c r="A24" s="55" t="s">
        <v>774</v>
      </c>
      <c r="B24" s="56">
        <f>+B23/1000000</f>
        <v>1142138.6363954099</v>
      </c>
      <c r="C24" s="38">
        <v>0</v>
      </c>
      <c r="D24" s="57" t="s">
        <v>30</v>
      </c>
      <c r="E24" s="38">
        <f>+E23/1000000</f>
        <v>339.08892080000004</v>
      </c>
      <c r="F24" s="57" t="s">
        <v>30</v>
      </c>
      <c r="G24" s="38"/>
      <c r="H24" s="58">
        <f>+H23/1000000</f>
        <v>2407.89311103</v>
      </c>
      <c r="I24" s="38">
        <v>10.24</v>
      </c>
      <c r="J24" s="38">
        <f>+J23/1000000</f>
        <v>10334.278583759999</v>
      </c>
      <c r="K24" s="38">
        <f>+K23/1000000</f>
        <v>176.43718253999998</v>
      </c>
      <c r="L24" s="38"/>
      <c r="M24" s="38"/>
      <c r="N24" s="57"/>
      <c r="O24" s="57"/>
      <c r="P24" s="57"/>
      <c r="Q24" s="57"/>
      <c r="R24" s="57"/>
      <c r="S24" s="55"/>
      <c r="T24" s="55"/>
      <c r="U24" s="38">
        <f>+U23/1000000</f>
        <v>8677.6668154400013</v>
      </c>
      <c r="V24" s="57"/>
      <c r="W24" s="38"/>
      <c r="X24" s="56"/>
      <c r="Y24" s="56"/>
      <c r="Z24" s="56"/>
      <c r="AA24" s="59"/>
    </row>
    <row r="25" spans="1:27" x14ac:dyDescent="0.25">
      <c r="A25" s="3" t="s">
        <v>26</v>
      </c>
      <c r="B25" s="8">
        <f>141305.21+161939.67</f>
        <v>303244.88</v>
      </c>
      <c r="C25" s="11">
        <v>1916.74</v>
      </c>
      <c r="D25" s="14" t="s">
        <v>30</v>
      </c>
      <c r="E25" s="11">
        <v>0</v>
      </c>
      <c r="F25" s="14" t="s">
        <v>30</v>
      </c>
      <c r="G25" s="11"/>
      <c r="H25" s="11">
        <v>1546.04</v>
      </c>
      <c r="I25" s="11">
        <v>21.4</v>
      </c>
      <c r="J25" s="11">
        <f>1482.42+1413.05</f>
        <v>2895.4700000000003</v>
      </c>
      <c r="K25" s="11">
        <v>38.799999999999997</v>
      </c>
      <c r="L25" s="10" t="s">
        <v>33</v>
      </c>
      <c r="M25" s="10"/>
      <c r="N25" s="4" t="s">
        <v>30</v>
      </c>
      <c r="O25" s="4" t="s">
        <v>30</v>
      </c>
      <c r="P25" s="4" t="s">
        <v>30</v>
      </c>
      <c r="Q25" s="4"/>
      <c r="R25" s="4"/>
      <c r="S25" s="3"/>
      <c r="T25" s="3"/>
      <c r="U25" s="10">
        <v>2380.56</v>
      </c>
      <c r="V25" s="4"/>
      <c r="W25" s="10"/>
      <c r="X25" s="13"/>
      <c r="Y25" s="8"/>
      <c r="Z25" s="8"/>
      <c r="AA25" s="42"/>
    </row>
    <row r="26" spans="1:27" x14ac:dyDescent="0.25">
      <c r="A26" s="3" t="s">
        <v>27</v>
      </c>
      <c r="B26" s="8">
        <v>328324.59999999998</v>
      </c>
      <c r="C26" s="10">
        <v>0</v>
      </c>
      <c r="D26" s="4" t="s">
        <v>30</v>
      </c>
      <c r="E26" s="10">
        <v>286.55</v>
      </c>
      <c r="F26" s="4" t="s">
        <v>30</v>
      </c>
      <c r="G26" s="11"/>
      <c r="H26" s="10">
        <v>2572.8000000000002</v>
      </c>
      <c r="I26" s="10">
        <v>6.3</v>
      </c>
      <c r="J26" s="10">
        <f>1619.39+1596.43</f>
        <v>3215.82</v>
      </c>
      <c r="K26" s="10">
        <v>72.58</v>
      </c>
      <c r="L26" s="10" t="s">
        <v>33</v>
      </c>
      <c r="M26" s="10"/>
      <c r="N26" s="4" t="s">
        <v>30</v>
      </c>
      <c r="O26" s="4" t="s">
        <v>30</v>
      </c>
      <c r="P26" s="4" t="s">
        <v>30</v>
      </c>
      <c r="Q26" s="4"/>
      <c r="R26" s="4"/>
      <c r="S26" s="3"/>
      <c r="T26" s="4"/>
      <c r="U26" s="10">
        <v>2754.07</v>
      </c>
      <c r="V26" s="4"/>
      <c r="W26" s="10"/>
      <c r="X26" s="8"/>
      <c r="Y26" s="8"/>
      <c r="Z26" s="8"/>
      <c r="AA26" s="42"/>
    </row>
    <row r="27" spans="1:27" x14ac:dyDescent="0.25">
      <c r="A27" s="3" t="s">
        <v>28</v>
      </c>
      <c r="B27" s="8">
        <v>461705.61</v>
      </c>
      <c r="C27" s="10">
        <v>4020.32</v>
      </c>
      <c r="D27" s="4" t="s">
        <v>30</v>
      </c>
      <c r="E27" s="10">
        <v>0</v>
      </c>
      <c r="F27" s="4" t="s">
        <v>30</v>
      </c>
      <c r="G27" s="13"/>
      <c r="H27" s="10">
        <v>1448.6</v>
      </c>
      <c r="I27" s="10">
        <v>0</v>
      </c>
      <c r="J27" s="10">
        <f>1686.81+1862.28</f>
        <v>3549.09</v>
      </c>
      <c r="K27" s="10">
        <v>58.24</v>
      </c>
      <c r="L27" s="10" t="s">
        <v>33</v>
      </c>
      <c r="M27" s="10"/>
      <c r="N27" s="4" t="s">
        <v>30</v>
      </c>
      <c r="O27" s="4" t="s">
        <v>30</v>
      </c>
      <c r="P27" s="4" t="s">
        <v>30</v>
      </c>
      <c r="Q27" s="4"/>
      <c r="R27" s="30"/>
      <c r="S27" s="3"/>
      <c r="T27" s="3"/>
      <c r="U27" s="10">
        <v>2981.84</v>
      </c>
      <c r="V27" s="4"/>
      <c r="W27" s="10"/>
      <c r="X27" s="8"/>
      <c r="Y27" s="8"/>
      <c r="Z27" s="8"/>
      <c r="AA27" s="42"/>
    </row>
    <row r="28" spans="1:27" x14ac:dyDescent="0.25">
      <c r="A28" s="3" t="s">
        <v>17</v>
      </c>
      <c r="B28" s="13">
        <f>198889.17+181667.33</f>
        <v>380556.5</v>
      </c>
      <c r="C28" s="11">
        <v>1601.02</v>
      </c>
      <c r="D28" s="14" t="s">
        <v>30</v>
      </c>
      <c r="E28" s="11">
        <v>0</v>
      </c>
      <c r="F28" s="14" t="s">
        <v>30</v>
      </c>
      <c r="G28" s="13"/>
      <c r="H28" s="11">
        <v>1448.59</v>
      </c>
      <c r="I28" s="11">
        <v>0</v>
      </c>
      <c r="J28" s="11">
        <f>2754.77+1988.89</f>
        <v>4743.66</v>
      </c>
      <c r="K28" s="11">
        <v>75.349999999999994</v>
      </c>
      <c r="L28" s="10" t="s">
        <v>33</v>
      </c>
      <c r="M28" s="11"/>
      <c r="N28" s="4" t="s">
        <v>30</v>
      </c>
      <c r="O28" s="4" t="s">
        <v>30</v>
      </c>
      <c r="P28" s="4" t="s">
        <v>30</v>
      </c>
      <c r="Q28" s="14"/>
      <c r="R28" s="14"/>
      <c r="S28" s="12"/>
      <c r="T28" s="12"/>
      <c r="U28" s="11">
        <v>4193.21</v>
      </c>
      <c r="V28" s="14"/>
      <c r="W28" s="11"/>
      <c r="X28" s="13"/>
      <c r="Y28" s="13"/>
      <c r="Z28" s="13"/>
      <c r="AA28" s="43"/>
    </row>
    <row r="29" spans="1:27" x14ac:dyDescent="0.25">
      <c r="A29" s="3" t="s">
        <v>18</v>
      </c>
      <c r="B29" s="13">
        <f>190581.41+175516.73</f>
        <v>366098.14</v>
      </c>
      <c r="C29" s="11">
        <v>1061.97</v>
      </c>
      <c r="D29" s="14" t="s">
        <v>30</v>
      </c>
      <c r="E29" s="11">
        <v>0</v>
      </c>
      <c r="F29" s="14" t="s">
        <v>30</v>
      </c>
      <c r="G29" s="13"/>
      <c r="H29" s="11">
        <v>1770.24</v>
      </c>
      <c r="I29" s="11">
        <v>0</v>
      </c>
      <c r="J29" s="11">
        <f>1816.67+1905.81</f>
        <v>3722.48</v>
      </c>
      <c r="K29" s="11">
        <v>60.61</v>
      </c>
      <c r="L29" s="10" t="s">
        <v>33</v>
      </c>
      <c r="M29" s="11"/>
      <c r="N29" s="4" t="s">
        <v>30</v>
      </c>
      <c r="O29" s="4" t="s">
        <v>30</v>
      </c>
      <c r="P29" s="4" t="s">
        <v>30</v>
      </c>
      <c r="Q29" s="14"/>
      <c r="R29" s="14"/>
      <c r="S29" s="12"/>
      <c r="T29" s="12"/>
      <c r="U29" s="11">
        <v>3638.12</v>
      </c>
      <c r="V29" s="14"/>
      <c r="W29" s="11"/>
      <c r="X29" s="13"/>
      <c r="Y29" s="13"/>
      <c r="Z29" s="13"/>
      <c r="AA29" s="43"/>
    </row>
    <row r="30" spans="1:27" x14ac:dyDescent="0.25">
      <c r="A30" s="3" t="s">
        <v>19</v>
      </c>
      <c r="B30" s="13">
        <f>204210.59+231718.13</f>
        <v>435928.72</v>
      </c>
      <c r="C30" s="11">
        <v>1286.9000000000001</v>
      </c>
      <c r="D30" s="14" t="s">
        <v>30</v>
      </c>
      <c r="E30" s="11">
        <v>0</v>
      </c>
      <c r="F30" s="14" t="s">
        <v>30</v>
      </c>
      <c r="G30" s="13"/>
      <c r="H30" s="11">
        <v>1724.38</v>
      </c>
      <c r="I30" s="11">
        <v>0</v>
      </c>
      <c r="J30" s="11">
        <f>1755.16+2042.1</f>
        <v>3797.26</v>
      </c>
      <c r="K30" s="11">
        <v>64.790000000000006</v>
      </c>
      <c r="L30" s="10" t="s">
        <v>33</v>
      </c>
      <c r="M30" s="11"/>
      <c r="N30" s="4" t="s">
        <v>30</v>
      </c>
      <c r="O30" s="4" t="s">
        <v>30</v>
      </c>
      <c r="P30" s="4" t="s">
        <v>30</v>
      </c>
      <c r="Q30" s="14"/>
      <c r="R30" s="14"/>
      <c r="S30" s="12"/>
      <c r="T30" s="12"/>
      <c r="U30" s="11">
        <v>3324.9</v>
      </c>
      <c r="V30" s="14"/>
      <c r="W30" s="11"/>
      <c r="X30" s="13"/>
      <c r="Y30" s="13"/>
      <c r="Z30" s="13"/>
      <c r="AA30" s="43"/>
    </row>
    <row r="31" spans="1:27" x14ac:dyDescent="0.25">
      <c r="A31" s="21" t="s">
        <v>34</v>
      </c>
      <c r="B31" s="45">
        <f>SUM(B24:B30)</f>
        <v>3417997.0863954099</v>
      </c>
      <c r="C31" s="46">
        <f>+C30</f>
        <v>1286.9000000000001</v>
      </c>
      <c r="D31" s="14" t="s">
        <v>30</v>
      </c>
      <c r="E31" s="11">
        <v>0</v>
      </c>
      <c r="F31" s="14" t="s">
        <v>30</v>
      </c>
      <c r="G31" s="45"/>
      <c r="H31" s="46">
        <f>+H30</f>
        <v>1724.38</v>
      </c>
      <c r="I31" s="46">
        <f>+I30</f>
        <v>0</v>
      </c>
      <c r="J31" s="46">
        <f>SUM(J24:J30)</f>
        <v>32258.058583760001</v>
      </c>
      <c r="K31" s="46">
        <f>SUM(K24:K30)</f>
        <v>546.80718253999999</v>
      </c>
      <c r="L31" s="46">
        <v>0</v>
      </c>
      <c r="M31" s="46">
        <f>SUM(M17:M30)</f>
        <v>0</v>
      </c>
      <c r="N31" s="47"/>
      <c r="O31" s="47"/>
      <c r="P31" s="47"/>
      <c r="Q31" s="47"/>
      <c r="R31" s="47"/>
      <c r="S31" s="48"/>
      <c r="T31" s="48"/>
      <c r="U31" s="46">
        <f>SUM(U24:U30)</f>
        <v>27950.36681544</v>
      </c>
      <c r="V31" s="47"/>
      <c r="W31" s="46"/>
      <c r="X31" s="45"/>
      <c r="Y31" s="45"/>
      <c r="Z31" s="45"/>
      <c r="AA31" s="48"/>
    </row>
    <row r="36" spans="5:7" x14ac:dyDescent="0.25">
      <c r="E36" s="16"/>
      <c r="F36" s="16"/>
      <c r="G36" s="16"/>
    </row>
    <row r="37" spans="5:7" x14ac:dyDescent="0.25">
      <c r="E37" s="16"/>
      <c r="F37" s="16"/>
      <c r="G37" s="16"/>
    </row>
    <row r="38" spans="5:7" x14ac:dyDescent="0.25">
      <c r="E38" s="16"/>
      <c r="F38" s="16"/>
      <c r="G38" s="16"/>
    </row>
    <row r="39" spans="5:7" x14ac:dyDescent="0.25">
      <c r="E39" s="16"/>
      <c r="F39" s="16"/>
      <c r="G39" s="16"/>
    </row>
    <row r="40" spans="5:7" x14ac:dyDescent="0.25">
      <c r="E40" s="16"/>
      <c r="F40" s="16"/>
      <c r="G40" s="16"/>
    </row>
    <row r="41" spans="5:7" x14ac:dyDescent="0.25">
      <c r="E41" s="16"/>
      <c r="F41" s="16"/>
      <c r="G41" s="16"/>
    </row>
    <row r="42" spans="5:7" x14ac:dyDescent="0.25">
      <c r="E42" s="16"/>
      <c r="F42" s="16"/>
      <c r="G42" s="16"/>
    </row>
    <row r="43" spans="5:7" x14ac:dyDescent="0.25">
      <c r="E43" s="16"/>
      <c r="F43" s="16"/>
      <c r="G43" s="16"/>
    </row>
    <row r="44" spans="5:7" x14ac:dyDescent="0.25">
      <c r="E44" s="16"/>
      <c r="F44" s="16"/>
      <c r="G44" s="16"/>
    </row>
    <row r="45" spans="5:7" x14ac:dyDescent="0.25">
      <c r="E45" s="16"/>
      <c r="F45" s="16"/>
      <c r="G45" s="16"/>
    </row>
    <row r="46" spans="5:7" x14ac:dyDescent="0.25">
      <c r="E46" s="16"/>
      <c r="F46" s="16"/>
      <c r="G46" s="16"/>
    </row>
  </sheetData>
  <pageMargins left="0.7" right="0.7" top="0.75" bottom="0.75" header="0.3" footer="0.3"/>
  <pageSetup orientation="portrait" verticalDpi="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2"/>
  <sheetViews>
    <sheetView topLeftCell="A25" workbookViewId="0">
      <pane xSplit="1" topLeftCell="I1" activePane="topRight" state="frozen"/>
      <selection pane="topRight" activeCell="T39" sqref="T39"/>
    </sheetView>
  </sheetViews>
  <sheetFormatPr baseColWidth="10" defaultRowHeight="15" x14ac:dyDescent="0.25"/>
  <cols>
    <col min="1" max="1" width="12.42578125" customWidth="1"/>
    <col min="2" max="2" width="17.42578125" bestFit="1" customWidth="1"/>
    <col min="3" max="3" width="12.7109375" style="16" bestFit="1" customWidth="1"/>
    <col min="4" max="4" width="10" bestFit="1" customWidth="1"/>
    <col min="5" max="5" width="13.7109375" bestFit="1" customWidth="1"/>
    <col min="7" max="7" width="13.5703125" customWidth="1"/>
    <col min="8" max="8" width="15.85546875" bestFit="1" customWidth="1"/>
    <col min="9" max="9" width="12.7109375" bestFit="1" customWidth="1"/>
    <col min="10" max="10" width="13.7109375" bestFit="1" customWidth="1"/>
    <col min="11" max="11" width="12.7109375" bestFit="1" customWidth="1"/>
    <col min="12" max="12" width="15.28515625" bestFit="1" customWidth="1"/>
    <col min="16" max="16" width="12.7109375" bestFit="1" customWidth="1"/>
    <col min="20" max="20" width="13.7109375" bestFit="1" customWidth="1"/>
  </cols>
  <sheetData>
    <row r="1" spans="1:21" s="1" customFormat="1" ht="45" x14ac:dyDescent="0.25">
      <c r="A1" s="2" t="s">
        <v>29</v>
      </c>
      <c r="B1" s="2" t="s">
        <v>0</v>
      </c>
      <c r="C1" s="19" t="s">
        <v>3</v>
      </c>
      <c r="D1" s="2" t="s">
        <v>1</v>
      </c>
      <c r="E1" s="2" t="s">
        <v>4</v>
      </c>
      <c r="F1" s="2" t="s">
        <v>10</v>
      </c>
      <c r="G1" s="2" t="s">
        <v>2</v>
      </c>
      <c r="H1" s="2" t="s">
        <v>5</v>
      </c>
      <c r="I1" s="2" t="s">
        <v>6</v>
      </c>
      <c r="J1" s="2" t="s">
        <v>42</v>
      </c>
      <c r="K1" s="2" t="s">
        <v>40</v>
      </c>
      <c r="L1" s="2" t="s">
        <v>43</v>
      </c>
      <c r="M1" s="2" t="s">
        <v>11</v>
      </c>
      <c r="N1" s="2" t="s">
        <v>12</v>
      </c>
      <c r="O1" s="2" t="s">
        <v>35</v>
      </c>
      <c r="P1" s="2" t="s">
        <v>61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45</v>
      </c>
    </row>
    <row r="2" spans="1:21" x14ac:dyDescent="0.25">
      <c r="A2" s="3" t="s">
        <v>17</v>
      </c>
      <c r="B2" s="8">
        <v>38663821.560000002</v>
      </c>
      <c r="C2" s="10">
        <f>1385310.31+1190449.34</f>
        <v>2575759.6500000004</v>
      </c>
      <c r="D2" s="4" t="s">
        <v>30</v>
      </c>
      <c r="E2" s="10">
        <v>0</v>
      </c>
      <c r="F2" s="4" t="s">
        <v>30</v>
      </c>
      <c r="G2" s="11">
        <v>0</v>
      </c>
      <c r="H2" s="29"/>
      <c r="I2" s="10">
        <v>783388.35</v>
      </c>
      <c r="J2" s="20">
        <v>428656.99</v>
      </c>
      <c r="K2" s="10"/>
      <c r="L2" s="10"/>
      <c r="M2" s="4" t="s">
        <v>30</v>
      </c>
      <c r="N2" s="4" t="s">
        <v>30</v>
      </c>
      <c r="O2" s="4" t="s">
        <v>30</v>
      </c>
      <c r="P2" s="4"/>
      <c r="Q2" s="32">
        <v>43800</v>
      </c>
      <c r="R2" s="4"/>
      <c r="S2" s="3"/>
      <c r="T2" s="10">
        <v>207483.08</v>
      </c>
      <c r="U2" s="4"/>
    </row>
    <row r="3" spans="1:21" x14ac:dyDescent="0.25">
      <c r="A3" s="3" t="s">
        <v>18</v>
      </c>
      <c r="B3" s="8">
        <v>28404199.329999998</v>
      </c>
      <c r="C3" s="11">
        <v>2575759.65</v>
      </c>
      <c r="D3" s="4" t="s">
        <v>30</v>
      </c>
      <c r="E3" s="10">
        <v>6736850.5999999996</v>
      </c>
      <c r="F3" s="4" t="s">
        <v>30</v>
      </c>
      <c r="G3" s="11">
        <v>601048.26</v>
      </c>
      <c r="H3" s="29"/>
      <c r="I3" s="10">
        <v>992820.2</v>
      </c>
      <c r="J3" s="11">
        <v>121206.91</v>
      </c>
      <c r="K3" s="10"/>
      <c r="L3" s="10"/>
      <c r="M3" s="4" t="s">
        <v>30</v>
      </c>
      <c r="N3" s="4" t="s">
        <v>30</v>
      </c>
      <c r="O3" s="4" t="s">
        <v>30</v>
      </c>
      <c r="P3" s="4"/>
      <c r="Q3" s="32">
        <v>43831</v>
      </c>
      <c r="R3" s="4"/>
      <c r="S3" s="3"/>
      <c r="T3" s="10"/>
      <c r="U3" s="4"/>
    </row>
    <row r="4" spans="1:21" x14ac:dyDescent="0.25">
      <c r="A4" s="3" t="s">
        <v>19</v>
      </c>
      <c r="B4" s="8">
        <v>35360644.899999999</v>
      </c>
      <c r="C4" s="11">
        <v>0</v>
      </c>
      <c r="D4" s="14" t="s">
        <v>30</v>
      </c>
      <c r="E4" s="11">
        <v>6099551.8200000003</v>
      </c>
      <c r="F4" s="14" t="s">
        <v>30</v>
      </c>
      <c r="G4" s="11">
        <v>0</v>
      </c>
      <c r="H4" s="29"/>
      <c r="I4" s="11">
        <v>625883.88</v>
      </c>
      <c r="J4" s="11">
        <v>605043</v>
      </c>
      <c r="K4" s="10"/>
      <c r="L4" s="10"/>
      <c r="M4" s="4" t="s">
        <v>30</v>
      </c>
      <c r="N4" s="4" t="s">
        <v>30</v>
      </c>
      <c r="O4" s="4" t="s">
        <v>30</v>
      </c>
      <c r="P4" s="4"/>
      <c r="Q4" s="4"/>
      <c r="R4" s="4"/>
      <c r="S4" s="3"/>
      <c r="T4" s="10"/>
      <c r="U4" s="4"/>
    </row>
    <row r="5" spans="1:21" x14ac:dyDescent="0.25">
      <c r="A5" s="3" t="s">
        <v>20</v>
      </c>
      <c r="B5" s="8">
        <v>0</v>
      </c>
      <c r="C5" s="11">
        <v>0</v>
      </c>
      <c r="D5" s="14" t="s">
        <v>30</v>
      </c>
      <c r="E5" s="11">
        <v>8022522.6200000001</v>
      </c>
      <c r="F5" s="14" t="s">
        <v>30</v>
      </c>
      <c r="G5" s="11">
        <v>0</v>
      </c>
      <c r="H5" s="29"/>
      <c r="I5" s="11">
        <v>278477.34000000003</v>
      </c>
      <c r="J5" s="11">
        <v>0</v>
      </c>
      <c r="K5" s="10"/>
      <c r="L5" s="10"/>
      <c r="M5" s="4" t="s">
        <v>30</v>
      </c>
      <c r="N5" s="4" t="s">
        <v>30</v>
      </c>
      <c r="O5" s="4" t="s">
        <v>30</v>
      </c>
      <c r="P5" s="4"/>
      <c r="Q5" s="4"/>
      <c r="R5" s="4"/>
      <c r="S5" s="3"/>
      <c r="T5" s="10">
        <v>1056857.31</v>
      </c>
      <c r="U5" s="4"/>
    </row>
    <row r="6" spans="1:21" x14ac:dyDescent="0.25">
      <c r="A6" s="3" t="s">
        <v>21</v>
      </c>
      <c r="B6" s="8">
        <v>0.42</v>
      </c>
      <c r="C6" s="11">
        <v>0</v>
      </c>
      <c r="D6" s="14" t="s">
        <v>30</v>
      </c>
      <c r="E6" s="11">
        <v>11408457.07</v>
      </c>
      <c r="F6" s="14" t="s">
        <v>30</v>
      </c>
      <c r="G6" s="11" t="s">
        <v>30</v>
      </c>
      <c r="H6" s="29"/>
      <c r="I6" s="11">
        <v>435241.8</v>
      </c>
      <c r="J6" s="11">
        <v>741528.06</v>
      </c>
      <c r="K6" s="10"/>
      <c r="L6" s="10"/>
      <c r="M6" s="4" t="s">
        <v>30</v>
      </c>
      <c r="N6" s="4" t="s">
        <v>30</v>
      </c>
      <c r="O6" s="4" t="s">
        <v>30</v>
      </c>
      <c r="P6" s="4"/>
      <c r="Q6" s="4"/>
      <c r="R6" s="4"/>
      <c r="S6" s="3"/>
      <c r="T6" s="10"/>
      <c r="U6" s="4"/>
    </row>
    <row r="7" spans="1:21" x14ac:dyDescent="0.25">
      <c r="A7" s="3" t="s">
        <v>22</v>
      </c>
      <c r="B7" s="8">
        <v>54106171.299999997</v>
      </c>
      <c r="C7" s="11">
        <v>0</v>
      </c>
      <c r="D7" s="14" t="s">
        <v>30</v>
      </c>
      <c r="E7" s="11">
        <v>14230204.140000001</v>
      </c>
      <c r="F7" s="14" t="s">
        <v>30</v>
      </c>
      <c r="G7" s="11">
        <v>0</v>
      </c>
      <c r="H7" s="29"/>
      <c r="I7" s="11">
        <v>2732991.8</v>
      </c>
      <c r="J7" s="11">
        <v>95352.07</v>
      </c>
      <c r="K7" s="10"/>
      <c r="L7" s="10"/>
      <c r="M7" s="4" t="s">
        <v>30</v>
      </c>
      <c r="N7" s="4" t="s">
        <v>30</v>
      </c>
      <c r="O7" s="4" t="s">
        <v>30</v>
      </c>
      <c r="P7" s="4"/>
      <c r="Q7" s="4"/>
      <c r="R7" s="4"/>
      <c r="S7" s="3"/>
      <c r="T7" s="10"/>
      <c r="U7" s="4" t="s">
        <v>30</v>
      </c>
    </row>
    <row r="8" spans="1:21" x14ac:dyDescent="0.25">
      <c r="A8" s="3" t="s">
        <v>23</v>
      </c>
      <c r="B8" s="8">
        <v>19508535.379999999</v>
      </c>
      <c r="C8" s="11">
        <v>0</v>
      </c>
      <c r="D8" s="14" t="s">
        <v>30</v>
      </c>
      <c r="E8" s="11"/>
      <c r="F8" s="14" t="s">
        <v>30</v>
      </c>
      <c r="G8" s="11">
        <v>0</v>
      </c>
      <c r="H8" s="11"/>
      <c r="I8" s="11">
        <v>534341.80000000005</v>
      </c>
      <c r="J8" s="11">
        <v>418446</v>
      </c>
      <c r="K8" s="10"/>
      <c r="L8" s="10"/>
      <c r="M8" s="4" t="s">
        <v>30</v>
      </c>
      <c r="N8" s="4" t="s">
        <v>30</v>
      </c>
      <c r="O8" s="4" t="s">
        <v>30</v>
      </c>
      <c r="P8" s="4"/>
      <c r="Q8" s="4"/>
      <c r="R8" s="4"/>
      <c r="S8" s="3"/>
      <c r="T8" s="10">
        <v>1495726.06</v>
      </c>
      <c r="U8" s="4"/>
    </row>
    <row r="9" spans="1:21" x14ac:dyDescent="0.25">
      <c r="A9" s="3" t="s">
        <v>24</v>
      </c>
      <c r="B9" s="8">
        <v>17468879.23</v>
      </c>
      <c r="C9" s="10">
        <v>0</v>
      </c>
      <c r="D9" s="4" t="s">
        <v>30</v>
      </c>
      <c r="E9" s="10"/>
      <c r="F9" s="4" t="s">
        <v>30</v>
      </c>
      <c r="G9" s="10">
        <v>0</v>
      </c>
      <c r="H9" s="10"/>
      <c r="I9" s="10">
        <v>515741.8</v>
      </c>
      <c r="J9" s="10">
        <v>0</v>
      </c>
      <c r="K9" s="10"/>
      <c r="L9" s="10"/>
      <c r="M9" s="4" t="s">
        <v>30</v>
      </c>
      <c r="N9" s="4" t="s">
        <v>30</v>
      </c>
      <c r="O9" s="4" t="s">
        <v>30</v>
      </c>
      <c r="P9" s="4"/>
      <c r="Q9" s="4"/>
      <c r="R9" s="4"/>
      <c r="S9" s="3"/>
      <c r="T9" s="10">
        <v>2259952.96</v>
      </c>
      <c r="U9" s="4"/>
    </row>
    <row r="10" spans="1:21" x14ac:dyDescent="0.25">
      <c r="A10" s="3" t="s">
        <v>25</v>
      </c>
      <c r="B10" s="8">
        <v>37265002.619999997</v>
      </c>
      <c r="C10" s="10">
        <v>0</v>
      </c>
      <c r="D10" s="4" t="s">
        <v>30</v>
      </c>
      <c r="E10" s="10"/>
      <c r="F10" s="4" t="s">
        <v>30</v>
      </c>
      <c r="G10" s="10">
        <v>0</v>
      </c>
      <c r="H10" s="10"/>
      <c r="I10" s="10">
        <v>2647148.4</v>
      </c>
      <c r="J10" s="10">
        <v>298375.62</v>
      </c>
      <c r="K10" s="10"/>
      <c r="L10" s="10"/>
      <c r="M10" s="4" t="s">
        <v>30</v>
      </c>
      <c r="N10" s="4" t="s">
        <v>30</v>
      </c>
      <c r="O10" s="4" t="s">
        <v>30</v>
      </c>
      <c r="P10" s="4"/>
      <c r="Q10" s="4"/>
      <c r="R10" s="30"/>
      <c r="S10" s="3"/>
      <c r="T10" s="10">
        <v>2924348.14</v>
      </c>
      <c r="U10" s="4"/>
    </row>
    <row r="11" spans="1:21" x14ac:dyDescent="0.25">
      <c r="A11" s="3" t="s">
        <v>26</v>
      </c>
      <c r="B11" s="8">
        <v>43339225.170000002</v>
      </c>
      <c r="C11" s="10">
        <v>0</v>
      </c>
      <c r="D11" s="4" t="s">
        <v>30</v>
      </c>
      <c r="E11" s="10">
        <v>15428602.369999999</v>
      </c>
      <c r="F11" s="4" t="s">
        <v>30</v>
      </c>
      <c r="G11" s="10">
        <v>0</v>
      </c>
      <c r="H11" s="10">
        <v>9495525.75</v>
      </c>
      <c r="I11" s="10">
        <v>4247250</v>
      </c>
      <c r="J11" s="10">
        <v>1201969.21</v>
      </c>
      <c r="K11" s="10">
        <v>1164295.42</v>
      </c>
      <c r="L11" s="10"/>
      <c r="M11" s="4" t="s">
        <v>30</v>
      </c>
      <c r="N11" s="4" t="s">
        <v>30</v>
      </c>
      <c r="O11" s="4" t="s">
        <v>30</v>
      </c>
      <c r="P11" s="4"/>
      <c r="Q11" s="4"/>
      <c r="R11" s="4"/>
      <c r="S11" s="3"/>
      <c r="T11" s="10">
        <v>3545213.49</v>
      </c>
      <c r="U11" s="4"/>
    </row>
    <row r="12" spans="1:21" x14ac:dyDescent="0.25">
      <c r="A12" s="3" t="s">
        <v>27</v>
      </c>
      <c r="B12" s="8">
        <v>46472333.469999999</v>
      </c>
      <c r="C12" s="10">
        <v>0</v>
      </c>
      <c r="D12" s="4" t="s">
        <v>30</v>
      </c>
      <c r="E12" s="10">
        <v>22364952.620000001</v>
      </c>
      <c r="F12" s="4" t="s">
        <v>30</v>
      </c>
      <c r="G12" s="8">
        <v>6183431.5199999996</v>
      </c>
      <c r="H12" s="10">
        <v>13314544</v>
      </c>
      <c r="I12" s="10">
        <v>2055290.77</v>
      </c>
      <c r="J12" s="10">
        <v>162648.28</v>
      </c>
      <c r="K12" s="10"/>
      <c r="L12" s="10"/>
      <c r="M12" s="4" t="s">
        <v>30</v>
      </c>
      <c r="N12" s="4" t="s">
        <v>30</v>
      </c>
      <c r="O12" s="4" t="s">
        <v>30</v>
      </c>
      <c r="P12" s="4"/>
      <c r="Q12" s="4"/>
      <c r="R12" s="4">
        <v>2018</v>
      </c>
      <c r="S12" s="3"/>
      <c r="T12" s="10">
        <v>5470651.0800000001</v>
      </c>
      <c r="U12" s="4"/>
    </row>
    <row r="13" spans="1:21" s="15" customFormat="1" x14ac:dyDescent="0.25">
      <c r="A13" s="3" t="s">
        <v>28</v>
      </c>
      <c r="B13" s="13">
        <v>143059896.33000001</v>
      </c>
      <c r="C13" s="11">
        <v>0</v>
      </c>
      <c r="D13" s="14" t="s">
        <v>30</v>
      </c>
      <c r="E13" s="11">
        <v>13912709.210000001</v>
      </c>
      <c r="F13" s="14" t="s">
        <v>30</v>
      </c>
      <c r="G13" s="13"/>
      <c r="H13" s="11">
        <v>0</v>
      </c>
      <c r="I13" s="13">
        <v>10660541.5</v>
      </c>
      <c r="J13" s="13">
        <v>1117161.94</v>
      </c>
      <c r="K13" s="13"/>
      <c r="L13" s="11">
        <v>5181161.51</v>
      </c>
      <c r="M13" s="14" t="s">
        <v>30</v>
      </c>
      <c r="N13" s="14" t="s">
        <v>30</v>
      </c>
      <c r="O13" s="14" t="s">
        <v>30</v>
      </c>
      <c r="P13" s="11">
        <v>45550504.200000003</v>
      </c>
      <c r="Q13" s="14"/>
      <c r="R13" s="14"/>
      <c r="S13" s="12"/>
      <c r="T13" s="11">
        <v>10566047.74</v>
      </c>
      <c r="U13" s="14" t="s">
        <v>30</v>
      </c>
    </row>
    <row r="14" spans="1:21" s="25" customFormat="1" x14ac:dyDescent="0.25">
      <c r="A14" s="21" t="s">
        <v>34</v>
      </c>
      <c r="B14" s="22">
        <f>SUM(B2:B13)</f>
        <v>463648709.71000004</v>
      </c>
      <c r="C14" s="23">
        <v>0</v>
      </c>
      <c r="D14" s="24"/>
      <c r="E14" s="23"/>
      <c r="F14" s="24"/>
      <c r="G14" s="22"/>
      <c r="H14" s="23"/>
      <c r="I14" s="23">
        <f>SUM(I2:I13)</f>
        <v>26509117.640000001</v>
      </c>
      <c r="J14" s="23">
        <f>SUM(J2:J13)</f>
        <v>5190388.08</v>
      </c>
      <c r="K14" s="23"/>
      <c r="L14" s="23">
        <f>SUM(L2:L13)</f>
        <v>5181161.51</v>
      </c>
      <c r="M14" s="24"/>
      <c r="N14" s="24"/>
      <c r="O14" s="24"/>
      <c r="P14" s="23">
        <v>45550504.200000003</v>
      </c>
      <c r="Q14" s="24"/>
      <c r="R14" s="24"/>
      <c r="S14" s="21"/>
      <c r="T14" s="23"/>
      <c r="U14" s="24"/>
    </row>
    <row r="15" spans="1:21" x14ac:dyDescent="0.25">
      <c r="T15" s="16"/>
    </row>
    <row r="18" spans="1:21" s="1" customFormat="1" ht="45" x14ac:dyDescent="0.25">
      <c r="A18" s="2" t="s">
        <v>71</v>
      </c>
      <c r="B18" s="2" t="s">
        <v>0</v>
      </c>
      <c r="C18" s="19" t="s">
        <v>3</v>
      </c>
      <c r="D18" s="2" t="s">
        <v>1</v>
      </c>
      <c r="E18" s="2" t="s">
        <v>4</v>
      </c>
      <c r="F18" s="2" t="s">
        <v>10</v>
      </c>
      <c r="G18" s="2" t="s">
        <v>2</v>
      </c>
      <c r="H18" s="2" t="s">
        <v>5</v>
      </c>
      <c r="I18" s="2" t="s">
        <v>6</v>
      </c>
      <c r="J18" s="2" t="s">
        <v>42</v>
      </c>
      <c r="K18" s="2" t="s">
        <v>41</v>
      </c>
      <c r="L18" s="2" t="s">
        <v>70</v>
      </c>
      <c r="M18" s="2" t="s">
        <v>11</v>
      </c>
      <c r="N18" s="2" t="s">
        <v>12</v>
      </c>
      <c r="O18" s="2" t="s">
        <v>35</v>
      </c>
      <c r="P18" s="2" t="s">
        <v>61</v>
      </c>
      <c r="Q18" s="2" t="s">
        <v>13</v>
      </c>
      <c r="R18" s="2" t="s">
        <v>14</v>
      </c>
      <c r="S18" s="2" t="s">
        <v>15</v>
      </c>
      <c r="T18" s="2" t="s">
        <v>16</v>
      </c>
      <c r="U18" s="2" t="s">
        <v>45</v>
      </c>
    </row>
    <row r="19" spans="1:21" x14ac:dyDescent="0.25">
      <c r="A19" s="3" t="s">
        <v>17</v>
      </c>
      <c r="B19" s="8"/>
      <c r="C19" s="10"/>
      <c r="D19" s="4"/>
      <c r="E19" s="10"/>
      <c r="F19" s="4" t="s">
        <v>30</v>
      </c>
      <c r="G19" s="11"/>
      <c r="H19" s="29"/>
      <c r="I19" s="10"/>
      <c r="J19" s="10">
        <v>1983463.76</v>
      </c>
      <c r="K19" s="10"/>
      <c r="L19" s="10"/>
      <c r="M19" s="4" t="s">
        <v>30</v>
      </c>
      <c r="N19" s="4" t="s">
        <v>30</v>
      </c>
      <c r="O19" s="4" t="s">
        <v>30</v>
      </c>
      <c r="P19" s="4"/>
      <c r="Q19" s="32"/>
      <c r="R19" s="4"/>
      <c r="S19" s="3"/>
      <c r="T19" s="10">
        <v>12415262</v>
      </c>
      <c r="U19" s="4"/>
    </row>
    <row r="20" spans="1:21" x14ac:dyDescent="0.25">
      <c r="A20" s="3" t="s">
        <v>18</v>
      </c>
      <c r="B20" s="8"/>
      <c r="C20" s="11"/>
      <c r="D20" s="4"/>
      <c r="E20" s="10"/>
      <c r="F20" s="4" t="s">
        <v>30</v>
      </c>
      <c r="G20" s="11"/>
      <c r="H20" s="29"/>
      <c r="I20" s="10"/>
      <c r="J20" s="10">
        <v>1572092.52</v>
      </c>
      <c r="K20" s="10"/>
      <c r="L20" s="10"/>
      <c r="M20" s="4" t="s">
        <v>30</v>
      </c>
      <c r="N20" s="4" t="s">
        <v>30</v>
      </c>
      <c r="O20" s="4" t="s">
        <v>30</v>
      </c>
      <c r="P20" s="4"/>
      <c r="Q20" s="32"/>
      <c r="R20" s="4"/>
      <c r="S20" s="3"/>
      <c r="T20" s="10">
        <v>20789351.600000001</v>
      </c>
      <c r="U20" s="4"/>
    </row>
    <row r="21" spans="1:21" x14ac:dyDescent="0.25">
      <c r="A21" s="3" t="s">
        <v>19</v>
      </c>
      <c r="B21" s="8"/>
      <c r="C21" s="11"/>
      <c r="D21" s="14"/>
      <c r="E21" s="11"/>
      <c r="F21" s="4" t="s">
        <v>30</v>
      </c>
      <c r="G21" s="11"/>
      <c r="H21" s="29"/>
      <c r="I21" s="11"/>
      <c r="J21" s="10">
        <v>3244630.12</v>
      </c>
      <c r="K21" s="10"/>
      <c r="L21" s="10"/>
      <c r="M21" s="4" t="s">
        <v>30</v>
      </c>
      <c r="N21" s="4" t="s">
        <v>30</v>
      </c>
      <c r="O21" s="4" t="s">
        <v>30</v>
      </c>
      <c r="P21" s="4"/>
      <c r="Q21" s="4"/>
      <c r="R21" s="4"/>
      <c r="S21" s="3"/>
      <c r="T21" s="10">
        <v>21333516.920000002</v>
      </c>
      <c r="U21" s="4"/>
    </row>
    <row r="22" spans="1:21" x14ac:dyDescent="0.25">
      <c r="A22" s="3" t="s">
        <v>20</v>
      </c>
      <c r="B22" s="8"/>
      <c r="C22" s="11"/>
      <c r="D22" s="14"/>
      <c r="E22" s="11"/>
      <c r="F22" s="4" t="s">
        <v>30</v>
      </c>
      <c r="G22" s="11"/>
      <c r="H22" s="29"/>
      <c r="I22" s="11"/>
      <c r="J22" s="10">
        <v>2569635.7799999998</v>
      </c>
      <c r="K22" s="10"/>
      <c r="L22" s="10"/>
      <c r="M22" s="4" t="s">
        <v>30</v>
      </c>
      <c r="N22" s="4" t="s">
        <v>30</v>
      </c>
      <c r="O22" s="4" t="s">
        <v>30</v>
      </c>
      <c r="P22" s="4"/>
      <c r="Q22" s="4"/>
      <c r="R22" s="4"/>
      <c r="S22" s="3"/>
      <c r="T22" s="10">
        <v>22653906.149999999</v>
      </c>
      <c r="U22" s="4"/>
    </row>
    <row r="23" spans="1:21" x14ac:dyDescent="0.25">
      <c r="A23" s="3" t="s">
        <v>21</v>
      </c>
      <c r="B23" s="8"/>
      <c r="C23" s="11"/>
      <c r="D23" s="14"/>
      <c r="E23" s="11"/>
      <c r="F23" s="4" t="s">
        <v>30</v>
      </c>
      <c r="G23" s="11"/>
      <c r="H23" s="29"/>
      <c r="I23" s="11"/>
      <c r="J23" s="10">
        <v>3650268.72</v>
      </c>
      <c r="K23" s="10"/>
      <c r="L23" s="10"/>
      <c r="M23" s="4" t="s">
        <v>30</v>
      </c>
      <c r="N23" s="4" t="s">
        <v>30</v>
      </c>
      <c r="O23" s="4" t="s">
        <v>30</v>
      </c>
      <c r="P23" s="4"/>
      <c r="Q23" s="4"/>
      <c r="R23" s="4"/>
      <c r="S23" s="3"/>
      <c r="T23" s="10">
        <v>32180768.920000002</v>
      </c>
      <c r="U23" s="4"/>
    </row>
    <row r="24" spans="1:21" x14ac:dyDescent="0.25">
      <c r="A24" s="3" t="s">
        <v>22</v>
      </c>
      <c r="B24" s="8"/>
      <c r="C24" s="11"/>
      <c r="D24" s="14"/>
      <c r="E24" s="11"/>
      <c r="F24" s="4" t="s">
        <v>30</v>
      </c>
      <c r="G24" s="11"/>
      <c r="H24" s="29"/>
      <c r="I24" s="11"/>
      <c r="J24" s="10">
        <v>93603767.609999999</v>
      </c>
      <c r="K24" s="10"/>
      <c r="L24" s="10"/>
      <c r="M24" s="4" t="s">
        <v>30</v>
      </c>
      <c r="N24" s="4" t="s">
        <v>30</v>
      </c>
      <c r="O24" s="4" t="s">
        <v>30</v>
      </c>
      <c r="P24" s="4"/>
      <c r="Q24" s="4"/>
      <c r="R24" s="4"/>
      <c r="S24" s="3"/>
      <c r="T24" s="10">
        <v>35519738.479999997</v>
      </c>
      <c r="U24" s="4"/>
    </row>
    <row r="25" spans="1:21" x14ac:dyDescent="0.25">
      <c r="A25" s="3" t="s">
        <v>23</v>
      </c>
      <c r="B25" s="8"/>
      <c r="C25" s="11"/>
      <c r="D25" s="14"/>
      <c r="E25" s="11"/>
      <c r="F25" s="4" t="s">
        <v>30</v>
      </c>
      <c r="G25" s="11"/>
      <c r="H25" s="11"/>
      <c r="I25" s="11"/>
      <c r="J25" s="10">
        <v>4164566.83</v>
      </c>
      <c r="K25" s="10"/>
      <c r="L25" s="10"/>
      <c r="M25" s="4" t="s">
        <v>30</v>
      </c>
      <c r="N25" s="4" t="s">
        <v>30</v>
      </c>
      <c r="O25" s="4" t="s">
        <v>30</v>
      </c>
      <c r="P25" s="4"/>
      <c r="Q25" s="4"/>
      <c r="R25" s="4"/>
      <c r="S25" s="3"/>
      <c r="T25" s="10">
        <v>36714821.189999998</v>
      </c>
      <c r="U25" s="4"/>
    </row>
    <row r="26" spans="1:21" x14ac:dyDescent="0.25">
      <c r="A26" s="3" t="s">
        <v>24</v>
      </c>
      <c r="B26" s="8"/>
      <c r="C26" s="10"/>
      <c r="D26" s="4"/>
      <c r="E26" s="10"/>
      <c r="F26" s="4" t="s">
        <v>30</v>
      </c>
      <c r="G26" s="10"/>
      <c r="H26" s="10"/>
      <c r="I26" s="10"/>
      <c r="J26" s="10">
        <v>10279225.25</v>
      </c>
      <c r="K26" s="10"/>
      <c r="L26" s="10"/>
      <c r="M26" s="4" t="s">
        <v>30</v>
      </c>
      <c r="N26" s="4" t="s">
        <v>30</v>
      </c>
      <c r="O26" s="4" t="s">
        <v>30</v>
      </c>
      <c r="P26" s="4"/>
      <c r="Q26" s="4"/>
      <c r="R26" s="4"/>
      <c r="S26" s="3"/>
      <c r="T26" s="10">
        <v>45778361.659999996</v>
      </c>
      <c r="U26" s="4"/>
    </row>
    <row r="27" spans="1:21" x14ac:dyDescent="0.25">
      <c r="A27" s="3" t="s">
        <v>25</v>
      </c>
      <c r="B27" s="8"/>
      <c r="C27" s="10"/>
      <c r="D27" s="4"/>
      <c r="E27" s="10">
        <v>0</v>
      </c>
      <c r="F27" s="4" t="s">
        <v>30</v>
      </c>
      <c r="G27" s="10"/>
      <c r="H27" s="10"/>
      <c r="I27" s="10"/>
      <c r="J27" s="10">
        <v>6170000</v>
      </c>
      <c r="K27" s="10"/>
      <c r="L27" s="10"/>
      <c r="M27" s="4" t="s">
        <v>30</v>
      </c>
      <c r="N27" s="4" t="s">
        <v>30</v>
      </c>
      <c r="O27" s="4" t="s">
        <v>30</v>
      </c>
      <c r="P27" s="4"/>
      <c r="Q27" s="4"/>
      <c r="R27" s="30"/>
      <c r="S27" s="3"/>
      <c r="T27" s="10">
        <v>47048076.219999999</v>
      </c>
      <c r="U27" s="4"/>
    </row>
    <row r="28" spans="1:21" s="60" customFormat="1" x14ac:dyDescent="0.25">
      <c r="A28" s="55"/>
      <c r="B28" s="56"/>
      <c r="C28" s="38"/>
      <c r="D28" s="57"/>
      <c r="E28" s="38"/>
      <c r="F28" s="57" t="s">
        <v>30</v>
      </c>
      <c r="G28" s="38"/>
      <c r="H28" s="38"/>
      <c r="I28" s="38"/>
      <c r="J28" s="38">
        <f>SUM(J19:J27)</f>
        <v>127237650.59</v>
      </c>
      <c r="K28" s="38"/>
      <c r="L28" s="38"/>
      <c r="M28" s="4" t="s">
        <v>30</v>
      </c>
      <c r="N28" s="4" t="s">
        <v>30</v>
      </c>
      <c r="O28" s="4" t="s">
        <v>30</v>
      </c>
      <c r="P28" s="57"/>
      <c r="Q28" s="57"/>
      <c r="R28" s="73"/>
      <c r="S28" s="55"/>
      <c r="T28" s="36">
        <f>SUM(T19:T27)</f>
        <v>274433803.13999999</v>
      </c>
      <c r="U28" s="57"/>
    </row>
    <row r="29" spans="1:21" s="60" customFormat="1" x14ac:dyDescent="0.25">
      <c r="A29" s="55"/>
      <c r="B29" s="56"/>
      <c r="C29" s="38"/>
      <c r="D29" s="57"/>
      <c r="E29" s="38"/>
      <c r="F29" s="57" t="s">
        <v>30</v>
      </c>
      <c r="G29" s="38"/>
      <c r="H29" s="38"/>
      <c r="I29" s="38"/>
      <c r="J29" s="38">
        <f>+J28/1000000</f>
        <v>127.23765059</v>
      </c>
      <c r="K29" s="38"/>
      <c r="L29" s="38"/>
      <c r="M29" s="4" t="s">
        <v>30</v>
      </c>
      <c r="N29" s="4" t="s">
        <v>30</v>
      </c>
      <c r="O29" s="4" t="s">
        <v>30</v>
      </c>
      <c r="P29" s="57"/>
      <c r="Q29" s="57"/>
      <c r="R29" s="73"/>
      <c r="S29" s="55"/>
      <c r="T29" s="36">
        <f>+T28/1000000</f>
        <v>274.43380314000001</v>
      </c>
      <c r="U29" s="57"/>
    </row>
    <row r="30" spans="1:21" x14ac:dyDescent="0.25">
      <c r="A30" s="3" t="s">
        <v>26</v>
      </c>
      <c r="B30" s="8"/>
      <c r="C30" s="10">
        <v>0</v>
      </c>
      <c r="D30" s="4"/>
      <c r="E30" s="10">
        <v>316.37</v>
      </c>
      <c r="F30" s="4" t="s">
        <v>30</v>
      </c>
      <c r="G30" s="10"/>
      <c r="H30" s="10">
        <v>26.3</v>
      </c>
      <c r="I30" s="10">
        <v>56.73</v>
      </c>
      <c r="J30" s="10">
        <v>12.54</v>
      </c>
      <c r="K30" s="10"/>
      <c r="L30" s="10"/>
      <c r="M30" s="4" t="s">
        <v>30</v>
      </c>
      <c r="N30" s="4" t="s">
        <v>30</v>
      </c>
      <c r="O30" s="4" t="s">
        <v>30</v>
      </c>
      <c r="P30" s="4"/>
      <c r="Q30" s="4"/>
      <c r="R30" s="4"/>
      <c r="S30" s="3"/>
      <c r="T30" s="10" t="s">
        <v>775</v>
      </c>
      <c r="U30" s="4"/>
    </row>
    <row r="31" spans="1:21" x14ac:dyDescent="0.25">
      <c r="A31" s="3" t="s">
        <v>27</v>
      </c>
      <c r="B31" s="8"/>
      <c r="C31" s="10">
        <v>0</v>
      </c>
      <c r="D31" s="4"/>
      <c r="E31" s="10">
        <v>224.18</v>
      </c>
      <c r="F31" s="4" t="s">
        <v>30</v>
      </c>
      <c r="G31" s="8"/>
      <c r="H31" s="10">
        <v>0</v>
      </c>
      <c r="I31" s="10">
        <v>71.680000000000007</v>
      </c>
      <c r="J31" s="10">
        <v>9.5299999999999994</v>
      </c>
      <c r="K31" s="10"/>
      <c r="L31" s="10"/>
      <c r="M31" s="4" t="s">
        <v>30</v>
      </c>
      <c r="N31" s="4" t="s">
        <v>30</v>
      </c>
      <c r="O31" s="4" t="s">
        <v>30</v>
      </c>
      <c r="P31" s="4"/>
      <c r="Q31" s="4"/>
      <c r="R31" s="4"/>
      <c r="S31" s="3"/>
      <c r="T31" s="10">
        <v>49.91</v>
      </c>
      <c r="U31" s="4"/>
    </row>
    <row r="32" spans="1:21" s="15" customFormat="1" x14ac:dyDescent="0.25">
      <c r="A32" s="3" t="s">
        <v>28</v>
      </c>
      <c r="B32" s="13"/>
      <c r="C32" s="11">
        <v>0</v>
      </c>
      <c r="D32" s="14"/>
      <c r="E32" s="11">
        <v>228.72</v>
      </c>
      <c r="F32" s="4" t="s">
        <v>30</v>
      </c>
      <c r="G32" s="13"/>
      <c r="H32" s="11">
        <v>0</v>
      </c>
      <c r="I32" s="11">
        <v>60.69</v>
      </c>
      <c r="J32" s="11">
        <v>0</v>
      </c>
      <c r="K32" s="11">
        <v>291.06</v>
      </c>
      <c r="L32" s="11">
        <v>80.260000000000005</v>
      </c>
      <c r="M32" s="4" t="s">
        <v>30</v>
      </c>
      <c r="N32" s="4" t="s">
        <v>30</v>
      </c>
      <c r="O32" s="4" t="s">
        <v>30</v>
      </c>
      <c r="P32" s="11"/>
      <c r="Q32" s="14"/>
      <c r="R32" s="14"/>
      <c r="S32" s="12"/>
      <c r="T32" s="11">
        <v>52.69</v>
      </c>
      <c r="U32" s="14"/>
    </row>
    <row r="33" spans="1:21" s="25" customFormat="1" x14ac:dyDescent="0.25">
      <c r="A33" s="21" t="s">
        <v>34</v>
      </c>
      <c r="B33" s="22">
        <f>SUM(B19:B32)</f>
        <v>0</v>
      </c>
      <c r="C33" s="23">
        <v>0</v>
      </c>
      <c r="D33" s="24"/>
      <c r="E33" s="23">
        <f>+E32</f>
        <v>228.72</v>
      </c>
      <c r="F33" s="24"/>
      <c r="G33" s="22"/>
      <c r="H33" s="23">
        <f>+H32</f>
        <v>0</v>
      </c>
      <c r="I33" s="23">
        <f>+I32</f>
        <v>60.69</v>
      </c>
      <c r="J33" s="23">
        <f>SUM(J29:J32)</f>
        <v>149.30765059000001</v>
      </c>
      <c r="K33" s="23">
        <f>+K32</f>
        <v>291.06</v>
      </c>
      <c r="L33" s="23">
        <f>SUM(L29:L32)</f>
        <v>80.260000000000005</v>
      </c>
      <c r="M33" s="24"/>
      <c r="N33" s="24"/>
      <c r="O33" s="24"/>
      <c r="P33" s="23">
        <v>45550504.200000003</v>
      </c>
      <c r="Q33" s="24"/>
      <c r="R33" s="24"/>
      <c r="S33" s="21"/>
      <c r="T33" s="23">
        <f>SUM(T29:T32)</f>
        <v>377.03380313999997</v>
      </c>
      <c r="U33" s="24"/>
    </row>
    <row r="37" spans="1:21" s="1" customFormat="1" ht="45" x14ac:dyDescent="0.25">
      <c r="A37" s="2" t="s">
        <v>780</v>
      </c>
      <c r="B37" s="2" t="s">
        <v>0</v>
      </c>
      <c r="C37" s="19" t="s">
        <v>3</v>
      </c>
      <c r="D37" s="2" t="s">
        <v>1</v>
      </c>
      <c r="E37" s="2" t="s">
        <v>4</v>
      </c>
      <c r="F37" s="2" t="s">
        <v>10</v>
      </c>
      <c r="G37" s="2" t="s">
        <v>2</v>
      </c>
      <c r="H37" s="2" t="s">
        <v>5</v>
      </c>
      <c r="I37" s="2" t="s">
        <v>6</v>
      </c>
      <c r="J37" s="2" t="s">
        <v>42</v>
      </c>
      <c r="K37" s="2" t="s">
        <v>41</v>
      </c>
      <c r="L37" s="2" t="s">
        <v>70</v>
      </c>
      <c r="M37" s="2" t="s">
        <v>11</v>
      </c>
      <c r="N37" s="2" t="s">
        <v>12</v>
      </c>
      <c r="O37" s="2" t="s">
        <v>35</v>
      </c>
      <c r="P37" s="2" t="s">
        <v>61</v>
      </c>
      <c r="Q37" s="2" t="s">
        <v>13</v>
      </c>
      <c r="R37" s="2" t="s">
        <v>14</v>
      </c>
      <c r="S37" s="2" t="s">
        <v>15</v>
      </c>
      <c r="T37" s="2" t="s">
        <v>16</v>
      </c>
      <c r="U37" s="2" t="s">
        <v>45</v>
      </c>
    </row>
    <row r="38" spans="1:21" x14ac:dyDescent="0.25">
      <c r="A38" s="3" t="s">
        <v>17</v>
      </c>
      <c r="B38" s="8"/>
      <c r="C38" s="10"/>
      <c r="D38" s="4"/>
      <c r="E38" s="10"/>
      <c r="F38" s="4"/>
      <c r="G38" s="11"/>
      <c r="H38" s="29"/>
      <c r="I38" s="10"/>
      <c r="J38" s="10"/>
      <c r="K38" s="10"/>
      <c r="L38" s="10"/>
      <c r="M38" s="4"/>
      <c r="N38" s="4"/>
      <c r="O38" s="4"/>
      <c r="P38" s="4"/>
      <c r="Q38" s="32"/>
      <c r="R38" s="4"/>
      <c r="S38" s="3"/>
      <c r="T38" s="10">
        <v>52.41</v>
      </c>
      <c r="U38" s="4"/>
    </row>
    <row r="39" spans="1:21" x14ac:dyDescent="0.25">
      <c r="A39" s="3" t="s">
        <v>18</v>
      </c>
      <c r="B39" s="8"/>
      <c r="C39" s="11"/>
      <c r="D39" s="4"/>
      <c r="E39" s="10"/>
      <c r="F39" s="4"/>
      <c r="G39" s="11"/>
      <c r="H39" s="29"/>
      <c r="I39" s="10"/>
      <c r="J39" s="10"/>
      <c r="K39" s="10"/>
      <c r="L39" s="10"/>
      <c r="M39" s="4"/>
      <c r="N39" s="4"/>
      <c r="O39" s="4"/>
      <c r="P39" s="4"/>
      <c r="Q39" s="32"/>
      <c r="R39" s="4"/>
      <c r="S39" s="3"/>
      <c r="T39" s="10"/>
      <c r="U39" s="4"/>
    </row>
    <row r="40" spans="1:21" x14ac:dyDescent="0.25">
      <c r="A40" s="3" t="s">
        <v>19</v>
      </c>
      <c r="B40" s="8"/>
      <c r="C40" s="11"/>
      <c r="D40" s="14"/>
      <c r="E40" s="11"/>
      <c r="F40" s="4"/>
      <c r="G40" s="11"/>
      <c r="H40" s="29"/>
      <c r="I40" s="11"/>
      <c r="J40" s="10"/>
      <c r="K40" s="10"/>
      <c r="L40" s="10"/>
      <c r="M40" s="4"/>
      <c r="N40" s="4"/>
      <c r="O40" s="4"/>
      <c r="P40" s="4"/>
      <c r="Q40" s="4"/>
      <c r="R40" s="4"/>
      <c r="S40" s="3"/>
      <c r="T40" s="10"/>
      <c r="U40" s="4"/>
    </row>
    <row r="41" spans="1:21" x14ac:dyDescent="0.25">
      <c r="A41" s="3" t="s">
        <v>20</v>
      </c>
      <c r="B41" s="8"/>
      <c r="C41" s="11"/>
      <c r="D41" s="14"/>
      <c r="E41" s="11"/>
      <c r="F41" s="4"/>
      <c r="G41" s="11"/>
      <c r="H41" s="29"/>
      <c r="I41" s="11"/>
      <c r="J41" s="10"/>
      <c r="K41" s="10"/>
      <c r="L41" s="10"/>
      <c r="M41" s="4"/>
      <c r="N41" s="4"/>
      <c r="O41" s="4"/>
      <c r="P41" s="4"/>
      <c r="Q41" s="4"/>
      <c r="R41" s="4"/>
      <c r="S41" s="3"/>
      <c r="T41" s="10"/>
      <c r="U41" s="4"/>
    </row>
    <row r="42" spans="1:21" x14ac:dyDescent="0.25">
      <c r="A42" s="3" t="s">
        <v>21</v>
      </c>
      <c r="B42" s="8"/>
      <c r="C42" s="11"/>
      <c r="D42" s="14"/>
      <c r="E42" s="11"/>
      <c r="F42" s="4"/>
      <c r="G42" s="11"/>
      <c r="H42" s="29"/>
      <c r="I42" s="11"/>
      <c r="J42" s="10"/>
      <c r="K42" s="10"/>
      <c r="L42" s="10"/>
      <c r="M42" s="4"/>
      <c r="N42" s="4"/>
      <c r="O42" s="4"/>
      <c r="P42" s="4"/>
      <c r="Q42" s="4"/>
      <c r="R42" s="4"/>
      <c r="S42" s="3"/>
      <c r="T42" s="10"/>
      <c r="U42" s="4"/>
    </row>
    <row r="43" spans="1:21" x14ac:dyDescent="0.25">
      <c r="A43" s="3" t="s">
        <v>22</v>
      </c>
      <c r="B43" s="8"/>
      <c r="C43" s="11"/>
      <c r="D43" s="14"/>
      <c r="E43" s="11"/>
      <c r="F43" s="4"/>
      <c r="G43" s="11"/>
      <c r="H43" s="29"/>
      <c r="I43" s="11"/>
      <c r="J43" s="10"/>
      <c r="K43" s="10"/>
      <c r="L43" s="10"/>
      <c r="M43" s="4"/>
      <c r="N43" s="4"/>
      <c r="O43" s="4"/>
      <c r="P43" s="4"/>
      <c r="Q43" s="4"/>
      <c r="R43" s="4"/>
      <c r="S43" s="3"/>
      <c r="T43" s="10"/>
      <c r="U43" s="4"/>
    </row>
    <row r="44" spans="1:21" x14ac:dyDescent="0.25">
      <c r="A44" s="3" t="s">
        <v>23</v>
      </c>
      <c r="B44" s="8"/>
      <c r="C44" s="11"/>
      <c r="D44" s="14"/>
      <c r="E44" s="11"/>
      <c r="F44" s="4"/>
      <c r="G44" s="11"/>
      <c r="H44" s="11"/>
      <c r="I44" s="11"/>
      <c r="J44" s="10"/>
      <c r="K44" s="10"/>
      <c r="L44" s="10"/>
      <c r="M44" s="4"/>
      <c r="N44" s="4"/>
      <c r="O44" s="4"/>
      <c r="P44" s="4"/>
      <c r="Q44" s="4"/>
      <c r="R44" s="4"/>
      <c r="S44" s="3"/>
      <c r="T44" s="10"/>
      <c r="U44" s="4"/>
    </row>
    <row r="45" spans="1:21" x14ac:dyDescent="0.25">
      <c r="A45" s="3" t="s">
        <v>24</v>
      </c>
      <c r="B45" s="8"/>
      <c r="C45" s="10"/>
      <c r="D45" s="4"/>
      <c r="E45" s="10"/>
      <c r="F45" s="4"/>
      <c r="G45" s="10"/>
      <c r="H45" s="10"/>
      <c r="I45" s="10"/>
      <c r="J45" s="10"/>
      <c r="K45" s="10"/>
      <c r="L45" s="10"/>
      <c r="M45" s="4"/>
      <c r="N45" s="4"/>
      <c r="O45" s="4"/>
      <c r="P45" s="4"/>
      <c r="Q45" s="4"/>
      <c r="R45" s="4"/>
      <c r="S45" s="3"/>
      <c r="T45" s="10"/>
      <c r="U45" s="4"/>
    </row>
    <row r="46" spans="1:21" x14ac:dyDescent="0.25">
      <c r="A46" s="3" t="s">
        <v>25</v>
      </c>
      <c r="B46" s="8"/>
      <c r="C46" s="10"/>
      <c r="D46" s="4"/>
      <c r="E46" s="10"/>
      <c r="F46" s="4"/>
      <c r="G46" s="10"/>
      <c r="H46" s="10"/>
      <c r="I46" s="10"/>
      <c r="J46" s="10"/>
      <c r="K46" s="10"/>
      <c r="L46" s="10"/>
      <c r="M46" s="4"/>
      <c r="N46" s="4"/>
      <c r="O46" s="4"/>
      <c r="P46" s="4"/>
      <c r="Q46" s="4"/>
      <c r="R46" s="30"/>
      <c r="S46" s="3"/>
      <c r="T46" s="10"/>
      <c r="U46" s="4"/>
    </row>
    <row r="47" spans="1:21" s="60" customFormat="1" x14ac:dyDescent="0.25">
      <c r="A47" s="55"/>
      <c r="B47" s="56"/>
      <c r="C47" s="38"/>
      <c r="D47" s="57"/>
      <c r="E47" s="38"/>
      <c r="F47" s="57"/>
      <c r="G47" s="38"/>
      <c r="H47" s="38"/>
      <c r="I47" s="38"/>
      <c r="J47" s="38"/>
      <c r="K47" s="38"/>
      <c r="L47" s="38"/>
      <c r="M47" s="4"/>
      <c r="N47" s="4"/>
      <c r="O47" s="4"/>
      <c r="P47" s="57"/>
      <c r="Q47" s="57"/>
      <c r="R47" s="73"/>
      <c r="S47" s="55"/>
      <c r="T47" s="36"/>
      <c r="U47" s="57"/>
    </row>
    <row r="48" spans="1:21" s="60" customFormat="1" x14ac:dyDescent="0.25">
      <c r="A48" s="55"/>
      <c r="B48" s="56"/>
      <c r="C48" s="38"/>
      <c r="D48" s="57"/>
      <c r="E48" s="38"/>
      <c r="F48" s="57"/>
      <c r="G48" s="38"/>
      <c r="H48" s="38"/>
      <c r="I48" s="38"/>
      <c r="J48" s="38"/>
      <c r="K48" s="38"/>
      <c r="L48" s="38"/>
      <c r="M48" s="4"/>
      <c r="N48" s="4"/>
      <c r="O48" s="4"/>
      <c r="P48" s="57"/>
      <c r="Q48" s="57"/>
      <c r="R48" s="73"/>
      <c r="S48" s="55"/>
      <c r="T48" s="36"/>
      <c r="U48" s="57"/>
    </row>
    <row r="49" spans="1:21" x14ac:dyDescent="0.25">
      <c r="A49" s="3" t="s">
        <v>26</v>
      </c>
      <c r="B49" s="8"/>
      <c r="C49" s="10"/>
      <c r="D49" s="4"/>
      <c r="E49" s="10"/>
      <c r="F49" s="4"/>
      <c r="G49" s="10"/>
      <c r="H49" s="10"/>
      <c r="I49" s="10"/>
      <c r="J49" s="10"/>
      <c r="K49" s="10"/>
      <c r="L49" s="10"/>
      <c r="M49" s="4"/>
      <c r="N49" s="4"/>
      <c r="O49" s="4"/>
      <c r="P49" s="4"/>
      <c r="Q49" s="4"/>
      <c r="R49" s="4"/>
      <c r="S49" s="3"/>
      <c r="T49" s="10"/>
      <c r="U49" s="4"/>
    </row>
    <row r="50" spans="1:21" x14ac:dyDescent="0.25">
      <c r="A50" s="3" t="s">
        <v>27</v>
      </c>
      <c r="B50" s="8"/>
      <c r="C50" s="10"/>
      <c r="D50" s="4"/>
      <c r="E50" s="10"/>
      <c r="F50" s="4"/>
      <c r="G50" s="8"/>
      <c r="H50" s="10"/>
      <c r="I50" s="10"/>
      <c r="J50" s="10"/>
      <c r="K50" s="10"/>
      <c r="L50" s="10"/>
      <c r="M50" s="4"/>
      <c r="N50" s="4"/>
      <c r="O50" s="4"/>
      <c r="P50" s="4"/>
      <c r="Q50" s="4"/>
      <c r="R50" s="4"/>
      <c r="S50" s="3"/>
      <c r="T50" s="10"/>
      <c r="U50" s="4"/>
    </row>
    <row r="51" spans="1:21" s="15" customFormat="1" x14ac:dyDescent="0.25">
      <c r="A51" s="3" t="s">
        <v>28</v>
      </c>
      <c r="B51" s="13"/>
      <c r="C51" s="11"/>
      <c r="D51" s="14"/>
      <c r="E51" s="11"/>
      <c r="F51" s="4"/>
      <c r="G51" s="13"/>
      <c r="H51" s="11"/>
      <c r="I51" s="11"/>
      <c r="J51" s="11"/>
      <c r="K51" s="11"/>
      <c r="L51" s="11"/>
      <c r="M51" s="4"/>
      <c r="N51" s="4"/>
      <c r="O51" s="4"/>
      <c r="P51" s="11"/>
      <c r="Q51" s="14"/>
      <c r="R51" s="14"/>
      <c r="S51" s="12"/>
      <c r="T51" s="11"/>
      <c r="U51" s="14"/>
    </row>
    <row r="52" spans="1:21" s="25" customFormat="1" x14ac:dyDescent="0.25">
      <c r="A52" s="21" t="s">
        <v>34</v>
      </c>
      <c r="B52" s="22">
        <f>SUM(B38:B51)</f>
        <v>0</v>
      </c>
      <c r="C52" s="23">
        <v>0</v>
      </c>
      <c r="D52" s="24"/>
      <c r="E52" s="23">
        <f>+E51</f>
        <v>0</v>
      </c>
      <c r="F52" s="24"/>
      <c r="G52" s="22"/>
      <c r="H52" s="23">
        <f>+H51</f>
        <v>0</v>
      </c>
      <c r="I52" s="23">
        <f>+I51</f>
        <v>0</v>
      </c>
      <c r="J52" s="23">
        <f>SUM(J48:J51)</f>
        <v>0</v>
      </c>
      <c r="K52" s="23">
        <f>+K51</f>
        <v>0</v>
      </c>
      <c r="L52" s="23">
        <f>SUM(L48:L51)</f>
        <v>0</v>
      </c>
      <c r="M52" s="24"/>
      <c r="N52" s="24"/>
      <c r="O52" s="24"/>
      <c r="P52" s="23">
        <v>45550504.200000003</v>
      </c>
      <c r="Q52" s="24"/>
      <c r="R52" s="24"/>
      <c r="S52" s="21"/>
      <c r="T52" s="23">
        <f>SUM(T48:T51)</f>
        <v>0</v>
      </c>
      <c r="U52" s="24"/>
    </row>
  </sheetData>
  <pageMargins left="0.7" right="0.7" top="0.75" bottom="0.75" header="0.3" footer="0.3"/>
  <pageSetup orientation="portrait" verticalDpi="0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13" workbookViewId="0">
      <pane xSplit="1" topLeftCell="B1" activePane="topRight" state="frozen"/>
      <selection pane="topRight" activeCell="O31" sqref="O31"/>
    </sheetView>
  </sheetViews>
  <sheetFormatPr baseColWidth="10" defaultRowHeight="15" x14ac:dyDescent="0.25"/>
  <cols>
    <col min="1" max="1" width="12.42578125" style="15" customWidth="1"/>
    <col min="2" max="2" width="16.42578125" style="15" customWidth="1"/>
    <col min="3" max="3" width="9.85546875" style="15" customWidth="1"/>
    <col min="4" max="4" width="11.42578125" style="15"/>
    <col min="5" max="5" width="16.140625" style="15" customWidth="1"/>
    <col min="6" max="6" width="11.42578125" style="15"/>
    <col min="7" max="7" width="13.5703125" style="15" customWidth="1"/>
    <col min="8" max="9" width="11.42578125" style="15"/>
    <col min="10" max="10" width="12.7109375" style="15" bestFit="1" customWidth="1"/>
    <col min="11" max="18" width="11.42578125" style="15"/>
    <col min="19" max="19" width="11.7109375" style="15" bestFit="1" customWidth="1"/>
    <col min="20" max="20" width="12.5703125" style="15" customWidth="1"/>
    <col min="21" max="16384" width="11.42578125" style="15"/>
  </cols>
  <sheetData>
    <row r="1" spans="1:21" s="27" customFormat="1" ht="30" x14ac:dyDescent="0.25">
      <c r="A1" s="26" t="s">
        <v>29</v>
      </c>
      <c r="B1" s="26" t="s">
        <v>0</v>
      </c>
      <c r="C1" s="26" t="s">
        <v>3</v>
      </c>
      <c r="D1" s="26" t="s">
        <v>1</v>
      </c>
      <c r="E1" s="26" t="s">
        <v>4</v>
      </c>
      <c r="F1" s="26" t="s">
        <v>10</v>
      </c>
      <c r="G1" s="26" t="s">
        <v>2</v>
      </c>
      <c r="H1" s="26" t="s">
        <v>5</v>
      </c>
      <c r="I1" s="26" t="s">
        <v>6</v>
      </c>
      <c r="J1" s="26" t="s">
        <v>7</v>
      </c>
      <c r="K1" s="26" t="s">
        <v>8</v>
      </c>
      <c r="L1" s="26" t="s">
        <v>9</v>
      </c>
      <c r="M1" s="26" t="s">
        <v>11</v>
      </c>
      <c r="N1" s="26" t="s">
        <v>12</v>
      </c>
      <c r="O1" s="26" t="s">
        <v>35</v>
      </c>
      <c r="P1" s="26" t="s">
        <v>13</v>
      </c>
      <c r="Q1" s="26" t="s">
        <v>14</v>
      </c>
      <c r="R1" s="26" t="s">
        <v>15</v>
      </c>
      <c r="S1" s="26" t="s">
        <v>16</v>
      </c>
      <c r="T1" s="26" t="s">
        <v>31</v>
      </c>
    </row>
    <row r="2" spans="1:21" x14ac:dyDescent="0.25">
      <c r="A2" s="12" t="s">
        <v>17</v>
      </c>
      <c r="B2" s="11">
        <v>0</v>
      </c>
      <c r="C2" s="14">
        <v>0</v>
      </c>
      <c r="D2" s="14" t="s">
        <v>30</v>
      </c>
      <c r="E2" s="11">
        <v>1465656.49</v>
      </c>
      <c r="F2" s="14" t="s">
        <v>30</v>
      </c>
      <c r="G2" s="11" t="s">
        <v>30</v>
      </c>
      <c r="H2" s="14" t="s">
        <v>33</v>
      </c>
      <c r="I2" s="13">
        <v>67075</v>
      </c>
      <c r="J2" s="13">
        <v>2854127.32</v>
      </c>
      <c r="K2" s="11">
        <v>0</v>
      </c>
      <c r="L2" s="12"/>
      <c r="M2" s="14"/>
      <c r="N2" s="14"/>
      <c r="O2" s="14"/>
      <c r="P2" s="12"/>
      <c r="Q2" s="12"/>
      <c r="R2" s="12"/>
      <c r="S2" s="13">
        <v>720000</v>
      </c>
      <c r="T2" s="13"/>
    </row>
    <row r="3" spans="1:21" x14ac:dyDescent="0.25">
      <c r="A3" s="12" t="s">
        <v>18</v>
      </c>
      <c r="B3" s="11">
        <v>8918448.3200000003</v>
      </c>
      <c r="C3" s="14">
        <v>0</v>
      </c>
      <c r="D3" s="14" t="s">
        <v>30</v>
      </c>
      <c r="E3" s="11">
        <v>494687.94</v>
      </c>
      <c r="F3" s="14" t="s">
        <v>30</v>
      </c>
      <c r="G3" s="11" t="s">
        <v>30</v>
      </c>
      <c r="H3" s="14" t="s">
        <v>33</v>
      </c>
      <c r="I3" s="11">
        <v>0</v>
      </c>
      <c r="J3" s="11">
        <v>2854127.32</v>
      </c>
      <c r="K3" s="11">
        <v>0</v>
      </c>
      <c r="L3" s="14" t="s">
        <v>33</v>
      </c>
      <c r="M3" s="14"/>
      <c r="N3" s="14"/>
      <c r="O3" s="14"/>
      <c r="P3" s="12"/>
      <c r="Q3" s="12"/>
      <c r="R3" s="12"/>
      <c r="S3" s="13">
        <v>720000</v>
      </c>
      <c r="T3" s="13"/>
      <c r="U3" s="28"/>
    </row>
    <row r="4" spans="1:21" x14ac:dyDescent="0.25">
      <c r="A4" s="12" t="s">
        <v>19</v>
      </c>
      <c r="B4" s="11">
        <v>17702100</v>
      </c>
      <c r="C4" s="14">
        <v>0</v>
      </c>
      <c r="D4" s="14" t="s">
        <v>30</v>
      </c>
      <c r="E4" s="11">
        <v>0</v>
      </c>
      <c r="F4" s="14" t="s">
        <v>30</v>
      </c>
      <c r="G4" s="11" t="s">
        <v>30</v>
      </c>
      <c r="H4" s="14" t="s">
        <v>33</v>
      </c>
      <c r="I4" s="11">
        <v>0</v>
      </c>
      <c r="J4" s="11">
        <v>516479.26</v>
      </c>
      <c r="K4" s="11">
        <v>0</v>
      </c>
      <c r="L4" s="14" t="s">
        <v>33</v>
      </c>
      <c r="M4" s="14"/>
      <c r="N4" s="14"/>
      <c r="O4" s="14"/>
      <c r="P4" s="12"/>
      <c r="Q4" s="12"/>
      <c r="R4" s="12"/>
      <c r="S4" s="13">
        <v>746212.6</v>
      </c>
      <c r="T4" s="13"/>
    </row>
    <row r="5" spans="1:21" x14ac:dyDescent="0.25">
      <c r="A5" s="12" t="s">
        <v>20</v>
      </c>
      <c r="B5" s="11">
        <v>0</v>
      </c>
      <c r="C5" s="14">
        <v>0</v>
      </c>
      <c r="D5" s="14" t="s">
        <v>30</v>
      </c>
      <c r="E5" s="11">
        <v>0</v>
      </c>
      <c r="F5" s="14" t="s">
        <v>30</v>
      </c>
      <c r="G5" s="11" t="s">
        <v>30</v>
      </c>
      <c r="H5" s="14" t="s">
        <v>33</v>
      </c>
      <c r="I5" s="11">
        <v>0</v>
      </c>
      <c r="J5" s="11">
        <v>516479.26</v>
      </c>
      <c r="K5" s="11">
        <v>0</v>
      </c>
      <c r="L5" s="14" t="s">
        <v>33</v>
      </c>
      <c r="M5" s="14"/>
      <c r="N5" s="14"/>
      <c r="O5" s="14"/>
      <c r="P5" s="12"/>
      <c r="Q5" s="12"/>
      <c r="R5" s="12"/>
      <c r="S5" s="13">
        <v>720000</v>
      </c>
      <c r="T5" s="13"/>
    </row>
    <row r="6" spans="1:21" x14ac:dyDescent="0.25">
      <c r="A6" s="12" t="s">
        <v>21</v>
      </c>
      <c r="B6" s="11">
        <v>19933872</v>
      </c>
      <c r="C6" s="14">
        <v>0</v>
      </c>
      <c r="D6" s="14" t="s">
        <v>30</v>
      </c>
      <c r="E6" s="11">
        <v>0</v>
      </c>
      <c r="F6" s="14" t="s">
        <v>30</v>
      </c>
      <c r="G6" s="11" t="s">
        <v>30</v>
      </c>
      <c r="H6" s="14" t="s">
        <v>33</v>
      </c>
      <c r="I6" s="11">
        <v>0</v>
      </c>
      <c r="J6" s="11">
        <v>1152970.01</v>
      </c>
      <c r="K6" s="11">
        <v>0</v>
      </c>
      <c r="L6" s="14" t="s">
        <v>33</v>
      </c>
      <c r="M6" s="14"/>
      <c r="N6" s="14"/>
      <c r="O6" s="14"/>
      <c r="P6" s="12"/>
      <c r="Q6" s="12"/>
      <c r="R6" s="12"/>
      <c r="S6" s="13">
        <v>759603.23</v>
      </c>
      <c r="T6" s="13"/>
    </row>
    <row r="7" spans="1:21" x14ac:dyDescent="0.25">
      <c r="A7" s="12" t="s">
        <v>22</v>
      </c>
      <c r="B7" s="11">
        <v>57680000</v>
      </c>
      <c r="C7" s="14">
        <v>0</v>
      </c>
      <c r="D7" s="14" t="s">
        <v>30</v>
      </c>
      <c r="E7" s="11">
        <v>0</v>
      </c>
      <c r="F7" s="14" t="s">
        <v>30</v>
      </c>
      <c r="G7" s="11" t="s">
        <v>30</v>
      </c>
      <c r="H7" s="14" t="s">
        <v>33</v>
      </c>
      <c r="I7" s="11">
        <v>0</v>
      </c>
      <c r="J7" s="11">
        <v>1858871.52</v>
      </c>
      <c r="K7" s="11">
        <v>0</v>
      </c>
      <c r="L7" s="14" t="s">
        <v>33</v>
      </c>
      <c r="M7" s="14"/>
      <c r="N7" s="14"/>
      <c r="O7" s="14"/>
      <c r="P7" s="12"/>
      <c r="Q7" s="12"/>
      <c r="R7" s="12"/>
      <c r="S7" s="13">
        <v>986080</v>
      </c>
      <c r="T7" s="13"/>
    </row>
    <row r="8" spans="1:21" x14ac:dyDescent="0.25">
      <c r="A8" s="12" t="s">
        <v>23</v>
      </c>
      <c r="B8" s="11">
        <v>0</v>
      </c>
      <c r="C8" s="14">
        <v>0</v>
      </c>
      <c r="D8" s="14" t="s">
        <v>30</v>
      </c>
      <c r="E8" s="11">
        <v>0</v>
      </c>
      <c r="F8" s="14" t="s">
        <v>30</v>
      </c>
      <c r="G8" s="11" t="s">
        <v>30</v>
      </c>
      <c r="H8" s="14" t="s">
        <v>33</v>
      </c>
      <c r="I8" s="11">
        <v>0</v>
      </c>
      <c r="J8" s="11">
        <v>1858871.52</v>
      </c>
      <c r="K8" s="11">
        <v>0</v>
      </c>
      <c r="L8" s="14" t="s">
        <v>33</v>
      </c>
      <c r="M8" s="14"/>
      <c r="N8" s="14"/>
      <c r="O8" s="14"/>
      <c r="P8" s="12"/>
      <c r="Q8" s="12"/>
      <c r="R8" s="12"/>
      <c r="S8" s="13">
        <v>720000</v>
      </c>
      <c r="T8" s="13"/>
    </row>
    <row r="9" spans="1:21" x14ac:dyDescent="0.25">
      <c r="A9" s="12" t="s">
        <v>24</v>
      </c>
      <c r="B9" s="11">
        <v>17765105.109999999</v>
      </c>
      <c r="C9" s="14">
        <v>0</v>
      </c>
      <c r="D9" s="14" t="s">
        <v>30</v>
      </c>
      <c r="E9" s="11">
        <v>82912696.469999999</v>
      </c>
      <c r="F9" s="14" t="s">
        <v>30</v>
      </c>
      <c r="G9" s="11" t="s">
        <v>30</v>
      </c>
      <c r="H9" s="14" t="s">
        <v>33</v>
      </c>
      <c r="I9" s="11">
        <v>0</v>
      </c>
      <c r="J9" s="11">
        <v>1858871.52</v>
      </c>
      <c r="K9" s="11">
        <v>0</v>
      </c>
      <c r="L9" s="14" t="s">
        <v>33</v>
      </c>
      <c r="M9" s="14"/>
      <c r="N9" s="14"/>
      <c r="O9" s="14"/>
      <c r="P9" s="12"/>
      <c r="Q9" s="12"/>
      <c r="R9" s="12"/>
      <c r="S9" s="13">
        <v>1148191.9099999999</v>
      </c>
      <c r="T9" s="13"/>
    </row>
    <row r="10" spans="1:21" x14ac:dyDescent="0.25">
      <c r="A10" s="12" t="s">
        <v>25</v>
      </c>
      <c r="B10" s="11"/>
      <c r="C10" s="14"/>
      <c r="D10" s="14"/>
      <c r="E10" s="11"/>
      <c r="F10" s="14"/>
      <c r="G10" s="11"/>
      <c r="H10" s="14" t="s">
        <v>33</v>
      </c>
      <c r="I10" s="11"/>
      <c r="J10" s="11"/>
      <c r="K10" s="11"/>
      <c r="L10" s="14" t="s">
        <v>33</v>
      </c>
      <c r="M10" s="14"/>
      <c r="N10" s="14"/>
      <c r="O10" s="14"/>
      <c r="P10" s="12"/>
      <c r="Q10" s="12"/>
      <c r="R10" s="12"/>
      <c r="S10" s="13"/>
      <c r="T10" s="13"/>
    </row>
    <row r="11" spans="1:21" x14ac:dyDescent="0.25">
      <c r="A11" s="12" t="s">
        <v>26</v>
      </c>
      <c r="B11" s="11"/>
      <c r="C11" s="14"/>
      <c r="D11" s="14"/>
      <c r="E11" s="11"/>
      <c r="F11" s="14"/>
      <c r="G11" s="11"/>
      <c r="H11" s="14" t="s">
        <v>33</v>
      </c>
      <c r="I11" s="11"/>
      <c r="J11" s="11"/>
      <c r="K11" s="11"/>
      <c r="L11" s="14" t="s">
        <v>33</v>
      </c>
      <c r="M11" s="14"/>
      <c r="N11" s="14"/>
      <c r="O11" s="14"/>
      <c r="P11" s="12"/>
      <c r="Q11" s="12"/>
      <c r="R11" s="12"/>
      <c r="S11" s="13"/>
      <c r="T11" s="13"/>
    </row>
    <row r="12" spans="1:21" x14ac:dyDescent="0.25">
      <c r="A12" s="12" t="s">
        <v>27</v>
      </c>
      <c r="B12" s="11"/>
      <c r="C12" s="14"/>
      <c r="D12" s="14"/>
      <c r="E12" s="11"/>
      <c r="F12" s="14"/>
      <c r="G12" s="11"/>
      <c r="H12" s="14" t="s">
        <v>33</v>
      </c>
      <c r="I12" s="11"/>
      <c r="J12" s="11"/>
      <c r="K12" s="11"/>
      <c r="L12" s="14" t="s">
        <v>33</v>
      </c>
      <c r="M12" s="14"/>
      <c r="N12" s="14"/>
      <c r="O12" s="14"/>
      <c r="P12" s="12"/>
      <c r="Q12" s="12"/>
      <c r="R12" s="12"/>
      <c r="S12" s="13"/>
      <c r="T12" s="13"/>
    </row>
    <row r="13" spans="1:21" x14ac:dyDescent="0.25">
      <c r="A13" s="12" t="s">
        <v>28</v>
      </c>
      <c r="B13" s="11"/>
      <c r="C13" s="14"/>
      <c r="D13" s="14"/>
      <c r="E13" s="11"/>
      <c r="F13" s="14"/>
      <c r="G13" s="11"/>
      <c r="H13" s="14" t="s">
        <v>33</v>
      </c>
      <c r="I13" s="11"/>
      <c r="J13" s="11"/>
      <c r="K13" s="11"/>
      <c r="L13" s="14" t="s">
        <v>33</v>
      </c>
      <c r="M13" s="14"/>
      <c r="N13" s="14"/>
      <c r="O13" s="14"/>
      <c r="P13" s="12"/>
      <c r="Q13" s="12"/>
      <c r="R13" s="12"/>
      <c r="S13" s="13"/>
      <c r="T13" s="13"/>
    </row>
    <row r="14" spans="1:21" x14ac:dyDescent="0.25">
      <c r="A14" s="12" t="s">
        <v>34</v>
      </c>
      <c r="B14" s="11">
        <f>SUM(B2:B13)</f>
        <v>121999525.42999999</v>
      </c>
      <c r="C14" s="14"/>
      <c r="D14" s="14"/>
      <c r="E14" s="11"/>
      <c r="F14" s="14"/>
      <c r="G14" s="11"/>
      <c r="H14" s="14"/>
      <c r="I14" s="14"/>
      <c r="J14" s="11"/>
      <c r="K14" s="11"/>
      <c r="L14" s="14" t="s">
        <v>33</v>
      </c>
      <c r="M14" s="14"/>
      <c r="N14" s="14"/>
      <c r="O14" s="14"/>
      <c r="P14" s="12"/>
      <c r="Q14" s="12"/>
      <c r="R14" s="12"/>
      <c r="S14" s="13"/>
      <c r="T14" s="13"/>
    </row>
    <row r="18" spans="1:21" s="27" customFormat="1" ht="30" x14ac:dyDescent="0.25">
      <c r="A18" s="26" t="s">
        <v>71</v>
      </c>
      <c r="B18" s="26" t="s">
        <v>0</v>
      </c>
      <c r="C18" s="26" t="s">
        <v>3</v>
      </c>
      <c r="D18" s="26" t="s">
        <v>1</v>
      </c>
      <c r="E18" s="26" t="s">
        <v>4</v>
      </c>
      <c r="F18" s="26" t="s">
        <v>10</v>
      </c>
      <c r="G18" s="26" t="s">
        <v>2</v>
      </c>
      <c r="H18" s="26" t="s">
        <v>5</v>
      </c>
      <c r="I18" s="26" t="s">
        <v>6</v>
      </c>
      <c r="J18" s="26" t="s">
        <v>7</v>
      </c>
      <c r="K18" s="26" t="s">
        <v>8</v>
      </c>
      <c r="L18" s="26" t="s">
        <v>9</v>
      </c>
      <c r="M18" s="26" t="s">
        <v>11</v>
      </c>
      <c r="N18" s="26" t="s">
        <v>12</v>
      </c>
      <c r="O18" s="26" t="s">
        <v>35</v>
      </c>
      <c r="P18" s="26" t="s">
        <v>13</v>
      </c>
      <c r="Q18" s="26" t="s">
        <v>14</v>
      </c>
      <c r="R18" s="26" t="s">
        <v>15</v>
      </c>
      <c r="S18" s="26" t="s">
        <v>16</v>
      </c>
      <c r="T18" s="26" t="s">
        <v>31</v>
      </c>
    </row>
    <row r="19" spans="1:21" x14ac:dyDescent="0.25">
      <c r="A19" s="12" t="s">
        <v>17</v>
      </c>
      <c r="B19" s="11">
        <v>0</v>
      </c>
      <c r="C19" s="82">
        <v>0</v>
      </c>
      <c r="D19" s="14" t="s">
        <v>30</v>
      </c>
      <c r="E19" s="11">
        <v>50321884.299999997</v>
      </c>
      <c r="F19" s="14" t="s">
        <v>30</v>
      </c>
      <c r="G19" s="11">
        <v>0</v>
      </c>
      <c r="H19" s="14" t="s">
        <v>33</v>
      </c>
      <c r="I19" s="11">
        <v>0</v>
      </c>
      <c r="J19" s="13">
        <v>1858871.52</v>
      </c>
      <c r="K19" s="11">
        <v>0</v>
      </c>
      <c r="L19" s="14" t="s">
        <v>33</v>
      </c>
      <c r="M19" s="14" t="s">
        <v>30</v>
      </c>
      <c r="N19" s="14" t="s">
        <v>30</v>
      </c>
      <c r="O19" s="14" t="s">
        <v>33</v>
      </c>
      <c r="P19" s="12"/>
      <c r="Q19" s="12"/>
      <c r="R19" s="12"/>
      <c r="S19" s="13"/>
      <c r="T19" s="13"/>
    </row>
    <row r="20" spans="1:21" x14ac:dyDescent="0.25">
      <c r="A20" s="12" t="s">
        <v>18</v>
      </c>
      <c r="B20" s="11">
        <v>275268168</v>
      </c>
      <c r="C20" s="82">
        <v>0</v>
      </c>
      <c r="D20" s="14" t="s">
        <v>30</v>
      </c>
      <c r="E20" s="11">
        <v>6278977.4199999999</v>
      </c>
      <c r="F20" s="14" t="s">
        <v>30</v>
      </c>
      <c r="G20" s="11">
        <v>0</v>
      </c>
      <c r="H20" s="14" t="s">
        <v>33</v>
      </c>
      <c r="I20" s="11">
        <v>0</v>
      </c>
      <c r="J20" s="11">
        <v>1858871.52</v>
      </c>
      <c r="K20" s="11">
        <v>0</v>
      </c>
      <c r="L20" s="14" t="s">
        <v>33</v>
      </c>
      <c r="M20" s="14" t="s">
        <v>30</v>
      </c>
      <c r="N20" s="14" t="s">
        <v>30</v>
      </c>
      <c r="O20" s="14" t="s">
        <v>33</v>
      </c>
      <c r="P20" s="12"/>
      <c r="Q20" s="12"/>
      <c r="R20" s="12"/>
      <c r="S20" s="13"/>
      <c r="T20" s="13"/>
      <c r="U20" s="28"/>
    </row>
    <row r="21" spans="1:21" x14ac:dyDescent="0.25">
      <c r="A21" s="12" t="s">
        <v>19</v>
      </c>
      <c r="B21" s="11">
        <v>336527291.39999998</v>
      </c>
      <c r="C21" s="82">
        <v>0</v>
      </c>
      <c r="D21" s="14" t="s">
        <v>30</v>
      </c>
      <c r="E21" s="11">
        <v>45921466.32</v>
      </c>
      <c r="F21" s="14" t="s">
        <v>30</v>
      </c>
      <c r="G21" s="11">
        <v>0</v>
      </c>
      <c r="H21" s="14" t="s">
        <v>33</v>
      </c>
      <c r="I21" s="11">
        <v>0</v>
      </c>
      <c r="J21" s="11">
        <v>1858871.52</v>
      </c>
      <c r="K21" s="11">
        <v>0</v>
      </c>
      <c r="L21" s="14" t="s">
        <v>33</v>
      </c>
      <c r="M21" s="14" t="s">
        <v>30</v>
      </c>
      <c r="N21" s="14" t="s">
        <v>30</v>
      </c>
      <c r="O21" s="14" t="s">
        <v>33</v>
      </c>
      <c r="P21" s="12"/>
      <c r="Q21" s="12"/>
      <c r="R21" s="12"/>
      <c r="S21" s="13"/>
      <c r="T21" s="13"/>
    </row>
    <row r="22" spans="1:21" x14ac:dyDescent="0.25">
      <c r="A22" s="12" t="s">
        <v>20</v>
      </c>
      <c r="B22" s="11">
        <v>1661063006.27</v>
      </c>
      <c r="C22" s="82">
        <v>0</v>
      </c>
      <c r="D22" s="14" t="s">
        <v>30</v>
      </c>
      <c r="E22" s="11">
        <v>0</v>
      </c>
      <c r="F22" s="14" t="s">
        <v>30</v>
      </c>
      <c r="G22" s="11">
        <v>0</v>
      </c>
      <c r="H22" s="14" t="s">
        <v>33</v>
      </c>
      <c r="I22" s="11">
        <v>0</v>
      </c>
      <c r="J22" s="11">
        <v>5408565.04</v>
      </c>
      <c r="K22" s="11">
        <v>0</v>
      </c>
      <c r="L22" s="14" t="s">
        <v>33</v>
      </c>
      <c r="M22" s="14" t="s">
        <v>30</v>
      </c>
      <c r="N22" s="14" t="s">
        <v>30</v>
      </c>
      <c r="O22" s="14" t="s">
        <v>33</v>
      </c>
      <c r="P22" s="12"/>
      <c r="Q22" s="12"/>
      <c r="R22" s="12"/>
      <c r="S22" s="13"/>
      <c r="T22" s="13"/>
    </row>
    <row r="23" spans="1:21" x14ac:dyDescent="0.25">
      <c r="A23" s="12" t="s">
        <v>21</v>
      </c>
      <c r="B23" s="11">
        <v>2317805204.4299998</v>
      </c>
      <c r="C23" s="82">
        <v>0</v>
      </c>
      <c r="D23" s="14" t="s">
        <v>30</v>
      </c>
      <c r="E23" s="11">
        <v>0</v>
      </c>
      <c r="F23" s="14" t="s">
        <v>30</v>
      </c>
      <c r="G23" s="11">
        <v>0</v>
      </c>
      <c r="H23" s="14" t="s">
        <v>33</v>
      </c>
      <c r="I23" s="11">
        <v>0</v>
      </c>
      <c r="J23" s="11">
        <v>48064586.380000003</v>
      </c>
      <c r="K23" s="11">
        <v>0</v>
      </c>
      <c r="L23" s="14" t="s">
        <v>33</v>
      </c>
      <c r="M23" s="14" t="s">
        <v>30</v>
      </c>
      <c r="N23" s="14" t="s">
        <v>30</v>
      </c>
      <c r="O23" s="14" t="s">
        <v>33</v>
      </c>
      <c r="P23" s="12"/>
      <c r="Q23" s="12"/>
      <c r="R23" s="12"/>
      <c r="S23" s="13"/>
      <c r="T23" s="13"/>
    </row>
    <row r="24" spans="1:21" x14ac:dyDescent="0.25">
      <c r="A24" s="12" t="s">
        <v>22</v>
      </c>
      <c r="B24" s="11">
        <v>1843845954.21</v>
      </c>
      <c r="C24" s="82">
        <v>0</v>
      </c>
      <c r="D24" s="14" t="s">
        <v>30</v>
      </c>
      <c r="E24" s="11">
        <v>0</v>
      </c>
      <c r="F24" s="14" t="s">
        <v>30</v>
      </c>
      <c r="G24" s="11">
        <v>0</v>
      </c>
      <c r="H24" s="14" t="s">
        <v>33</v>
      </c>
      <c r="I24" s="11">
        <v>0</v>
      </c>
      <c r="J24" s="11">
        <v>35548484.420000002</v>
      </c>
      <c r="K24" s="11">
        <v>0</v>
      </c>
      <c r="L24" s="14" t="s">
        <v>33</v>
      </c>
      <c r="M24" s="14" t="s">
        <v>30</v>
      </c>
      <c r="N24" s="14" t="s">
        <v>30</v>
      </c>
      <c r="O24" s="14" t="s">
        <v>33</v>
      </c>
      <c r="P24" s="12"/>
      <c r="Q24" s="12"/>
      <c r="R24" s="12"/>
      <c r="S24" s="13"/>
      <c r="T24" s="13"/>
    </row>
    <row r="25" spans="1:21" x14ac:dyDescent="0.25">
      <c r="A25" s="12" t="s">
        <v>23</v>
      </c>
      <c r="B25" s="11">
        <v>1186550454</v>
      </c>
      <c r="C25" s="82">
        <v>0</v>
      </c>
      <c r="D25" s="14" t="s">
        <v>30</v>
      </c>
      <c r="E25" s="11">
        <v>0</v>
      </c>
      <c r="F25" s="14" t="s">
        <v>30</v>
      </c>
      <c r="G25" s="11">
        <v>0</v>
      </c>
      <c r="H25" s="14" t="s">
        <v>33</v>
      </c>
      <c r="I25" s="11">
        <v>0</v>
      </c>
      <c r="J25" s="11">
        <v>20371467.780000001</v>
      </c>
      <c r="K25" s="11">
        <v>0</v>
      </c>
      <c r="L25" s="14" t="s">
        <v>33</v>
      </c>
      <c r="M25" s="14" t="s">
        <v>30</v>
      </c>
      <c r="N25" s="14" t="s">
        <v>30</v>
      </c>
      <c r="O25" s="14" t="s">
        <v>33</v>
      </c>
      <c r="P25" s="12"/>
      <c r="Q25" s="12"/>
      <c r="R25" s="12"/>
      <c r="S25" s="13"/>
      <c r="T25" s="13"/>
    </row>
    <row r="26" spans="1:21" x14ac:dyDescent="0.25">
      <c r="A26" s="12" t="s">
        <v>24</v>
      </c>
      <c r="B26" s="11">
        <v>0</v>
      </c>
      <c r="C26" s="82">
        <v>0</v>
      </c>
      <c r="D26" s="14" t="s">
        <v>30</v>
      </c>
      <c r="E26" s="11">
        <v>0</v>
      </c>
      <c r="F26" s="14" t="s">
        <v>30</v>
      </c>
      <c r="G26" s="11">
        <v>0</v>
      </c>
      <c r="H26" s="14" t="s">
        <v>33</v>
      </c>
      <c r="I26" s="11">
        <v>0</v>
      </c>
      <c r="J26" s="11">
        <v>20371467.780000001</v>
      </c>
      <c r="K26" s="11">
        <v>0</v>
      </c>
      <c r="L26" s="14" t="s">
        <v>33</v>
      </c>
      <c r="M26" s="14" t="s">
        <v>30</v>
      </c>
      <c r="N26" s="14" t="s">
        <v>30</v>
      </c>
      <c r="O26" s="14" t="s">
        <v>33</v>
      </c>
      <c r="P26" s="12"/>
      <c r="Q26" s="12"/>
      <c r="R26" s="12"/>
      <c r="S26" s="13"/>
      <c r="T26" s="13"/>
    </row>
    <row r="27" spans="1:21" x14ac:dyDescent="0.25">
      <c r="A27" s="12" t="s">
        <v>25</v>
      </c>
      <c r="B27" s="11">
        <v>0</v>
      </c>
      <c r="C27" s="82">
        <v>0</v>
      </c>
      <c r="D27" s="14" t="s">
        <v>30</v>
      </c>
      <c r="E27" s="11">
        <v>0</v>
      </c>
      <c r="F27" s="14" t="s">
        <v>30</v>
      </c>
      <c r="G27" s="11">
        <v>0</v>
      </c>
      <c r="H27" s="14" t="s">
        <v>33</v>
      </c>
      <c r="I27" s="11">
        <v>0</v>
      </c>
      <c r="J27" s="11">
        <v>20371467.780000001</v>
      </c>
      <c r="K27" s="11">
        <v>0</v>
      </c>
      <c r="L27" s="14" t="s">
        <v>33</v>
      </c>
      <c r="M27" s="14" t="s">
        <v>30</v>
      </c>
      <c r="N27" s="14" t="s">
        <v>30</v>
      </c>
      <c r="O27" s="14" t="s">
        <v>33</v>
      </c>
      <c r="P27" s="12"/>
      <c r="Q27" s="12"/>
      <c r="R27" s="12"/>
      <c r="S27" s="13"/>
      <c r="T27" s="13"/>
    </row>
    <row r="28" spans="1:21" s="67" customFormat="1" x14ac:dyDescent="0.25">
      <c r="A28" s="61" t="s">
        <v>806</v>
      </c>
      <c r="B28" s="63">
        <f>SUM(B19:B27)</f>
        <v>7621060078.3100004</v>
      </c>
      <c r="C28" s="63">
        <f t="shared" ref="C28" si="0">SUM(C19:C27)</f>
        <v>0</v>
      </c>
      <c r="D28" s="63" t="s">
        <v>30</v>
      </c>
      <c r="E28" s="63">
        <v>0</v>
      </c>
      <c r="F28" s="64" t="s">
        <v>30</v>
      </c>
      <c r="G28" s="63">
        <v>0</v>
      </c>
      <c r="H28" s="64" t="s">
        <v>33</v>
      </c>
      <c r="I28" s="63">
        <v>0</v>
      </c>
      <c r="J28" s="63">
        <v>20371467.780000001</v>
      </c>
      <c r="K28" s="63">
        <v>0</v>
      </c>
      <c r="L28" s="64" t="s">
        <v>33</v>
      </c>
      <c r="M28" s="64" t="s">
        <v>30</v>
      </c>
      <c r="N28" s="64" t="s">
        <v>30</v>
      </c>
      <c r="O28" s="64" t="s">
        <v>33</v>
      </c>
      <c r="P28" s="61"/>
      <c r="Q28" s="61"/>
      <c r="R28" s="61"/>
      <c r="S28" s="62"/>
      <c r="T28" s="62"/>
    </row>
    <row r="29" spans="1:21" s="67" customFormat="1" x14ac:dyDescent="0.25">
      <c r="A29" s="61" t="s">
        <v>807</v>
      </c>
      <c r="B29" s="63">
        <f>+B28/1000000</f>
        <v>7621.0600783100008</v>
      </c>
      <c r="C29" s="63">
        <f t="shared" ref="C29:E29" si="1">+C28/1000000</f>
        <v>0</v>
      </c>
      <c r="D29" s="63" t="s">
        <v>30</v>
      </c>
      <c r="E29" s="63">
        <f t="shared" si="1"/>
        <v>0</v>
      </c>
      <c r="F29" s="64" t="s">
        <v>30</v>
      </c>
      <c r="G29" s="63">
        <v>0</v>
      </c>
      <c r="H29" s="64" t="s">
        <v>33</v>
      </c>
      <c r="I29" s="63">
        <v>0</v>
      </c>
      <c r="J29" s="63">
        <f>+J28/1000000</f>
        <v>20.37146778</v>
      </c>
      <c r="K29" s="63">
        <v>0</v>
      </c>
      <c r="L29" s="64" t="s">
        <v>33</v>
      </c>
      <c r="M29" s="64" t="s">
        <v>30</v>
      </c>
      <c r="N29" s="64" t="s">
        <v>30</v>
      </c>
      <c r="O29" s="64" t="s">
        <v>33</v>
      </c>
      <c r="P29" s="61"/>
      <c r="Q29" s="61"/>
      <c r="R29" s="61"/>
      <c r="S29" s="62"/>
      <c r="T29" s="62"/>
    </row>
    <row r="30" spans="1:21" x14ac:dyDescent="0.25">
      <c r="A30" s="12" t="s">
        <v>26</v>
      </c>
      <c r="B30" s="11">
        <v>0</v>
      </c>
      <c r="C30" s="82">
        <v>0</v>
      </c>
      <c r="D30" s="14" t="s">
        <v>30</v>
      </c>
      <c r="E30" s="11">
        <v>0</v>
      </c>
      <c r="F30" s="14" t="s">
        <v>30</v>
      </c>
      <c r="G30" s="11">
        <v>0</v>
      </c>
      <c r="H30" s="14" t="s">
        <v>33</v>
      </c>
      <c r="I30" s="11">
        <v>0</v>
      </c>
      <c r="J30" s="11">
        <v>20.37</v>
      </c>
      <c r="K30" s="11">
        <v>0</v>
      </c>
      <c r="L30" s="14" t="s">
        <v>33</v>
      </c>
      <c r="M30" s="14" t="s">
        <v>30</v>
      </c>
      <c r="N30" s="14" t="s">
        <v>30</v>
      </c>
      <c r="O30" s="14" t="s">
        <v>33</v>
      </c>
      <c r="P30" s="12"/>
      <c r="Q30" s="12"/>
      <c r="R30" s="12"/>
      <c r="S30" s="13"/>
      <c r="T30" s="13"/>
    </row>
    <row r="31" spans="1:21" x14ac:dyDescent="0.25">
      <c r="A31" s="12" t="s">
        <v>27</v>
      </c>
      <c r="B31" s="11">
        <v>0</v>
      </c>
      <c r="C31" s="82">
        <v>0</v>
      </c>
      <c r="D31" s="14" t="s">
        <v>30</v>
      </c>
      <c r="E31" s="11">
        <v>0</v>
      </c>
      <c r="F31" s="14" t="s">
        <v>30</v>
      </c>
      <c r="G31" s="11">
        <v>0</v>
      </c>
      <c r="H31" s="14" t="s">
        <v>33</v>
      </c>
      <c r="I31" s="11">
        <v>1</v>
      </c>
      <c r="J31" s="11">
        <v>20.37</v>
      </c>
      <c r="K31" s="11">
        <v>0</v>
      </c>
      <c r="L31" s="14" t="s">
        <v>33</v>
      </c>
      <c r="M31" s="14" t="s">
        <v>30</v>
      </c>
      <c r="N31" s="14" t="s">
        <v>30</v>
      </c>
      <c r="O31" s="14" t="s">
        <v>33</v>
      </c>
      <c r="P31" s="12"/>
      <c r="Q31" s="12"/>
      <c r="R31" s="12"/>
      <c r="S31" s="13"/>
      <c r="T31" s="13"/>
    </row>
    <row r="32" spans="1:21" x14ac:dyDescent="0.25">
      <c r="A32" s="12" t="s">
        <v>28</v>
      </c>
      <c r="B32" s="11">
        <v>0</v>
      </c>
      <c r="C32" s="82">
        <v>0</v>
      </c>
      <c r="D32" s="14" t="s">
        <v>30</v>
      </c>
      <c r="E32" s="11">
        <v>0</v>
      </c>
      <c r="F32" s="14" t="s">
        <v>30</v>
      </c>
      <c r="G32" s="11">
        <v>0</v>
      </c>
      <c r="H32" s="14" t="s">
        <v>33</v>
      </c>
      <c r="I32" s="11">
        <v>2</v>
      </c>
      <c r="J32" s="11">
        <v>20.37</v>
      </c>
      <c r="K32" s="11">
        <v>0</v>
      </c>
      <c r="L32" s="14" t="s">
        <v>33</v>
      </c>
      <c r="M32" s="14" t="s">
        <v>30</v>
      </c>
      <c r="N32" s="14" t="s">
        <v>30</v>
      </c>
      <c r="O32" s="14" t="s">
        <v>33</v>
      </c>
      <c r="P32" s="12"/>
      <c r="Q32" s="12"/>
      <c r="R32" s="12"/>
      <c r="S32" s="13"/>
      <c r="T32" s="13"/>
    </row>
    <row r="33" spans="1:20" s="98" customFormat="1" x14ac:dyDescent="0.25">
      <c r="A33" s="93" t="s">
        <v>34</v>
      </c>
      <c r="B33" s="94">
        <f>SUM(B29:B32)</f>
        <v>7621.0600783100008</v>
      </c>
      <c r="C33" s="95">
        <v>0</v>
      </c>
      <c r="D33" s="96" t="s">
        <v>30</v>
      </c>
      <c r="E33" s="94">
        <v>0</v>
      </c>
      <c r="F33" s="96" t="s">
        <v>30</v>
      </c>
      <c r="G33" s="94">
        <v>0</v>
      </c>
      <c r="H33" s="96" t="s">
        <v>33</v>
      </c>
      <c r="I33" s="94">
        <v>3</v>
      </c>
      <c r="J33" s="94">
        <v>20.37</v>
      </c>
      <c r="K33" s="94">
        <v>0</v>
      </c>
      <c r="L33" s="96" t="s">
        <v>33</v>
      </c>
      <c r="M33" s="14" t="s">
        <v>30</v>
      </c>
      <c r="N33" s="14" t="s">
        <v>30</v>
      </c>
      <c r="O33" s="14" t="s">
        <v>33</v>
      </c>
      <c r="P33" s="93"/>
      <c r="Q33" s="93"/>
      <c r="R33" s="93"/>
      <c r="S33" s="97"/>
      <c r="T33" s="97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9"/>
  <sheetViews>
    <sheetView topLeftCell="A29" zoomScaleNormal="100" workbookViewId="0">
      <pane xSplit="1" topLeftCell="B1" activePane="topRight" state="frozen"/>
      <selection pane="topRight" activeCell="G40" sqref="G40"/>
    </sheetView>
  </sheetViews>
  <sheetFormatPr baseColWidth="10" defaultRowHeight="15" x14ac:dyDescent="0.25"/>
  <cols>
    <col min="1" max="1" width="12.42578125" customWidth="1"/>
    <col min="2" max="2" width="20" bestFit="1" customWidth="1"/>
    <col min="3" max="3" width="13.7109375" style="16" bestFit="1" customWidth="1"/>
    <col min="4" max="4" width="10" bestFit="1" customWidth="1"/>
    <col min="5" max="5" width="16.42578125" bestFit="1" customWidth="1"/>
    <col min="6" max="6" width="9.5703125" customWidth="1"/>
    <col min="7" max="7" width="15.28515625" bestFit="1" customWidth="1"/>
    <col min="8" max="8" width="16.42578125" bestFit="1" customWidth="1"/>
    <col min="9" max="9" width="13.7109375" bestFit="1" customWidth="1"/>
    <col min="10" max="10" width="11.5703125" bestFit="1" customWidth="1"/>
    <col min="11" max="11" width="15.28515625" bestFit="1" customWidth="1"/>
    <col min="12" max="12" width="16.42578125" bestFit="1" customWidth="1"/>
    <col min="13" max="13" width="16.42578125" customWidth="1"/>
    <col min="20" max="20" width="12.7109375" customWidth="1"/>
    <col min="21" max="21" width="16.42578125" bestFit="1" customWidth="1"/>
    <col min="22" max="22" width="15.28515625" bestFit="1" customWidth="1"/>
    <col min="23" max="23" width="16.42578125" bestFit="1" customWidth="1"/>
    <col min="24" max="24" width="13.7109375" customWidth="1"/>
    <col min="27" max="27" width="14.85546875" customWidth="1"/>
  </cols>
  <sheetData>
    <row r="1" spans="1:25" s="1" customFormat="1" ht="30" x14ac:dyDescent="0.25">
      <c r="A1" s="2" t="s">
        <v>29</v>
      </c>
      <c r="B1" s="2" t="s">
        <v>0</v>
      </c>
      <c r="C1" s="19" t="s">
        <v>3</v>
      </c>
      <c r="D1" s="2" t="s">
        <v>1</v>
      </c>
      <c r="E1" s="2" t="s">
        <v>4</v>
      </c>
      <c r="F1" s="2" t="s">
        <v>10</v>
      </c>
      <c r="G1" s="2" t="s">
        <v>2</v>
      </c>
      <c r="H1" s="2" t="s">
        <v>5</v>
      </c>
      <c r="I1" s="2" t="s">
        <v>6</v>
      </c>
      <c r="J1" s="2" t="s">
        <v>41</v>
      </c>
      <c r="K1" s="2" t="s">
        <v>42</v>
      </c>
      <c r="L1" s="2" t="s">
        <v>43</v>
      </c>
      <c r="M1" s="2"/>
      <c r="N1" s="2" t="s">
        <v>11</v>
      </c>
      <c r="O1" s="2" t="s">
        <v>12</v>
      </c>
      <c r="P1" s="2" t="s">
        <v>35</v>
      </c>
      <c r="Q1" s="2" t="s">
        <v>61</v>
      </c>
      <c r="R1" s="2" t="s">
        <v>13</v>
      </c>
      <c r="S1" s="2" t="s">
        <v>14</v>
      </c>
      <c r="T1" s="2" t="s">
        <v>15</v>
      </c>
      <c r="U1" s="2" t="s">
        <v>54</v>
      </c>
      <c r="V1" s="2" t="s">
        <v>53</v>
      </c>
      <c r="W1" s="2" t="s">
        <v>55</v>
      </c>
      <c r="X1" s="2"/>
      <c r="Y1" s="2" t="s">
        <v>45</v>
      </c>
    </row>
    <row r="2" spans="1:25" x14ac:dyDescent="0.25">
      <c r="A2" s="3" t="s">
        <v>18</v>
      </c>
      <c r="B2" s="8">
        <f>9040455667.93+1501883720.93+734020500.17</f>
        <v>11276359889.030001</v>
      </c>
      <c r="C2" s="10">
        <f>1530585.06+98502.14</f>
        <v>1629087.2</v>
      </c>
      <c r="D2" s="4" t="s">
        <v>30</v>
      </c>
      <c r="E2" s="10">
        <v>14353928.880000001</v>
      </c>
      <c r="F2" s="4" t="s">
        <v>30</v>
      </c>
      <c r="G2" s="11" t="s">
        <v>30</v>
      </c>
      <c r="H2" s="29">
        <v>573152673.63000298</v>
      </c>
      <c r="I2" s="10">
        <v>1104590</v>
      </c>
      <c r="J2" s="10">
        <v>0</v>
      </c>
      <c r="K2" s="20">
        <v>9471748.4700000007</v>
      </c>
      <c r="L2" s="10">
        <v>108572909</v>
      </c>
      <c r="M2" s="10"/>
      <c r="N2" s="4" t="s">
        <v>30</v>
      </c>
      <c r="O2" s="4" t="s">
        <v>30</v>
      </c>
      <c r="P2" s="4" t="s">
        <v>30</v>
      </c>
      <c r="Q2" s="4" t="s">
        <v>47</v>
      </c>
      <c r="R2" s="4" t="s">
        <v>30</v>
      </c>
      <c r="S2" s="4" t="s">
        <v>47</v>
      </c>
      <c r="T2" s="4" t="s">
        <v>47</v>
      </c>
      <c r="U2" s="30" t="s">
        <v>47</v>
      </c>
      <c r="V2" s="30" t="s">
        <v>47</v>
      </c>
      <c r="W2" s="4" t="s">
        <v>47</v>
      </c>
      <c r="X2" s="4"/>
      <c r="Y2" s="4" t="s">
        <v>30</v>
      </c>
    </row>
    <row r="3" spans="1:25" x14ac:dyDescent="0.25">
      <c r="A3" s="3" t="s">
        <v>19</v>
      </c>
      <c r="B3" s="8">
        <v>23952968704.830002</v>
      </c>
      <c r="C3" s="11">
        <f>8368719.96+505130.02</f>
        <v>8873849.9800000004</v>
      </c>
      <c r="D3" s="4" t="s">
        <v>30</v>
      </c>
      <c r="E3" s="10">
        <v>48601640.060000002</v>
      </c>
      <c r="F3" s="4" t="s">
        <v>30</v>
      </c>
      <c r="G3" s="11" t="s">
        <v>30</v>
      </c>
      <c r="H3" s="29">
        <v>1284762710.1600001</v>
      </c>
      <c r="I3" s="10">
        <v>195458.33</v>
      </c>
      <c r="J3" s="10">
        <v>0</v>
      </c>
      <c r="K3" s="11">
        <v>27914701.870000001</v>
      </c>
      <c r="L3" s="10" t="s">
        <v>47</v>
      </c>
      <c r="M3" s="10"/>
      <c r="N3" s="4" t="s">
        <v>30</v>
      </c>
      <c r="O3" s="4" t="s">
        <v>30</v>
      </c>
      <c r="P3" s="4" t="s">
        <v>30</v>
      </c>
      <c r="Q3" s="4" t="s">
        <v>47</v>
      </c>
      <c r="R3" s="4" t="s">
        <v>30</v>
      </c>
      <c r="S3" s="4" t="s">
        <v>47</v>
      </c>
      <c r="T3" s="4" t="s">
        <v>47</v>
      </c>
      <c r="U3" s="30" t="s">
        <v>47</v>
      </c>
      <c r="V3" s="30" t="s">
        <v>47</v>
      </c>
      <c r="W3" s="4" t="s">
        <v>47</v>
      </c>
      <c r="X3" s="4"/>
      <c r="Y3" s="4" t="s">
        <v>46</v>
      </c>
    </row>
    <row r="4" spans="1:25" x14ac:dyDescent="0.25">
      <c r="A4" s="3" t="s">
        <v>20</v>
      </c>
      <c r="B4" s="8">
        <v>19205080998.470001</v>
      </c>
      <c r="C4" s="11">
        <v>96730785.890000001</v>
      </c>
      <c r="D4" s="14" t="s">
        <v>30</v>
      </c>
      <c r="E4" s="11">
        <v>0</v>
      </c>
      <c r="F4" s="14" t="s">
        <v>30</v>
      </c>
      <c r="G4" s="11" t="s">
        <v>30</v>
      </c>
      <c r="H4" s="29">
        <v>631254001.77000296</v>
      </c>
      <c r="I4" s="11">
        <v>407500</v>
      </c>
      <c r="J4" s="11">
        <v>0</v>
      </c>
      <c r="K4" s="11">
        <v>30411507.960000001</v>
      </c>
      <c r="L4" s="10">
        <v>356793171.45999998</v>
      </c>
      <c r="M4" s="10"/>
      <c r="N4" s="4" t="s">
        <v>30</v>
      </c>
      <c r="O4" s="4" t="s">
        <v>30</v>
      </c>
      <c r="P4" s="4" t="s">
        <v>30</v>
      </c>
      <c r="Q4" s="4" t="s">
        <v>47</v>
      </c>
      <c r="R4" s="4" t="s">
        <v>30</v>
      </c>
      <c r="S4" s="4" t="s">
        <v>47</v>
      </c>
      <c r="T4" s="4" t="s">
        <v>47</v>
      </c>
      <c r="U4" s="30" t="s">
        <v>48</v>
      </c>
      <c r="V4" s="30" t="s">
        <v>48</v>
      </c>
      <c r="W4" s="4" t="s">
        <v>47</v>
      </c>
      <c r="X4" s="4"/>
      <c r="Y4" s="4" t="s">
        <v>30</v>
      </c>
    </row>
    <row r="5" spans="1:25" x14ac:dyDescent="0.25">
      <c r="A5" s="3" t="s">
        <v>21</v>
      </c>
      <c r="B5" s="8">
        <v>28393204325.389999</v>
      </c>
      <c r="C5" s="11">
        <v>0</v>
      </c>
      <c r="D5" s="14" t="s">
        <v>30</v>
      </c>
      <c r="E5" s="11">
        <v>42583300.719999999</v>
      </c>
      <c r="F5" s="14" t="s">
        <v>30</v>
      </c>
      <c r="G5" s="11" t="s">
        <v>30</v>
      </c>
      <c r="H5" s="29">
        <v>529136547.74000299</v>
      </c>
      <c r="I5" s="11">
        <v>347270</v>
      </c>
      <c r="J5" s="11">
        <v>165131.22</v>
      </c>
      <c r="K5" s="11">
        <v>23739515.210000001</v>
      </c>
      <c r="L5" s="10">
        <v>393101976.25999999</v>
      </c>
      <c r="M5" s="10"/>
      <c r="N5" s="4" t="s">
        <v>30</v>
      </c>
      <c r="O5" s="4" t="s">
        <v>30</v>
      </c>
      <c r="P5" s="4" t="s">
        <v>30</v>
      </c>
      <c r="Q5" s="4" t="s">
        <v>47</v>
      </c>
      <c r="R5" s="4" t="s">
        <v>47</v>
      </c>
      <c r="S5" s="4" t="s">
        <v>30</v>
      </c>
      <c r="T5" s="4" t="s">
        <v>47</v>
      </c>
      <c r="U5" s="30" t="s">
        <v>47</v>
      </c>
      <c r="V5" s="30" t="s">
        <v>47</v>
      </c>
      <c r="W5" s="4" t="s">
        <v>47</v>
      </c>
      <c r="X5" s="4"/>
      <c r="Y5" s="4" t="s">
        <v>30</v>
      </c>
    </row>
    <row r="6" spans="1:25" x14ac:dyDescent="0.25">
      <c r="A6" s="3" t="s">
        <v>22</v>
      </c>
      <c r="B6" s="8">
        <v>42188020485.110001</v>
      </c>
      <c r="C6" s="11">
        <v>0</v>
      </c>
      <c r="D6" s="14" t="s">
        <v>30</v>
      </c>
      <c r="E6" s="11">
        <v>345822730.49000001</v>
      </c>
      <c r="F6" s="14" t="s">
        <v>30</v>
      </c>
      <c r="G6" s="11" t="s">
        <v>30</v>
      </c>
      <c r="H6" s="29">
        <v>493488652.040003</v>
      </c>
      <c r="I6" s="11">
        <v>2294363.1</v>
      </c>
      <c r="J6" s="11">
        <v>0</v>
      </c>
      <c r="K6" s="11">
        <v>43245514.340000004</v>
      </c>
      <c r="L6" s="10">
        <v>267278544.11000001</v>
      </c>
      <c r="M6" s="10"/>
      <c r="N6" s="4" t="s">
        <v>30</v>
      </c>
      <c r="O6" s="4" t="s">
        <v>30</v>
      </c>
      <c r="P6" s="4" t="s">
        <v>30</v>
      </c>
      <c r="Q6" s="4" t="s">
        <v>47</v>
      </c>
      <c r="R6" s="4" t="s">
        <v>47</v>
      </c>
      <c r="S6" s="4" t="s">
        <v>47</v>
      </c>
      <c r="T6" s="4" t="s">
        <v>47</v>
      </c>
      <c r="U6" s="30" t="s">
        <v>47</v>
      </c>
      <c r="V6" s="30" t="s">
        <v>47</v>
      </c>
      <c r="W6" s="4" t="s">
        <v>47</v>
      </c>
      <c r="X6" s="4"/>
      <c r="Y6" s="4" t="s">
        <v>30</v>
      </c>
    </row>
    <row r="7" spans="1:25" x14ac:dyDescent="0.25">
      <c r="A7" s="3" t="s">
        <v>23</v>
      </c>
      <c r="B7" s="8">
        <v>41526455479.790001</v>
      </c>
      <c r="C7" s="11">
        <v>0</v>
      </c>
      <c r="D7" s="14" t="s">
        <v>30</v>
      </c>
      <c r="E7" s="11">
        <v>339682875.76999998</v>
      </c>
      <c r="F7" s="14" t="s">
        <v>30</v>
      </c>
      <c r="G7" s="11" t="s">
        <v>30</v>
      </c>
      <c r="H7" s="29">
        <v>270718750.24000299</v>
      </c>
      <c r="I7" s="11">
        <v>3683870</v>
      </c>
      <c r="J7" s="11">
        <v>0</v>
      </c>
      <c r="K7" s="11">
        <v>43256339.140000001</v>
      </c>
      <c r="L7" s="10">
        <v>395024588.24000001</v>
      </c>
      <c r="M7" s="10"/>
      <c r="N7" s="4" t="s">
        <v>30</v>
      </c>
      <c r="O7" s="4" t="s">
        <v>30</v>
      </c>
      <c r="P7" s="4" t="s">
        <v>30</v>
      </c>
      <c r="Q7" s="4" t="s">
        <v>47</v>
      </c>
      <c r="R7" s="4" t="s">
        <v>30</v>
      </c>
      <c r="S7" s="4" t="s">
        <v>47</v>
      </c>
      <c r="T7" s="4" t="s">
        <v>47</v>
      </c>
      <c r="U7" s="4" t="s">
        <v>49</v>
      </c>
      <c r="V7" s="4" t="s">
        <v>49</v>
      </c>
      <c r="W7" s="4" t="s">
        <v>47</v>
      </c>
      <c r="X7" s="4"/>
      <c r="Y7" s="4" t="s">
        <v>30</v>
      </c>
    </row>
    <row r="8" spans="1:25" x14ac:dyDescent="0.25">
      <c r="A8" s="3" t="s">
        <v>24</v>
      </c>
      <c r="B8" s="8">
        <v>31170394579.650002</v>
      </c>
      <c r="C8" s="11">
        <v>0</v>
      </c>
      <c r="D8" s="14" t="s">
        <v>30</v>
      </c>
      <c r="E8" s="11">
        <v>895431970.98000002</v>
      </c>
      <c r="F8" s="14" t="s">
        <v>30</v>
      </c>
      <c r="G8" s="11" t="s">
        <v>30</v>
      </c>
      <c r="H8" s="11">
        <v>0</v>
      </c>
      <c r="I8" s="11">
        <v>5282720</v>
      </c>
      <c r="J8" s="11">
        <v>0</v>
      </c>
      <c r="K8" s="11">
        <v>54779574.909999996</v>
      </c>
      <c r="L8" s="10">
        <v>539057489.55999994</v>
      </c>
      <c r="M8" s="10"/>
      <c r="N8" s="4" t="s">
        <v>30</v>
      </c>
      <c r="O8" s="4" t="s">
        <v>30</v>
      </c>
      <c r="P8" s="4" t="s">
        <v>30</v>
      </c>
      <c r="Q8" s="4" t="s">
        <v>47</v>
      </c>
      <c r="R8" s="4" t="s">
        <v>30</v>
      </c>
      <c r="S8" s="4" t="s">
        <v>47</v>
      </c>
      <c r="T8" s="4" t="s">
        <v>47</v>
      </c>
      <c r="U8" s="30" t="s">
        <v>50</v>
      </c>
      <c r="V8" s="30" t="s">
        <v>50</v>
      </c>
      <c r="W8" s="4" t="s">
        <v>47</v>
      </c>
      <c r="X8" s="4"/>
      <c r="Y8" s="4" t="s">
        <v>30</v>
      </c>
    </row>
    <row r="9" spans="1:25" x14ac:dyDescent="0.25">
      <c r="A9" s="3" t="s">
        <v>25</v>
      </c>
      <c r="B9" s="8">
        <f>22153343808.03+26676735271.92</f>
        <v>48830079079.949997</v>
      </c>
      <c r="C9" s="10">
        <v>0</v>
      </c>
      <c r="D9" s="4" t="s">
        <v>30</v>
      </c>
      <c r="E9" s="10">
        <v>655737813.01999998</v>
      </c>
      <c r="F9" s="4" t="s">
        <v>30</v>
      </c>
      <c r="G9" s="10">
        <v>3179043028.5300002</v>
      </c>
      <c r="H9" s="10">
        <v>879288874.82000005</v>
      </c>
      <c r="I9" s="10">
        <v>3823520</v>
      </c>
      <c r="J9" s="10">
        <v>0</v>
      </c>
      <c r="K9" s="10">
        <v>63547407.509999998</v>
      </c>
      <c r="L9" s="10">
        <v>309043075.47000003</v>
      </c>
      <c r="M9" s="10"/>
      <c r="N9" s="4" t="s">
        <v>30</v>
      </c>
      <c r="O9" s="4" t="s">
        <v>30</v>
      </c>
      <c r="P9" s="4" t="s">
        <v>30</v>
      </c>
      <c r="Q9" s="4" t="s">
        <v>47</v>
      </c>
      <c r="R9" s="4" t="s">
        <v>30</v>
      </c>
      <c r="S9" s="4" t="s">
        <v>30</v>
      </c>
      <c r="T9" s="4" t="s">
        <v>47</v>
      </c>
      <c r="U9" s="30" t="s">
        <v>51</v>
      </c>
      <c r="V9" s="30" t="s">
        <v>51</v>
      </c>
      <c r="W9" s="4" t="s">
        <v>47</v>
      </c>
      <c r="X9" s="4"/>
      <c r="Y9" s="4" t="s">
        <v>30</v>
      </c>
    </row>
    <row r="10" spans="1:25" x14ac:dyDescent="0.25">
      <c r="A10" s="3" t="s">
        <v>26</v>
      </c>
      <c r="B10" s="8">
        <v>67864006441.82</v>
      </c>
      <c r="C10" s="10">
        <v>0</v>
      </c>
      <c r="D10" s="4" t="s">
        <v>30</v>
      </c>
      <c r="E10" s="10">
        <v>705096833.89999998</v>
      </c>
      <c r="F10" s="4" t="s">
        <v>30</v>
      </c>
      <c r="G10" s="7"/>
      <c r="H10" s="10">
        <v>966227402.09000003</v>
      </c>
      <c r="I10" s="10">
        <v>223520</v>
      </c>
      <c r="J10" s="10">
        <v>0</v>
      </c>
      <c r="K10" s="10">
        <v>95064789.150000006</v>
      </c>
      <c r="L10" s="10">
        <f>266767352.71+339848532.73</f>
        <v>606615885.44000006</v>
      </c>
      <c r="M10" s="10"/>
      <c r="N10" s="14" t="s">
        <v>30</v>
      </c>
      <c r="O10" s="14" t="s">
        <v>30</v>
      </c>
      <c r="P10" s="14" t="s">
        <v>30</v>
      </c>
      <c r="Q10" s="4" t="s">
        <v>47</v>
      </c>
      <c r="R10" s="4" t="s">
        <v>30</v>
      </c>
      <c r="S10" s="30" t="s">
        <v>30</v>
      </c>
      <c r="T10" s="4" t="s">
        <v>47</v>
      </c>
      <c r="U10" s="30" t="s">
        <v>52</v>
      </c>
      <c r="V10" s="30" t="s">
        <v>52</v>
      </c>
      <c r="W10" s="4" t="s">
        <v>47</v>
      </c>
      <c r="X10" s="4"/>
      <c r="Y10" s="4" t="s">
        <v>46</v>
      </c>
    </row>
    <row r="11" spans="1:25" x14ac:dyDescent="0.25">
      <c r="A11" s="3" t="s">
        <v>27</v>
      </c>
      <c r="B11" s="8">
        <v>147829839102.11002</v>
      </c>
      <c r="C11" s="10">
        <v>0</v>
      </c>
      <c r="D11" s="4" t="s">
        <v>30</v>
      </c>
      <c r="E11" s="10">
        <v>811778688.50999999</v>
      </c>
      <c r="F11" s="4" t="s">
        <v>30</v>
      </c>
      <c r="G11" s="7"/>
      <c r="H11" s="10">
        <v>2003295113.8299999</v>
      </c>
      <c r="I11" s="10">
        <v>13294060</v>
      </c>
      <c r="J11" s="10">
        <v>0</v>
      </c>
      <c r="K11" s="10">
        <v>141029445.33000001</v>
      </c>
      <c r="L11" s="10">
        <f>338791531.68+607394225</f>
        <v>946185756.68000007</v>
      </c>
      <c r="M11" s="10"/>
      <c r="N11" s="14" t="s">
        <v>30</v>
      </c>
      <c r="O11" s="14" t="s">
        <v>30</v>
      </c>
      <c r="P11" s="14" t="s">
        <v>30</v>
      </c>
      <c r="Q11" s="4" t="s">
        <v>30</v>
      </c>
      <c r="R11" s="4"/>
      <c r="S11" s="4" t="s">
        <v>30</v>
      </c>
      <c r="T11" s="4" t="s">
        <v>47</v>
      </c>
      <c r="U11" s="30" t="s">
        <v>64</v>
      </c>
      <c r="V11" s="30" t="s">
        <v>64</v>
      </c>
      <c r="W11" s="4" t="s">
        <v>47</v>
      </c>
      <c r="X11" s="4"/>
      <c r="Y11" s="4" t="s">
        <v>30</v>
      </c>
    </row>
    <row r="12" spans="1:25" x14ac:dyDescent="0.25">
      <c r="A12" s="3" t="s">
        <v>28</v>
      </c>
      <c r="B12" s="8">
        <v>260036842742.59998</v>
      </c>
      <c r="C12" s="10">
        <v>116091043.69</v>
      </c>
      <c r="D12" s="4" t="s">
        <v>30</v>
      </c>
      <c r="E12" s="10">
        <v>0</v>
      </c>
      <c r="F12" s="4" t="s">
        <v>30</v>
      </c>
      <c r="G12" s="7"/>
      <c r="H12" s="10">
        <v>2579218505.4099998</v>
      </c>
      <c r="I12" s="10">
        <v>11134560</v>
      </c>
      <c r="J12" s="10">
        <v>0</v>
      </c>
      <c r="K12" s="10">
        <v>286005928.60000002</v>
      </c>
      <c r="L12" s="10">
        <f>870904166.01+1018412276.54</f>
        <v>1889316442.55</v>
      </c>
      <c r="M12" s="10"/>
      <c r="N12" s="14" t="s">
        <v>30</v>
      </c>
      <c r="O12" s="14" t="s">
        <v>30</v>
      </c>
      <c r="P12" s="14" t="s">
        <v>30</v>
      </c>
      <c r="Q12" s="4" t="s">
        <v>47</v>
      </c>
      <c r="R12" s="4"/>
      <c r="S12" s="4" t="s">
        <v>47</v>
      </c>
      <c r="T12" s="4" t="s">
        <v>30</v>
      </c>
      <c r="U12" s="30" t="s">
        <v>65</v>
      </c>
      <c r="V12" s="30" t="s">
        <v>65</v>
      </c>
      <c r="W12" s="4" t="s">
        <v>47</v>
      </c>
      <c r="X12" s="4"/>
      <c r="Y12" s="4" t="s">
        <v>30</v>
      </c>
    </row>
    <row r="13" spans="1:25" s="15" customFormat="1" x14ac:dyDescent="0.25">
      <c r="A13" s="12" t="s">
        <v>17</v>
      </c>
      <c r="B13" s="13">
        <v>362419252675.06995</v>
      </c>
      <c r="C13" s="11">
        <v>0</v>
      </c>
      <c r="D13" s="14" t="s">
        <v>30</v>
      </c>
      <c r="E13" s="13">
        <v>3422173882.5500002</v>
      </c>
      <c r="F13" s="4" t="s">
        <v>30</v>
      </c>
      <c r="G13" s="7"/>
      <c r="H13" s="13">
        <v>7058508368.8199997</v>
      </c>
      <c r="I13" s="13">
        <v>16990560</v>
      </c>
      <c r="J13" s="10">
        <v>0</v>
      </c>
      <c r="K13" s="13">
        <v>406262004.72000003</v>
      </c>
      <c r="L13" s="13">
        <f>1581956150.88+1435526554.46</f>
        <v>3017482705.3400002</v>
      </c>
      <c r="M13" s="13"/>
      <c r="N13" s="14" t="s">
        <v>30</v>
      </c>
      <c r="O13" s="14" t="s">
        <v>30</v>
      </c>
      <c r="P13" s="14" t="s">
        <v>30</v>
      </c>
      <c r="Q13" s="14" t="s">
        <v>47</v>
      </c>
      <c r="R13" s="14"/>
      <c r="S13" s="14" t="s">
        <v>47</v>
      </c>
      <c r="T13" s="14" t="s">
        <v>47</v>
      </c>
      <c r="U13" s="31" t="s">
        <v>66</v>
      </c>
      <c r="V13" s="31" t="s">
        <v>66</v>
      </c>
      <c r="W13" s="4" t="s">
        <v>47</v>
      </c>
      <c r="X13" s="4"/>
      <c r="Y13" s="6"/>
    </row>
    <row r="14" spans="1:25" s="39" customFormat="1" x14ac:dyDescent="0.25">
      <c r="A14" s="34" t="s">
        <v>34</v>
      </c>
      <c r="B14" s="35">
        <f>SUM(B2:B13)</f>
        <v>1084692504503.8199</v>
      </c>
      <c r="C14" s="36"/>
      <c r="D14" s="37"/>
      <c r="E14" s="36"/>
      <c r="F14" s="37"/>
      <c r="G14" s="35"/>
      <c r="H14" s="36"/>
      <c r="I14" s="36">
        <f>SUM(I2:I13)</f>
        <v>58781991.43</v>
      </c>
      <c r="J14" s="36">
        <v>0</v>
      </c>
      <c r="K14" s="36">
        <f>SUM(K2:K13)</f>
        <v>1224728477.21</v>
      </c>
      <c r="L14" s="36">
        <f>SUM(L2:L13)</f>
        <v>8828472544.1100006</v>
      </c>
      <c r="M14" s="36"/>
      <c r="N14" s="37"/>
      <c r="O14" s="37"/>
      <c r="P14" s="37"/>
      <c r="Q14" s="37"/>
      <c r="R14" s="37"/>
      <c r="S14" s="37"/>
      <c r="T14" s="34"/>
      <c r="U14" s="40"/>
      <c r="V14" s="40"/>
      <c r="W14" s="40"/>
      <c r="X14" s="40"/>
      <c r="Y14" s="37"/>
    </row>
    <row r="18" spans="1:25" s="1" customFormat="1" ht="30" x14ac:dyDescent="0.25">
      <c r="A18" s="2" t="s">
        <v>71</v>
      </c>
      <c r="B18" s="2" t="s">
        <v>0</v>
      </c>
      <c r="C18" s="19" t="s">
        <v>3</v>
      </c>
      <c r="D18" s="2" t="s">
        <v>1</v>
      </c>
      <c r="E18" s="2" t="s">
        <v>4</v>
      </c>
      <c r="F18" s="2" t="s">
        <v>10</v>
      </c>
      <c r="G18" s="2" t="s">
        <v>2</v>
      </c>
      <c r="H18" s="2" t="s">
        <v>5</v>
      </c>
      <c r="I18" s="2" t="s">
        <v>6</v>
      </c>
      <c r="J18" s="2" t="s">
        <v>41</v>
      </c>
      <c r="K18" s="2" t="s">
        <v>42</v>
      </c>
      <c r="L18" s="2" t="s">
        <v>43</v>
      </c>
      <c r="M18" s="2"/>
      <c r="N18" s="2" t="s">
        <v>11</v>
      </c>
      <c r="O18" s="2" t="s">
        <v>12</v>
      </c>
      <c r="P18" s="2" t="s">
        <v>35</v>
      </c>
      <c r="Q18" s="2" t="s">
        <v>61</v>
      </c>
      <c r="R18" s="2" t="s">
        <v>13</v>
      </c>
      <c r="S18" s="2" t="s">
        <v>14</v>
      </c>
      <c r="T18" s="2" t="s">
        <v>15</v>
      </c>
      <c r="U18" s="2" t="s">
        <v>54</v>
      </c>
      <c r="V18" s="2" t="s">
        <v>53</v>
      </c>
      <c r="W18" s="2" t="s">
        <v>55</v>
      </c>
      <c r="X18" s="2" t="s">
        <v>808</v>
      </c>
      <c r="Y18" s="2" t="s">
        <v>45</v>
      </c>
    </row>
    <row r="19" spans="1:25" x14ac:dyDescent="0.25">
      <c r="A19" s="3" t="s">
        <v>18</v>
      </c>
      <c r="B19" s="13">
        <f>217465119366.38+196089486957.72</f>
        <v>413554606324.09998</v>
      </c>
      <c r="C19" s="11">
        <v>0</v>
      </c>
      <c r="D19" s="14" t="s">
        <v>30</v>
      </c>
      <c r="E19" s="11">
        <v>4989997258.3100004</v>
      </c>
      <c r="F19" s="14" t="s">
        <v>30</v>
      </c>
      <c r="G19" s="51"/>
      <c r="H19" s="49">
        <v>7650225817.3400002</v>
      </c>
      <c r="I19" s="11">
        <v>20470560</v>
      </c>
      <c r="J19" s="11">
        <v>2143276.5499999998</v>
      </c>
      <c r="K19" s="50">
        <v>468826014.17000002</v>
      </c>
      <c r="L19" s="11">
        <f>2188665972.29+2174651193.66</f>
        <v>4363317165.9499998</v>
      </c>
      <c r="M19" s="11"/>
      <c r="N19" s="14" t="s">
        <v>30</v>
      </c>
      <c r="O19" s="14" t="s">
        <v>30</v>
      </c>
      <c r="P19" s="14" t="s">
        <v>30</v>
      </c>
      <c r="Q19" s="14"/>
      <c r="R19" s="14" t="s">
        <v>30</v>
      </c>
      <c r="S19" s="14" t="s">
        <v>30</v>
      </c>
      <c r="T19" s="14"/>
      <c r="U19" s="75">
        <v>3523195640.6100001</v>
      </c>
      <c r="V19" s="52">
        <v>683142193.25</v>
      </c>
      <c r="W19" s="52">
        <v>0</v>
      </c>
      <c r="X19" s="52">
        <v>0</v>
      </c>
      <c r="Y19" s="14"/>
    </row>
    <row r="20" spans="1:25" x14ac:dyDescent="0.25">
      <c r="A20" s="3" t="s">
        <v>19</v>
      </c>
      <c r="B20" s="13">
        <f>225003967605.51+270233615630.53</f>
        <v>495237583236.04004</v>
      </c>
      <c r="C20" s="11">
        <v>0</v>
      </c>
      <c r="D20" s="14" t="s">
        <v>30</v>
      </c>
      <c r="E20" s="11">
        <v>5764778039.0100002</v>
      </c>
      <c r="F20" s="14" t="s">
        <v>30</v>
      </c>
      <c r="G20" s="51"/>
      <c r="H20" s="49">
        <v>7635204856.8599997</v>
      </c>
      <c r="I20" s="11">
        <v>21135840</v>
      </c>
      <c r="J20" s="11">
        <v>2143276.5499999998</v>
      </c>
      <c r="K20" s="11">
        <v>719231047.77999997</v>
      </c>
      <c r="L20" s="11">
        <f>1960894869.57+2250039676.05</f>
        <v>4210934545.6199999</v>
      </c>
      <c r="M20" s="11"/>
      <c r="N20" s="14" t="s">
        <v>30</v>
      </c>
      <c r="O20" s="14" t="s">
        <v>30</v>
      </c>
      <c r="P20" s="14" t="s">
        <v>30</v>
      </c>
      <c r="Q20" s="14"/>
      <c r="R20" s="14" t="s">
        <v>30</v>
      </c>
      <c r="S20" s="14" t="s">
        <v>30</v>
      </c>
      <c r="T20" s="14"/>
      <c r="U20" s="75">
        <v>4264715307.1399999</v>
      </c>
      <c r="V20" s="52">
        <v>398424198.23000002</v>
      </c>
      <c r="W20" s="52">
        <v>0</v>
      </c>
      <c r="X20" s="52">
        <v>0</v>
      </c>
      <c r="Y20" s="14"/>
    </row>
    <row r="21" spans="1:25" x14ac:dyDescent="0.25">
      <c r="A21" s="3" t="s">
        <v>20</v>
      </c>
      <c r="B21" s="13">
        <f>298484356808.51+354274646805.67</f>
        <v>652759003614.17993</v>
      </c>
      <c r="C21" s="11">
        <v>0</v>
      </c>
      <c r="D21" s="14" t="s">
        <v>30</v>
      </c>
      <c r="E21" s="11">
        <v>11117231421.41</v>
      </c>
      <c r="F21" s="14" t="s">
        <v>30</v>
      </c>
      <c r="G21" s="51"/>
      <c r="H21" s="49">
        <v>9974812097.6499996</v>
      </c>
      <c r="I21" s="11">
        <v>27860540</v>
      </c>
      <c r="J21" s="11">
        <v>2143276.5499999998</v>
      </c>
      <c r="K21" s="11">
        <v>752207701.41999996</v>
      </c>
      <c r="L21" s="11">
        <f>2702336156.3+2984843568.08</f>
        <v>5687179724.3800001</v>
      </c>
      <c r="M21" s="11"/>
      <c r="N21" s="14" t="s">
        <v>30</v>
      </c>
      <c r="O21" s="14" t="s">
        <v>30</v>
      </c>
      <c r="P21" s="14" t="s">
        <v>30</v>
      </c>
      <c r="Q21" s="14"/>
      <c r="R21" s="14" t="s">
        <v>30</v>
      </c>
      <c r="S21" s="14" t="s">
        <v>30</v>
      </c>
      <c r="T21" s="14" t="s">
        <v>770</v>
      </c>
      <c r="U21" s="75">
        <v>4648691538.1099997</v>
      </c>
      <c r="V21" s="52">
        <v>497159074.68000001</v>
      </c>
      <c r="W21" s="52">
        <v>0</v>
      </c>
      <c r="X21" s="52">
        <v>0</v>
      </c>
      <c r="Y21" s="14"/>
    </row>
    <row r="22" spans="1:25" x14ac:dyDescent="0.25">
      <c r="A22" s="3" t="s">
        <v>21</v>
      </c>
      <c r="B22" s="13">
        <f>405111719845.65+427441658452.96</f>
        <v>832553378298.61011</v>
      </c>
      <c r="C22" s="11">
        <v>0</v>
      </c>
      <c r="D22" s="14" t="s">
        <v>30</v>
      </c>
      <c r="E22" s="11">
        <v>7513687898.7399998</v>
      </c>
      <c r="F22" s="14" t="s">
        <v>30</v>
      </c>
      <c r="G22" s="51"/>
      <c r="H22" s="49">
        <v>12174726644</v>
      </c>
      <c r="I22" s="11">
        <v>61381667.880000003</v>
      </c>
      <c r="J22" s="11">
        <v>3602585.75</v>
      </c>
      <c r="K22" s="11">
        <v>1971711430.0899999</v>
      </c>
      <c r="L22" s="11">
        <f>3542746468.05+4051117198.45</f>
        <v>7593863666.5</v>
      </c>
      <c r="M22" s="11"/>
      <c r="N22" s="14" t="s">
        <v>30</v>
      </c>
      <c r="O22" s="14" t="s">
        <v>30</v>
      </c>
      <c r="P22" s="14" t="s">
        <v>30</v>
      </c>
      <c r="Q22" s="14"/>
      <c r="R22" s="14"/>
      <c r="S22" s="14" t="s">
        <v>30</v>
      </c>
      <c r="T22" s="14"/>
      <c r="U22" s="75">
        <v>5635995055.6300001</v>
      </c>
      <c r="V22" s="52">
        <v>665239877.35000002</v>
      </c>
      <c r="W22" s="52">
        <v>0</v>
      </c>
      <c r="X22" s="52">
        <v>0</v>
      </c>
      <c r="Y22" s="14"/>
    </row>
    <row r="23" spans="1:25" x14ac:dyDescent="0.25">
      <c r="A23" s="3" t="s">
        <v>22</v>
      </c>
      <c r="B23" s="13">
        <f>421146133017.63+479488391360.54</f>
        <v>900634524378.16992</v>
      </c>
      <c r="C23" s="11">
        <v>0</v>
      </c>
      <c r="D23" s="14" t="s">
        <v>30</v>
      </c>
      <c r="E23" s="11">
        <v>21892392112.959999</v>
      </c>
      <c r="F23" s="14" t="s">
        <v>30</v>
      </c>
      <c r="G23" s="51"/>
      <c r="H23" s="49">
        <v>19393590643.470001</v>
      </c>
      <c r="I23" s="11">
        <v>37076000</v>
      </c>
      <c r="J23" s="11">
        <v>3602585.75</v>
      </c>
      <c r="K23" s="11">
        <v>1826622350.6700001</v>
      </c>
      <c r="L23" s="11">
        <f>4274416584.52+4211461330.17</f>
        <v>8485877914.6900005</v>
      </c>
      <c r="M23" s="11"/>
      <c r="N23" s="14" t="s">
        <v>30</v>
      </c>
      <c r="O23" s="14" t="s">
        <v>30</v>
      </c>
      <c r="P23" s="14" t="s">
        <v>30</v>
      </c>
      <c r="Q23" s="14"/>
      <c r="R23" s="14"/>
      <c r="S23" s="14" t="s">
        <v>30</v>
      </c>
      <c r="T23" s="14"/>
      <c r="U23" s="75">
        <v>7306408594.8599997</v>
      </c>
      <c r="V23" s="52">
        <v>986594823.97000003</v>
      </c>
      <c r="W23" s="52">
        <v>170367253.44999999</v>
      </c>
      <c r="X23" s="52">
        <v>0</v>
      </c>
      <c r="Y23" s="14"/>
    </row>
    <row r="24" spans="1:25" x14ac:dyDescent="0.25">
      <c r="A24" s="3" t="s">
        <v>23</v>
      </c>
      <c r="B24" s="13">
        <f>538625324648.47+712185630558.83</f>
        <v>1250810955207.2998</v>
      </c>
      <c r="C24" s="11">
        <v>0</v>
      </c>
      <c r="D24" s="14" t="s">
        <v>30</v>
      </c>
      <c r="E24" s="11">
        <v>25614002623.919998</v>
      </c>
      <c r="F24" s="14" t="s">
        <v>30</v>
      </c>
      <c r="G24" s="51"/>
      <c r="H24" s="49">
        <v>19608379112.290001</v>
      </c>
      <c r="I24" s="11">
        <v>42796000</v>
      </c>
      <c r="J24" s="11">
        <v>9829274</v>
      </c>
      <c r="K24" s="11">
        <v>1093215586.3499999</v>
      </c>
      <c r="L24" s="11">
        <f>4794883913.6+5386253246.48</f>
        <v>10181137160.08</v>
      </c>
      <c r="M24" s="11"/>
      <c r="N24" s="14" t="s">
        <v>30</v>
      </c>
      <c r="O24" s="14" t="s">
        <v>30</v>
      </c>
      <c r="P24" s="14" t="s">
        <v>30</v>
      </c>
      <c r="Q24" s="14"/>
      <c r="R24" s="14"/>
      <c r="S24" s="14"/>
      <c r="T24" s="14"/>
      <c r="U24" s="75">
        <v>7838559016.79</v>
      </c>
      <c r="V24" s="52">
        <v>1455477510.5999999</v>
      </c>
      <c r="W24" s="52">
        <v>283508574.19</v>
      </c>
      <c r="X24" s="52">
        <v>0</v>
      </c>
      <c r="Y24" s="14"/>
    </row>
    <row r="25" spans="1:25" x14ac:dyDescent="0.25">
      <c r="A25" s="3" t="s">
        <v>24</v>
      </c>
      <c r="B25" s="13">
        <f>711047240278.86+733813423729.25</f>
        <v>1444860664008.1099</v>
      </c>
      <c r="C25" s="11">
        <v>0</v>
      </c>
      <c r="D25" s="14" t="s">
        <v>30</v>
      </c>
      <c r="E25" s="11">
        <v>43314029162.739998</v>
      </c>
      <c r="F25" s="14" t="s">
        <v>30</v>
      </c>
      <c r="G25" s="51"/>
      <c r="H25" s="11">
        <v>28105960462.279999</v>
      </c>
      <c r="I25" s="11">
        <v>48021000</v>
      </c>
      <c r="J25" s="11"/>
      <c r="K25" s="11">
        <v>1512731783.5999999</v>
      </c>
      <c r="L25" s="11">
        <f>7121856305.58+7110472402.78</f>
        <v>14232328708.360001</v>
      </c>
      <c r="M25" s="11"/>
      <c r="N25" s="14" t="s">
        <v>30</v>
      </c>
      <c r="O25" s="14" t="s">
        <v>30</v>
      </c>
      <c r="P25" s="14" t="s">
        <v>30</v>
      </c>
      <c r="Q25" s="14"/>
      <c r="R25" s="14"/>
      <c r="S25" s="14"/>
      <c r="T25" s="14"/>
      <c r="U25" s="52">
        <v>12101856862.18</v>
      </c>
      <c r="V25" s="52">
        <v>1461885465.4100001</v>
      </c>
      <c r="W25" s="52">
        <v>0</v>
      </c>
      <c r="X25" s="52">
        <v>0</v>
      </c>
      <c r="Y25" s="14"/>
    </row>
    <row r="26" spans="1:25" x14ac:dyDescent="0.25">
      <c r="A26" s="3" t="s">
        <v>25</v>
      </c>
      <c r="B26" s="13">
        <f>764174035029.88+879608904752.79</f>
        <v>1643782939782.6699</v>
      </c>
      <c r="C26" s="11">
        <v>0</v>
      </c>
      <c r="D26" s="14" t="s">
        <v>30</v>
      </c>
      <c r="E26" s="11">
        <v>58411310000</v>
      </c>
      <c r="F26" s="14" t="s">
        <v>30</v>
      </c>
      <c r="G26" s="51"/>
      <c r="H26" s="11">
        <v>25876797105.119999</v>
      </c>
      <c r="I26" s="11">
        <v>47310000</v>
      </c>
      <c r="J26" s="11"/>
      <c r="K26" s="11">
        <v>1608490000</v>
      </c>
      <c r="L26" s="11">
        <f>7338134237.29+7641740350.29</f>
        <v>14979874587.58</v>
      </c>
      <c r="M26" s="11"/>
      <c r="N26" s="14" t="s">
        <v>30</v>
      </c>
      <c r="O26" s="14" t="s">
        <v>30</v>
      </c>
      <c r="P26" s="14" t="s">
        <v>30</v>
      </c>
      <c r="Q26" s="14"/>
      <c r="R26" s="14"/>
      <c r="S26" s="14"/>
      <c r="T26" s="14"/>
      <c r="U26" s="52">
        <v>13750734469.58</v>
      </c>
      <c r="V26" s="52">
        <v>1635160360.29</v>
      </c>
      <c r="W26" s="52">
        <v>0</v>
      </c>
      <c r="X26" s="52">
        <v>0</v>
      </c>
      <c r="Y26" s="14"/>
    </row>
    <row r="27" spans="1:25" s="67" customFormat="1" x14ac:dyDescent="0.25">
      <c r="A27" s="61" t="s">
        <v>773</v>
      </c>
      <c r="B27" s="62">
        <f>SUM(B19:B26)</f>
        <v>7634193654849.1797</v>
      </c>
      <c r="C27" s="63">
        <f>SUM(C19:C26)</f>
        <v>0</v>
      </c>
      <c r="D27" s="64" t="s">
        <v>30</v>
      </c>
      <c r="E27" s="63">
        <v>58411310000</v>
      </c>
      <c r="F27" s="64" t="s">
        <v>30</v>
      </c>
      <c r="G27" s="63"/>
      <c r="H27" s="63">
        <v>25876797105.119999</v>
      </c>
      <c r="I27" s="63">
        <v>47310000</v>
      </c>
      <c r="J27" s="63">
        <f>+J24</f>
        <v>9829274</v>
      </c>
      <c r="K27" s="63">
        <f>SUM(K19:K26)</f>
        <v>9953035914.0799999</v>
      </c>
      <c r="L27" s="63">
        <f>SUM(L19:L26)</f>
        <v>69734513473.160004</v>
      </c>
      <c r="M27" s="63"/>
      <c r="N27" s="64"/>
      <c r="O27" s="64"/>
      <c r="P27" s="64"/>
      <c r="Q27" s="64"/>
      <c r="R27" s="64"/>
      <c r="S27" s="64"/>
      <c r="T27" s="64"/>
      <c r="U27" s="74">
        <f>SUM(U19:U26)</f>
        <v>59070156484.900009</v>
      </c>
      <c r="V27" s="74">
        <f>SUM(V19:V26)</f>
        <v>7783083503.7799997</v>
      </c>
      <c r="W27" s="74">
        <f>SUM(W19:W26)</f>
        <v>453875827.63999999</v>
      </c>
      <c r="X27" s="74">
        <v>0</v>
      </c>
      <c r="Y27" s="64"/>
    </row>
    <row r="28" spans="1:25" s="67" customFormat="1" x14ac:dyDescent="0.25">
      <c r="A28" s="61" t="s">
        <v>774</v>
      </c>
      <c r="B28" s="62">
        <f>+B27/1000000</f>
        <v>7634193.65484918</v>
      </c>
      <c r="C28" s="63">
        <v>0</v>
      </c>
      <c r="D28" s="64" t="s">
        <v>30</v>
      </c>
      <c r="E28" s="63">
        <f>+E27/1000000</f>
        <v>58411.31</v>
      </c>
      <c r="F28" s="64" t="s">
        <v>30</v>
      </c>
      <c r="G28" s="63"/>
      <c r="H28" s="63">
        <f>+H27/1000000</f>
        <v>25876.79710512</v>
      </c>
      <c r="I28" s="63">
        <f>+I27/1000000</f>
        <v>47.31</v>
      </c>
      <c r="J28" s="63">
        <f>+J27/1000000</f>
        <v>9.8292739999999998</v>
      </c>
      <c r="K28" s="63">
        <f>+K27/1000000</f>
        <v>9953.0359140799992</v>
      </c>
      <c r="L28" s="63">
        <f>+L27/1000000</f>
        <v>69734.513473159997</v>
      </c>
      <c r="M28" s="63"/>
      <c r="N28" s="64"/>
      <c r="O28" s="64"/>
      <c r="P28" s="64"/>
      <c r="Q28" s="64"/>
      <c r="R28" s="64"/>
      <c r="S28" s="64"/>
      <c r="T28" s="64"/>
      <c r="U28" s="74">
        <f>+U27/1000000</f>
        <v>59070.156484900006</v>
      </c>
      <c r="V28" s="74">
        <f>+V27/1000000</f>
        <v>7783.0835037799998</v>
      </c>
      <c r="W28" s="74">
        <f>+W27/1000000</f>
        <v>453.87582764000001</v>
      </c>
      <c r="X28" s="74">
        <v>0</v>
      </c>
      <c r="Y28" s="64"/>
    </row>
    <row r="29" spans="1:25" x14ac:dyDescent="0.25">
      <c r="A29" s="3" t="s">
        <v>26</v>
      </c>
      <c r="B29" s="13">
        <f>831000.93+944572.39</f>
        <v>1775573.32</v>
      </c>
      <c r="C29" s="11">
        <v>0</v>
      </c>
      <c r="D29" s="14" t="s">
        <v>30</v>
      </c>
      <c r="E29" s="11">
        <v>59652.41</v>
      </c>
      <c r="F29" s="14" t="s">
        <v>30</v>
      </c>
      <c r="G29" s="7"/>
      <c r="H29" s="11">
        <v>17689.759999999998</v>
      </c>
      <c r="I29" s="11">
        <v>48.96</v>
      </c>
      <c r="J29" s="11">
        <v>9.83</v>
      </c>
      <c r="K29" s="11">
        <v>1826.98</v>
      </c>
      <c r="L29" s="11">
        <f>8796.08+8310</f>
        <v>17106.080000000002</v>
      </c>
      <c r="M29" s="11"/>
      <c r="N29" s="14" t="s">
        <v>30</v>
      </c>
      <c r="O29" s="14" t="s">
        <v>30</v>
      </c>
      <c r="P29" s="14" t="s">
        <v>30</v>
      </c>
      <c r="Q29" s="14"/>
      <c r="R29" s="14"/>
      <c r="S29" s="31"/>
      <c r="T29" s="14"/>
      <c r="U29" s="52">
        <v>13041.26</v>
      </c>
      <c r="V29" s="52">
        <v>1985.25</v>
      </c>
      <c r="W29" s="52">
        <v>33158.15</v>
      </c>
      <c r="X29" s="52">
        <v>0</v>
      </c>
      <c r="Y29" s="14"/>
    </row>
    <row r="30" spans="1:25" x14ac:dyDescent="0.25">
      <c r="A30" s="3" t="s">
        <v>27</v>
      </c>
      <c r="B30" s="13">
        <f>890778.12+984682.63</f>
        <v>1875460.75</v>
      </c>
      <c r="C30" s="11">
        <v>0</v>
      </c>
      <c r="D30" s="14" t="s">
        <v>30</v>
      </c>
      <c r="E30" s="11">
        <v>78856.509999999995</v>
      </c>
      <c r="F30" s="14" t="s">
        <v>30</v>
      </c>
      <c r="G30" s="7"/>
      <c r="H30" s="11">
        <v>30787.89</v>
      </c>
      <c r="I30" s="11">
        <v>52.59</v>
      </c>
      <c r="J30" s="11">
        <v>27.94</v>
      </c>
      <c r="K30" s="11">
        <v>1941.19</v>
      </c>
      <c r="L30" s="11">
        <f>9445.72+8907.78</f>
        <v>18353.5</v>
      </c>
      <c r="M30" s="11"/>
      <c r="N30" s="14" t="s">
        <v>30</v>
      </c>
      <c r="O30" s="14" t="s">
        <v>30</v>
      </c>
      <c r="P30" s="14" t="s">
        <v>30</v>
      </c>
      <c r="Q30" s="14"/>
      <c r="R30" s="14"/>
      <c r="S30" s="14"/>
      <c r="T30" s="14"/>
      <c r="U30" s="52">
        <v>13326.93</v>
      </c>
      <c r="V30" s="52">
        <v>2354.73</v>
      </c>
      <c r="W30" s="52">
        <v>6390.81</v>
      </c>
      <c r="X30" s="52">
        <v>499.08</v>
      </c>
      <c r="Y30" s="14"/>
    </row>
    <row r="31" spans="1:25" x14ac:dyDescent="0.25">
      <c r="A31" s="3" t="s">
        <v>28</v>
      </c>
      <c r="B31" s="13">
        <f>1077792.65+1548161.82</f>
        <v>2625954.4699999997</v>
      </c>
      <c r="C31" s="11">
        <v>0</v>
      </c>
      <c r="D31" s="14" t="s">
        <v>30</v>
      </c>
      <c r="E31" s="11">
        <v>101486.11</v>
      </c>
      <c r="F31" s="14" t="s">
        <v>30</v>
      </c>
      <c r="G31" s="7"/>
      <c r="H31" s="11">
        <v>28511.13</v>
      </c>
      <c r="I31" s="11">
        <v>40.01</v>
      </c>
      <c r="J31" s="11">
        <v>27.94</v>
      </c>
      <c r="K31" s="11">
        <v>2802.67</v>
      </c>
      <c r="L31" s="11">
        <f>9846.82+10777.92</f>
        <v>20624.739999999998</v>
      </c>
      <c r="M31" s="11"/>
      <c r="N31" s="14" t="s">
        <v>30</v>
      </c>
      <c r="O31" s="14" t="s">
        <v>30</v>
      </c>
      <c r="P31" s="14" t="s">
        <v>30</v>
      </c>
      <c r="Q31" s="14"/>
      <c r="R31" s="14"/>
      <c r="S31" s="14"/>
      <c r="T31" s="14"/>
      <c r="U31" s="52">
        <v>14245.89</v>
      </c>
      <c r="V31" s="52">
        <v>2285.2800000000002</v>
      </c>
      <c r="W31" s="52">
        <v>6657.11</v>
      </c>
      <c r="X31" s="52">
        <v>4070.93</v>
      </c>
      <c r="Y31" s="14"/>
    </row>
    <row r="32" spans="1:25" s="15" customFormat="1" x14ac:dyDescent="0.25">
      <c r="A32" s="12" t="s">
        <v>17</v>
      </c>
      <c r="B32" s="13">
        <f>1044125.68+1532293.38</f>
        <v>2576419.06</v>
      </c>
      <c r="C32" s="11">
        <v>0</v>
      </c>
      <c r="D32" s="14" t="s">
        <v>30</v>
      </c>
      <c r="E32" s="11">
        <v>129889.95</v>
      </c>
      <c r="F32" s="14" t="s">
        <v>30</v>
      </c>
      <c r="G32" s="7"/>
      <c r="H32" s="11">
        <v>51869.27</v>
      </c>
      <c r="I32" s="11">
        <v>187.43</v>
      </c>
      <c r="J32" s="11">
        <v>27.94</v>
      </c>
      <c r="K32" s="11">
        <v>2061.62</v>
      </c>
      <c r="L32" s="11">
        <f>15481.61+10441.25</f>
        <v>25922.86</v>
      </c>
      <c r="M32" s="11"/>
      <c r="N32" s="14" t="s">
        <v>30</v>
      </c>
      <c r="O32" s="14" t="s">
        <v>30</v>
      </c>
      <c r="P32" s="14" t="s">
        <v>30</v>
      </c>
      <c r="Q32" s="14"/>
      <c r="R32" s="14"/>
      <c r="S32" s="14"/>
      <c r="T32" s="14"/>
      <c r="U32" s="52">
        <v>21623.5</v>
      </c>
      <c r="V32" s="52">
        <v>2530.23</v>
      </c>
      <c r="W32" s="52">
        <v>8628.1200000000008</v>
      </c>
      <c r="X32" s="52">
        <v>5482.75</v>
      </c>
      <c r="Y32" s="14"/>
    </row>
    <row r="33" spans="1:28" s="39" customFormat="1" x14ac:dyDescent="0.25">
      <c r="A33" s="34" t="s">
        <v>34</v>
      </c>
      <c r="B33" s="35">
        <f>SUM(B28:B32)</f>
        <v>16487601.254849179</v>
      </c>
      <c r="C33" s="36"/>
      <c r="D33" s="37"/>
      <c r="E33" s="36"/>
      <c r="F33" s="37"/>
      <c r="G33" s="35"/>
      <c r="H33" s="36">
        <f>+H32</f>
        <v>51869.27</v>
      </c>
      <c r="I33" s="36">
        <v>187.43</v>
      </c>
      <c r="J33" s="36">
        <v>27.94</v>
      </c>
      <c r="K33" s="36">
        <f>SUM(K28:K32)</f>
        <v>18585.495914079998</v>
      </c>
      <c r="L33" s="36">
        <f>SUM(L28:L32)</f>
        <v>151741.69347315998</v>
      </c>
      <c r="M33" s="36"/>
      <c r="N33" s="37"/>
      <c r="O33" s="37"/>
      <c r="P33" s="37"/>
      <c r="Q33" s="37"/>
      <c r="R33" s="37"/>
      <c r="S33" s="37"/>
      <c r="T33" s="34"/>
      <c r="U33" s="99">
        <f>SUM(U28:U32)</f>
        <v>121307.73648490002</v>
      </c>
      <c r="V33" s="99">
        <f>SUM(V28:V32)</f>
        <v>16938.57350378</v>
      </c>
      <c r="W33" s="99">
        <f>SUM(W28:W32)</f>
        <v>55288.065827639999</v>
      </c>
      <c r="X33" s="99">
        <f>SUM(X29:X32)</f>
        <v>10052.76</v>
      </c>
      <c r="Y33" s="37"/>
    </row>
    <row r="35" spans="1:28" x14ac:dyDescent="0.25">
      <c r="B35" s="16"/>
    </row>
    <row r="36" spans="1:28" s="1" customFormat="1" ht="30" x14ac:dyDescent="0.25">
      <c r="A36" s="2" t="s">
        <v>780</v>
      </c>
      <c r="B36" s="2" t="s">
        <v>0</v>
      </c>
      <c r="C36" s="19" t="s">
        <v>3</v>
      </c>
      <c r="D36" s="2" t="s">
        <v>1</v>
      </c>
      <c r="E36" s="2" t="s">
        <v>4</v>
      </c>
      <c r="F36" s="2" t="s">
        <v>10</v>
      </c>
      <c r="G36" s="2" t="s">
        <v>2</v>
      </c>
      <c r="H36" s="2" t="s">
        <v>5</v>
      </c>
      <c r="I36" s="2" t="s">
        <v>6</v>
      </c>
      <c r="J36" s="2" t="s">
        <v>41</v>
      </c>
      <c r="K36" s="2" t="s">
        <v>42</v>
      </c>
      <c r="L36" s="2" t="s">
        <v>43</v>
      </c>
      <c r="M36" s="2" t="s">
        <v>819</v>
      </c>
      <c r="N36" s="2" t="s">
        <v>11</v>
      </c>
      <c r="O36" s="2" t="s">
        <v>12</v>
      </c>
      <c r="P36" s="2" t="s">
        <v>35</v>
      </c>
      <c r="Q36" s="2" t="s">
        <v>61</v>
      </c>
      <c r="R36" s="2" t="s">
        <v>13</v>
      </c>
      <c r="S36" s="2" t="s">
        <v>14</v>
      </c>
      <c r="T36" s="2" t="s">
        <v>15</v>
      </c>
      <c r="U36" s="2" t="s">
        <v>54</v>
      </c>
      <c r="V36" s="2" t="s">
        <v>53</v>
      </c>
      <c r="W36" s="2" t="s">
        <v>55</v>
      </c>
      <c r="X36" s="2" t="s">
        <v>808</v>
      </c>
      <c r="Y36" s="2" t="s">
        <v>45</v>
      </c>
      <c r="Z36" s="1" t="s">
        <v>821</v>
      </c>
      <c r="AA36" s="1" t="s">
        <v>822</v>
      </c>
      <c r="AB36" s="1" t="s">
        <v>823</v>
      </c>
    </row>
    <row r="37" spans="1:28" x14ac:dyDescent="0.25">
      <c r="A37" s="3" t="s">
        <v>18</v>
      </c>
      <c r="B37" s="13">
        <f>1011979.3+918353.26</f>
        <v>1930332.56</v>
      </c>
      <c r="C37" s="11">
        <v>0</v>
      </c>
      <c r="D37" s="14" t="s">
        <v>30</v>
      </c>
      <c r="E37" s="11">
        <v>151145.78</v>
      </c>
      <c r="F37" s="14" t="s">
        <v>30</v>
      </c>
      <c r="G37" s="11"/>
      <c r="H37" s="53">
        <v>22894.17</v>
      </c>
      <c r="I37" s="11">
        <v>143.25</v>
      </c>
      <c r="J37" s="11">
        <v>55.89</v>
      </c>
      <c r="K37" s="50">
        <v>819.85</v>
      </c>
      <c r="L37" s="11">
        <f>15322.93+10119.79</f>
        <v>25442.720000000001</v>
      </c>
      <c r="M37" s="11">
        <v>0</v>
      </c>
      <c r="N37" s="14" t="s">
        <v>30</v>
      </c>
      <c r="O37" s="14" t="s">
        <v>30</v>
      </c>
      <c r="P37" s="14" t="s">
        <v>30</v>
      </c>
      <c r="Q37" s="14"/>
      <c r="R37" s="31" t="s">
        <v>814</v>
      </c>
      <c r="S37" s="31" t="s">
        <v>814</v>
      </c>
      <c r="T37" s="14" t="s">
        <v>813</v>
      </c>
      <c r="U37" s="100">
        <v>24465.17</v>
      </c>
      <c r="V37" s="68">
        <v>2809.29</v>
      </c>
      <c r="W37" s="68">
        <v>6964.14</v>
      </c>
      <c r="X37" s="68">
        <v>5154.49</v>
      </c>
      <c r="Y37" s="14"/>
      <c r="Z37" s="9"/>
      <c r="AA37" s="9"/>
    </row>
    <row r="38" spans="1:28" x14ac:dyDescent="0.25">
      <c r="A38" s="3" t="s">
        <v>19</v>
      </c>
      <c r="B38" s="13">
        <f>1423525.84+1401483.06</f>
        <v>2825008.9000000004</v>
      </c>
      <c r="C38" s="11">
        <v>0</v>
      </c>
      <c r="D38" s="14" t="s">
        <v>30</v>
      </c>
      <c r="E38" s="11">
        <v>144199.82</v>
      </c>
      <c r="F38" s="14" t="s">
        <v>30</v>
      </c>
      <c r="G38" s="11"/>
      <c r="H38" s="53">
        <v>37715.379999999997</v>
      </c>
      <c r="I38" s="11">
        <v>218.69</v>
      </c>
      <c r="J38" s="11">
        <v>81.540000000000006</v>
      </c>
      <c r="K38" s="11">
        <v>1030.01</v>
      </c>
      <c r="L38" s="11">
        <f>9183.53+14235.25</f>
        <v>23418.78</v>
      </c>
      <c r="M38" s="11">
        <v>0</v>
      </c>
      <c r="N38" s="14" t="s">
        <v>30</v>
      </c>
      <c r="O38" s="14" t="s">
        <v>30</v>
      </c>
      <c r="P38" s="14" t="s">
        <v>30</v>
      </c>
      <c r="Q38" s="14"/>
      <c r="R38" s="31" t="s">
        <v>816</v>
      </c>
      <c r="S38" s="31" t="s">
        <v>816</v>
      </c>
      <c r="T38" s="14"/>
      <c r="U38" s="100">
        <v>15112.2</v>
      </c>
      <c r="V38" s="68">
        <v>2349.65</v>
      </c>
      <c r="W38" s="68">
        <v>6590.63</v>
      </c>
      <c r="X38" s="68">
        <v>4411.79</v>
      </c>
      <c r="Y38" s="14"/>
      <c r="Z38" s="9"/>
      <c r="AA38" s="9"/>
    </row>
    <row r="39" spans="1:28" x14ac:dyDescent="0.25">
      <c r="A39" s="3" t="s">
        <v>20</v>
      </c>
      <c r="B39" s="13">
        <f>1561000.75+1413979.31</f>
        <v>2974980.06</v>
      </c>
      <c r="C39" s="11">
        <v>0</v>
      </c>
      <c r="D39" s="14" t="s">
        <v>30</v>
      </c>
      <c r="E39" s="11">
        <v>117149.99</v>
      </c>
      <c r="F39" s="14" t="s">
        <v>30</v>
      </c>
      <c r="G39" s="11"/>
      <c r="H39" s="53">
        <v>37238.74</v>
      </c>
      <c r="I39" s="11">
        <v>221.9</v>
      </c>
      <c r="J39" s="11">
        <v>81.540000000000006</v>
      </c>
      <c r="K39" s="11">
        <v>1775.59</v>
      </c>
      <c r="L39" s="11">
        <f>14014.83+15610</f>
        <v>29624.83</v>
      </c>
      <c r="M39" s="11">
        <f>700.81+5709.61</f>
        <v>6410.42</v>
      </c>
      <c r="N39" s="14" t="s">
        <v>30</v>
      </c>
      <c r="O39" s="14" t="s">
        <v>30</v>
      </c>
      <c r="P39" s="14" t="s">
        <v>30</v>
      </c>
      <c r="Q39" s="14"/>
      <c r="R39" s="31"/>
      <c r="S39" s="31" t="s">
        <v>815</v>
      </c>
      <c r="T39" s="14"/>
      <c r="U39" s="100">
        <v>40886.44</v>
      </c>
      <c r="V39" s="68">
        <v>2880.01</v>
      </c>
      <c r="W39" s="68">
        <v>6383.88</v>
      </c>
      <c r="X39" s="68">
        <v>5512.37</v>
      </c>
      <c r="Y39" s="14" t="s">
        <v>30</v>
      </c>
      <c r="Z39" s="9" t="s">
        <v>30</v>
      </c>
      <c r="AA39" s="9" t="s">
        <v>30</v>
      </c>
    </row>
    <row r="40" spans="1:28" x14ac:dyDescent="0.25">
      <c r="A40" s="3" t="s">
        <v>21</v>
      </c>
      <c r="B40" s="13">
        <f>1553452.34+1547331.31</f>
        <v>3100783.6500000004</v>
      </c>
      <c r="C40" s="11">
        <v>0</v>
      </c>
      <c r="D40" s="14" t="s">
        <v>30</v>
      </c>
      <c r="E40" s="11">
        <v>93315.8</v>
      </c>
      <c r="F40" s="14" t="s">
        <v>30</v>
      </c>
      <c r="G40" s="11"/>
      <c r="H40" s="53">
        <v>36997.019999999997</v>
      </c>
      <c r="I40" s="11">
        <v>347.96</v>
      </c>
      <c r="J40" s="11">
        <v>81.540000000000006</v>
      </c>
      <c r="K40" s="11">
        <v>1575.02</v>
      </c>
      <c r="L40" s="11">
        <f>14139.79+15534.52</f>
        <v>29674.31</v>
      </c>
      <c r="M40" s="11">
        <f>15263.87+18288.51</f>
        <v>33552.379999999997</v>
      </c>
      <c r="N40" s="14" t="s">
        <v>30</v>
      </c>
      <c r="O40" s="14" t="s">
        <v>30</v>
      </c>
      <c r="P40" s="14" t="s">
        <v>30</v>
      </c>
      <c r="Q40" s="14"/>
      <c r="R40" s="31" t="s">
        <v>815</v>
      </c>
      <c r="S40" s="31" t="s">
        <v>826</v>
      </c>
      <c r="T40" s="14" t="s">
        <v>812</v>
      </c>
      <c r="U40" s="100">
        <v>32502.82</v>
      </c>
      <c r="V40" s="68">
        <v>5901.49</v>
      </c>
      <c r="W40" s="68">
        <v>6626.62</v>
      </c>
      <c r="X40" s="68">
        <v>5694.09</v>
      </c>
      <c r="Y40" s="14"/>
      <c r="Z40" s="9"/>
      <c r="AA40" s="9"/>
    </row>
    <row r="41" spans="1:28" x14ac:dyDescent="0.25">
      <c r="A41" s="3" t="s">
        <v>22</v>
      </c>
      <c r="B41" s="13">
        <f>1505504.84+1665692.08</f>
        <v>3171196.92</v>
      </c>
      <c r="C41" s="11">
        <v>0</v>
      </c>
      <c r="D41" s="14" t="s">
        <v>30</v>
      </c>
      <c r="E41" s="11">
        <v>65777.399999999994</v>
      </c>
      <c r="F41" s="14" t="s">
        <v>30</v>
      </c>
      <c r="G41" s="11"/>
      <c r="H41" s="53">
        <v>38252.449999999997</v>
      </c>
      <c r="I41" s="11">
        <v>247.37</v>
      </c>
      <c r="J41" s="11">
        <v>81.540000000000006</v>
      </c>
      <c r="K41" s="11">
        <v>1723.05</v>
      </c>
      <c r="L41" s="11">
        <f>15473.31+15055.04</f>
        <v>30528.35</v>
      </c>
      <c r="M41" s="11">
        <f>19128.11+19792.85</f>
        <v>38920.959999999999</v>
      </c>
      <c r="N41" s="14" t="s">
        <v>30</v>
      </c>
      <c r="O41" s="14" t="s">
        <v>30</v>
      </c>
      <c r="P41" s="14" t="s">
        <v>30</v>
      </c>
      <c r="Q41" s="14"/>
      <c r="R41" s="31" t="s">
        <v>820</v>
      </c>
      <c r="S41" s="31" t="s">
        <v>827</v>
      </c>
      <c r="T41" s="14"/>
      <c r="U41" s="100">
        <v>34595.96</v>
      </c>
      <c r="V41" s="68">
        <v>5985.68</v>
      </c>
      <c r="W41" s="68">
        <v>8399.66</v>
      </c>
      <c r="X41" s="68">
        <v>5736.18</v>
      </c>
      <c r="Y41" s="14"/>
      <c r="Z41" s="9"/>
      <c r="AA41" s="9"/>
    </row>
    <row r="42" spans="1:28" x14ac:dyDescent="0.25">
      <c r="A42" s="3" t="s">
        <v>23</v>
      </c>
      <c r="B42" s="13">
        <f>1670342.4+1885508.04</f>
        <v>3555850.44</v>
      </c>
      <c r="C42" s="11">
        <v>0</v>
      </c>
      <c r="D42" s="14" t="s">
        <v>30</v>
      </c>
      <c r="E42" s="11">
        <v>60207.06</v>
      </c>
      <c r="F42" s="14" t="s">
        <v>30</v>
      </c>
      <c r="G42" s="11"/>
      <c r="H42" s="53">
        <v>64482.38</v>
      </c>
      <c r="I42" s="11">
        <v>0</v>
      </c>
      <c r="J42" s="11">
        <v>81.540000000000006</v>
      </c>
      <c r="K42" s="11">
        <v>1436.12</v>
      </c>
      <c r="L42" s="11">
        <f>16656.92+16703.42</f>
        <v>33360.339999999997</v>
      </c>
      <c r="M42" s="11">
        <f>22550.1+21401.83</f>
        <v>43951.93</v>
      </c>
      <c r="N42" s="14" t="s">
        <v>30</v>
      </c>
      <c r="O42" s="14" t="s">
        <v>30</v>
      </c>
      <c r="P42" s="14" t="s">
        <v>30</v>
      </c>
      <c r="Q42" s="14"/>
      <c r="R42" s="31"/>
      <c r="S42" s="31" t="s">
        <v>828</v>
      </c>
      <c r="T42" s="14"/>
      <c r="U42" s="100">
        <v>33654.61</v>
      </c>
      <c r="V42" s="68">
        <v>7142.64</v>
      </c>
      <c r="W42" s="68">
        <v>7216.38</v>
      </c>
      <c r="X42" s="68">
        <v>6803.23</v>
      </c>
      <c r="Y42" s="14"/>
      <c r="Z42" s="9"/>
      <c r="AA42" s="9"/>
    </row>
    <row r="43" spans="1:28" x14ac:dyDescent="0.25">
      <c r="A43" s="3" t="s">
        <v>24</v>
      </c>
      <c r="B43" s="13"/>
      <c r="C43" s="11"/>
      <c r="D43" s="14"/>
      <c r="E43" s="11"/>
      <c r="F43" s="14"/>
      <c r="G43" s="11"/>
      <c r="H43" s="11"/>
      <c r="I43" s="11"/>
      <c r="J43" s="11"/>
      <c r="K43" s="11"/>
      <c r="L43" s="11"/>
      <c r="M43" s="11"/>
      <c r="N43" s="14"/>
      <c r="O43" s="14"/>
      <c r="P43" s="14"/>
      <c r="Q43" s="14"/>
      <c r="R43" s="31" t="s">
        <v>828</v>
      </c>
      <c r="S43" s="31"/>
      <c r="T43" s="14" t="s">
        <v>825</v>
      </c>
      <c r="U43" s="100">
        <v>41126.69</v>
      </c>
      <c r="V43" s="68">
        <v>7362.73</v>
      </c>
      <c r="W43" s="68">
        <v>7388.36</v>
      </c>
      <c r="X43" s="68">
        <v>8166.8</v>
      </c>
      <c r="Y43" s="14"/>
      <c r="Z43" s="9"/>
      <c r="AA43" s="9"/>
    </row>
    <row r="44" spans="1:28" x14ac:dyDescent="0.25">
      <c r="A44" s="3" t="s">
        <v>25</v>
      </c>
      <c r="B44" s="13"/>
      <c r="C44" s="11"/>
      <c r="D44" s="14"/>
      <c r="E44" s="11"/>
      <c r="F44" s="14"/>
      <c r="G44" s="11"/>
      <c r="H44" s="11"/>
      <c r="I44" s="11"/>
      <c r="J44" s="11"/>
      <c r="K44" s="11"/>
      <c r="L44" s="11"/>
      <c r="M44" s="11"/>
      <c r="N44" s="14"/>
      <c r="O44" s="14"/>
      <c r="P44" s="14"/>
      <c r="Q44" s="14"/>
      <c r="R44" s="31"/>
      <c r="S44" s="31"/>
      <c r="T44" s="14"/>
      <c r="U44" s="100"/>
      <c r="V44" s="68"/>
      <c r="W44" s="68"/>
      <c r="X44" s="68"/>
      <c r="Y44" s="14"/>
      <c r="Z44" s="9"/>
      <c r="AA44" s="9"/>
    </row>
    <row r="45" spans="1:28" x14ac:dyDescent="0.25">
      <c r="A45" s="3" t="s">
        <v>26</v>
      </c>
      <c r="B45" s="13"/>
      <c r="C45" s="11"/>
      <c r="D45" s="14"/>
      <c r="E45" s="11"/>
      <c r="F45" s="14"/>
      <c r="G45" s="13"/>
      <c r="H45" s="11"/>
      <c r="I45" s="11"/>
      <c r="J45" s="11"/>
      <c r="K45" s="11"/>
      <c r="L45" s="11"/>
      <c r="M45" s="11"/>
      <c r="N45" s="14"/>
      <c r="O45" s="14"/>
      <c r="P45" s="14"/>
      <c r="Q45" s="14"/>
      <c r="R45" s="31"/>
      <c r="S45" s="31"/>
      <c r="T45" s="14"/>
      <c r="U45" s="100"/>
      <c r="V45" s="68"/>
      <c r="W45" s="68"/>
      <c r="X45" s="68"/>
      <c r="Y45" s="14"/>
      <c r="Z45" s="9"/>
      <c r="AA45" s="9"/>
    </row>
    <row r="46" spans="1:28" x14ac:dyDescent="0.25">
      <c r="A46" s="3" t="s">
        <v>27</v>
      </c>
      <c r="B46" s="13"/>
      <c r="C46" s="11"/>
      <c r="D46" s="14"/>
      <c r="E46" s="11"/>
      <c r="F46" s="14"/>
      <c r="G46" s="13"/>
      <c r="H46" s="11"/>
      <c r="I46" s="11"/>
      <c r="J46" s="11"/>
      <c r="K46" s="11"/>
      <c r="L46" s="11"/>
      <c r="M46" s="11"/>
      <c r="N46" s="14"/>
      <c r="O46" s="14"/>
      <c r="P46" s="14"/>
      <c r="Q46" s="14"/>
      <c r="R46" s="31"/>
      <c r="S46" s="31"/>
      <c r="T46" s="14"/>
      <c r="U46" s="100"/>
      <c r="V46" s="68"/>
      <c r="W46" s="68"/>
      <c r="X46" s="68"/>
      <c r="Y46" s="14"/>
      <c r="Z46" s="9"/>
      <c r="AA46" s="9"/>
    </row>
    <row r="47" spans="1:28" x14ac:dyDescent="0.25">
      <c r="A47" s="3" t="s">
        <v>28</v>
      </c>
      <c r="B47" s="13"/>
      <c r="C47" s="11"/>
      <c r="D47" s="14"/>
      <c r="E47" s="11"/>
      <c r="F47" s="14"/>
      <c r="G47" s="13"/>
      <c r="H47" s="11"/>
      <c r="I47" s="11"/>
      <c r="J47" s="11"/>
      <c r="K47" s="11"/>
      <c r="L47" s="11"/>
      <c r="M47" s="11"/>
      <c r="N47" s="14"/>
      <c r="O47" s="14"/>
      <c r="P47" s="14"/>
      <c r="Q47" s="14"/>
      <c r="R47" s="31"/>
      <c r="S47" s="31"/>
      <c r="T47" s="14"/>
      <c r="U47" s="100"/>
      <c r="V47" s="68"/>
      <c r="W47" s="68"/>
      <c r="X47" s="68"/>
      <c r="Y47" s="14"/>
      <c r="Z47" s="9"/>
      <c r="AA47" s="9"/>
    </row>
    <row r="48" spans="1:28" s="15" customFormat="1" x14ac:dyDescent="0.25">
      <c r="A48" s="12" t="s">
        <v>17</v>
      </c>
      <c r="B48" s="13"/>
      <c r="C48" s="11"/>
      <c r="D48" s="14"/>
      <c r="E48" s="13"/>
      <c r="F48" s="14"/>
      <c r="G48" s="13"/>
      <c r="H48" s="11"/>
      <c r="I48" s="13"/>
      <c r="J48" s="11"/>
      <c r="K48" s="13"/>
      <c r="L48" s="13"/>
      <c r="M48" s="13"/>
      <c r="N48" s="14"/>
      <c r="O48" s="14"/>
      <c r="P48" s="14"/>
      <c r="Q48" s="14"/>
      <c r="R48" s="31"/>
      <c r="S48" s="31"/>
      <c r="T48" s="14"/>
      <c r="U48" s="100"/>
      <c r="V48" s="68"/>
      <c r="W48" s="68"/>
      <c r="X48" s="68"/>
      <c r="Y48" s="14"/>
      <c r="Z48" s="28"/>
      <c r="AA48" s="28"/>
    </row>
    <row r="49" spans="1:27" s="39" customFormat="1" x14ac:dyDescent="0.25">
      <c r="A49" s="34" t="s">
        <v>34</v>
      </c>
      <c r="B49" s="35">
        <f>SUM(B37:B48)</f>
        <v>17558152.530000001</v>
      </c>
      <c r="C49" s="36"/>
      <c r="D49" s="37"/>
      <c r="E49" s="36"/>
      <c r="F49" s="37"/>
      <c r="G49" s="35"/>
      <c r="H49" s="36"/>
      <c r="I49" s="36">
        <f>SUM(I37:I48)</f>
        <v>1179.17</v>
      </c>
      <c r="J49" s="36">
        <v>0</v>
      </c>
      <c r="K49" s="36">
        <f>SUM(K37:K48)</f>
        <v>8359.64</v>
      </c>
      <c r="L49" s="36">
        <f>SUM(L37:L48)</f>
        <v>172049.33</v>
      </c>
      <c r="M49" s="36">
        <f>SUM(M37:M48)</f>
        <v>122835.69</v>
      </c>
      <c r="N49" s="37"/>
      <c r="O49" s="37"/>
      <c r="P49" s="37"/>
      <c r="Q49" s="37"/>
      <c r="R49" s="37"/>
      <c r="S49" s="37"/>
      <c r="T49" s="34"/>
      <c r="U49" s="99">
        <f>SUM(U37:U48)</f>
        <v>222343.89</v>
      </c>
      <c r="V49" s="99">
        <f t="shared" ref="V49:X49" si="0">SUM(V37:V48)</f>
        <v>34431.490000000005</v>
      </c>
      <c r="W49" s="99">
        <f t="shared" si="0"/>
        <v>49569.67</v>
      </c>
      <c r="X49" s="99">
        <f t="shared" si="0"/>
        <v>41478.949999999997</v>
      </c>
      <c r="Y49" s="37"/>
      <c r="AA49" s="102"/>
    </row>
  </sheetData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I13"/>
  <sheetViews>
    <sheetView workbookViewId="0">
      <selection activeCell="J10" sqref="J10"/>
    </sheetView>
  </sheetViews>
  <sheetFormatPr baseColWidth="10" defaultRowHeight="15" x14ac:dyDescent="0.25"/>
  <cols>
    <col min="1" max="3" width="11.42578125" style="91"/>
    <col min="4" max="4" width="11.42578125" style="103"/>
    <col min="5" max="16384" width="11.42578125" style="91"/>
  </cols>
  <sheetData>
    <row r="1" spans="4:9" x14ac:dyDescent="0.25">
      <c r="I1" s="91" t="s">
        <v>824</v>
      </c>
    </row>
    <row r="2" spans="4:9" x14ac:dyDescent="0.25">
      <c r="D2" s="103">
        <v>295</v>
      </c>
      <c r="E2" s="91">
        <v>112.4</v>
      </c>
      <c r="F2" s="91">
        <f>+E2*16%</f>
        <v>17.984000000000002</v>
      </c>
      <c r="G2" s="91">
        <f>+E2+F2</f>
        <v>130.38400000000001</v>
      </c>
      <c r="I2" s="91">
        <v>17.98</v>
      </c>
    </row>
    <row r="3" spans="4:9" x14ac:dyDescent="0.25">
      <c r="D3" s="103">
        <v>296</v>
      </c>
      <c r="E3" s="91">
        <v>0</v>
      </c>
      <c r="F3" s="91">
        <f t="shared" ref="F3:F12" si="0">+E3*16%</f>
        <v>0</v>
      </c>
      <c r="G3" s="91">
        <f t="shared" ref="G3:G12" si="1">+E3+F3</f>
        <v>0</v>
      </c>
      <c r="I3" s="91">
        <v>0</v>
      </c>
    </row>
    <row r="4" spans="4:9" x14ac:dyDescent="0.25">
      <c r="D4" s="103">
        <v>297</v>
      </c>
      <c r="E4" s="91">
        <v>0</v>
      </c>
      <c r="F4" s="91">
        <f t="shared" si="0"/>
        <v>0</v>
      </c>
      <c r="G4" s="91">
        <f t="shared" si="1"/>
        <v>0</v>
      </c>
      <c r="I4" s="91">
        <v>0</v>
      </c>
    </row>
    <row r="5" spans="4:9" x14ac:dyDescent="0.25">
      <c r="D5" s="103">
        <v>298</v>
      </c>
      <c r="E5" s="91">
        <v>955.4</v>
      </c>
      <c r="F5" s="91">
        <f t="shared" si="0"/>
        <v>152.864</v>
      </c>
      <c r="G5" s="91">
        <f t="shared" si="1"/>
        <v>1108.2639999999999</v>
      </c>
      <c r="I5" s="91">
        <v>152.86000000000001</v>
      </c>
    </row>
    <row r="6" spans="4:9" x14ac:dyDescent="0.25">
      <c r="D6" s="103">
        <v>299</v>
      </c>
      <c r="E6" s="91">
        <v>0</v>
      </c>
      <c r="F6" s="91">
        <f t="shared" si="0"/>
        <v>0</v>
      </c>
      <c r="G6" s="91">
        <f t="shared" si="1"/>
        <v>0</v>
      </c>
      <c r="I6" s="91">
        <v>0</v>
      </c>
    </row>
    <row r="7" spans="4:9" x14ac:dyDescent="0.25">
      <c r="D7" s="103">
        <v>300</v>
      </c>
      <c r="E7" s="91">
        <v>562</v>
      </c>
      <c r="F7" s="91">
        <f t="shared" si="0"/>
        <v>89.92</v>
      </c>
      <c r="G7" s="91">
        <f t="shared" si="1"/>
        <v>651.91999999999996</v>
      </c>
      <c r="I7" s="91">
        <v>89.92</v>
      </c>
    </row>
    <row r="8" spans="4:9" x14ac:dyDescent="0.25">
      <c r="D8" s="103">
        <v>301</v>
      </c>
      <c r="E8" s="91">
        <v>899.2</v>
      </c>
      <c r="F8" s="91">
        <f t="shared" si="0"/>
        <v>143.87200000000001</v>
      </c>
      <c r="G8" s="91">
        <f t="shared" si="1"/>
        <v>1043.0720000000001</v>
      </c>
      <c r="I8" s="91">
        <v>143.87</v>
      </c>
    </row>
    <row r="9" spans="4:9" x14ac:dyDescent="0.25">
      <c r="D9" s="103">
        <v>302</v>
      </c>
      <c r="E9" s="91">
        <v>393.4</v>
      </c>
      <c r="F9" s="91">
        <f t="shared" si="0"/>
        <v>62.943999999999996</v>
      </c>
      <c r="G9" s="91">
        <f t="shared" si="1"/>
        <v>456.34399999999999</v>
      </c>
      <c r="I9" s="91">
        <v>0</v>
      </c>
    </row>
    <row r="10" spans="4:9" x14ac:dyDescent="0.25">
      <c r="D10" s="103">
        <v>303</v>
      </c>
      <c r="E10" s="91">
        <v>286.5</v>
      </c>
      <c r="F10" s="91">
        <f t="shared" si="0"/>
        <v>45.84</v>
      </c>
      <c r="G10" s="91">
        <f t="shared" si="1"/>
        <v>332.34000000000003</v>
      </c>
      <c r="I10" s="91">
        <v>45.84</v>
      </c>
    </row>
    <row r="11" spans="4:9" x14ac:dyDescent="0.25">
      <c r="D11" s="103">
        <v>304</v>
      </c>
      <c r="E11" s="91">
        <v>289.37</v>
      </c>
      <c r="F11" s="91">
        <f t="shared" si="0"/>
        <v>46.299199999999999</v>
      </c>
      <c r="G11" s="91">
        <f t="shared" si="1"/>
        <v>335.66919999999999</v>
      </c>
      <c r="I11" s="91">
        <v>46.3</v>
      </c>
    </row>
    <row r="12" spans="4:9" x14ac:dyDescent="0.25">
      <c r="D12" s="103">
        <v>305</v>
      </c>
      <c r="E12" s="104">
        <v>114.6</v>
      </c>
      <c r="F12" s="104">
        <f t="shared" si="0"/>
        <v>18.335999999999999</v>
      </c>
      <c r="G12" s="104">
        <f t="shared" si="1"/>
        <v>132.93599999999998</v>
      </c>
      <c r="I12" s="104">
        <v>18.34</v>
      </c>
    </row>
    <row r="13" spans="4:9" x14ac:dyDescent="0.25">
      <c r="E13" s="91">
        <f>SUM(E2:E12)</f>
        <v>3612.87</v>
      </c>
      <c r="F13" s="91">
        <f t="shared" ref="F13:G13" si="2">SUM(F2:F12)</f>
        <v>578.05920000000015</v>
      </c>
      <c r="G13" s="91">
        <f t="shared" si="2"/>
        <v>4190.9291999999996</v>
      </c>
      <c r="I13" s="91">
        <f>SUM(I2:I12)</f>
        <v>515.11</v>
      </c>
    </row>
  </sheetData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opLeftCell="A16" workbookViewId="0">
      <pane xSplit="1" topLeftCell="B1" activePane="topRight" state="frozen"/>
      <selection pane="topRight" activeCell="J23" sqref="J23"/>
    </sheetView>
  </sheetViews>
  <sheetFormatPr baseColWidth="10" defaultRowHeight="15" x14ac:dyDescent="0.25"/>
  <cols>
    <col min="1" max="1" width="12.42578125" customWidth="1"/>
    <col min="2" max="2" width="17.42578125" bestFit="1" customWidth="1"/>
    <col min="3" max="3" width="14.5703125" bestFit="1" customWidth="1"/>
    <col min="5" max="5" width="16.140625" customWidth="1"/>
    <col min="7" max="7" width="15.28515625" bestFit="1" customWidth="1"/>
    <col min="10" max="10" width="11.7109375" bestFit="1" customWidth="1"/>
    <col min="11" max="11" width="15.28515625" bestFit="1" customWidth="1"/>
    <col min="12" max="12" width="14.5703125" bestFit="1" customWidth="1"/>
    <col min="19" max="19" width="16.28515625" bestFit="1" customWidth="1"/>
    <col min="20" max="20" width="12.5703125" customWidth="1"/>
  </cols>
  <sheetData>
    <row r="1" spans="1:21" s="1" customFormat="1" ht="30" x14ac:dyDescent="0.25">
      <c r="A1" s="2" t="s">
        <v>29</v>
      </c>
      <c r="B1" s="2" t="s">
        <v>0</v>
      </c>
      <c r="C1" s="2" t="s">
        <v>3</v>
      </c>
      <c r="D1" s="2" t="s">
        <v>1</v>
      </c>
      <c r="E1" s="2" t="s">
        <v>4</v>
      </c>
      <c r="F1" s="2" t="s">
        <v>10</v>
      </c>
      <c r="G1" s="2" t="s">
        <v>2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11</v>
      </c>
      <c r="N1" s="2" t="s">
        <v>12</v>
      </c>
      <c r="O1" s="2" t="s">
        <v>35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31</v>
      </c>
    </row>
    <row r="2" spans="1:21" x14ac:dyDescent="0.25">
      <c r="A2" s="3" t="s">
        <v>17</v>
      </c>
      <c r="B2" s="7"/>
      <c r="C2" s="5"/>
      <c r="D2" s="5"/>
      <c r="E2" s="7"/>
      <c r="F2" s="5"/>
      <c r="G2" s="7"/>
      <c r="H2" s="5"/>
      <c r="I2" s="5"/>
      <c r="J2" s="5"/>
      <c r="K2" s="7"/>
      <c r="L2" s="5"/>
      <c r="M2" s="6"/>
      <c r="N2" s="6"/>
      <c r="O2" s="6"/>
      <c r="P2" s="5"/>
      <c r="Q2" s="5"/>
      <c r="R2" s="5"/>
      <c r="S2" s="5"/>
      <c r="T2" s="7">
        <v>994224</v>
      </c>
    </row>
    <row r="3" spans="1:21" x14ac:dyDescent="0.25">
      <c r="A3" s="3" t="s">
        <v>18</v>
      </c>
      <c r="B3" s="8">
        <v>2040539220.4300001</v>
      </c>
      <c r="C3" s="4">
        <v>0</v>
      </c>
      <c r="D3" s="4" t="s">
        <v>30</v>
      </c>
      <c r="E3" s="10">
        <v>4179680.58</v>
      </c>
      <c r="F3" s="4" t="s">
        <v>30</v>
      </c>
      <c r="G3" s="10">
        <v>379934419.87</v>
      </c>
      <c r="H3" s="4" t="s">
        <v>33</v>
      </c>
      <c r="I3" s="4" t="s">
        <v>33</v>
      </c>
      <c r="J3" s="4" t="s">
        <v>33</v>
      </c>
      <c r="K3" s="9">
        <v>0</v>
      </c>
      <c r="L3" s="4" t="s">
        <v>33</v>
      </c>
      <c r="M3" s="4" t="s">
        <v>30</v>
      </c>
      <c r="N3" s="4" t="s">
        <v>30</v>
      </c>
      <c r="O3" s="4" t="s">
        <v>30</v>
      </c>
      <c r="P3" s="3"/>
      <c r="Q3" s="3"/>
      <c r="R3" s="3"/>
      <c r="S3" s="12" t="s">
        <v>67</v>
      </c>
      <c r="T3" s="8">
        <v>987948</v>
      </c>
      <c r="U3" s="9" t="s">
        <v>32</v>
      </c>
    </row>
    <row r="4" spans="1:21" x14ac:dyDescent="0.25">
      <c r="A4" s="3" t="s">
        <v>19</v>
      </c>
      <c r="B4" s="8">
        <v>5042441815.25</v>
      </c>
      <c r="C4" s="4">
        <v>0</v>
      </c>
      <c r="D4" s="4" t="s">
        <v>30</v>
      </c>
      <c r="E4" s="10">
        <v>97744173.129999995</v>
      </c>
      <c r="F4" s="4" t="s">
        <v>30</v>
      </c>
      <c r="G4" s="10">
        <v>321028885.33999997</v>
      </c>
      <c r="H4" s="4" t="s">
        <v>33</v>
      </c>
      <c r="I4" s="4" t="s">
        <v>33</v>
      </c>
      <c r="J4" s="4" t="s">
        <v>33</v>
      </c>
      <c r="K4" s="10">
        <v>115364.2</v>
      </c>
      <c r="L4" s="4" t="s">
        <v>33</v>
      </c>
      <c r="M4" s="4" t="s">
        <v>30</v>
      </c>
      <c r="N4" s="4" t="s">
        <v>30</v>
      </c>
      <c r="O4" s="4" t="s">
        <v>30</v>
      </c>
      <c r="P4" s="3"/>
      <c r="Q4" s="3"/>
      <c r="R4" s="3"/>
      <c r="S4" s="12" t="s">
        <v>67</v>
      </c>
      <c r="T4" s="8">
        <v>71822402.760000005</v>
      </c>
    </row>
    <row r="5" spans="1:21" x14ac:dyDescent="0.25">
      <c r="A5" s="3" t="s">
        <v>20</v>
      </c>
      <c r="B5" s="8">
        <v>6305792801.3000002</v>
      </c>
      <c r="C5" s="4">
        <v>0</v>
      </c>
      <c r="D5" s="4" t="s">
        <v>30</v>
      </c>
      <c r="E5" s="10">
        <v>284054682.69</v>
      </c>
      <c r="F5" s="4" t="s">
        <v>30</v>
      </c>
      <c r="G5" s="10">
        <v>0</v>
      </c>
      <c r="H5" s="4" t="s">
        <v>33</v>
      </c>
      <c r="I5" s="4" t="s">
        <v>33</v>
      </c>
      <c r="J5" s="4" t="s">
        <v>33</v>
      </c>
      <c r="K5" s="11">
        <v>91499.77</v>
      </c>
      <c r="L5" s="4" t="s">
        <v>33</v>
      </c>
      <c r="M5" s="4" t="s">
        <v>30</v>
      </c>
      <c r="N5" s="4" t="s">
        <v>30</v>
      </c>
      <c r="O5" s="4" t="s">
        <v>30</v>
      </c>
      <c r="P5" s="3"/>
      <c r="Q5" s="3"/>
      <c r="R5" s="3"/>
      <c r="S5" s="12" t="s">
        <v>67</v>
      </c>
      <c r="T5" s="8">
        <v>44542365.719999999</v>
      </c>
    </row>
    <row r="6" spans="1:21" x14ac:dyDescent="0.25">
      <c r="A6" s="3" t="s">
        <v>21</v>
      </c>
      <c r="B6" s="8">
        <v>8731919727.1000004</v>
      </c>
      <c r="C6" s="4">
        <v>0</v>
      </c>
      <c r="D6" s="4" t="s">
        <v>30</v>
      </c>
      <c r="E6" s="10">
        <v>220767857.99000001</v>
      </c>
      <c r="F6" s="4" t="s">
        <v>30</v>
      </c>
      <c r="G6" s="11">
        <v>0</v>
      </c>
      <c r="H6" s="4" t="s">
        <v>33</v>
      </c>
      <c r="I6" s="4" t="s">
        <v>33</v>
      </c>
      <c r="J6" s="10">
        <v>1390810.69</v>
      </c>
      <c r="K6" s="11">
        <v>146169.28</v>
      </c>
      <c r="L6" s="4" t="s">
        <v>33</v>
      </c>
      <c r="M6" s="4" t="s">
        <v>30</v>
      </c>
      <c r="N6" s="4" t="s">
        <v>30</v>
      </c>
      <c r="O6" s="4" t="s">
        <v>30</v>
      </c>
      <c r="P6" s="3"/>
      <c r="Q6" s="3"/>
      <c r="R6" s="3"/>
      <c r="S6" s="12" t="s">
        <v>67</v>
      </c>
      <c r="T6" s="8"/>
    </row>
    <row r="7" spans="1:21" x14ac:dyDescent="0.25">
      <c r="A7" s="3" t="s">
        <v>22</v>
      </c>
      <c r="B7" s="8">
        <v>7952706169.0699997</v>
      </c>
      <c r="C7" s="4">
        <v>0</v>
      </c>
      <c r="D7" s="4" t="s">
        <v>30</v>
      </c>
      <c r="E7" s="10">
        <v>175727907.50999999</v>
      </c>
      <c r="F7" s="4" t="s">
        <v>30</v>
      </c>
      <c r="G7" s="11">
        <v>0</v>
      </c>
      <c r="H7" s="4" t="s">
        <v>33</v>
      </c>
      <c r="I7" s="4" t="s">
        <v>33</v>
      </c>
      <c r="J7" s="10">
        <v>1390810.69</v>
      </c>
      <c r="K7" s="11">
        <v>694528.55</v>
      </c>
      <c r="L7" s="4" t="s">
        <v>33</v>
      </c>
      <c r="M7" s="4" t="s">
        <v>30</v>
      </c>
      <c r="N7" s="4" t="s">
        <v>30</v>
      </c>
      <c r="O7" s="4" t="s">
        <v>30</v>
      </c>
      <c r="P7" s="3"/>
      <c r="Q7" s="3"/>
      <c r="R7" s="3"/>
      <c r="S7" s="12" t="s">
        <v>67</v>
      </c>
      <c r="T7" s="8"/>
    </row>
    <row r="8" spans="1:21" x14ac:dyDescent="0.25">
      <c r="A8" s="3" t="s">
        <v>23</v>
      </c>
      <c r="B8" s="8">
        <v>8725079354.1299992</v>
      </c>
      <c r="C8" s="4">
        <v>0</v>
      </c>
      <c r="D8" s="4" t="s">
        <v>30</v>
      </c>
      <c r="E8" s="10">
        <v>172557190.16999999</v>
      </c>
      <c r="F8" s="4" t="s">
        <v>30</v>
      </c>
      <c r="G8" s="11"/>
      <c r="H8" s="4" t="s">
        <v>33</v>
      </c>
      <c r="I8" s="4" t="s">
        <v>33</v>
      </c>
      <c r="J8" s="10">
        <v>1390810.69</v>
      </c>
      <c r="K8" s="11">
        <v>405229.98</v>
      </c>
      <c r="L8" s="4" t="s">
        <v>33</v>
      </c>
      <c r="M8" s="4" t="s">
        <v>30</v>
      </c>
      <c r="N8" s="4" t="s">
        <v>30</v>
      </c>
      <c r="O8" s="4" t="s">
        <v>30</v>
      </c>
      <c r="P8" s="3"/>
      <c r="Q8" s="3"/>
      <c r="R8" s="3"/>
      <c r="S8" s="12" t="s">
        <v>67</v>
      </c>
      <c r="T8" s="8"/>
    </row>
    <row r="9" spans="1:21" x14ac:dyDescent="0.25">
      <c r="A9" s="3" t="s">
        <v>24</v>
      </c>
      <c r="B9" s="8">
        <v>10002300663.48</v>
      </c>
      <c r="C9" s="4">
        <v>0</v>
      </c>
      <c r="D9" s="4" t="s">
        <v>30</v>
      </c>
      <c r="E9" s="10">
        <v>49015271.380000003</v>
      </c>
      <c r="F9" s="4" t="s">
        <v>30</v>
      </c>
      <c r="G9" s="10"/>
      <c r="H9" s="4" t="s">
        <v>33</v>
      </c>
      <c r="I9" s="4" t="s">
        <v>33</v>
      </c>
      <c r="J9" s="10">
        <v>1390810.69</v>
      </c>
      <c r="K9" s="11">
        <v>1510307.56</v>
      </c>
      <c r="L9" s="4" t="s">
        <v>33</v>
      </c>
      <c r="M9" s="4" t="s">
        <v>30</v>
      </c>
      <c r="N9" s="4" t="s">
        <v>30</v>
      </c>
      <c r="O9" s="4" t="s">
        <v>30</v>
      </c>
      <c r="P9" s="3"/>
      <c r="Q9" s="3"/>
      <c r="R9" s="3"/>
      <c r="S9" s="12" t="s">
        <v>67</v>
      </c>
      <c r="T9" s="8"/>
    </row>
    <row r="10" spans="1:21" x14ac:dyDescent="0.25">
      <c r="A10" s="3" t="s">
        <v>25</v>
      </c>
      <c r="B10" s="8">
        <v>12663124839.870001</v>
      </c>
      <c r="C10" s="4">
        <v>0</v>
      </c>
      <c r="D10" s="4" t="s">
        <v>30</v>
      </c>
      <c r="E10" s="10">
        <v>2023388.79</v>
      </c>
      <c r="F10" s="4" t="s">
        <v>30</v>
      </c>
      <c r="G10" s="10"/>
      <c r="H10" s="4" t="s">
        <v>33</v>
      </c>
      <c r="I10" s="4" t="s">
        <v>33</v>
      </c>
      <c r="J10" s="10">
        <v>2465505.56</v>
      </c>
      <c r="K10" s="11">
        <v>3187167.21</v>
      </c>
      <c r="L10" s="4" t="s">
        <v>33</v>
      </c>
      <c r="M10" s="4" t="s">
        <v>30</v>
      </c>
      <c r="N10" s="4" t="s">
        <v>30</v>
      </c>
      <c r="O10" s="4" t="s">
        <v>30</v>
      </c>
      <c r="P10" s="3"/>
      <c r="Q10" s="3"/>
      <c r="R10" s="3"/>
      <c r="S10" s="12" t="s">
        <v>67</v>
      </c>
      <c r="T10" s="8"/>
    </row>
    <row r="11" spans="1:21" x14ac:dyDescent="0.25">
      <c r="A11" s="3" t="s">
        <v>26</v>
      </c>
      <c r="B11" s="8">
        <v>15396831048.059999</v>
      </c>
      <c r="C11" s="4">
        <v>0</v>
      </c>
      <c r="D11" s="4" t="s">
        <v>30</v>
      </c>
      <c r="E11" s="10">
        <v>96577759.060000002</v>
      </c>
      <c r="F11" s="4" t="s">
        <v>30</v>
      </c>
      <c r="G11" s="10">
        <v>0</v>
      </c>
      <c r="H11" s="4" t="s">
        <v>33</v>
      </c>
      <c r="I11" s="4" t="s">
        <v>33</v>
      </c>
      <c r="J11" s="10">
        <v>6256199.0899999999</v>
      </c>
      <c r="K11" s="11">
        <v>3051737.8</v>
      </c>
      <c r="L11" s="4" t="s">
        <v>33</v>
      </c>
      <c r="M11" s="4" t="s">
        <v>30</v>
      </c>
      <c r="N11" s="4" t="s">
        <v>30</v>
      </c>
      <c r="O11" s="4" t="s">
        <v>30</v>
      </c>
      <c r="P11" s="3"/>
      <c r="Q11" s="3"/>
      <c r="R11" s="3"/>
      <c r="S11" s="12" t="s">
        <v>67</v>
      </c>
      <c r="T11" s="8"/>
    </row>
    <row r="12" spans="1:21" x14ac:dyDescent="0.25">
      <c r="A12" s="3" t="s">
        <v>27</v>
      </c>
      <c r="B12" s="8">
        <v>23791822453.779999</v>
      </c>
      <c r="C12" s="4">
        <v>0</v>
      </c>
      <c r="D12" s="4" t="s">
        <v>30</v>
      </c>
      <c r="E12" s="10">
        <v>48587820.75</v>
      </c>
      <c r="F12" s="4" t="s">
        <v>30</v>
      </c>
      <c r="G12" s="10">
        <v>866670846.75999999</v>
      </c>
      <c r="H12" s="4" t="s">
        <v>33</v>
      </c>
      <c r="I12" s="4" t="s">
        <v>33</v>
      </c>
      <c r="J12" s="10">
        <v>6256199.0899999999</v>
      </c>
      <c r="K12" s="11">
        <v>2873502.78</v>
      </c>
      <c r="L12" s="4" t="s">
        <v>33</v>
      </c>
      <c r="M12" s="4" t="s">
        <v>30</v>
      </c>
      <c r="N12" s="4" t="s">
        <v>30</v>
      </c>
      <c r="O12" s="4" t="s">
        <v>30</v>
      </c>
      <c r="P12" s="3"/>
      <c r="Q12" s="3"/>
      <c r="R12" s="3"/>
      <c r="S12" s="12" t="s">
        <v>67</v>
      </c>
      <c r="T12" s="8"/>
    </row>
    <row r="13" spans="1:21" x14ac:dyDescent="0.25">
      <c r="A13" s="3" t="s">
        <v>28</v>
      </c>
      <c r="B13" s="8">
        <v>46077340726.010002</v>
      </c>
      <c r="C13" s="4">
        <v>0</v>
      </c>
      <c r="D13" s="4" t="s">
        <v>30</v>
      </c>
      <c r="E13" s="10">
        <v>4955276651.96</v>
      </c>
      <c r="F13" s="4" t="s">
        <v>30</v>
      </c>
      <c r="G13" s="10">
        <v>2188148592.1399999</v>
      </c>
      <c r="H13" s="4" t="s">
        <v>33</v>
      </c>
      <c r="I13" s="4" t="s">
        <v>33</v>
      </c>
      <c r="J13" s="10">
        <v>6256199.0899999999</v>
      </c>
      <c r="K13" s="11">
        <v>8282009.5499999998</v>
      </c>
      <c r="L13" s="4" t="s">
        <v>33</v>
      </c>
      <c r="M13" s="4" t="s">
        <v>30</v>
      </c>
      <c r="N13" s="4" t="s">
        <v>30</v>
      </c>
      <c r="O13" s="4" t="s">
        <v>30</v>
      </c>
      <c r="P13" s="3"/>
      <c r="Q13" s="3"/>
      <c r="R13" s="3"/>
      <c r="S13" s="12" t="s">
        <v>67</v>
      </c>
      <c r="T13" s="8"/>
    </row>
    <row r="14" spans="1:21" s="25" customFormat="1" x14ac:dyDescent="0.25">
      <c r="A14" s="21" t="s">
        <v>34</v>
      </c>
      <c r="B14" s="22">
        <f>SUM(B2:B13)</f>
        <v>146729898818.48001</v>
      </c>
      <c r="C14" s="24" t="s">
        <v>30</v>
      </c>
      <c r="D14" s="24" t="s">
        <v>30</v>
      </c>
      <c r="E14" s="23" t="s">
        <v>30</v>
      </c>
      <c r="F14" s="24" t="s">
        <v>30</v>
      </c>
      <c r="G14" s="23" t="s">
        <v>30</v>
      </c>
      <c r="H14" s="24" t="s">
        <v>30</v>
      </c>
      <c r="I14" s="24" t="s">
        <v>30</v>
      </c>
      <c r="J14" s="23" t="s">
        <v>30</v>
      </c>
      <c r="K14" s="23">
        <f>SUM(K2:K13)</f>
        <v>20357516.68</v>
      </c>
      <c r="L14" s="24" t="s">
        <v>33</v>
      </c>
      <c r="M14" s="24" t="s">
        <v>30</v>
      </c>
      <c r="N14" s="24" t="s">
        <v>30</v>
      </c>
      <c r="O14" s="24" t="s">
        <v>30</v>
      </c>
      <c r="P14" s="21"/>
      <c r="Q14" s="21"/>
      <c r="R14" s="21"/>
      <c r="S14" s="24" t="s">
        <v>30</v>
      </c>
      <c r="T14" s="23" t="s">
        <v>30</v>
      </c>
    </row>
    <row r="18" spans="1:21" s="1" customFormat="1" ht="30" x14ac:dyDescent="0.25">
      <c r="A18" s="2" t="s">
        <v>71</v>
      </c>
      <c r="B18" s="2" t="s">
        <v>0</v>
      </c>
      <c r="C18" s="2" t="s">
        <v>3</v>
      </c>
      <c r="D18" s="2" t="s">
        <v>1</v>
      </c>
      <c r="E18" s="2" t="s">
        <v>4</v>
      </c>
      <c r="F18" s="2" t="s">
        <v>10</v>
      </c>
      <c r="G18" s="2" t="s">
        <v>2</v>
      </c>
      <c r="H18" s="2" t="s">
        <v>5</v>
      </c>
      <c r="I18" s="2" t="s">
        <v>6</v>
      </c>
      <c r="J18" s="2" t="s">
        <v>7</v>
      </c>
      <c r="K18" s="2" t="s">
        <v>9</v>
      </c>
      <c r="L18" s="2" t="s">
        <v>781</v>
      </c>
      <c r="M18" s="2" t="s">
        <v>11</v>
      </c>
      <c r="N18" s="2" t="s">
        <v>12</v>
      </c>
      <c r="O18" s="2" t="s">
        <v>35</v>
      </c>
      <c r="P18" s="2" t="s">
        <v>13</v>
      </c>
      <c r="Q18" s="2" t="s">
        <v>14</v>
      </c>
      <c r="R18" s="2" t="s">
        <v>15</v>
      </c>
      <c r="S18" s="2" t="s">
        <v>16</v>
      </c>
      <c r="T18" s="2" t="s">
        <v>31</v>
      </c>
    </row>
    <row r="19" spans="1:21" s="15" customFormat="1" x14ac:dyDescent="0.25">
      <c r="A19" s="12" t="s">
        <v>17</v>
      </c>
      <c r="B19" s="13">
        <v>55972778136.879997</v>
      </c>
      <c r="C19" s="68">
        <v>0</v>
      </c>
      <c r="D19" s="14" t="s">
        <v>30</v>
      </c>
      <c r="E19" s="13">
        <v>4844048540.8599997</v>
      </c>
      <c r="F19" s="14" t="s">
        <v>30</v>
      </c>
      <c r="G19" s="13"/>
      <c r="H19" s="14" t="s">
        <v>33</v>
      </c>
      <c r="I19" s="82">
        <v>0</v>
      </c>
      <c r="J19" s="12"/>
      <c r="K19" s="80">
        <v>0</v>
      </c>
      <c r="L19" s="68">
        <v>8568520.2200000007</v>
      </c>
      <c r="M19" s="14"/>
      <c r="N19" s="14"/>
      <c r="O19" s="14"/>
      <c r="P19" s="12"/>
      <c r="Q19" s="12"/>
      <c r="R19" s="12"/>
      <c r="S19" s="12"/>
      <c r="T19" s="13">
        <v>994224</v>
      </c>
    </row>
    <row r="20" spans="1:21" x14ac:dyDescent="0.25">
      <c r="A20" s="3" t="s">
        <v>18</v>
      </c>
      <c r="B20" s="8">
        <v>50999132502.75</v>
      </c>
      <c r="C20" s="69">
        <v>0</v>
      </c>
      <c r="D20" s="4" t="s">
        <v>30</v>
      </c>
      <c r="E20" s="10">
        <v>4357270558.6099997</v>
      </c>
      <c r="F20" s="4" t="s">
        <v>30</v>
      </c>
      <c r="G20" s="10"/>
      <c r="H20" s="14" t="s">
        <v>33</v>
      </c>
      <c r="I20" s="82">
        <v>0</v>
      </c>
      <c r="J20" s="4"/>
      <c r="K20" s="81">
        <v>0</v>
      </c>
      <c r="L20" s="69">
        <v>4963404.21</v>
      </c>
      <c r="M20" s="4"/>
      <c r="N20" s="4"/>
      <c r="O20" s="4"/>
      <c r="P20" s="3"/>
      <c r="Q20" s="3"/>
      <c r="R20" s="3"/>
      <c r="S20" s="12" t="s">
        <v>67</v>
      </c>
      <c r="T20" s="8">
        <v>987948</v>
      </c>
      <c r="U20" s="9" t="s">
        <v>32</v>
      </c>
    </row>
    <row r="21" spans="1:21" x14ac:dyDescent="0.25">
      <c r="A21" s="3" t="s">
        <v>19</v>
      </c>
      <c r="B21" s="8">
        <v>55701910080.349998</v>
      </c>
      <c r="C21" s="69">
        <v>0</v>
      </c>
      <c r="D21" s="4" t="s">
        <v>30</v>
      </c>
      <c r="E21" s="10">
        <v>4314407448.6000004</v>
      </c>
      <c r="F21" s="4" t="s">
        <v>30</v>
      </c>
      <c r="G21" s="10"/>
      <c r="H21" s="14" t="s">
        <v>33</v>
      </c>
      <c r="I21" s="82">
        <v>0</v>
      </c>
      <c r="J21" s="4"/>
      <c r="K21" s="10">
        <v>0</v>
      </c>
      <c r="L21" s="69">
        <v>7083667.4199999999</v>
      </c>
      <c r="M21" s="4"/>
      <c r="N21" s="4"/>
      <c r="O21" s="4"/>
      <c r="P21" s="3"/>
      <c r="Q21" s="3"/>
      <c r="R21" s="3"/>
      <c r="S21" s="12" t="s">
        <v>67</v>
      </c>
      <c r="T21" s="8">
        <v>71822402.760000005</v>
      </c>
    </row>
    <row r="22" spans="1:21" x14ac:dyDescent="0.25">
      <c r="A22" s="3" t="s">
        <v>20</v>
      </c>
      <c r="B22" s="8">
        <v>73090796181.320007</v>
      </c>
      <c r="C22" s="69">
        <v>0</v>
      </c>
      <c r="D22" s="4" t="s">
        <v>30</v>
      </c>
      <c r="E22" s="10">
        <v>3531409057.8899999</v>
      </c>
      <c r="F22" s="4" t="s">
        <v>30</v>
      </c>
      <c r="G22" s="10"/>
      <c r="H22" s="14" t="s">
        <v>33</v>
      </c>
      <c r="I22" s="82">
        <v>0</v>
      </c>
      <c r="J22" s="4"/>
      <c r="K22" s="11">
        <v>0</v>
      </c>
      <c r="L22" s="69">
        <v>8792512.8900000006</v>
      </c>
      <c r="M22" s="4"/>
      <c r="N22" s="4"/>
      <c r="O22" s="4"/>
      <c r="P22" s="3"/>
      <c r="Q22" s="3"/>
      <c r="R22" s="3"/>
      <c r="S22" s="12" t="s">
        <v>67</v>
      </c>
      <c r="T22" s="8">
        <v>44542365.719999999</v>
      </c>
    </row>
    <row r="23" spans="1:21" x14ac:dyDescent="0.25">
      <c r="A23" s="3" t="s">
        <v>21</v>
      </c>
      <c r="B23" s="8">
        <v>87287577204.440002</v>
      </c>
      <c r="C23" s="69">
        <v>0</v>
      </c>
      <c r="D23" s="4" t="s">
        <v>30</v>
      </c>
      <c r="E23" s="10">
        <v>2535924032.1900001</v>
      </c>
      <c r="F23" s="4" t="s">
        <v>30</v>
      </c>
      <c r="G23" s="11"/>
      <c r="H23" s="14" t="s">
        <v>33</v>
      </c>
      <c r="I23" s="82">
        <v>0</v>
      </c>
      <c r="J23" s="10"/>
      <c r="K23" s="11">
        <v>0</v>
      </c>
      <c r="L23" s="69">
        <v>17658849.719999999</v>
      </c>
      <c r="M23" s="4"/>
      <c r="N23" s="4"/>
      <c r="O23" s="4"/>
      <c r="P23" s="3"/>
      <c r="Q23" s="3"/>
      <c r="R23" s="3"/>
      <c r="S23" s="12" t="s">
        <v>67</v>
      </c>
      <c r="T23" s="8"/>
    </row>
    <row r="24" spans="1:21" x14ac:dyDescent="0.25">
      <c r="A24" s="3" t="s">
        <v>22</v>
      </c>
      <c r="B24" s="8">
        <v>91116331001.339996</v>
      </c>
      <c r="C24" s="69">
        <v>0</v>
      </c>
      <c r="D24" s="4" t="s">
        <v>30</v>
      </c>
      <c r="E24" s="10">
        <v>1213557343.4300001</v>
      </c>
      <c r="F24" s="4" t="s">
        <v>30</v>
      </c>
      <c r="G24" s="11"/>
      <c r="H24" s="14" t="s">
        <v>33</v>
      </c>
      <c r="I24" s="82">
        <v>0</v>
      </c>
      <c r="J24" s="10"/>
      <c r="K24" s="11">
        <v>0</v>
      </c>
      <c r="L24" s="69">
        <v>13989779.24</v>
      </c>
      <c r="M24" s="4"/>
      <c r="N24" s="4"/>
      <c r="O24" s="4"/>
      <c r="P24" s="3"/>
      <c r="Q24" s="3"/>
      <c r="R24" s="3"/>
      <c r="S24" s="12" t="s">
        <v>67</v>
      </c>
      <c r="T24" s="8"/>
    </row>
    <row r="25" spans="1:21" x14ac:dyDescent="0.25">
      <c r="A25" s="3" t="s">
        <v>23</v>
      </c>
      <c r="B25" s="8">
        <v>128053697853.16</v>
      </c>
      <c r="C25" s="69">
        <v>193625349.59</v>
      </c>
      <c r="D25" s="4" t="s">
        <v>30</v>
      </c>
      <c r="E25" s="10">
        <v>0</v>
      </c>
      <c r="F25" s="4" t="s">
        <v>30</v>
      </c>
      <c r="G25" s="11"/>
      <c r="H25" s="14" t="s">
        <v>33</v>
      </c>
      <c r="I25" s="82">
        <v>0</v>
      </c>
      <c r="J25" s="10"/>
      <c r="K25" s="11">
        <v>0</v>
      </c>
      <c r="L25" s="69">
        <v>10632078.27</v>
      </c>
      <c r="M25" s="4"/>
      <c r="N25" s="4"/>
      <c r="O25" s="4"/>
      <c r="P25" s="3"/>
      <c r="Q25" s="3"/>
      <c r="R25" s="3"/>
      <c r="S25" s="12" t="s">
        <v>67</v>
      </c>
      <c r="T25" s="8"/>
    </row>
    <row r="26" spans="1:21" x14ac:dyDescent="0.25">
      <c r="A26" s="3" t="s">
        <v>24</v>
      </c>
      <c r="B26" s="8">
        <v>67163592689.309998</v>
      </c>
      <c r="C26" s="69"/>
      <c r="D26" s="4" t="s">
        <v>30</v>
      </c>
      <c r="E26" s="10">
        <v>0</v>
      </c>
      <c r="F26" s="4" t="s">
        <v>30</v>
      </c>
      <c r="G26" s="10"/>
      <c r="H26" s="14" t="s">
        <v>33</v>
      </c>
      <c r="I26" s="82">
        <v>0</v>
      </c>
      <c r="J26" s="10"/>
      <c r="K26" s="11">
        <v>0</v>
      </c>
      <c r="L26" s="69">
        <v>26141453.739999998</v>
      </c>
      <c r="M26" s="4"/>
      <c r="N26" s="4"/>
      <c r="O26" s="4"/>
      <c r="P26" s="3"/>
      <c r="Q26" s="3"/>
      <c r="R26" s="3"/>
      <c r="S26" s="43">
        <f>1026095086.34+1245126612.57</f>
        <v>2271221698.9099998</v>
      </c>
      <c r="T26" s="8"/>
    </row>
    <row r="27" spans="1:21" x14ac:dyDescent="0.25">
      <c r="A27" s="3" t="s">
        <v>25</v>
      </c>
      <c r="B27" s="8">
        <f>166565262809.6+89633776563.5</f>
        <v>256199039373.10001</v>
      </c>
      <c r="C27" s="69"/>
      <c r="D27" s="4" t="s">
        <v>30</v>
      </c>
      <c r="E27" s="10">
        <v>0</v>
      </c>
      <c r="F27" s="4" t="s">
        <v>30</v>
      </c>
      <c r="G27" s="10"/>
      <c r="H27" s="14" t="s">
        <v>33</v>
      </c>
      <c r="I27" s="82">
        <v>0</v>
      </c>
      <c r="J27" s="10"/>
      <c r="K27" s="11">
        <v>1665652628.0899999</v>
      </c>
      <c r="L27" s="69">
        <v>56610000</v>
      </c>
      <c r="M27" s="4"/>
      <c r="N27" s="4"/>
      <c r="O27" s="4"/>
      <c r="P27" s="3"/>
      <c r="Q27" s="3"/>
      <c r="R27" s="3"/>
      <c r="S27" s="43">
        <f>1294769509.12+1364760000</f>
        <v>2659529509.1199999</v>
      </c>
      <c r="T27" s="8"/>
    </row>
    <row r="28" spans="1:21" s="67" customFormat="1" x14ac:dyDescent="0.25">
      <c r="A28" s="61" t="s">
        <v>773</v>
      </c>
      <c r="B28" s="62">
        <f>SUM(B19:B27)</f>
        <v>865584855022.65002</v>
      </c>
      <c r="C28" s="77"/>
      <c r="D28" s="64" t="s">
        <v>30</v>
      </c>
      <c r="E28" s="63">
        <v>0</v>
      </c>
      <c r="F28" s="64" t="s">
        <v>30</v>
      </c>
      <c r="G28" s="63"/>
      <c r="H28" s="64">
        <v>0</v>
      </c>
      <c r="I28" s="83">
        <v>0</v>
      </c>
      <c r="J28" s="63"/>
      <c r="K28" s="63">
        <f>+K27</f>
        <v>1665652628.0899999</v>
      </c>
      <c r="L28" s="77">
        <f>SUM(L19:L27)</f>
        <v>154440265.70999998</v>
      </c>
      <c r="M28" s="64"/>
      <c r="N28" s="64"/>
      <c r="O28" s="64"/>
      <c r="P28" s="61"/>
      <c r="Q28" s="61"/>
      <c r="R28" s="61"/>
      <c r="S28" s="76">
        <f>SUM(S26:S27)</f>
        <v>4930751208.0299997</v>
      </c>
      <c r="T28" s="62"/>
    </row>
    <row r="29" spans="1:21" s="67" customFormat="1" x14ac:dyDescent="0.25">
      <c r="A29" s="61" t="s">
        <v>774</v>
      </c>
      <c r="B29" s="62">
        <f>+B28/1000000</f>
        <v>865584.85502264998</v>
      </c>
      <c r="C29" s="77">
        <f>927.68+1168.92</f>
        <v>2096.6</v>
      </c>
      <c r="D29" s="64" t="s">
        <v>30</v>
      </c>
      <c r="E29" s="63">
        <v>0</v>
      </c>
      <c r="F29" s="64" t="s">
        <v>30</v>
      </c>
      <c r="G29" s="63"/>
      <c r="H29" s="64">
        <v>630.91</v>
      </c>
      <c r="I29" s="83">
        <v>0</v>
      </c>
      <c r="J29" s="63"/>
      <c r="K29" s="63">
        <f>+K28/1000000</f>
        <v>1665.65262809</v>
      </c>
      <c r="L29" s="77">
        <f>+L28/1000000</f>
        <v>154.44026570999998</v>
      </c>
      <c r="M29" s="64"/>
      <c r="N29" s="64"/>
      <c r="O29" s="64"/>
      <c r="P29" s="61"/>
      <c r="Q29" s="61"/>
      <c r="R29" s="61"/>
      <c r="S29" s="76">
        <f>+S28/1000000</f>
        <v>4930.7512080299994</v>
      </c>
      <c r="T29" s="62"/>
    </row>
    <row r="30" spans="1:21" x14ac:dyDescent="0.25">
      <c r="A30" s="3" t="s">
        <v>26</v>
      </c>
      <c r="B30" s="8">
        <f>85128.54+100693.14</f>
        <v>185821.68</v>
      </c>
      <c r="C30" s="69">
        <v>2421.4899999999998</v>
      </c>
      <c r="D30" s="4" t="s">
        <v>30</v>
      </c>
      <c r="E30" s="10">
        <v>0</v>
      </c>
      <c r="F30" s="4" t="s">
        <v>30</v>
      </c>
      <c r="G30" s="10"/>
      <c r="H30" s="4">
        <v>3522.89</v>
      </c>
      <c r="I30" s="84">
        <v>0</v>
      </c>
      <c r="J30" s="10"/>
      <c r="K30" s="11">
        <f>896.33+851.28</f>
        <v>1747.6100000000001</v>
      </c>
      <c r="L30" s="69">
        <v>42.16</v>
      </c>
      <c r="M30" s="4"/>
      <c r="N30" s="4"/>
      <c r="O30" s="4"/>
      <c r="P30" s="3"/>
      <c r="Q30" s="3"/>
      <c r="R30" s="3"/>
      <c r="S30" s="43">
        <f>1300.03+1534.26</f>
        <v>2834.29</v>
      </c>
      <c r="T30" s="8"/>
    </row>
    <row r="31" spans="1:21" x14ac:dyDescent="0.25">
      <c r="A31" s="3" t="s">
        <v>27</v>
      </c>
      <c r="B31" s="8">
        <f>90957.34+107253.01</f>
        <v>198210.34999999998</v>
      </c>
      <c r="C31" s="69">
        <v>2783.43</v>
      </c>
      <c r="D31" s="4" t="s">
        <v>30</v>
      </c>
      <c r="E31" s="10">
        <v>0</v>
      </c>
      <c r="F31" s="4" t="s">
        <v>30</v>
      </c>
      <c r="G31" s="10"/>
      <c r="H31" s="4">
        <v>673.26</v>
      </c>
      <c r="I31" s="84">
        <v>0</v>
      </c>
      <c r="J31" s="10"/>
      <c r="K31" s="11">
        <f>1006.93+909.57</f>
        <v>1916.5</v>
      </c>
      <c r="L31" s="69">
        <v>23.49</v>
      </c>
      <c r="M31" s="4"/>
      <c r="N31" s="4"/>
      <c r="O31" s="4"/>
      <c r="P31" s="3"/>
      <c r="Q31" s="3"/>
      <c r="R31" s="3"/>
      <c r="S31" s="43">
        <f>1379.63+1649.67</f>
        <v>3029.3</v>
      </c>
      <c r="T31" s="8"/>
    </row>
    <row r="32" spans="1:21" x14ac:dyDescent="0.25">
      <c r="A32" s="3" t="s">
        <v>28</v>
      </c>
      <c r="B32" s="8">
        <f>107285.06+164152.47</f>
        <v>271437.53000000003</v>
      </c>
      <c r="C32" s="69">
        <f>3379.14</f>
        <v>3379.14</v>
      </c>
      <c r="D32" s="4" t="s">
        <v>30</v>
      </c>
      <c r="E32" s="10">
        <v>0</v>
      </c>
      <c r="F32" s="4" t="s">
        <v>30</v>
      </c>
      <c r="G32" s="10"/>
      <c r="H32" s="4">
        <f>673.26+379.13</f>
        <v>1052.3899999999999</v>
      </c>
      <c r="I32" s="84">
        <v>0</v>
      </c>
      <c r="J32" s="10"/>
      <c r="K32" s="11">
        <f>1072.53+1072.85</f>
        <v>2145.38</v>
      </c>
      <c r="L32" s="69">
        <v>31.8</v>
      </c>
      <c r="M32" s="4"/>
      <c r="N32" s="4"/>
      <c r="O32" s="4"/>
      <c r="P32" s="3"/>
      <c r="Q32" s="3"/>
      <c r="R32" s="3"/>
      <c r="S32" s="43">
        <v>1633.51</v>
      </c>
      <c r="T32" s="8"/>
    </row>
    <row r="33" spans="1:20" s="25" customFormat="1" x14ac:dyDescent="0.25">
      <c r="A33" s="21" t="s">
        <v>34</v>
      </c>
      <c r="B33" s="22">
        <f>SUM(B29:B32)</f>
        <v>1521054.41502265</v>
      </c>
      <c r="C33" s="79">
        <f>+C32</f>
        <v>3379.14</v>
      </c>
      <c r="D33" s="24" t="s">
        <v>30</v>
      </c>
      <c r="E33" s="23">
        <v>0</v>
      </c>
      <c r="F33" s="24" t="s">
        <v>30</v>
      </c>
      <c r="G33" s="23" t="s">
        <v>30</v>
      </c>
      <c r="H33" s="24" t="s">
        <v>30</v>
      </c>
      <c r="I33" s="85">
        <v>0</v>
      </c>
      <c r="J33" s="23" t="s">
        <v>30</v>
      </c>
      <c r="K33" s="23">
        <f>SUM(K29:K32)</f>
        <v>7475.1426280900005</v>
      </c>
      <c r="L33" s="78">
        <f>SUM(L29:L32)</f>
        <v>251.89026570999999</v>
      </c>
      <c r="M33" s="24" t="s">
        <v>30</v>
      </c>
      <c r="N33" s="24" t="s">
        <v>30</v>
      </c>
      <c r="O33" s="24" t="s">
        <v>30</v>
      </c>
      <c r="P33" s="21"/>
      <c r="Q33" s="21"/>
      <c r="R33" s="21"/>
      <c r="S33" s="78">
        <f>SUM(S29:S32)</f>
        <v>12427.851208030001</v>
      </c>
      <c r="T33" s="23" t="s">
        <v>30</v>
      </c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baseColWidth="10" defaultRowHeight="15" x14ac:dyDescent="0.25"/>
  <cols>
    <col min="1" max="16384" width="11.42578125" style="16"/>
  </cols>
  <sheetData/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7"/>
  <sheetViews>
    <sheetView workbookViewId="0">
      <selection activeCell="I11" sqref="I11"/>
    </sheetView>
  </sheetViews>
  <sheetFormatPr baseColWidth="10" defaultRowHeight="15" x14ac:dyDescent="0.25"/>
  <cols>
    <col min="1" max="1" width="22.140625" bestFit="1" customWidth="1"/>
    <col min="2" max="2" width="15.28515625" style="16" bestFit="1" customWidth="1"/>
  </cols>
  <sheetData>
    <row r="2" spans="1:2" x14ac:dyDescent="0.25">
      <c r="A2" t="s">
        <v>36</v>
      </c>
      <c r="B2" s="16">
        <v>1870692616.3800001</v>
      </c>
    </row>
    <row r="3" spans="1:2" x14ac:dyDescent="0.25">
      <c r="A3" t="s">
        <v>37</v>
      </c>
      <c r="B3" s="17">
        <v>636010489.55999994</v>
      </c>
    </row>
    <row r="4" spans="1:2" x14ac:dyDescent="0.25">
      <c r="B4" s="16">
        <f>+B2-B3</f>
        <v>1234682126.8200002</v>
      </c>
    </row>
    <row r="5" spans="1:2" x14ac:dyDescent="0.25">
      <c r="A5" s="18">
        <v>0.05</v>
      </c>
      <c r="B5" s="16">
        <f>+B4*5%</f>
        <v>61734106.341000013</v>
      </c>
    </row>
    <row r="6" spans="1:2" x14ac:dyDescent="0.25">
      <c r="A6" t="s">
        <v>38</v>
      </c>
      <c r="B6" s="16">
        <v>60000000</v>
      </c>
    </row>
    <row r="7" spans="1:2" x14ac:dyDescent="0.25">
      <c r="A7" t="s">
        <v>39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"/>
  <sheetViews>
    <sheetView workbookViewId="0">
      <selection activeCell="C1" sqref="C1"/>
    </sheetView>
  </sheetViews>
  <sheetFormatPr baseColWidth="10" defaultRowHeight="15" x14ac:dyDescent="0.25"/>
  <cols>
    <col min="3" max="3" width="12.7109375" bestFit="1" customWidth="1"/>
  </cols>
  <sheetData>
    <row r="1" spans="3:3" x14ac:dyDescent="0.25">
      <c r="C1" s="16"/>
    </row>
  </sheetData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4066"/>
  <sheetViews>
    <sheetView workbookViewId="0">
      <selection sqref="A1:A1048576"/>
    </sheetView>
  </sheetViews>
  <sheetFormatPr baseColWidth="10" defaultRowHeight="15" x14ac:dyDescent="0.25"/>
  <sheetData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3" spans="1:1" x14ac:dyDescent="0.25">
      <c r="A13" t="s">
        <v>80</v>
      </c>
    </row>
    <row r="14" spans="1:1" x14ac:dyDescent="0.25">
      <c r="A14" t="s">
        <v>81</v>
      </c>
    </row>
    <row r="15" spans="1:1" x14ac:dyDescent="0.25">
      <c r="A15" t="s">
        <v>82</v>
      </c>
    </row>
    <row r="16" spans="1:1" x14ac:dyDescent="0.25">
      <c r="A16" t="s">
        <v>83</v>
      </c>
    </row>
    <row r="17" spans="1:1" x14ac:dyDescent="0.25">
      <c r="A17" t="s">
        <v>84</v>
      </c>
    </row>
    <row r="18" spans="1:1" x14ac:dyDescent="0.25">
      <c r="A18" t="s">
        <v>85</v>
      </c>
    </row>
    <row r="19" spans="1:1" x14ac:dyDescent="0.25">
      <c r="A19" t="s">
        <v>86</v>
      </c>
    </row>
    <row r="20" spans="1:1" x14ac:dyDescent="0.25">
      <c r="A20" t="s">
        <v>87</v>
      </c>
    </row>
    <row r="21" spans="1:1" x14ac:dyDescent="0.25">
      <c r="A21" t="s">
        <v>88</v>
      </c>
    </row>
    <row r="22" spans="1:1" x14ac:dyDescent="0.25">
      <c r="A22" t="s">
        <v>89</v>
      </c>
    </row>
    <row r="23" spans="1:1" x14ac:dyDescent="0.25">
      <c r="A23" t="s">
        <v>90</v>
      </c>
    </row>
    <row r="24" spans="1:1" x14ac:dyDescent="0.25">
      <c r="A24" t="s">
        <v>91</v>
      </c>
    </row>
    <row r="25" spans="1:1" x14ac:dyDescent="0.25">
      <c r="A25" t="s">
        <v>92</v>
      </c>
    </row>
    <row r="26" spans="1:1" x14ac:dyDescent="0.25">
      <c r="A26" t="s">
        <v>93</v>
      </c>
    </row>
    <row r="27" spans="1:1" x14ac:dyDescent="0.25">
      <c r="A27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83</v>
      </c>
    </row>
    <row r="34" spans="1:1" x14ac:dyDescent="0.25">
      <c r="A34" t="s">
        <v>84</v>
      </c>
    </row>
    <row r="35" spans="1:1" x14ac:dyDescent="0.25">
      <c r="A35" t="s">
        <v>85</v>
      </c>
    </row>
    <row r="36" spans="1:1" x14ac:dyDescent="0.25">
      <c r="A36" t="s">
        <v>86</v>
      </c>
    </row>
    <row r="37" spans="1:1" x14ac:dyDescent="0.25">
      <c r="A37" t="s">
        <v>87</v>
      </c>
    </row>
    <row r="38" spans="1:1" x14ac:dyDescent="0.25">
      <c r="A38" t="s">
        <v>88</v>
      </c>
    </row>
    <row r="39" spans="1:1" x14ac:dyDescent="0.25">
      <c r="A39" t="s">
        <v>98</v>
      </c>
    </row>
    <row r="40" spans="1:1" x14ac:dyDescent="0.25">
      <c r="A40" t="s">
        <v>99</v>
      </c>
    </row>
    <row r="41" spans="1:1" x14ac:dyDescent="0.25">
      <c r="A41" t="s">
        <v>91</v>
      </c>
    </row>
    <row r="42" spans="1:1" x14ac:dyDescent="0.25">
      <c r="A42" t="s">
        <v>92</v>
      </c>
    </row>
    <row r="43" spans="1:1" x14ac:dyDescent="0.25">
      <c r="A43" t="s">
        <v>93</v>
      </c>
    </row>
    <row r="44" spans="1:1" x14ac:dyDescent="0.25">
      <c r="A44" t="s">
        <v>100</v>
      </c>
    </row>
    <row r="47" spans="1:1" x14ac:dyDescent="0.25">
      <c r="A47" t="s">
        <v>101</v>
      </c>
    </row>
    <row r="48" spans="1:1" x14ac:dyDescent="0.25">
      <c r="A48" t="s">
        <v>102</v>
      </c>
    </row>
    <row r="49" spans="1:1" x14ac:dyDescent="0.25">
      <c r="A49" t="s">
        <v>103</v>
      </c>
    </row>
    <row r="50" spans="1:1" x14ac:dyDescent="0.25">
      <c r="A50" t="s">
        <v>83</v>
      </c>
    </row>
    <row r="51" spans="1:1" x14ac:dyDescent="0.25">
      <c r="A51" t="s">
        <v>84</v>
      </c>
    </row>
    <row r="52" spans="1:1" x14ac:dyDescent="0.25">
      <c r="A52" t="s">
        <v>85</v>
      </c>
    </row>
    <row r="53" spans="1:1" x14ac:dyDescent="0.25">
      <c r="A53" t="s">
        <v>86</v>
      </c>
    </row>
    <row r="54" spans="1:1" x14ac:dyDescent="0.25">
      <c r="A54" t="s">
        <v>87</v>
      </c>
    </row>
    <row r="55" spans="1:1" x14ac:dyDescent="0.25">
      <c r="A55" t="s">
        <v>88</v>
      </c>
    </row>
    <row r="56" spans="1:1" x14ac:dyDescent="0.25">
      <c r="A56" t="s">
        <v>89</v>
      </c>
    </row>
    <row r="57" spans="1:1" x14ac:dyDescent="0.25">
      <c r="A57" t="s">
        <v>98</v>
      </c>
    </row>
    <row r="58" spans="1:1" x14ac:dyDescent="0.25">
      <c r="A58" t="s">
        <v>104</v>
      </c>
    </row>
    <row r="59" spans="1:1" x14ac:dyDescent="0.25">
      <c r="A59" t="s">
        <v>91</v>
      </c>
    </row>
    <row r="60" spans="1:1" x14ac:dyDescent="0.25">
      <c r="A60" t="s">
        <v>92</v>
      </c>
    </row>
    <row r="67" spans="1:1" x14ac:dyDescent="0.25">
      <c r="A67" t="s">
        <v>72</v>
      </c>
    </row>
    <row r="68" spans="1:1" x14ac:dyDescent="0.25">
      <c r="A68" t="s">
        <v>73</v>
      </c>
    </row>
    <row r="69" spans="1:1" x14ac:dyDescent="0.25">
      <c r="A69" t="s">
        <v>74</v>
      </c>
    </row>
    <row r="70" spans="1:1" x14ac:dyDescent="0.25">
      <c r="A70" t="s">
        <v>75</v>
      </c>
    </row>
    <row r="71" spans="1:1" x14ac:dyDescent="0.25">
      <c r="A71" t="s">
        <v>76</v>
      </c>
    </row>
    <row r="72" spans="1:1" x14ac:dyDescent="0.25">
      <c r="A72" t="s">
        <v>77</v>
      </c>
    </row>
    <row r="73" spans="1:1" x14ac:dyDescent="0.25">
      <c r="A73" t="s">
        <v>105</v>
      </c>
    </row>
    <row r="74" spans="1:1" x14ac:dyDescent="0.25">
      <c r="A74" t="s">
        <v>79</v>
      </c>
    </row>
    <row r="75" spans="1:1" x14ac:dyDescent="0.25">
      <c r="A75" t="s">
        <v>93</v>
      </c>
    </row>
    <row r="76" spans="1:1" x14ac:dyDescent="0.25">
      <c r="A76" t="s">
        <v>106</v>
      </c>
    </row>
    <row r="79" spans="1:1" x14ac:dyDescent="0.25">
      <c r="A79" t="s">
        <v>107</v>
      </c>
    </row>
    <row r="80" spans="1:1" x14ac:dyDescent="0.25">
      <c r="A80" t="s">
        <v>108</v>
      </c>
    </row>
    <row r="81" spans="1:1" x14ac:dyDescent="0.25">
      <c r="A81" t="s">
        <v>109</v>
      </c>
    </row>
    <row r="82" spans="1:1" x14ac:dyDescent="0.25">
      <c r="A82" t="s">
        <v>83</v>
      </c>
    </row>
    <row r="83" spans="1:1" x14ac:dyDescent="0.25">
      <c r="A83" t="s">
        <v>84</v>
      </c>
    </row>
    <row r="84" spans="1:1" x14ac:dyDescent="0.25">
      <c r="A84" t="s">
        <v>85</v>
      </c>
    </row>
    <row r="85" spans="1:1" x14ac:dyDescent="0.25">
      <c r="A85" t="s">
        <v>86</v>
      </c>
    </row>
    <row r="86" spans="1:1" x14ac:dyDescent="0.25">
      <c r="A86" t="s">
        <v>87</v>
      </c>
    </row>
    <row r="87" spans="1:1" x14ac:dyDescent="0.25">
      <c r="A87" t="s">
        <v>88</v>
      </c>
    </row>
    <row r="88" spans="1:1" x14ac:dyDescent="0.25">
      <c r="A88" t="s">
        <v>89</v>
      </c>
    </row>
    <row r="89" spans="1:1" x14ac:dyDescent="0.25">
      <c r="A89" t="s">
        <v>110</v>
      </c>
    </row>
    <row r="90" spans="1:1" x14ac:dyDescent="0.25">
      <c r="A90" t="s">
        <v>91</v>
      </c>
    </row>
    <row r="91" spans="1:1" x14ac:dyDescent="0.25">
      <c r="A91" t="s">
        <v>92</v>
      </c>
    </row>
    <row r="92" spans="1:1" x14ac:dyDescent="0.25">
      <c r="A92" t="s">
        <v>93</v>
      </c>
    </row>
    <row r="93" spans="1:1" x14ac:dyDescent="0.25">
      <c r="A93" t="s">
        <v>111</v>
      </c>
    </row>
    <row r="96" spans="1:1" x14ac:dyDescent="0.25">
      <c r="A96" t="s">
        <v>112</v>
      </c>
    </row>
    <row r="97" spans="1:1" x14ac:dyDescent="0.25">
      <c r="A97" t="s">
        <v>113</v>
      </c>
    </row>
    <row r="98" spans="1:1" x14ac:dyDescent="0.25">
      <c r="A98" t="s">
        <v>114</v>
      </c>
    </row>
    <row r="99" spans="1:1" x14ac:dyDescent="0.25">
      <c r="A99" t="s">
        <v>83</v>
      </c>
    </row>
    <row r="100" spans="1:1" x14ac:dyDescent="0.25">
      <c r="A100" t="s">
        <v>84</v>
      </c>
    </row>
    <row r="101" spans="1:1" x14ac:dyDescent="0.25">
      <c r="A101" t="s">
        <v>85</v>
      </c>
    </row>
    <row r="102" spans="1:1" x14ac:dyDescent="0.25">
      <c r="A102" t="s">
        <v>86</v>
      </c>
    </row>
    <row r="103" spans="1:1" x14ac:dyDescent="0.25">
      <c r="A103" t="s">
        <v>87</v>
      </c>
    </row>
    <row r="104" spans="1:1" x14ac:dyDescent="0.25">
      <c r="A104" t="s">
        <v>88</v>
      </c>
    </row>
    <row r="105" spans="1:1" x14ac:dyDescent="0.25">
      <c r="A105" t="s">
        <v>99</v>
      </c>
    </row>
    <row r="106" spans="1:1" x14ac:dyDescent="0.25">
      <c r="A106" t="s">
        <v>91</v>
      </c>
    </row>
    <row r="107" spans="1:1" x14ac:dyDescent="0.25">
      <c r="A107" t="s">
        <v>92</v>
      </c>
    </row>
    <row r="108" spans="1:1" x14ac:dyDescent="0.25">
      <c r="A108" t="s">
        <v>93</v>
      </c>
    </row>
    <row r="109" spans="1:1" x14ac:dyDescent="0.25">
      <c r="A109" t="s">
        <v>115</v>
      </c>
    </row>
    <row r="112" spans="1:1" x14ac:dyDescent="0.25">
      <c r="A112" t="s">
        <v>116</v>
      </c>
    </row>
    <row r="113" spans="1:1" x14ac:dyDescent="0.25">
      <c r="A113" t="s">
        <v>117</v>
      </c>
    </row>
    <row r="114" spans="1:1" x14ac:dyDescent="0.25">
      <c r="A114" t="s">
        <v>118</v>
      </c>
    </row>
    <row r="115" spans="1:1" x14ac:dyDescent="0.25">
      <c r="A115" t="s">
        <v>83</v>
      </c>
    </row>
    <row r="116" spans="1:1" x14ac:dyDescent="0.25">
      <c r="A116" t="s">
        <v>84</v>
      </c>
    </row>
    <row r="117" spans="1:1" x14ac:dyDescent="0.25">
      <c r="A117" t="s">
        <v>85</v>
      </c>
    </row>
    <row r="118" spans="1:1" x14ac:dyDescent="0.25">
      <c r="A118" t="s">
        <v>86</v>
      </c>
    </row>
    <row r="119" spans="1:1" x14ac:dyDescent="0.25">
      <c r="A119" t="s">
        <v>87</v>
      </c>
    </row>
    <row r="120" spans="1:1" x14ac:dyDescent="0.25">
      <c r="A120" t="s">
        <v>88</v>
      </c>
    </row>
    <row r="121" spans="1:1" x14ac:dyDescent="0.25">
      <c r="A121" t="s">
        <v>89</v>
      </c>
    </row>
    <row r="122" spans="1:1" x14ac:dyDescent="0.25">
      <c r="A122" t="s">
        <v>90</v>
      </c>
    </row>
    <row r="123" spans="1:1" x14ac:dyDescent="0.25">
      <c r="A123" t="s">
        <v>91</v>
      </c>
    </row>
    <row r="124" spans="1:1" x14ac:dyDescent="0.25">
      <c r="A124" t="s">
        <v>92</v>
      </c>
    </row>
    <row r="130" spans="1:1" x14ac:dyDescent="0.25">
      <c r="A130" t="s">
        <v>72</v>
      </c>
    </row>
    <row r="131" spans="1:1" x14ac:dyDescent="0.25">
      <c r="A131" t="s">
        <v>73</v>
      </c>
    </row>
    <row r="132" spans="1:1" x14ac:dyDescent="0.25">
      <c r="A132" t="s">
        <v>74</v>
      </c>
    </row>
    <row r="133" spans="1:1" x14ac:dyDescent="0.25">
      <c r="A133" t="s">
        <v>75</v>
      </c>
    </row>
    <row r="134" spans="1:1" x14ac:dyDescent="0.25">
      <c r="A134" t="s">
        <v>76</v>
      </c>
    </row>
    <row r="135" spans="1:1" x14ac:dyDescent="0.25">
      <c r="A135" t="s">
        <v>77</v>
      </c>
    </row>
    <row r="136" spans="1:1" x14ac:dyDescent="0.25">
      <c r="A136" t="s">
        <v>119</v>
      </c>
    </row>
    <row r="137" spans="1:1" x14ac:dyDescent="0.25">
      <c r="A137" t="s">
        <v>79</v>
      </c>
    </row>
    <row r="138" spans="1:1" x14ac:dyDescent="0.25">
      <c r="A138" t="s">
        <v>93</v>
      </c>
    </row>
    <row r="139" spans="1:1" x14ac:dyDescent="0.25">
      <c r="A139" t="s">
        <v>94</v>
      </c>
    </row>
    <row r="142" spans="1:1" x14ac:dyDescent="0.25">
      <c r="A142" t="s">
        <v>120</v>
      </c>
    </row>
    <row r="143" spans="1:1" x14ac:dyDescent="0.25">
      <c r="A143" t="s">
        <v>121</v>
      </c>
    </row>
    <row r="144" spans="1:1" x14ac:dyDescent="0.25">
      <c r="A144" t="s">
        <v>122</v>
      </c>
    </row>
    <row r="145" spans="1:1" x14ac:dyDescent="0.25">
      <c r="A145" t="s">
        <v>83</v>
      </c>
    </row>
    <row r="146" spans="1:1" x14ac:dyDescent="0.25">
      <c r="A146" t="s">
        <v>84</v>
      </c>
    </row>
    <row r="147" spans="1:1" x14ac:dyDescent="0.25">
      <c r="A147" t="s">
        <v>85</v>
      </c>
    </row>
    <row r="148" spans="1:1" x14ac:dyDescent="0.25">
      <c r="A148" t="s">
        <v>86</v>
      </c>
    </row>
    <row r="149" spans="1:1" x14ac:dyDescent="0.25">
      <c r="A149" t="s">
        <v>87</v>
      </c>
    </row>
    <row r="150" spans="1:1" x14ac:dyDescent="0.25">
      <c r="A150" t="s">
        <v>88</v>
      </c>
    </row>
    <row r="151" spans="1:1" x14ac:dyDescent="0.25">
      <c r="A151" t="s">
        <v>89</v>
      </c>
    </row>
    <row r="152" spans="1:1" x14ac:dyDescent="0.25">
      <c r="A152" t="s">
        <v>123</v>
      </c>
    </row>
    <row r="153" spans="1:1" x14ac:dyDescent="0.25">
      <c r="A153" t="s">
        <v>91</v>
      </c>
    </row>
    <row r="154" spans="1:1" x14ac:dyDescent="0.25">
      <c r="A154" t="s">
        <v>92</v>
      </c>
    </row>
    <row r="155" spans="1:1" x14ac:dyDescent="0.25">
      <c r="A155" t="s">
        <v>93</v>
      </c>
    </row>
    <row r="156" spans="1:1" x14ac:dyDescent="0.25">
      <c r="A156" t="s">
        <v>124</v>
      </c>
    </row>
    <row r="157" spans="1:1" x14ac:dyDescent="0.25">
      <c r="A157" t="s">
        <v>125</v>
      </c>
    </row>
    <row r="160" spans="1:1" x14ac:dyDescent="0.25">
      <c r="A160" t="s">
        <v>126</v>
      </c>
    </row>
    <row r="161" spans="1:1" x14ac:dyDescent="0.25">
      <c r="A161" t="s">
        <v>127</v>
      </c>
    </row>
    <row r="162" spans="1:1" x14ac:dyDescent="0.25">
      <c r="A162" t="s">
        <v>128</v>
      </c>
    </row>
    <row r="163" spans="1:1" x14ac:dyDescent="0.25">
      <c r="A163" t="s">
        <v>83</v>
      </c>
    </row>
    <row r="164" spans="1:1" x14ac:dyDescent="0.25">
      <c r="A164" t="s">
        <v>84</v>
      </c>
    </row>
    <row r="165" spans="1:1" x14ac:dyDescent="0.25">
      <c r="A165" t="s">
        <v>85</v>
      </c>
    </row>
    <row r="166" spans="1:1" x14ac:dyDescent="0.25">
      <c r="A166" t="s">
        <v>86</v>
      </c>
    </row>
    <row r="167" spans="1:1" x14ac:dyDescent="0.25">
      <c r="A167" t="s">
        <v>87</v>
      </c>
    </row>
    <row r="168" spans="1:1" x14ac:dyDescent="0.25">
      <c r="A168" t="s">
        <v>88</v>
      </c>
    </row>
    <row r="169" spans="1:1" x14ac:dyDescent="0.25">
      <c r="A169" t="s">
        <v>89</v>
      </c>
    </row>
    <row r="170" spans="1:1" x14ac:dyDescent="0.25">
      <c r="A170" t="s">
        <v>129</v>
      </c>
    </row>
    <row r="171" spans="1:1" x14ac:dyDescent="0.25">
      <c r="A171" t="s">
        <v>104</v>
      </c>
    </row>
    <row r="172" spans="1:1" x14ac:dyDescent="0.25">
      <c r="A172" t="s">
        <v>91</v>
      </c>
    </row>
    <row r="173" spans="1:1" x14ac:dyDescent="0.25">
      <c r="A173" t="s">
        <v>92</v>
      </c>
    </row>
    <row r="174" spans="1:1" x14ac:dyDescent="0.25">
      <c r="A174" t="s">
        <v>93</v>
      </c>
    </row>
    <row r="175" spans="1:1" x14ac:dyDescent="0.25">
      <c r="A175" t="s">
        <v>130</v>
      </c>
    </row>
    <row r="178" spans="1:1" x14ac:dyDescent="0.25">
      <c r="A178" t="s">
        <v>131</v>
      </c>
    </row>
    <row r="179" spans="1:1" x14ac:dyDescent="0.25">
      <c r="A179" t="s">
        <v>132</v>
      </c>
    </row>
    <row r="180" spans="1:1" x14ac:dyDescent="0.25">
      <c r="A180" t="s">
        <v>133</v>
      </c>
    </row>
    <row r="181" spans="1:1" x14ac:dyDescent="0.25">
      <c r="A181" t="s">
        <v>134</v>
      </c>
    </row>
    <row r="182" spans="1:1" x14ac:dyDescent="0.25">
      <c r="A182" t="s">
        <v>84</v>
      </c>
    </row>
    <row r="183" spans="1:1" x14ac:dyDescent="0.25">
      <c r="A183" t="s">
        <v>85</v>
      </c>
    </row>
    <row r="184" spans="1:1" x14ac:dyDescent="0.25">
      <c r="A184" t="s">
        <v>86</v>
      </c>
    </row>
    <row r="185" spans="1:1" x14ac:dyDescent="0.25">
      <c r="A185" t="s">
        <v>87</v>
      </c>
    </row>
    <row r="186" spans="1:1" x14ac:dyDescent="0.25">
      <c r="A186" t="s">
        <v>88</v>
      </c>
    </row>
    <row r="187" spans="1:1" x14ac:dyDescent="0.25">
      <c r="A187" t="s">
        <v>89</v>
      </c>
    </row>
    <row r="193" spans="1:1" x14ac:dyDescent="0.25">
      <c r="A193" t="s">
        <v>72</v>
      </c>
    </row>
    <row r="194" spans="1:1" x14ac:dyDescent="0.25">
      <c r="A194" t="s">
        <v>73</v>
      </c>
    </row>
    <row r="195" spans="1:1" x14ac:dyDescent="0.25">
      <c r="A195" t="s">
        <v>74</v>
      </c>
    </row>
    <row r="196" spans="1:1" x14ac:dyDescent="0.25">
      <c r="A196" t="s">
        <v>75</v>
      </c>
    </row>
    <row r="197" spans="1:1" x14ac:dyDescent="0.25">
      <c r="A197" t="s">
        <v>76</v>
      </c>
    </row>
    <row r="198" spans="1:1" x14ac:dyDescent="0.25">
      <c r="A198" t="s">
        <v>77</v>
      </c>
    </row>
    <row r="199" spans="1:1" x14ac:dyDescent="0.25">
      <c r="A199" t="s">
        <v>135</v>
      </c>
    </row>
    <row r="200" spans="1:1" x14ac:dyDescent="0.25">
      <c r="A200" t="s">
        <v>79</v>
      </c>
    </row>
    <row r="201" spans="1:1" x14ac:dyDescent="0.25">
      <c r="A201" t="s">
        <v>90</v>
      </c>
    </row>
    <row r="202" spans="1:1" x14ac:dyDescent="0.25">
      <c r="A202" t="s">
        <v>91</v>
      </c>
    </row>
    <row r="203" spans="1:1" x14ac:dyDescent="0.25">
      <c r="A203" t="s">
        <v>92</v>
      </c>
    </row>
    <row r="204" spans="1:1" x14ac:dyDescent="0.25">
      <c r="A204" t="s">
        <v>93</v>
      </c>
    </row>
    <row r="205" spans="1:1" x14ac:dyDescent="0.25">
      <c r="A205" t="s">
        <v>94</v>
      </c>
    </row>
    <row r="208" spans="1:1" x14ac:dyDescent="0.25">
      <c r="A208" t="s">
        <v>136</v>
      </c>
    </row>
    <row r="209" spans="1:1" x14ac:dyDescent="0.25">
      <c r="A209" t="s">
        <v>137</v>
      </c>
    </row>
    <row r="210" spans="1:1" x14ac:dyDescent="0.25">
      <c r="A210" t="s">
        <v>138</v>
      </c>
    </row>
    <row r="211" spans="1:1" x14ac:dyDescent="0.25">
      <c r="A211" t="s">
        <v>134</v>
      </c>
    </row>
    <row r="212" spans="1:1" x14ac:dyDescent="0.25">
      <c r="A212" t="s">
        <v>84</v>
      </c>
    </row>
    <row r="213" spans="1:1" x14ac:dyDescent="0.25">
      <c r="A213" t="s">
        <v>85</v>
      </c>
    </row>
    <row r="214" spans="1:1" x14ac:dyDescent="0.25">
      <c r="A214" t="s">
        <v>86</v>
      </c>
    </row>
    <row r="215" spans="1:1" x14ac:dyDescent="0.25">
      <c r="A215" t="s">
        <v>87</v>
      </c>
    </row>
    <row r="216" spans="1:1" x14ac:dyDescent="0.25">
      <c r="A216" t="s">
        <v>88</v>
      </c>
    </row>
    <row r="217" spans="1:1" x14ac:dyDescent="0.25">
      <c r="A217" t="s">
        <v>89</v>
      </c>
    </row>
    <row r="218" spans="1:1" x14ac:dyDescent="0.25">
      <c r="A218" t="s">
        <v>110</v>
      </c>
    </row>
    <row r="219" spans="1:1" x14ac:dyDescent="0.25">
      <c r="A219" t="s">
        <v>91</v>
      </c>
    </row>
    <row r="220" spans="1:1" x14ac:dyDescent="0.25">
      <c r="A220" t="s">
        <v>92</v>
      </c>
    </row>
    <row r="221" spans="1:1" x14ac:dyDescent="0.25">
      <c r="A221" t="s">
        <v>93</v>
      </c>
    </row>
    <row r="222" spans="1:1" x14ac:dyDescent="0.25">
      <c r="A222" t="s">
        <v>111</v>
      </c>
    </row>
    <row r="225" spans="1:1" x14ac:dyDescent="0.25">
      <c r="A225" t="s">
        <v>139</v>
      </c>
    </row>
    <row r="226" spans="1:1" x14ac:dyDescent="0.25">
      <c r="A226" t="s">
        <v>140</v>
      </c>
    </row>
    <row r="227" spans="1:1" x14ac:dyDescent="0.25">
      <c r="A227" t="s">
        <v>141</v>
      </c>
    </row>
    <row r="228" spans="1:1" x14ac:dyDescent="0.25">
      <c r="A228" t="s">
        <v>83</v>
      </c>
    </row>
    <row r="229" spans="1:1" x14ac:dyDescent="0.25">
      <c r="A229" t="s">
        <v>84</v>
      </c>
    </row>
    <row r="230" spans="1:1" x14ac:dyDescent="0.25">
      <c r="A230" t="s">
        <v>85</v>
      </c>
    </row>
    <row r="231" spans="1:1" x14ac:dyDescent="0.25">
      <c r="A231" t="s">
        <v>86</v>
      </c>
    </row>
    <row r="232" spans="1:1" x14ac:dyDescent="0.25">
      <c r="A232" t="s">
        <v>87</v>
      </c>
    </row>
    <row r="233" spans="1:1" x14ac:dyDescent="0.25">
      <c r="A233" t="s">
        <v>88</v>
      </c>
    </row>
    <row r="234" spans="1:1" x14ac:dyDescent="0.25">
      <c r="A234" t="s">
        <v>89</v>
      </c>
    </row>
    <row r="235" spans="1:1" x14ac:dyDescent="0.25">
      <c r="A235" t="s">
        <v>110</v>
      </c>
    </row>
    <row r="236" spans="1:1" x14ac:dyDescent="0.25">
      <c r="A236" t="s">
        <v>91</v>
      </c>
    </row>
    <row r="237" spans="1:1" x14ac:dyDescent="0.25">
      <c r="A237" t="s">
        <v>92</v>
      </c>
    </row>
    <row r="238" spans="1:1" x14ac:dyDescent="0.25">
      <c r="A238" t="s">
        <v>93</v>
      </c>
    </row>
    <row r="239" spans="1:1" x14ac:dyDescent="0.25">
      <c r="A239" t="s">
        <v>111</v>
      </c>
    </row>
    <row r="242" spans="1:1" x14ac:dyDescent="0.25">
      <c r="A242" t="s">
        <v>142</v>
      </c>
    </row>
    <row r="243" spans="1:1" x14ac:dyDescent="0.25">
      <c r="A243" t="s">
        <v>143</v>
      </c>
    </row>
    <row r="244" spans="1:1" x14ac:dyDescent="0.25">
      <c r="A244" t="s">
        <v>144</v>
      </c>
    </row>
    <row r="245" spans="1:1" x14ac:dyDescent="0.25">
      <c r="A245" t="s">
        <v>134</v>
      </c>
    </row>
    <row r="246" spans="1:1" x14ac:dyDescent="0.25">
      <c r="A246" t="s">
        <v>84</v>
      </c>
    </row>
    <row r="247" spans="1:1" x14ac:dyDescent="0.25">
      <c r="A247" t="s">
        <v>85</v>
      </c>
    </row>
    <row r="248" spans="1:1" x14ac:dyDescent="0.25">
      <c r="A248" t="s">
        <v>86</v>
      </c>
    </row>
    <row r="249" spans="1:1" x14ac:dyDescent="0.25">
      <c r="A249" t="s">
        <v>87</v>
      </c>
    </row>
    <row r="250" spans="1:1" x14ac:dyDescent="0.25">
      <c r="A250" t="s">
        <v>88</v>
      </c>
    </row>
    <row r="256" spans="1:1" x14ac:dyDescent="0.25">
      <c r="A256" t="s">
        <v>72</v>
      </c>
    </row>
    <row r="257" spans="1:1" x14ac:dyDescent="0.25">
      <c r="A257" t="s">
        <v>73</v>
      </c>
    </row>
    <row r="258" spans="1:1" x14ac:dyDescent="0.25">
      <c r="A258" t="s">
        <v>74</v>
      </c>
    </row>
    <row r="259" spans="1:1" x14ac:dyDescent="0.25">
      <c r="A259" t="s">
        <v>75</v>
      </c>
    </row>
    <row r="260" spans="1:1" x14ac:dyDescent="0.25">
      <c r="A260" t="s">
        <v>76</v>
      </c>
    </row>
    <row r="261" spans="1:1" x14ac:dyDescent="0.25">
      <c r="A261" t="s">
        <v>77</v>
      </c>
    </row>
    <row r="262" spans="1:1" x14ac:dyDescent="0.25">
      <c r="A262" t="s">
        <v>145</v>
      </c>
    </row>
    <row r="263" spans="1:1" x14ac:dyDescent="0.25">
      <c r="A263" t="s">
        <v>79</v>
      </c>
    </row>
    <row r="264" spans="1:1" x14ac:dyDescent="0.25">
      <c r="A264" t="s">
        <v>89</v>
      </c>
    </row>
    <row r="265" spans="1:1" x14ac:dyDescent="0.25">
      <c r="A265" t="s">
        <v>110</v>
      </c>
    </row>
    <row r="266" spans="1:1" x14ac:dyDescent="0.25">
      <c r="A266" t="s">
        <v>91</v>
      </c>
    </row>
    <row r="267" spans="1:1" x14ac:dyDescent="0.25">
      <c r="A267" t="s">
        <v>92</v>
      </c>
    </row>
    <row r="268" spans="1:1" x14ac:dyDescent="0.25">
      <c r="A268" t="s">
        <v>93</v>
      </c>
    </row>
    <row r="269" spans="1:1" x14ac:dyDescent="0.25">
      <c r="A269" t="s">
        <v>111</v>
      </c>
    </row>
    <row r="272" spans="1:1" x14ac:dyDescent="0.25">
      <c r="A272" t="s">
        <v>146</v>
      </c>
    </row>
    <row r="273" spans="1:1" x14ac:dyDescent="0.25">
      <c r="A273" t="s">
        <v>147</v>
      </c>
    </row>
    <row r="274" spans="1:1" x14ac:dyDescent="0.25">
      <c r="A274" t="s">
        <v>148</v>
      </c>
    </row>
    <row r="275" spans="1:1" x14ac:dyDescent="0.25">
      <c r="A275" t="s">
        <v>83</v>
      </c>
    </row>
    <row r="276" spans="1:1" x14ac:dyDescent="0.25">
      <c r="A276" t="s">
        <v>84</v>
      </c>
    </row>
    <row r="277" spans="1:1" x14ac:dyDescent="0.25">
      <c r="A277" t="s">
        <v>85</v>
      </c>
    </row>
    <row r="278" spans="1:1" x14ac:dyDescent="0.25">
      <c r="A278" t="s">
        <v>86</v>
      </c>
    </row>
    <row r="279" spans="1:1" x14ac:dyDescent="0.25">
      <c r="A279" t="s">
        <v>87</v>
      </c>
    </row>
    <row r="280" spans="1:1" x14ac:dyDescent="0.25">
      <c r="A280" t="s">
        <v>88</v>
      </c>
    </row>
    <row r="281" spans="1:1" x14ac:dyDescent="0.25">
      <c r="A281" t="s">
        <v>89</v>
      </c>
    </row>
    <row r="282" spans="1:1" x14ac:dyDescent="0.25">
      <c r="A282" t="s">
        <v>90</v>
      </c>
    </row>
    <row r="283" spans="1:1" x14ac:dyDescent="0.25">
      <c r="A283" t="s">
        <v>91</v>
      </c>
    </row>
    <row r="284" spans="1:1" x14ac:dyDescent="0.25">
      <c r="A284" t="s">
        <v>92</v>
      </c>
    </row>
    <row r="285" spans="1:1" x14ac:dyDescent="0.25">
      <c r="A285" t="s">
        <v>93</v>
      </c>
    </row>
    <row r="286" spans="1:1" x14ac:dyDescent="0.25">
      <c r="A286" t="s">
        <v>94</v>
      </c>
    </row>
    <row r="289" spans="1:1" x14ac:dyDescent="0.25">
      <c r="A289" t="s">
        <v>149</v>
      </c>
    </row>
    <row r="290" spans="1:1" x14ac:dyDescent="0.25">
      <c r="A290" t="s">
        <v>150</v>
      </c>
    </row>
    <row r="291" spans="1:1" x14ac:dyDescent="0.25">
      <c r="A291" t="s">
        <v>151</v>
      </c>
    </row>
    <row r="292" spans="1:1" x14ac:dyDescent="0.25">
      <c r="A292" t="s">
        <v>83</v>
      </c>
    </row>
    <row r="293" spans="1:1" x14ac:dyDescent="0.25">
      <c r="A293" t="s">
        <v>84</v>
      </c>
    </row>
    <row r="294" spans="1:1" x14ac:dyDescent="0.25">
      <c r="A294" t="s">
        <v>85</v>
      </c>
    </row>
    <row r="295" spans="1:1" x14ac:dyDescent="0.25">
      <c r="A295" t="s">
        <v>86</v>
      </c>
    </row>
    <row r="296" spans="1:1" x14ac:dyDescent="0.25">
      <c r="A296" t="s">
        <v>87</v>
      </c>
    </row>
    <row r="297" spans="1:1" x14ac:dyDescent="0.25">
      <c r="A297" t="s">
        <v>88</v>
      </c>
    </row>
    <row r="298" spans="1:1" x14ac:dyDescent="0.25">
      <c r="A298" t="s">
        <v>89</v>
      </c>
    </row>
    <row r="299" spans="1:1" x14ac:dyDescent="0.25">
      <c r="A299" t="s">
        <v>110</v>
      </c>
    </row>
    <row r="300" spans="1:1" x14ac:dyDescent="0.25">
      <c r="A300" t="s">
        <v>91</v>
      </c>
    </row>
    <row r="301" spans="1:1" x14ac:dyDescent="0.25">
      <c r="A301" t="s">
        <v>92</v>
      </c>
    </row>
    <row r="302" spans="1:1" x14ac:dyDescent="0.25">
      <c r="A302" t="s">
        <v>93</v>
      </c>
    </row>
    <row r="303" spans="1:1" x14ac:dyDescent="0.25">
      <c r="A303" t="s">
        <v>111</v>
      </c>
    </row>
    <row r="306" spans="1:1" x14ac:dyDescent="0.25">
      <c r="A306" t="s">
        <v>152</v>
      </c>
    </row>
    <row r="307" spans="1:1" x14ac:dyDescent="0.25">
      <c r="A307" t="s">
        <v>153</v>
      </c>
    </row>
    <row r="308" spans="1:1" x14ac:dyDescent="0.25">
      <c r="A308" t="s">
        <v>103</v>
      </c>
    </row>
    <row r="309" spans="1:1" x14ac:dyDescent="0.25">
      <c r="A309" t="s">
        <v>83</v>
      </c>
    </row>
    <row r="310" spans="1:1" x14ac:dyDescent="0.25">
      <c r="A310" t="s">
        <v>84</v>
      </c>
    </row>
    <row r="311" spans="1:1" x14ac:dyDescent="0.25">
      <c r="A311" t="s">
        <v>85</v>
      </c>
    </row>
    <row r="312" spans="1:1" x14ac:dyDescent="0.25">
      <c r="A312" t="s">
        <v>86</v>
      </c>
    </row>
    <row r="313" spans="1:1" x14ac:dyDescent="0.25">
      <c r="A313" t="s">
        <v>87</v>
      </c>
    </row>
    <row r="319" spans="1:1" x14ac:dyDescent="0.25">
      <c r="A319" t="s">
        <v>72</v>
      </c>
    </row>
    <row r="320" spans="1:1" x14ac:dyDescent="0.25">
      <c r="A320" t="s">
        <v>73</v>
      </c>
    </row>
    <row r="321" spans="1:1" x14ac:dyDescent="0.25">
      <c r="A321" t="s">
        <v>74</v>
      </c>
    </row>
    <row r="322" spans="1:1" x14ac:dyDescent="0.25">
      <c r="A322" t="s">
        <v>75</v>
      </c>
    </row>
    <row r="323" spans="1:1" x14ac:dyDescent="0.25">
      <c r="A323" t="s">
        <v>76</v>
      </c>
    </row>
    <row r="324" spans="1:1" x14ac:dyDescent="0.25">
      <c r="A324" t="s">
        <v>77</v>
      </c>
    </row>
    <row r="325" spans="1:1" x14ac:dyDescent="0.25">
      <c r="A325" t="s">
        <v>154</v>
      </c>
    </row>
    <row r="326" spans="1:1" x14ac:dyDescent="0.25">
      <c r="A326" t="s">
        <v>79</v>
      </c>
    </row>
    <row r="327" spans="1:1" x14ac:dyDescent="0.25">
      <c r="A327" t="s">
        <v>88</v>
      </c>
    </row>
    <row r="328" spans="1:1" x14ac:dyDescent="0.25">
      <c r="A328" t="s">
        <v>89</v>
      </c>
    </row>
    <row r="329" spans="1:1" x14ac:dyDescent="0.25">
      <c r="A329" t="s">
        <v>98</v>
      </c>
    </row>
    <row r="330" spans="1:1" x14ac:dyDescent="0.25">
      <c r="A330" t="s">
        <v>155</v>
      </c>
    </row>
    <row r="331" spans="1:1" x14ac:dyDescent="0.25">
      <c r="A331" t="s">
        <v>91</v>
      </c>
    </row>
    <row r="332" spans="1:1" x14ac:dyDescent="0.25">
      <c r="A332" t="s">
        <v>92</v>
      </c>
    </row>
    <row r="333" spans="1:1" x14ac:dyDescent="0.25">
      <c r="A333" t="s">
        <v>93</v>
      </c>
    </row>
    <row r="334" spans="1:1" x14ac:dyDescent="0.25">
      <c r="A334" t="s">
        <v>156</v>
      </c>
    </row>
    <row r="335" spans="1:1" x14ac:dyDescent="0.25">
      <c r="A335" t="s">
        <v>157</v>
      </c>
    </row>
    <row r="338" spans="1:1" x14ac:dyDescent="0.25">
      <c r="A338" t="s">
        <v>158</v>
      </c>
    </row>
    <row r="339" spans="1:1" x14ac:dyDescent="0.25">
      <c r="A339" t="s">
        <v>159</v>
      </c>
    </row>
    <row r="340" spans="1:1" x14ac:dyDescent="0.25">
      <c r="A340" t="s">
        <v>160</v>
      </c>
    </row>
    <row r="341" spans="1:1" x14ac:dyDescent="0.25">
      <c r="A341" t="s">
        <v>83</v>
      </c>
    </row>
    <row r="342" spans="1:1" x14ac:dyDescent="0.25">
      <c r="A342" t="s">
        <v>84</v>
      </c>
    </row>
    <row r="343" spans="1:1" x14ac:dyDescent="0.25">
      <c r="A343" t="s">
        <v>85</v>
      </c>
    </row>
    <row r="344" spans="1:1" x14ac:dyDescent="0.25">
      <c r="A344" t="s">
        <v>86</v>
      </c>
    </row>
    <row r="345" spans="1:1" x14ac:dyDescent="0.25">
      <c r="A345" t="s">
        <v>87</v>
      </c>
    </row>
    <row r="346" spans="1:1" x14ac:dyDescent="0.25">
      <c r="A346" t="s">
        <v>88</v>
      </c>
    </row>
    <row r="347" spans="1:1" x14ac:dyDescent="0.25">
      <c r="A347" t="s">
        <v>89</v>
      </c>
    </row>
    <row r="348" spans="1:1" x14ac:dyDescent="0.25">
      <c r="A348" t="s">
        <v>161</v>
      </c>
    </row>
    <row r="349" spans="1:1" x14ac:dyDescent="0.25">
      <c r="A349" t="s">
        <v>110</v>
      </c>
    </row>
    <row r="350" spans="1:1" x14ac:dyDescent="0.25">
      <c r="A350" t="s">
        <v>91</v>
      </c>
    </row>
    <row r="351" spans="1:1" x14ac:dyDescent="0.25">
      <c r="A351" t="s">
        <v>92</v>
      </c>
    </row>
    <row r="352" spans="1:1" x14ac:dyDescent="0.25">
      <c r="A352" t="s">
        <v>93</v>
      </c>
    </row>
    <row r="353" spans="1:1" x14ac:dyDescent="0.25">
      <c r="A353" t="s">
        <v>162</v>
      </c>
    </row>
    <row r="356" spans="1:1" x14ac:dyDescent="0.25">
      <c r="A356" t="s">
        <v>163</v>
      </c>
    </row>
    <row r="357" spans="1:1" x14ac:dyDescent="0.25">
      <c r="A357" t="s">
        <v>164</v>
      </c>
    </row>
    <row r="358" spans="1:1" x14ac:dyDescent="0.25">
      <c r="A358" t="s">
        <v>165</v>
      </c>
    </row>
    <row r="359" spans="1:1" x14ac:dyDescent="0.25">
      <c r="A359" t="s">
        <v>83</v>
      </c>
    </row>
    <row r="360" spans="1:1" x14ac:dyDescent="0.25">
      <c r="A360" t="s">
        <v>84</v>
      </c>
    </row>
    <row r="361" spans="1:1" x14ac:dyDescent="0.25">
      <c r="A361" t="s">
        <v>85</v>
      </c>
    </row>
    <row r="362" spans="1:1" x14ac:dyDescent="0.25">
      <c r="A362" t="s">
        <v>86</v>
      </c>
    </row>
    <row r="363" spans="1:1" x14ac:dyDescent="0.25">
      <c r="A363" t="s">
        <v>87</v>
      </c>
    </row>
    <row r="364" spans="1:1" x14ac:dyDescent="0.25">
      <c r="A364" t="s">
        <v>88</v>
      </c>
    </row>
    <row r="365" spans="1:1" x14ac:dyDescent="0.25">
      <c r="A365" t="s">
        <v>89</v>
      </c>
    </row>
    <row r="366" spans="1:1" x14ac:dyDescent="0.25">
      <c r="A366" t="s">
        <v>110</v>
      </c>
    </row>
    <row r="367" spans="1:1" x14ac:dyDescent="0.25">
      <c r="A367" t="s">
        <v>91</v>
      </c>
    </row>
    <row r="368" spans="1:1" x14ac:dyDescent="0.25">
      <c r="A368" t="s">
        <v>92</v>
      </c>
    </row>
    <row r="369" spans="1:1" x14ac:dyDescent="0.25">
      <c r="A369" t="s">
        <v>93</v>
      </c>
    </row>
    <row r="370" spans="1:1" x14ac:dyDescent="0.25">
      <c r="A370" t="s">
        <v>111</v>
      </c>
    </row>
    <row r="373" spans="1:1" x14ac:dyDescent="0.25">
      <c r="A373" t="s">
        <v>166</v>
      </c>
    </row>
    <row r="374" spans="1:1" x14ac:dyDescent="0.25">
      <c r="A374" t="s">
        <v>167</v>
      </c>
    </row>
    <row r="375" spans="1:1" x14ac:dyDescent="0.25">
      <c r="A375" t="s">
        <v>168</v>
      </c>
    </row>
    <row r="382" spans="1:1" x14ac:dyDescent="0.25">
      <c r="A382" t="s">
        <v>72</v>
      </c>
    </row>
    <row r="383" spans="1:1" x14ac:dyDescent="0.25">
      <c r="A383" t="s">
        <v>73</v>
      </c>
    </row>
    <row r="384" spans="1:1" x14ac:dyDescent="0.25">
      <c r="A384" t="s">
        <v>74</v>
      </c>
    </row>
    <row r="385" spans="1:1" x14ac:dyDescent="0.25">
      <c r="A385" t="s">
        <v>75</v>
      </c>
    </row>
    <row r="386" spans="1:1" x14ac:dyDescent="0.25">
      <c r="A386" t="s">
        <v>76</v>
      </c>
    </row>
    <row r="387" spans="1:1" x14ac:dyDescent="0.25">
      <c r="A387" t="s">
        <v>77</v>
      </c>
    </row>
    <row r="388" spans="1:1" x14ac:dyDescent="0.25">
      <c r="A388" t="s">
        <v>169</v>
      </c>
    </row>
    <row r="389" spans="1:1" x14ac:dyDescent="0.25">
      <c r="A389" t="s">
        <v>79</v>
      </c>
    </row>
    <row r="390" spans="1:1" x14ac:dyDescent="0.25">
      <c r="A390" t="s">
        <v>83</v>
      </c>
    </row>
    <row r="391" spans="1:1" x14ac:dyDescent="0.25">
      <c r="A391" t="s">
        <v>84</v>
      </c>
    </row>
    <row r="392" spans="1:1" x14ac:dyDescent="0.25">
      <c r="A392" t="s">
        <v>85</v>
      </c>
    </row>
    <row r="393" spans="1:1" x14ac:dyDescent="0.25">
      <c r="A393" t="s">
        <v>86</v>
      </c>
    </row>
    <row r="394" spans="1:1" x14ac:dyDescent="0.25">
      <c r="A394" t="s">
        <v>87</v>
      </c>
    </row>
    <row r="395" spans="1:1" x14ac:dyDescent="0.25">
      <c r="A395" t="s">
        <v>88</v>
      </c>
    </row>
    <row r="396" spans="1:1" x14ac:dyDescent="0.25">
      <c r="A396" t="s">
        <v>170</v>
      </c>
    </row>
    <row r="397" spans="1:1" x14ac:dyDescent="0.25">
      <c r="A397" t="s">
        <v>91</v>
      </c>
    </row>
    <row r="398" spans="1:1" x14ac:dyDescent="0.25">
      <c r="A398" t="s">
        <v>92</v>
      </c>
    </row>
    <row r="399" spans="1:1" x14ac:dyDescent="0.25">
      <c r="A399" t="s">
        <v>93</v>
      </c>
    </row>
    <row r="400" spans="1:1" x14ac:dyDescent="0.25">
      <c r="A400" t="s">
        <v>171</v>
      </c>
    </row>
    <row r="403" spans="1:1" x14ac:dyDescent="0.25">
      <c r="A403" t="s">
        <v>172</v>
      </c>
    </row>
    <row r="404" spans="1:1" x14ac:dyDescent="0.25">
      <c r="A404" t="s">
        <v>173</v>
      </c>
    </row>
    <row r="405" spans="1:1" x14ac:dyDescent="0.25">
      <c r="A405" t="s">
        <v>174</v>
      </c>
    </row>
    <row r="406" spans="1:1" x14ac:dyDescent="0.25">
      <c r="A406" t="s">
        <v>83</v>
      </c>
    </row>
    <row r="407" spans="1:1" x14ac:dyDescent="0.25">
      <c r="A407" t="s">
        <v>84</v>
      </c>
    </row>
    <row r="408" spans="1:1" x14ac:dyDescent="0.25">
      <c r="A408" t="s">
        <v>85</v>
      </c>
    </row>
    <row r="409" spans="1:1" x14ac:dyDescent="0.25">
      <c r="A409" t="s">
        <v>86</v>
      </c>
    </row>
    <row r="410" spans="1:1" x14ac:dyDescent="0.25">
      <c r="A410" t="s">
        <v>87</v>
      </c>
    </row>
    <row r="411" spans="1:1" x14ac:dyDescent="0.25">
      <c r="A411" t="s">
        <v>88</v>
      </c>
    </row>
    <row r="412" spans="1:1" x14ac:dyDescent="0.25">
      <c r="A412" t="s">
        <v>89</v>
      </c>
    </row>
    <row r="413" spans="1:1" x14ac:dyDescent="0.25">
      <c r="A413" t="s">
        <v>91</v>
      </c>
    </row>
    <row r="414" spans="1:1" x14ac:dyDescent="0.25">
      <c r="A414" t="s">
        <v>92</v>
      </c>
    </row>
    <row r="415" spans="1:1" x14ac:dyDescent="0.25">
      <c r="A415" t="s">
        <v>93</v>
      </c>
    </row>
    <row r="416" spans="1:1" x14ac:dyDescent="0.25">
      <c r="A416" t="s">
        <v>175</v>
      </c>
    </row>
    <row r="417" spans="1:1" x14ac:dyDescent="0.25">
      <c r="A417" t="s">
        <v>176</v>
      </c>
    </row>
    <row r="420" spans="1:1" x14ac:dyDescent="0.25">
      <c r="A420" t="s">
        <v>177</v>
      </c>
    </row>
    <row r="421" spans="1:1" x14ac:dyDescent="0.25">
      <c r="A421" t="s">
        <v>178</v>
      </c>
    </row>
    <row r="422" spans="1:1" x14ac:dyDescent="0.25">
      <c r="A422" t="s">
        <v>179</v>
      </c>
    </row>
    <row r="423" spans="1:1" x14ac:dyDescent="0.25">
      <c r="A423" t="s">
        <v>83</v>
      </c>
    </row>
    <row r="424" spans="1:1" x14ac:dyDescent="0.25">
      <c r="A424" t="s">
        <v>84</v>
      </c>
    </row>
    <row r="425" spans="1:1" x14ac:dyDescent="0.25">
      <c r="A425" t="s">
        <v>85</v>
      </c>
    </row>
    <row r="426" spans="1:1" x14ac:dyDescent="0.25">
      <c r="A426" t="s">
        <v>86</v>
      </c>
    </row>
    <row r="427" spans="1:1" x14ac:dyDescent="0.25">
      <c r="A427" t="s">
        <v>87</v>
      </c>
    </row>
    <row r="428" spans="1:1" x14ac:dyDescent="0.25">
      <c r="A428" t="s">
        <v>88</v>
      </c>
    </row>
    <row r="429" spans="1:1" x14ac:dyDescent="0.25">
      <c r="A429" t="s">
        <v>89</v>
      </c>
    </row>
    <row r="430" spans="1:1" x14ac:dyDescent="0.25">
      <c r="A430" t="s">
        <v>91</v>
      </c>
    </row>
    <row r="431" spans="1:1" x14ac:dyDescent="0.25">
      <c r="A431" t="s">
        <v>92</v>
      </c>
    </row>
    <row r="432" spans="1:1" x14ac:dyDescent="0.25">
      <c r="A432" t="s">
        <v>93</v>
      </c>
    </row>
    <row r="433" spans="1:1" x14ac:dyDescent="0.25">
      <c r="A433" t="s">
        <v>175</v>
      </c>
    </row>
    <row r="434" spans="1:1" x14ac:dyDescent="0.25">
      <c r="A434" t="s">
        <v>176</v>
      </c>
    </row>
    <row r="437" spans="1:1" x14ac:dyDescent="0.25">
      <c r="A437" t="s">
        <v>180</v>
      </c>
    </row>
    <row r="438" spans="1:1" x14ac:dyDescent="0.25">
      <c r="A438" t="s">
        <v>181</v>
      </c>
    </row>
    <row r="439" spans="1:1" x14ac:dyDescent="0.25">
      <c r="A439" t="s">
        <v>182</v>
      </c>
    </row>
    <row r="445" spans="1:1" x14ac:dyDescent="0.25">
      <c r="A445" t="s">
        <v>72</v>
      </c>
    </row>
    <row r="446" spans="1:1" x14ac:dyDescent="0.25">
      <c r="A446" t="s">
        <v>73</v>
      </c>
    </row>
    <row r="447" spans="1:1" x14ac:dyDescent="0.25">
      <c r="A447" t="s">
        <v>74</v>
      </c>
    </row>
    <row r="448" spans="1:1" x14ac:dyDescent="0.25">
      <c r="A448" t="s">
        <v>75</v>
      </c>
    </row>
    <row r="449" spans="1:1" x14ac:dyDescent="0.25">
      <c r="A449" t="s">
        <v>76</v>
      </c>
    </row>
    <row r="450" spans="1:1" x14ac:dyDescent="0.25">
      <c r="A450" t="s">
        <v>77</v>
      </c>
    </row>
    <row r="451" spans="1:1" x14ac:dyDescent="0.25">
      <c r="A451" t="s">
        <v>183</v>
      </c>
    </row>
    <row r="452" spans="1:1" x14ac:dyDescent="0.25">
      <c r="A452" t="s">
        <v>79</v>
      </c>
    </row>
    <row r="453" spans="1:1" x14ac:dyDescent="0.25">
      <c r="A453" t="s">
        <v>83</v>
      </c>
    </row>
    <row r="454" spans="1:1" x14ac:dyDescent="0.25">
      <c r="A454" t="s">
        <v>184</v>
      </c>
    </row>
    <row r="455" spans="1:1" x14ac:dyDescent="0.25">
      <c r="A455" t="s">
        <v>85</v>
      </c>
    </row>
    <row r="456" spans="1:1" x14ac:dyDescent="0.25">
      <c r="A456" t="s">
        <v>86</v>
      </c>
    </row>
    <row r="457" spans="1:1" x14ac:dyDescent="0.25">
      <c r="A457" t="s">
        <v>87</v>
      </c>
    </row>
    <row r="458" spans="1:1" x14ac:dyDescent="0.25">
      <c r="A458" t="s">
        <v>88</v>
      </c>
    </row>
    <row r="459" spans="1:1" x14ac:dyDescent="0.25">
      <c r="A459" t="s">
        <v>170</v>
      </c>
    </row>
    <row r="460" spans="1:1" x14ac:dyDescent="0.25">
      <c r="A460" t="s">
        <v>91</v>
      </c>
    </row>
    <row r="461" spans="1:1" x14ac:dyDescent="0.25">
      <c r="A461" t="s">
        <v>92</v>
      </c>
    </row>
    <row r="462" spans="1:1" x14ac:dyDescent="0.25">
      <c r="A462" t="s">
        <v>93</v>
      </c>
    </row>
    <row r="463" spans="1:1" x14ac:dyDescent="0.25">
      <c r="A463" t="s">
        <v>171</v>
      </c>
    </row>
    <row r="466" spans="1:1" x14ac:dyDescent="0.25">
      <c r="A466" t="s">
        <v>185</v>
      </c>
    </row>
    <row r="467" spans="1:1" x14ac:dyDescent="0.25">
      <c r="A467" t="s">
        <v>186</v>
      </c>
    </row>
    <row r="468" spans="1:1" x14ac:dyDescent="0.25">
      <c r="A468" t="s">
        <v>187</v>
      </c>
    </row>
    <row r="469" spans="1:1" x14ac:dyDescent="0.25">
      <c r="A469" t="s">
        <v>83</v>
      </c>
    </row>
    <row r="470" spans="1:1" x14ac:dyDescent="0.25">
      <c r="A470" t="s">
        <v>84</v>
      </c>
    </row>
    <row r="471" spans="1:1" x14ac:dyDescent="0.25">
      <c r="A471" t="s">
        <v>85</v>
      </c>
    </row>
    <row r="472" spans="1:1" x14ac:dyDescent="0.25">
      <c r="A472" t="s">
        <v>86</v>
      </c>
    </row>
    <row r="473" spans="1:1" x14ac:dyDescent="0.25">
      <c r="A473" t="s">
        <v>87</v>
      </c>
    </row>
    <row r="474" spans="1:1" x14ac:dyDescent="0.25">
      <c r="A474" t="s">
        <v>88</v>
      </c>
    </row>
    <row r="475" spans="1:1" x14ac:dyDescent="0.25">
      <c r="A475" t="s">
        <v>89</v>
      </c>
    </row>
    <row r="476" spans="1:1" x14ac:dyDescent="0.25">
      <c r="A476" t="s">
        <v>90</v>
      </c>
    </row>
    <row r="477" spans="1:1" x14ac:dyDescent="0.25">
      <c r="A477" t="s">
        <v>91</v>
      </c>
    </row>
    <row r="478" spans="1:1" x14ac:dyDescent="0.25">
      <c r="A478" t="s">
        <v>92</v>
      </c>
    </row>
    <row r="479" spans="1:1" x14ac:dyDescent="0.25">
      <c r="A479" t="s">
        <v>93</v>
      </c>
    </row>
    <row r="480" spans="1:1" x14ac:dyDescent="0.25">
      <c r="A480" t="s">
        <v>94</v>
      </c>
    </row>
    <row r="483" spans="1:1" x14ac:dyDescent="0.25">
      <c r="A483" t="s">
        <v>188</v>
      </c>
    </row>
    <row r="484" spans="1:1" x14ac:dyDescent="0.25">
      <c r="A484" t="s">
        <v>189</v>
      </c>
    </row>
    <row r="485" spans="1:1" x14ac:dyDescent="0.25">
      <c r="A485" t="s">
        <v>190</v>
      </c>
    </row>
    <row r="486" spans="1:1" x14ac:dyDescent="0.25">
      <c r="A486" t="s">
        <v>134</v>
      </c>
    </row>
    <row r="487" spans="1:1" x14ac:dyDescent="0.25">
      <c r="A487" t="s">
        <v>84</v>
      </c>
    </row>
    <row r="488" spans="1:1" x14ac:dyDescent="0.25">
      <c r="A488" t="s">
        <v>85</v>
      </c>
    </row>
    <row r="489" spans="1:1" x14ac:dyDescent="0.25">
      <c r="A489" t="s">
        <v>86</v>
      </c>
    </row>
    <row r="490" spans="1:1" x14ac:dyDescent="0.25">
      <c r="A490" t="s">
        <v>87</v>
      </c>
    </row>
    <row r="491" spans="1:1" x14ac:dyDescent="0.25">
      <c r="A491" t="s">
        <v>88</v>
      </c>
    </row>
    <row r="492" spans="1:1" x14ac:dyDescent="0.25">
      <c r="A492" t="s">
        <v>89</v>
      </c>
    </row>
    <row r="493" spans="1:1" x14ac:dyDescent="0.25">
      <c r="A493" t="s">
        <v>191</v>
      </c>
    </row>
    <row r="494" spans="1:1" x14ac:dyDescent="0.25">
      <c r="A494" t="s">
        <v>90</v>
      </c>
    </row>
    <row r="495" spans="1:1" x14ac:dyDescent="0.25">
      <c r="A495" t="s">
        <v>91</v>
      </c>
    </row>
    <row r="496" spans="1:1" x14ac:dyDescent="0.25">
      <c r="A496" t="s">
        <v>92</v>
      </c>
    </row>
    <row r="497" spans="1:1" x14ac:dyDescent="0.25">
      <c r="A497" t="s">
        <v>93</v>
      </c>
    </row>
    <row r="498" spans="1:1" x14ac:dyDescent="0.25">
      <c r="A498" t="s">
        <v>192</v>
      </c>
    </row>
    <row r="501" spans="1:1" x14ac:dyDescent="0.25">
      <c r="A501" t="s">
        <v>193</v>
      </c>
    </row>
    <row r="502" spans="1:1" x14ac:dyDescent="0.25">
      <c r="A502" t="s">
        <v>194</v>
      </c>
    </row>
    <row r="508" spans="1:1" x14ac:dyDescent="0.25">
      <c r="A508" t="s">
        <v>72</v>
      </c>
    </row>
    <row r="509" spans="1:1" x14ac:dyDescent="0.25">
      <c r="A509" t="s">
        <v>73</v>
      </c>
    </row>
    <row r="510" spans="1:1" x14ac:dyDescent="0.25">
      <c r="A510" t="s">
        <v>74</v>
      </c>
    </row>
    <row r="511" spans="1:1" x14ac:dyDescent="0.25">
      <c r="A511" t="s">
        <v>75</v>
      </c>
    </row>
    <row r="512" spans="1:1" x14ac:dyDescent="0.25">
      <c r="A512" t="s">
        <v>76</v>
      </c>
    </row>
    <row r="513" spans="1:1" x14ac:dyDescent="0.25">
      <c r="A513" t="s">
        <v>77</v>
      </c>
    </row>
    <row r="514" spans="1:1" x14ac:dyDescent="0.25">
      <c r="A514" t="s">
        <v>195</v>
      </c>
    </row>
    <row r="515" spans="1:1" x14ac:dyDescent="0.25">
      <c r="A515" t="s">
        <v>79</v>
      </c>
    </row>
    <row r="516" spans="1:1" x14ac:dyDescent="0.25">
      <c r="A516" t="s">
        <v>196</v>
      </c>
    </row>
    <row r="517" spans="1:1" x14ac:dyDescent="0.25">
      <c r="A517" t="s">
        <v>134</v>
      </c>
    </row>
    <row r="518" spans="1:1" x14ac:dyDescent="0.25">
      <c r="A518" t="s">
        <v>84</v>
      </c>
    </row>
    <row r="519" spans="1:1" x14ac:dyDescent="0.25">
      <c r="A519" t="s">
        <v>85</v>
      </c>
    </row>
    <row r="520" spans="1:1" x14ac:dyDescent="0.25">
      <c r="A520" t="s">
        <v>86</v>
      </c>
    </row>
    <row r="521" spans="1:1" x14ac:dyDescent="0.25">
      <c r="A521" t="s">
        <v>87</v>
      </c>
    </row>
    <row r="522" spans="1:1" x14ac:dyDescent="0.25">
      <c r="A522" t="s">
        <v>88</v>
      </c>
    </row>
    <row r="523" spans="1:1" x14ac:dyDescent="0.25">
      <c r="A523" t="s">
        <v>89</v>
      </c>
    </row>
    <row r="524" spans="1:1" x14ac:dyDescent="0.25">
      <c r="A524" t="s">
        <v>98</v>
      </c>
    </row>
    <row r="525" spans="1:1" x14ac:dyDescent="0.25">
      <c r="A525" t="s">
        <v>104</v>
      </c>
    </row>
    <row r="526" spans="1:1" x14ac:dyDescent="0.25">
      <c r="A526" t="s">
        <v>91</v>
      </c>
    </row>
    <row r="527" spans="1:1" x14ac:dyDescent="0.25">
      <c r="A527" t="s">
        <v>92</v>
      </c>
    </row>
    <row r="528" spans="1:1" x14ac:dyDescent="0.25">
      <c r="A528" t="s">
        <v>93</v>
      </c>
    </row>
    <row r="529" spans="1:1" x14ac:dyDescent="0.25">
      <c r="A529" t="s">
        <v>106</v>
      </c>
    </row>
    <row r="532" spans="1:1" x14ac:dyDescent="0.25">
      <c r="A532" t="s">
        <v>197</v>
      </c>
    </row>
    <row r="533" spans="1:1" x14ac:dyDescent="0.25">
      <c r="A533" t="s">
        <v>198</v>
      </c>
    </row>
    <row r="534" spans="1:1" x14ac:dyDescent="0.25">
      <c r="A534" t="s">
        <v>199</v>
      </c>
    </row>
    <row r="535" spans="1:1" x14ac:dyDescent="0.25">
      <c r="A535" t="s">
        <v>83</v>
      </c>
    </row>
    <row r="536" spans="1:1" x14ac:dyDescent="0.25">
      <c r="A536" t="s">
        <v>84</v>
      </c>
    </row>
    <row r="537" spans="1:1" x14ac:dyDescent="0.25">
      <c r="A537" t="s">
        <v>85</v>
      </c>
    </row>
    <row r="538" spans="1:1" x14ac:dyDescent="0.25">
      <c r="A538" t="s">
        <v>86</v>
      </c>
    </row>
    <row r="539" spans="1:1" x14ac:dyDescent="0.25">
      <c r="A539" t="s">
        <v>87</v>
      </c>
    </row>
    <row r="540" spans="1:1" x14ac:dyDescent="0.25">
      <c r="A540" t="s">
        <v>88</v>
      </c>
    </row>
    <row r="541" spans="1:1" x14ac:dyDescent="0.25">
      <c r="A541" t="s">
        <v>89</v>
      </c>
    </row>
    <row r="542" spans="1:1" x14ac:dyDescent="0.25">
      <c r="A542" t="s">
        <v>90</v>
      </c>
    </row>
    <row r="543" spans="1:1" x14ac:dyDescent="0.25">
      <c r="A543" t="s">
        <v>91</v>
      </c>
    </row>
    <row r="544" spans="1:1" x14ac:dyDescent="0.25">
      <c r="A544" t="s">
        <v>92</v>
      </c>
    </row>
    <row r="545" spans="1:1" x14ac:dyDescent="0.25">
      <c r="A545" t="s">
        <v>93</v>
      </c>
    </row>
    <row r="546" spans="1:1" x14ac:dyDescent="0.25">
      <c r="A546" t="s">
        <v>94</v>
      </c>
    </row>
    <row r="549" spans="1:1" x14ac:dyDescent="0.25">
      <c r="A549" t="s">
        <v>200</v>
      </c>
    </row>
    <row r="550" spans="1:1" x14ac:dyDescent="0.25">
      <c r="A550" t="s">
        <v>201</v>
      </c>
    </row>
    <row r="551" spans="1:1" x14ac:dyDescent="0.25">
      <c r="A551" t="s">
        <v>202</v>
      </c>
    </row>
    <row r="552" spans="1:1" x14ac:dyDescent="0.25">
      <c r="A552" t="s">
        <v>83</v>
      </c>
    </row>
    <row r="553" spans="1:1" x14ac:dyDescent="0.25">
      <c r="A553" t="s">
        <v>84</v>
      </c>
    </row>
    <row r="554" spans="1:1" x14ac:dyDescent="0.25">
      <c r="A554" t="s">
        <v>85</v>
      </c>
    </row>
    <row r="555" spans="1:1" x14ac:dyDescent="0.25">
      <c r="A555" t="s">
        <v>86</v>
      </c>
    </row>
    <row r="556" spans="1:1" x14ac:dyDescent="0.25">
      <c r="A556" t="s">
        <v>87</v>
      </c>
    </row>
    <row r="557" spans="1:1" x14ac:dyDescent="0.25">
      <c r="A557" t="s">
        <v>88</v>
      </c>
    </row>
    <row r="558" spans="1:1" x14ac:dyDescent="0.25">
      <c r="A558" t="s">
        <v>89</v>
      </c>
    </row>
    <row r="559" spans="1:1" x14ac:dyDescent="0.25">
      <c r="A559" t="s">
        <v>155</v>
      </c>
    </row>
    <row r="560" spans="1:1" x14ac:dyDescent="0.25">
      <c r="A560" t="s">
        <v>91</v>
      </c>
    </row>
    <row r="561" spans="1:1" x14ac:dyDescent="0.25">
      <c r="A561" t="s">
        <v>92</v>
      </c>
    </row>
    <row r="562" spans="1:1" x14ac:dyDescent="0.25">
      <c r="A562" t="s">
        <v>93</v>
      </c>
    </row>
    <row r="563" spans="1:1" x14ac:dyDescent="0.25">
      <c r="A563" t="s">
        <v>156</v>
      </c>
    </row>
    <row r="564" spans="1:1" x14ac:dyDescent="0.25">
      <c r="A564" t="s">
        <v>203</v>
      </c>
    </row>
    <row r="571" spans="1:1" x14ac:dyDescent="0.25">
      <c r="A571" t="s">
        <v>72</v>
      </c>
    </row>
    <row r="572" spans="1:1" x14ac:dyDescent="0.25">
      <c r="A572" t="s">
        <v>73</v>
      </c>
    </row>
    <row r="573" spans="1:1" x14ac:dyDescent="0.25">
      <c r="A573" t="s">
        <v>74</v>
      </c>
    </row>
    <row r="574" spans="1:1" x14ac:dyDescent="0.25">
      <c r="A574" t="s">
        <v>75</v>
      </c>
    </row>
    <row r="575" spans="1:1" x14ac:dyDescent="0.25">
      <c r="A575" t="s">
        <v>76</v>
      </c>
    </row>
    <row r="576" spans="1:1" x14ac:dyDescent="0.25">
      <c r="A576" t="s">
        <v>77</v>
      </c>
    </row>
    <row r="577" spans="1:1" x14ac:dyDescent="0.25">
      <c r="A577" t="s">
        <v>204</v>
      </c>
    </row>
    <row r="578" spans="1:1" x14ac:dyDescent="0.25">
      <c r="A578" t="s">
        <v>79</v>
      </c>
    </row>
    <row r="580" spans="1:1" x14ac:dyDescent="0.25">
      <c r="A580" t="s">
        <v>205</v>
      </c>
    </row>
    <row r="581" spans="1:1" x14ac:dyDescent="0.25">
      <c r="A581" t="s">
        <v>206</v>
      </c>
    </row>
    <row r="582" spans="1:1" x14ac:dyDescent="0.25">
      <c r="A582" t="s">
        <v>207</v>
      </c>
    </row>
    <row r="583" spans="1:1" x14ac:dyDescent="0.25">
      <c r="A583" t="s">
        <v>83</v>
      </c>
    </row>
    <row r="584" spans="1:1" x14ac:dyDescent="0.25">
      <c r="A584" t="s">
        <v>84</v>
      </c>
    </row>
    <row r="585" spans="1:1" x14ac:dyDescent="0.25">
      <c r="A585" t="s">
        <v>85</v>
      </c>
    </row>
    <row r="586" spans="1:1" x14ac:dyDescent="0.25">
      <c r="A586" t="s">
        <v>86</v>
      </c>
    </row>
    <row r="587" spans="1:1" x14ac:dyDescent="0.25">
      <c r="A587" t="s">
        <v>87</v>
      </c>
    </row>
    <row r="588" spans="1:1" x14ac:dyDescent="0.25">
      <c r="A588" t="s">
        <v>88</v>
      </c>
    </row>
    <row r="589" spans="1:1" x14ac:dyDescent="0.25">
      <c r="A589" t="s">
        <v>89</v>
      </c>
    </row>
    <row r="590" spans="1:1" x14ac:dyDescent="0.25">
      <c r="A590" t="s">
        <v>110</v>
      </c>
    </row>
    <row r="591" spans="1:1" x14ac:dyDescent="0.25">
      <c r="A591" t="s">
        <v>91</v>
      </c>
    </row>
    <row r="592" spans="1:1" x14ac:dyDescent="0.25">
      <c r="A592" t="s">
        <v>92</v>
      </c>
    </row>
    <row r="593" spans="1:1" x14ac:dyDescent="0.25">
      <c r="A593" t="s">
        <v>93</v>
      </c>
    </row>
    <row r="594" spans="1:1" x14ac:dyDescent="0.25">
      <c r="A594" t="s">
        <v>111</v>
      </c>
    </row>
    <row r="597" spans="1:1" x14ac:dyDescent="0.25">
      <c r="A597" t="s">
        <v>208</v>
      </c>
    </row>
    <row r="598" spans="1:1" x14ac:dyDescent="0.25">
      <c r="A598" t="s">
        <v>209</v>
      </c>
    </row>
    <row r="599" spans="1:1" x14ac:dyDescent="0.25">
      <c r="A599" t="s">
        <v>210</v>
      </c>
    </row>
    <row r="600" spans="1:1" x14ac:dyDescent="0.25">
      <c r="A600" t="s">
        <v>83</v>
      </c>
    </row>
    <row r="601" spans="1:1" x14ac:dyDescent="0.25">
      <c r="A601" t="s">
        <v>84</v>
      </c>
    </row>
    <row r="602" spans="1:1" x14ac:dyDescent="0.25">
      <c r="A602" t="s">
        <v>85</v>
      </c>
    </row>
    <row r="603" spans="1:1" x14ac:dyDescent="0.25">
      <c r="A603" t="s">
        <v>86</v>
      </c>
    </row>
    <row r="604" spans="1:1" x14ac:dyDescent="0.25">
      <c r="A604" t="s">
        <v>87</v>
      </c>
    </row>
    <row r="605" spans="1:1" x14ac:dyDescent="0.25">
      <c r="A605" t="s">
        <v>88</v>
      </c>
    </row>
    <row r="606" spans="1:1" x14ac:dyDescent="0.25">
      <c r="A606" t="s">
        <v>89</v>
      </c>
    </row>
    <row r="607" spans="1:1" x14ac:dyDescent="0.25">
      <c r="A607" t="s">
        <v>211</v>
      </c>
    </row>
    <row r="608" spans="1:1" x14ac:dyDescent="0.25">
      <c r="A608" t="s">
        <v>90</v>
      </c>
    </row>
    <row r="609" spans="1:1" x14ac:dyDescent="0.25">
      <c r="A609" t="s">
        <v>91</v>
      </c>
    </row>
    <row r="610" spans="1:1" x14ac:dyDescent="0.25">
      <c r="A610" t="s">
        <v>92</v>
      </c>
    </row>
    <row r="611" spans="1:1" x14ac:dyDescent="0.25">
      <c r="A611" t="s">
        <v>93</v>
      </c>
    </row>
    <row r="612" spans="1:1" x14ac:dyDescent="0.25">
      <c r="A612" t="s">
        <v>212</v>
      </c>
    </row>
    <row r="615" spans="1:1" x14ac:dyDescent="0.25">
      <c r="A615" t="s">
        <v>213</v>
      </c>
    </row>
    <row r="616" spans="1:1" x14ac:dyDescent="0.25">
      <c r="A616" t="s">
        <v>214</v>
      </c>
    </row>
    <row r="617" spans="1:1" x14ac:dyDescent="0.25">
      <c r="A617" t="s">
        <v>215</v>
      </c>
    </row>
    <row r="618" spans="1:1" x14ac:dyDescent="0.25">
      <c r="A618" t="s">
        <v>83</v>
      </c>
    </row>
    <row r="619" spans="1:1" x14ac:dyDescent="0.25">
      <c r="A619" t="s">
        <v>84</v>
      </c>
    </row>
    <row r="620" spans="1:1" x14ac:dyDescent="0.25">
      <c r="A620" t="s">
        <v>85</v>
      </c>
    </row>
    <row r="621" spans="1:1" x14ac:dyDescent="0.25">
      <c r="A621" t="s">
        <v>86</v>
      </c>
    </row>
    <row r="622" spans="1:1" x14ac:dyDescent="0.25">
      <c r="A622" t="s">
        <v>87</v>
      </c>
    </row>
    <row r="623" spans="1:1" x14ac:dyDescent="0.25">
      <c r="A623" t="s">
        <v>88</v>
      </c>
    </row>
    <row r="624" spans="1:1" x14ac:dyDescent="0.25">
      <c r="A624" t="s">
        <v>89</v>
      </c>
    </row>
    <row r="625" spans="1:1" x14ac:dyDescent="0.25">
      <c r="A625" t="s">
        <v>110</v>
      </c>
    </row>
    <row r="626" spans="1:1" x14ac:dyDescent="0.25">
      <c r="A626" t="s">
        <v>91</v>
      </c>
    </row>
    <row r="627" spans="1:1" x14ac:dyDescent="0.25">
      <c r="A627" t="s">
        <v>92</v>
      </c>
    </row>
    <row r="634" spans="1:1" x14ac:dyDescent="0.25">
      <c r="A634" t="s">
        <v>72</v>
      </c>
    </row>
    <row r="635" spans="1:1" x14ac:dyDescent="0.25">
      <c r="A635" t="s">
        <v>73</v>
      </c>
    </row>
    <row r="636" spans="1:1" x14ac:dyDescent="0.25">
      <c r="A636" t="s">
        <v>74</v>
      </c>
    </row>
    <row r="637" spans="1:1" x14ac:dyDescent="0.25">
      <c r="A637" t="s">
        <v>75</v>
      </c>
    </row>
    <row r="638" spans="1:1" x14ac:dyDescent="0.25">
      <c r="A638" t="s">
        <v>76</v>
      </c>
    </row>
    <row r="639" spans="1:1" x14ac:dyDescent="0.25">
      <c r="A639" t="s">
        <v>77</v>
      </c>
    </row>
    <row r="640" spans="1:1" x14ac:dyDescent="0.25">
      <c r="A640" t="s">
        <v>216</v>
      </c>
    </row>
    <row r="641" spans="1:1" x14ac:dyDescent="0.25">
      <c r="A641" t="s">
        <v>79</v>
      </c>
    </row>
    <row r="642" spans="1:1" x14ac:dyDescent="0.25">
      <c r="A642" t="s">
        <v>93</v>
      </c>
    </row>
    <row r="643" spans="1:1" x14ac:dyDescent="0.25">
      <c r="A643" t="s">
        <v>111</v>
      </c>
    </row>
    <row r="646" spans="1:1" x14ac:dyDescent="0.25">
      <c r="A646" t="s">
        <v>217</v>
      </c>
    </row>
    <row r="647" spans="1:1" x14ac:dyDescent="0.25">
      <c r="A647" t="s">
        <v>218</v>
      </c>
    </row>
    <row r="648" spans="1:1" x14ac:dyDescent="0.25">
      <c r="A648" t="s">
        <v>219</v>
      </c>
    </row>
    <row r="649" spans="1:1" x14ac:dyDescent="0.25">
      <c r="A649" t="s">
        <v>134</v>
      </c>
    </row>
    <row r="650" spans="1:1" x14ac:dyDescent="0.25">
      <c r="A650" t="s">
        <v>84</v>
      </c>
    </row>
    <row r="651" spans="1:1" x14ac:dyDescent="0.25">
      <c r="A651" t="s">
        <v>85</v>
      </c>
    </row>
    <row r="652" spans="1:1" x14ac:dyDescent="0.25">
      <c r="A652" t="s">
        <v>86</v>
      </c>
    </row>
    <row r="653" spans="1:1" x14ac:dyDescent="0.25">
      <c r="A653" t="s">
        <v>87</v>
      </c>
    </row>
    <row r="654" spans="1:1" x14ac:dyDescent="0.25">
      <c r="A654" t="s">
        <v>88</v>
      </c>
    </row>
    <row r="655" spans="1:1" x14ac:dyDescent="0.25">
      <c r="A655" t="s">
        <v>89</v>
      </c>
    </row>
    <row r="656" spans="1:1" x14ac:dyDescent="0.25">
      <c r="A656" t="s">
        <v>110</v>
      </c>
    </row>
    <row r="657" spans="1:1" x14ac:dyDescent="0.25">
      <c r="A657" t="s">
        <v>91</v>
      </c>
    </row>
    <row r="658" spans="1:1" x14ac:dyDescent="0.25">
      <c r="A658" t="s">
        <v>92</v>
      </c>
    </row>
    <row r="659" spans="1:1" x14ac:dyDescent="0.25">
      <c r="A659" t="s">
        <v>93</v>
      </c>
    </row>
    <row r="660" spans="1:1" x14ac:dyDescent="0.25">
      <c r="A660" t="s">
        <v>111</v>
      </c>
    </row>
    <row r="663" spans="1:1" x14ac:dyDescent="0.25">
      <c r="A663" t="s">
        <v>220</v>
      </c>
    </row>
    <row r="664" spans="1:1" x14ac:dyDescent="0.25">
      <c r="A664" t="s">
        <v>221</v>
      </c>
    </row>
    <row r="665" spans="1:1" x14ac:dyDescent="0.25">
      <c r="A665" t="s">
        <v>222</v>
      </c>
    </row>
    <row r="666" spans="1:1" x14ac:dyDescent="0.25">
      <c r="A666" t="s">
        <v>134</v>
      </c>
    </row>
    <row r="667" spans="1:1" x14ac:dyDescent="0.25">
      <c r="A667" t="s">
        <v>84</v>
      </c>
    </row>
    <row r="668" spans="1:1" x14ac:dyDescent="0.25">
      <c r="A668" t="s">
        <v>85</v>
      </c>
    </row>
    <row r="669" spans="1:1" x14ac:dyDescent="0.25">
      <c r="A669" t="s">
        <v>86</v>
      </c>
    </row>
    <row r="670" spans="1:1" x14ac:dyDescent="0.25">
      <c r="A670" t="s">
        <v>87</v>
      </c>
    </row>
    <row r="671" spans="1:1" x14ac:dyDescent="0.25">
      <c r="A671" t="s">
        <v>88</v>
      </c>
    </row>
    <row r="672" spans="1:1" x14ac:dyDescent="0.25">
      <c r="A672" t="s">
        <v>89</v>
      </c>
    </row>
    <row r="673" spans="1:1" x14ac:dyDescent="0.25">
      <c r="A673" t="s">
        <v>110</v>
      </c>
    </row>
    <row r="674" spans="1:1" x14ac:dyDescent="0.25">
      <c r="A674" t="s">
        <v>91</v>
      </c>
    </row>
    <row r="675" spans="1:1" x14ac:dyDescent="0.25">
      <c r="A675" t="s">
        <v>92</v>
      </c>
    </row>
    <row r="676" spans="1:1" x14ac:dyDescent="0.25">
      <c r="A676" t="s">
        <v>93</v>
      </c>
    </row>
    <row r="677" spans="1:1" x14ac:dyDescent="0.25">
      <c r="A677" t="s">
        <v>111</v>
      </c>
    </row>
    <row r="680" spans="1:1" x14ac:dyDescent="0.25">
      <c r="A680" t="s">
        <v>223</v>
      </c>
    </row>
    <row r="681" spans="1:1" x14ac:dyDescent="0.25">
      <c r="A681" t="s">
        <v>224</v>
      </c>
    </row>
    <row r="682" spans="1:1" x14ac:dyDescent="0.25">
      <c r="A682" t="s">
        <v>225</v>
      </c>
    </row>
    <row r="683" spans="1:1" x14ac:dyDescent="0.25">
      <c r="A683" t="s">
        <v>83</v>
      </c>
    </row>
    <row r="684" spans="1:1" x14ac:dyDescent="0.25">
      <c r="A684" t="s">
        <v>84</v>
      </c>
    </row>
    <row r="685" spans="1:1" x14ac:dyDescent="0.25">
      <c r="A685" t="s">
        <v>85</v>
      </c>
    </row>
    <row r="686" spans="1:1" x14ac:dyDescent="0.25">
      <c r="A686" t="s">
        <v>86</v>
      </c>
    </row>
    <row r="687" spans="1:1" x14ac:dyDescent="0.25">
      <c r="A687" t="s">
        <v>87</v>
      </c>
    </row>
    <row r="688" spans="1:1" x14ac:dyDescent="0.25">
      <c r="A688" t="s">
        <v>88</v>
      </c>
    </row>
    <row r="689" spans="1:1" x14ac:dyDescent="0.25">
      <c r="A689" t="s">
        <v>89</v>
      </c>
    </row>
    <row r="690" spans="1:1" x14ac:dyDescent="0.25">
      <c r="A690" t="s">
        <v>110</v>
      </c>
    </row>
    <row r="691" spans="1:1" x14ac:dyDescent="0.25">
      <c r="A691" t="s">
        <v>226</v>
      </c>
    </row>
    <row r="697" spans="1:1" x14ac:dyDescent="0.25">
      <c r="A697" t="s">
        <v>72</v>
      </c>
    </row>
    <row r="698" spans="1:1" x14ac:dyDescent="0.25">
      <c r="A698" t="s">
        <v>73</v>
      </c>
    </row>
    <row r="699" spans="1:1" x14ac:dyDescent="0.25">
      <c r="A699" t="s">
        <v>74</v>
      </c>
    </row>
    <row r="700" spans="1:1" x14ac:dyDescent="0.25">
      <c r="A700" t="s">
        <v>75</v>
      </c>
    </row>
    <row r="701" spans="1:1" x14ac:dyDescent="0.25">
      <c r="A701" t="s">
        <v>76</v>
      </c>
    </row>
    <row r="702" spans="1:1" x14ac:dyDescent="0.25">
      <c r="A702" t="s">
        <v>77</v>
      </c>
    </row>
    <row r="703" spans="1:1" x14ac:dyDescent="0.25">
      <c r="A703" t="s">
        <v>227</v>
      </c>
    </row>
    <row r="704" spans="1:1" x14ac:dyDescent="0.25">
      <c r="A704" t="s">
        <v>79</v>
      </c>
    </row>
    <row r="705" spans="1:1" x14ac:dyDescent="0.25">
      <c r="A705" t="s">
        <v>91</v>
      </c>
    </row>
    <row r="706" spans="1:1" x14ac:dyDescent="0.25">
      <c r="A706" t="s">
        <v>92</v>
      </c>
    </row>
    <row r="707" spans="1:1" x14ac:dyDescent="0.25">
      <c r="A707" t="s">
        <v>93</v>
      </c>
    </row>
    <row r="708" spans="1:1" x14ac:dyDescent="0.25">
      <c r="A708" t="s">
        <v>228</v>
      </c>
    </row>
    <row r="711" spans="1:1" x14ac:dyDescent="0.25">
      <c r="A711" t="s">
        <v>229</v>
      </c>
    </row>
    <row r="712" spans="1:1" x14ac:dyDescent="0.25">
      <c r="A712" t="s">
        <v>230</v>
      </c>
    </row>
    <row r="713" spans="1:1" x14ac:dyDescent="0.25">
      <c r="A713" t="s">
        <v>231</v>
      </c>
    </row>
    <row r="714" spans="1:1" x14ac:dyDescent="0.25">
      <c r="A714" t="s">
        <v>83</v>
      </c>
    </row>
    <row r="715" spans="1:1" x14ac:dyDescent="0.25">
      <c r="A715" t="s">
        <v>84</v>
      </c>
    </row>
    <row r="716" spans="1:1" x14ac:dyDescent="0.25">
      <c r="A716" t="s">
        <v>85</v>
      </c>
    </row>
    <row r="717" spans="1:1" x14ac:dyDescent="0.25">
      <c r="A717" t="s">
        <v>86</v>
      </c>
    </row>
    <row r="718" spans="1:1" x14ac:dyDescent="0.25">
      <c r="A718" t="s">
        <v>87</v>
      </c>
    </row>
    <row r="719" spans="1:1" x14ac:dyDescent="0.25">
      <c r="A719" t="s">
        <v>88</v>
      </c>
    </row>
    <row r="720" spans="1:1" x14ac:dyDescent="0.25">
      <c r="A720" t="s">
        <v>89</v>
      </c>
    </row>
    <row r="721" spans="1:1" x14ac:dyDescent="0.25">
      <c r="A721" t="s">
        <v>110</v>
      </c>
    </row>
    <row r="722" spans="1:1" x14ac:dyDescent="0.25">
      <c r="A722" t="s">
        <v>91</v>
      </c>
    </row>
    <row r="723" spans="1:1" x14ac:dyDescent="0.25">
      <c r="A723" t="s">
        <v>92</v>
      </c>
    </row>
    <row r="724" spans="1:1" x14ac:dyDescent="0.25">
      <c r="A724" t="s">
        <v>93</v>
      </c>
    </row>
    <row r="725" spans="1:1" x14ac:dyDescent="0.25">
      <c r="A725" t="s">
        <v>111</v>
      </c>
    </row>
    <row r="728" spans="1:1" x14ac:dyDescent="0.25">
      <c r="A728" t="s">
        <v>232</v>
      </c>
    </row>
    <row r="729" spans="1:1" x14ac:dyDescent="0.25">
      <c r="A729" t="s">
        <v>233</v>
      </c>
    </row>
    <row r="730" spans="1:1" x14ac:dyDescent="0.25">
      <c r="A730" t="s">
        <v>234</v>
      </c>
    </row>
    <row r="731" spans="1:1" x14ac:dyDescent="0.25">
      <c r="A731" t="s">
        <v>134</v>
      </c>
    </row>
    <row r="732" spans="1:1" x14ac:dyDescent="0.25">
      <c r="A732" t="s">
        <v>84</v>
      </c>
    </row>
    <row r="733" spans="1:1" x14ac:dyDescent="0.25">
      <c r="A733" t="s">
        <v>85</v>
      </c>
    </row>
    <row r="734" spans="1:1" x14ac:dyDescent="0.25">
      <c r="A734" t="s">
        <v>86</v>
      </c>
    </row>
    <row r="735" spans="1:1" x14ac:dyDescent="0.25">
      <c r="A735" t="s">
        <v>87</v>
      </c>
    </row>
    <row r="736" spans="1:1" x14ac:dyDescent="0.25">
      <c r="A736" t="s">
        <v>88</v>
      </c>
    </row>
    <row r="737" spans="1:1" x14ac:dyDescent="0.25">
      <c r="A737" t="s">
        <v>89</v>
      </c>
    </row>
    <row r="738" spans="1:1" x14ac:dyDescent="0.25">
      <c r="A738" t="s">
        <v>235</v>
      </c>
    </row>
    <row r="739" spans="1:1" x14ac:dyDescent="0.25">
      <c r="A739" t="s">
        <v>110</v>
      </c>
    </row>
    <row r="740" spans="1:1" x14ac:dyDescent="0.25">
      <c r="A740" t="s">
        <v>91</v>
      </c>
    </row>
    <row r="741" spans="1:1" x14ac:dyDescent="0.25">
      <c r="A741" t="s">
        <v>92</v>
      </c>
    </row>
    <row r="742" spans="1:1" x14ac:dyDescent="0.25">
      <c r="A742" t="s">
        <v>93</v>
      </c>
    </row>
    <row r="743" spans="1:1" x14ac:dyDescent="0.25">
      <c r="A743" t="s">
        <v>236</v>
      </c>
    </row>
    <row r="746" spans="1:1" x14ac:dyDescent="0.25">
      <c r="A746" t="s">
        <v>237</v>
      </c>
    </row>
    <row r="747" spans="1:1" x14ac:dyDescent="0.25">
      <c r="A747" t="s">
        <v>238</v>
      </c>
    </row>
    <row r="748" spans="1:1" x14ac:dyDescent="0.25">
      <c r="A748" t="s">
        <v>239</v>
      </c>
    </row>
    <row r="749" spans="1:1" x14ac:dyDescent="0.25">
      <c r="A749" t="s">
        <v>83</v>
      </c>
    </row>
    <row r="750" spans="1:1" x14ac:dyDescent="0.25">
      <c r="A750" t="s">
        <v>84</v>
      </c>
    </row>
    <row r="751" spans="1:1" x14ac:dyDescent="0.25">
      <c r="A751" t="s">
        <v>85</v>
      </c>
    </row>
    <row r="752" spans="1:1" x14ac:dyDescent="0.25">
      <c r="A752" t="s">
        <v>86</v>
      </c>
    </row>
    <row r="753" spans="1:1" x14ac:dyDescent="0.25">
      <c r="A753" t="s">
        <v>87</v>
      </c>
    </row>
    <row r="754" spans="1:1" x14ac:dyDescent="0.25">
      <c r="A754" t="s">
        <v>88</v>
      </c>
    </row>
    <row r="760" spans="1:1" x14ac:dyDescent="0.25">
      <c r="A760" t="s">
        <v>72</v>
      </c>
    </row>
    <row r="761" spans="1:1" x14ac:dyDescent="0.25">
      <c r="A761" t="s">
        <v>73</v>
      </c>
    </row>
    <row r="762" spans="1:1" x14ac:dyDescent="0.25">
      <c r="A762" t="s">
        <v>74</v>
      </c>
    </row>
    <row r="763" spans="1:1" x14ac:dyDescent="0.25">
      <c r="A763" t="s">
        <v>75</v>
      </c>
    </row>
    <row r="764" spans="1:1" x14ac:dyDescent="0.25">
      <c r="A764" t="s">
        <v>76</v>
      </c>
    </row>
    <row r="765" spans="1:1" x14ac:dyDescent="0.25">
      <c r="A765" t="s">
        <v>77</v>
      </c>
    </row>
    <row r="766" spans="1:1" x14ac:dyDescent="0.25">
      <c r="A766" t="s">
        <v>240</v>
      </c>
    </row>
    <row r="767" spans="1:1" x14ac:dyDescent="0.25">
      <c r="A767" t="s">
        <v>79</v>
      </c>
    </row>
    <row r="768" spans="1:1" x14ac:dyDescent="0.25">
      <c r="A768" t="s">
        <v>89</v>
      </c>
    </row>
    <row r="769" spans="1:1" x14ac:dyDescent="0.25">
      <c r="A769" t="s">
        <v>110</v>
      </c>
    </row>
    <row r="770" spans="1:1" x14ac:dyDescent="0.25">
      <c r="A770" t="s">
        <v>91</v>
      </c>
    </row>
    <row r="771" spans="1:1" x14ac:dyDescent="0.25">
      <c r="A771" t="s">
        <v>92</v>
      </c>
    </row>
    <row r="772" spans="1:1" x14ac:dyDescent="0.25">
      <c r="A772" t="s">
        <v>93</v>
      </c>
    </row>
    <row r="773" spans="1:1" x14ac:dyDescent="0.25">
      <c r="A773" t="s">
        <v>111</v>
      </c>
    </row>
    <row r="776" spans="1:1" x14ac:dyDescent="0.25">
      <c r="A776" t="s">
        <v>241</v>
      </c>
    </row>
    <row r="777" spans="1:1" x14ac:dyDescent="0.25">
      <c r="A777" t="s">
        <v>242</v>
      </c>
    </row>
    <row r="778" spans="1:1" x14ac:dyDescent="0.25">
      <c r="A778" t="s">
        <v>243</v>
      </c>
    </row>
    <row r="779" spans="1:1" x14ac:dyDescent="0.25">
      <c r="A779" t="s">
        <v>83</v>
      </c>
    </row>
    <row r="780" spans="1:1" x14ac:dyDescent="0.25">
      <c r="A780" t="s">
        <v>84</v>
      </c>
    </row>
    <row r="781" spans="1:1" x14ac:dyDescent="0.25">
      <c r="A781" t="s">
        <v>85</v>
      </c>
    </row>
    <row r="782" spans="1:1" x14ac:dyDescent="0.25">
      <c r="A782" t="s">
        <v>86</v>
      </c>
    </row>
    <row r="783" spans="1:1" x14ac:dyDescent="0.25">
      <c r="A783" t="s">
        <v>87</v>
      </c>
    </row>
    <row r="784" spans="1:1" x14ac:dyDescent="0.25">
      <c r="A784" t="s">
        <v>88</v>
      </c>
    </row>
    <row r="785" spans="1:1" x14ac:dyDescent="0.25">
      <c r="A785" t="s">
        <v>89</v>
      </c>
    </row>
    <row r="786" spans="1:1" x14ac:dyDescent="0.25">
      <c r="A786" t="s">
        <v>110</v>
      </c>
    </row>
    <row r="787" spans="1:1" x14ac:dyDescent="0.25">
      <c r="A787" t="s">
        <v>91</v>
      </c>
    </row>
    <row r="788" spans="1:1" x14ac:dyDescent="0.25">
      <c r="A788" t="s">
        <v>92</v>
      </c>
    </row>
    <row r="789" spans="1:1" x14ac:dyDescent="0.25">
      <c r="A789" t="s">
        <v>93</v>
      </c>
    </row>
    <row r="790" spans="1:1" x14ac:dyDescent="0.25">
      <c r="A790" t="s">
        <v>111</v>
      </c>
    </row>
    <row r="793" spans="1:1" x14ac:dyDescent="0.25">
      <c r="A793" t="s">
        <v>244</v>
      </c>
    </row>
    <row r="794" spans="1:1" x14ac:dyDescent="0.25">
      <c r="A794" t="s">
        <v>245</v>
      </c>
    </row>
    <row r="795" spans="1:1" x14ac:dyDescent="0.25">
      <c r="A795" t="s">
        <v>246</v>
      </c>
    </row>
    <row r="796" spans="1:1" x14ac:dyDescent="0.25">
      <c r="A796" t="s">
        <v>134</v>
      </c>
    </row>
    <row r="797" spans="1:1" x14ac:dyDescent="0.25">
      <c r="A797" t="s">
        <v>84</v>
      </c>
    </row>
    <row r="798" spans="1:1" x14ac:dyDescent="0.25">
      <c r="A798" t="s">
        <v>85</v>
      </c>
    </row>
    <row r="799" spans="1:1" x14ac:dyDescent="0.25">
      <c r="A799" t="s">
        <v>86</v>
      </c>
    </row>
    <row r="800" spans="1:1" x14ac:dyDescent="0.25">
      <c r="A800" t="s">
        <v>87</v>
      </c>
    </row>
    <row r="801" spans="1:1" x14ac:dyDescent="0.25">
      <c r="A801" t="s">
        <v>88</v>
      </c>
    </row>
    <row r="802" spans="1:1" x14ac:dyDescent="0.25">
      <c r="A802" t="s">
        <v>89</v>
      </c>
    </row>
    <row r="803" spans="1:1" x14ac:dyDescent="0.25">
      <c r="A803" t="s">
        <v>247</v>
      </c>
    </row>
    <row r="804" spans="1:1" x14ac:dyDescent="0.25">
      <c r="A804" t="s">
        <v>91</v>
      </c>
    </row>
    <row r="805" spans="1:1" x14ac:dyDescent="0.25">
      <c r="A805" t="s">
        <v>92</v>
      </c>
    </row>
    <row r="806" spans="1:1" x14ac:dyDescent="0.25">
      <c r="A806" t="s">
        <v>93</v>
      </c>
    </row>
    <row r="807" spans="1:1" x14ac:dyDescent="0.25">
      <c r="A807" t="s">
        <v>248</v>
      </c>
    </row>
    <row r="810" spans="1:1" x14ac:dyDescent="0.25">
      <c r="A810" t="s">
        <v>249</v>
      </c>
    </row>
    <row r="811" spans="1:1" x14ac:dyDescent="0.25">
      <c r="A811" t="s">
        <v>250</v>
      </c>
    </row>
    <row r="812" spans="1:1" x14ac:dyDescent="0.25">
      <c r="A812" t="s">
        <v>97</v>
      </c>
    </row>
    <row r="813" spans="1:1" x14ac:dyDescent="0.25">
      <c r="A813" t="s">
        <v>83</v>
      </c>
    </row>
    <row r="814" spans="1:1" x14ac:dyDescent="0.25">
      <c r="A814" t="s">
        <v>84</v>
      </c>
    </row>
    <row r="815" spans="1:1" x14ac:dyDescent="0.25">
      <c r="A815" t="s">
        <v>85</v>
      </c>
    </row>
    <row r="816" spans="1:1" x14ac:dyDescent="0.25">
      <c r="A816" t="s">
        <v>86</v>
      </c>
    </row>
    <row r="817" spans="1:1" x14ac:dyDescent="0.25">
      <c r="A817" t="s">
        <v>87</v>
      </c>
    </row>
    <row r="823" spans="1:1" x14ac:dyDescent="0.25">
      <c r="A823" t="s">
        <v>72</v>
      </c>
    </row>
    <row r="824" spans="1:1" x14ac:dyDescent="0.25">
      <c r="A824" t="s">
        <v>73</v>
      </c>
    </row>
    <row r="825" spans="1:1" x14ac:dyDescent="0.25">
      <c r="A825" t="s">
        <v>74</v>
      </c>
    </row>
    <row r="826" spans="1:1" x14ac:dyDescent="0.25">
      <c r="A826" t="s">
        <v>75</v>
      </c>
    </row>
    <row r="827" spans="1:1" x14ac:dyDescent="0.25">
      <c r="A827" t="s">
        <v>76</v>
      </c>
    </row>
    <row r="828" spans="1:1" x14ac:dyDescent="0.25">
      <c r="A828" t="s">
        <v>77</v>
      </c>
    </row>
    <row r="829" spans="1:1" x14ac:dyDescent="0.25">
      <c r="A829" t="s">
        <v>251</v>
      </c>
    </row>
    <row r="830" spans="1:1" x14ac:dyDescent="0.25">
      <c r="A830" t="s">
        <v>79</v>
      </c>
    </row>
    <row r="831" spans="1:1" x14ac:dyDescent="0.25">
      <c r="A831" t="s">
        <v>88</v>
      </c>
    </row>
    <row r="832" spans="1:1" x14ac:dyDescent="0.25">
      <c r="A832" t="s">
        <v>89</v>
      </c>
    </row>
    <row r="833" spans="1:1" x14ac:dyDescent="0.25">
      <c r="A833" t="s">
        <v>110</v>
      </c>
    </row>
    <row r="834" spans="1:1" x14ac:dyDescent="0.25">
      <c r="A834" t="s">
        <v>91</v>
      </c>
    </row>
    <row r="835" spans="1:1" x14ac:dyDescent="0.25">
      <c r="A835" t="s">
        <v>92</v>
      </c>
    </row>
    <row r="836" spans="1:1" x14ac:dyDescent="0.25">
      <c r="A836" t="s">
        <v>93</v>
      </c>
    </row>
    <row r="837" spans="1:1" x14ac:dyDescent="0.25">
      <c r="A837" t="s">
        <v>111</v>
      </c>
    </row>
    <row r="840" spans="1:1" x14ac:dyDescent="0.25">
      <c r="A840" t="s">
        <v>252</v>
      </c>
    </row>
    <row r="841" spans="1:1" x14ac:dyDescent="0.25">
      <c r="A841" t="s">
        <v>253</v>
      </c>
    </row>
    <row r="842" spans="1:1" x14ac:dyDescent="0.25">
      <c r="A842" t="s">
        <v>254</v>
      </c>
    </row>
    <row r="843" spans="1:1" x14ac:dyDescent="0.25">
      <c r="A843" t="s">
        <v>83</v>
      </c>
    </row>
    <row r="844" spans="1:1" x14ac:dyDescent="0.25">
      <c r="A844" t="s">
        <v>84</v>
      </c>
    </row>
    <row r="845" spans="1:1" x14ac:dyDescent="0.25">
      <c r="A845" t="s">
        <v>85</v>
      </c>
    </row>
    <row r="846" spans="1:1" x14ac:dyDescent="0.25">
      <c r="A846" t="s">
        <v>86</v>
      </c>
    </row>
    <row r="847" spans="1:1" x14ac:dyDescent="0.25">
      <c r="A847" t="s">
        <v>87</v>
      </c>
    </row>
    <row r="848" spans="1:1" x14ac:dyDescent="0.25">
      <c r="A848" t="s">
        <v>88</v>
      </c>
    </row>
    <row r="849" spans="1:1" x14ac:dyDescent="0.25">
      <c r="A849" t="s">
        <v>89</v>
      </c>
    </row>
    <row r="850" spans="1:1" x14ac:dyDescent="0.25">
      <c r="A850" t="s">
        <v>90</v>
      </c>
    </row>
    <row r="851" spans="1:1" x14ac:dyDescent="0.25">
      <c r="A851" t="s">
        <v>91</v>
      </c>
    </row>
    <row r="852" spans="1:1" x14ac:dyDescent="0.25">
      <c r="A852" t="s">
        <v>92</v>
      </c>
    </row>
    <row r="853" spans="1:1" x14ac:dyDescent="0.25">
      <c r="A853" t="s">
        <v>93</v>
      </c>
    </row>
    <row r="854" spans="1:1" x14ac:dyDescent="0.25">
      <c r="A854" t="s">
        <v>94</v>
      </c>
    </row>
    <row r="857" spans="1:1" x14ac:dyDescent="0.25">
      <c r="A857" t="s">
        <v>255</v>
      </c>
    </row>
    <row r="858" spans="1:1" x14ac:dyDescent="0.25">
      <c r="A858" t="s">
        <v>256</v>
      </c>
    </row>
    <row r="859" spans="1:1" x14ac:dyDescent="0.25">
      <c r="A859" t="s">
        <v>168</v>
      </c>
    </row>
    <row r="860" spans="1:1" x14ac:dyDescent="0.25">
      <c r="A860" t="s">
        <v>83</v>
      </c>
    </row>
    <row r="861" spans="1:1" x14ac:dyDescent="0.25">
      <c r="A861" t="s">
        <v>84</v>
      </c>
    </row>
    <row r="862" spans="1:1" x14ac:dyDescent="0.25">
      <c r="A862" t="s">
        <v>85</v>
      </c>
    </row>
    <row r="863" spans="1:1" x14ac:dyDescent="0.25">
      <c r="A863" t="s">
        <v>86</v>
      </c>
    </row>
    <row r="864" spans="1:1" x14ac:dyDescent="0.25">
      <c r="A864" t="s">
        <v>87</v>
      </c>
    </row>
    <row r="865" spans="1:1" x14ac:dyDescent="0.25">
      <c r="A865" t="s">
        <v>88</v>
      </c>
    </row>
    <row r="866" spans="1:1" x14ac:dyDescent="0.25">
      <c r="A866" t="s">
        <v>89</v>
      </c>
    </row>
    <row r="867" spans="1:1" x14ac:dyDescent="0.25">
      <c r="A867" t="s">
        <v>110</v>
      </c>
    </row>
    <row r="868" spans="1:1" x14ac:dyDescent="0.25">
      <c r="A868" t="s">
        <v>91</v>
      </c>
    </row>
    <row r="869" spans="1:1" x14ac:dyDescent="0.25">
      <c r="A869" t="s">
        <v>92</v>
      </c>
    </row>
    <row r="870" spans="1:1" x14ac:dyDescent="0.25">
      <c r="A870" t="s">
        <v>93</v>
      </c>
    </row>
    <row r="871" spans="1:1" x14ac:dyDescent="0.25">
      <c r="A871" t="s">
        <v>111</v>
      </c>
    </row>
    <row r="874" spans="1:1" x14ac:dyDescent="0.25">
      <c r="A874" t="s">
        <v>257</v>
      </c>
    </row>
    <row r="875" spans="1:1" x14ac:dyDescent="0.25">
      <c r="A875" t="s">
        <v>258</v>
      </c>
    </row>
    <row r="876" spans="1:1" x14ac:dyDescent="0.25">
      <c r="A876" t="s">
        <v>259</v>
      </c>
    </row>
    <row r="877" spans="1:1" x14ac:dyDescent="0.25">
      <c r="A877" t="s">
        <v>134</v>
      </c>
    </row>
    <row r="878" spans="1:1" x14ac:dyDescent="0.25">
      <c r="A878" t="s">
        <v>84</v>
      </c>
    </row>
    <row r="879" spans="1:1" x14ac:dyDescent="0.25">
      <c r="A879" t="s">
        <v>85</v>
      </c>
    </row>
    <row r="885" spans="1:1" x14ac:dyDescent="0.25">
      <c r="A885" t="s">
        <v>72</v>
      </c>
    </row>
    <row r="886" spans="1:1" x14ac:dyDescent="0.25">
      <c r="A886" t="s">
        <v>73</v>
      </c>
    </row>
    <row r="887" spans="1:1" x14ac:dyDescent="0.25">
      <c r="A887" t="s">
        <v>74</v>
      </c>
    </row>
    <row r="888" spans="1:1" x14ac:dyDescent="0.25">
      <c r="A888" t="s">
        <v>75</v>
      </c>
    </row>
    <row r="889" spans="1:1" x14ac:dyDescent="0.25">
      <c r="A889" t="s">
        <v>76</v>
      </c>
    </row>
    <row r="890" spans="1:1" x14ac:dyDescent="0.25">
      <c r="A890" t="s">
        <v>77</v>
      </c>
    </row>
    <row r="891" spans="1:1" x14ac:dyDescent="0.25">
      <c r="A891" t="s">
        <v>260</v>
      </c>
    </row>
    <row r="892" spans="1:1" x14ac:dyDescent="0.25">
      <c r="A892" t="s">
        <v>79</v>
      </c>
    </row>
    <row r="893" spans="1:1" x14ac:dyDescent="0.25">
      <c r="A893" t="s">
        <v>86</v>
      </c>
    </row>
    <row r="894" spans="1:1" x14ac:dyDescent="0.25">
      <c r="A894" t="s">
        <v>87</v>
      </c>
    </row>
    <row r="895" spans="1:1" x14ac:dyDescent="0.25">
      <c r="A895" t="s">
        <v>88</v>
      </c>
    </row>
    <row r="896" spans="1:1" x14ac:dyDescent="0.25">
      <c r="A896" t="s">
        <v>89</v>
      </c>
    </row>
    <row r="897" spans="1:1" x14ac:dyDescent="0.25">
      <c r="A897" t="s">
        <v>110</v>
      </c>
    </row>
    <row r="898" spans="1:1" x14ac:dyDescent="0.25">
      <c r="A898" t="s">
        <v>91</v>
      </c>
    </row>
    <row r="899" spans="1:1" x14ac:dyDescent="0.25">
      <c r="A899" t="s">
        <v>92</v>
      </c>
    </row>
    <row r="900" spans="1:1" x14ac:dyDescent="0.25">
      <c r="A900" t="s">
        <v>93</v>
      </c>
    </row>
    <row r="901" spans="1:1" x14ac:dyDescent="0.25">
      <c r="A901" t="s">
        <v>111</v>
      </c>
    </row>
    <row r="904" spans="1:1" x14ac:dyDescent="0.25">
      <c r="A904" t="s">
        <v>261</v>
      </c>
    </row>
    <row r="905" spans="1:1" x14ac:dyDescent="0.25">
      <c r="A905" t="s">
        <v>262</v>
      </c>
    </row>
    <row r="906" spans="1:1" x14ac:dyDescent="0.25">
      <c r="A906" t="s">
        <v>263</v>
      </c>
    </row>
    <row r="907" spans="1:1" x14ac:dyDescent="0.25">
      <c r="A907" t="s">
        <v>83</v>
      </c>
    </row>
    <row r="908" spans="1:1" x14ac:dyDescent="0.25">
      <c r="A908" t="s">
        <v>84</v>
      </c>
    </row>
    <row r="909" spans="1:1" x14ac:dyDescent="0.25">
      <c r="A909" t="s">
        <v>85</v>
      </c>
    </row>
    <row r="910" spans="1:1" x14ac:dyDescent="0.25">
      <c r="A910" t="s">
        <v>86</v>
      </c>
    </row>
    <row r="911" spans="1:1" x14ac:dyDescent="0.25">
      <c r="A911" t="s">
        <v>87</v>
      </c>
    </row>
    <row r="912" spans="1:1" x14ac:dyDescent="0.25">
      <c r="A912" t="s">
        <v>88</v>
      </c>
    </row>
    <row r="913" spans="1:1" x14ac:dyDescent="0.25">
      <c r="A913" t="s">
        <v>89</v>
      </c>
    </row>
    <row r="914" spans="1:1" x14ac:dyDescent="0.25">
      <c r="A914" t="s">
        <v>98</v>
      </c>
    </row>
    <row r="915" spans="1:1" x14ac:dyDescent="0.25">
      <c r="A915" t="s">
        <v>104</v>
      </c>
    </row>
    <row r="916" spans="1:1" x14ac:dyDescent="0.25">
      <c r="A916" t="s">
        <v>91</v>
      </c>
    </row>
    <row r="917" spans="1:1" x14ac:dyDescent="0.25">
      <c r="A917" t="s">
        <v>92</v>
      </c>
    </row>
    <row r="918" spans="1:1" x14ac:dyDescent="0.25">
      <c r="A918" t="s">
        <v>93</v>
      </c>
    </row>
    <row r="919" spans="1:1" x14ac:dyDescent="0.25">
      <c r="A919" t="s">
        <v>106</v>
      </c>
    </row>
    <row r="922" spans="1:1" x14ac:dyDescent="0.25">
      <c r="A922" t="s">
        <v>264</v>
      </c>
    </row>
    <row r="923" spans="1:1" x14ac:dyDescent="0.25">
      <c r="A923" t="s">
        <v>265</v>
      </c>
    </row>
    <row r="924" spans="1:1" x14ac:dyDescent="0.25">
      <c r="A924" t="s">
        <v>266</v>
      </c>
    </row>
    <row r="925" spans="1:1" x14ac:dyDescent="0.25">
      <c r="A925" t="s">
        <v>134</v>
      </c>
    </row>
    <row r="926" spans="1:1" x14ac:dyDescent="0.25">
      <c r="A926" t="s">
        <v>84</v>
      </c>
    </row>
    <row r="927" spans="1:1" x14ac:dyDescent="0.25">
      <c r="A927" t="s">
        <v>85</v>
      </c>
    </row>
    <row r="928" spans="1:1" x14ac:dyDescent="0.25">
      <c r="A928" t="s">
        <v>86</v>
      </c>
    </row>
    <row r="929" spans="1:1" x14ac:dyDescent="0.25">
      <c r="A929" t="s">
        <v>87</v>
      </c>
    </row>
    <row r="930" spans="1:1" x14ac:dyDescent="0.25">
      <c r="A930" t="s">
        <v>88</v>
      </c>
    </row>
    <row r="931" spans="1:1" x14ac:dyDescent="0.25">
      <c r="A931" t="s">
        <v>89</v>
      </c>
    </row>
    <row r="932" spans="1:1" x14ac:dyDescent="0.25">
      <c r="A932" t="s">
        <v>110</v>
      </c>
    </row>
    <row r="933" spans="1:1" x14ac:dyDescent="0.25">
      <c r="A933" t="s">
        <v>91</v>
      </c>
    </row>
    <row r="934" spans="1:1" x14ac:dyDescent="0.25">
      <c r="A934" t="s">
        <v>92</v>
      </c>
    </row>
    <row r="935" spans="1:1" x14ac:dyDescent="0.25">
      <c r="A935" t="s">
        <v>93</v>
      </c>
    </row>
    <row r="936" spans="1:1" x14ac:dyDescent="0.25">
      <c r="A936" t="s">
        <v>111</v>
      </c>
    </row>
    <row r="939" spans="1:1" x14ac:dyDescent="0.25">
      <c r="A939" t="s">
        <v>267</v>
      </c>
    </row>
    <row r="940" spans="1:1" x14ac:dyDescent="0.25">
      <c r="A940" t="s">
        <v>268</v>
      </c>
    </row>
    <row r="941" spans="1:1" x14ac:dyDescent="0.25">
      <c r="A941" t="s">
        <v>269</v>
      </c>
    </row>
    <row r="942" spans="1:1" x14ac:dyDescent="0.25">
      <c r="A942" t="s">
        <v>83</v>
      </c>
    </row>
    <row r="948" spans="1:1" x14ac:dyDescent="0.25">
      <c r="A948" t="s">
        <v>72</v>
      </c>
    </row>
    <row r="949" spans="1:1" x14ac:dyDescent="0.25">
      <c r="A949" t="s">
        <v>73</v>
      </c>
    </row>
    <row r="950" spans="1:1" x14ac:dyDescent="0.25">
      <c r="A950" t="s">
        <v>74</v>
      </c>
    </row>
    <row r="951" spans="1:1" x14ac:dyDescent="0.25">
      <c r="A951" t="s">
        <v>75</v>
      </c>
    </row>
    <row r="952" spans="1:1" x14ac:dyDescent="0.25">
      <c r="A952" t="s">
        <v>76</v>
      </c>
    </row>
    <row r="953" spans="1:1" x14ac:dyDescent="0.25">
      <c r="A953" t="s">
        <v>77</v>
      </c>
    </row>
    <row r="954" spans="1:1" x14ac:dyDescent="0.25">
      <c r="A954" t="s">
        <v>270</v>
      </c>
    </row>
    <row r="955" spans="1:1" x14ac:dyDescent="0.25">
      <c r="A955" t="s">
        <v>79</v>
      </c>
    </row>
    <row r="956" spans="1:1" x14ac:dyDescent="0.25">
      <c r="A956" t="s">
        <v>84</v>
      </c>
    </row>
    <row r="957" spans="1:1" x14ac:dyDescent="0.25">
      <c r="A957" t="s">
        <v>85</v>
      </c>
    </row>
    <row r="958" spans="1:1" x14ac:dyDescent="0.25">
      <c r="A958" t="s">
        <v>86</v>
      </c>
    </row>
    <row r="959" spans="1:1" x14ac:dyDescent="0.25">
      <c r="A959" t="s">
        <v>87</v>
      </c>
    </row>
    <row r="960" spans="1:1" x14ac:dyDescent="0.25">
      <c r="A960" t="s">
        <v>88</v>
      </c>
    </row>
    <row r="961" spans="1:1" x14ac:dyDescent="0.25">
      <c r="A961" t="s">
        <v>89</v>
      </c>
    </row>
    <row r="962" spans="1:1" x14ac:dyDescent="0.25">
      <c r="A962" t="s">
        <v>90</v>
      </c>
    </row>
    <row r="963" spans="1:1" x14ac:dyDescent="0.25">
      <c r="A963" t="s">
        <v>91</v>
      </c>
    </row>
    <row r="964" spans="1:1" x14ac:dyDescent="0.25">
      <c r="A964" t="s">
        <v>92</v>
      </c>
    </row>
    <row r="965" spans="1:1" x14ac:dyDescent="0.25">
      <c r="A965" t="s">
        <v>93</v>
      </c>
    </row>
    <row r="966" spans="1:1" x14ac:dyDescent="0.25">
      <c r="A966" t="s">
        <v>94</v>
      </c>
    </row>
    <row r="969" spans="1:1" x14ac:dyDescent="0.25">
      <c r="A969" t="s">
        <v>271</v>
      </c>
    </row>
    <row r="970" spans="1:1" x14ac:dyDescent="0.25">
      <c r="A970" t="s">
        <v>272</v>
      </c>
    </row>
    <row r="971" spans="1:1" x14ac:dyDescent="0.25">
      <c r="A971" t="s">
        <v>246</v>
      </c>
    </row>
    <row r="972" spans="1:1" x14ac:dyDescent="0.25">
      <c r="A972" t="s">
        <v>134</v>
      </c>
    </row>
    <row r="973" spans="1:1" x14ac:dyDescent="0.25">
      <c r="A973" t="s">
        <v>84</v>
      </c>
    </row>
    <row r="974" spans="1:1" x14ac:dyDescent="0.25">
      <c r="A974" t="s">
        <v>85</v>
      </c>
    </row>
    <row r="975" spans="1:1" x14ac:dyDescent="0.25">
      <c r="A975" t="s">
        <v>86</v>
      </c>
    </row>
    <row r="976" spans="1:1" x14ac:dyDescent="0.25">
      <c r="A976" t="s">
        <v>87</v>
      </c>
    </row>
    <row r="977" spans="1:1" x14ac:dyDescent="0.25">
      <c r="A977" t="s">
        <v>88</v>
      </c>
    </row>
    <row r="978" spans="1:1" x14ac:dyDescent="0.25">
      <c r="A978" t="s">
        <v>89</v>
      </c>
    </row>
    <row r="979" spans="1:1" x14ac:dyDescent="0.25">
      <c r="A979" t="s">
        <v>110</v>
      </c>
    </row>
    <row r="980" spans="1:1" x14ac:dyDescent="0.25">
      <c r="A980" t="s">
        <v>91</v>
      </c>
    </row>
    <row r="981" spans="1:1" x14ac:dyDescent="0.25">
      <c r="A981" t="s">
        <v>92</v>
      </c>
    </row>
    <row r="982" spans="1:1" x14ac:dyDescent="0.25">
      <c r="A982" t="s">
        <v>93</v>
      </c>
    </row>
    <row r="983" spans="1:1" x14ac:dyDescent="0.25">
      <c r="A983" t="s">
        <v>111</v>
      </c>
    </row>
    <row r="986" spans="1:1" x14ac:dyDescent="0.25">
      <c r="A986" t="s">
        <v>273</v>
      </c>
    </row>
    <row r="987" spans="1:1" x14ac:dyDescent="0.25">
      <c r="A987" t="s">
        <v>274</v>
      </c>
    </row>
    <row r="988" spans="1:1" x14ac:dyDescent="0.25">
      <c r="A988" t="s">
        <v>239</v>
      </c>
    </row>
    <row r="989" spans="1:1" x14ac:dyDescent="0.25">
      <c r="A989" t="s">
        <v>83</v>
      </c>
    </row>
    <row r="990" spans="1:1" x14ac:dyDescent="0.25">
      <c r="A990" t="s">
        <v>84</v>
      </c>
    </row>
    <row r="991" spans="1:1" x14ac:dyDescent="0.25">
      <c r="A991" t="s">
        <v>85</v>
      </c>
    </row>
    <row r="992" spans="1:1" x14ac:dyDescent="0.25">
      <c r="A992" t="s">
        <v>86</v>
      </c>
    </row>
    <row r="993" spans="1:1" x14ac:dyDescent="0.25">
      <c r="A993" t="s">
        <v>87</v>
      </c>
    </row>
    <row r="994" spans="1:1" x14ac:dyDescent="0.25">
      <c r="A994" t="s">
        <v>88</v>
      </c>
    </row>
    <row r="995" spans="1:1" x14ac:dyDescent="0.25">
      <c r="A995" t="s">
        <v>89</v>
      </c>
    </row>
    <row r="996" spans="1:1" x14ac:dyDescent="0.25">
      <c r="A996" t="s">
        <v>129</v>
      </c>
    </row>
    <row r="997" spans="1:1" x14ac:dyDescent="0.25">
      <c r="A997" t="s">
        <v>104</v>
      </c>
    </row>
    <row r="998" spans="1:1" x14ac:dyDescent="0.25">
      <c r="A998" t="s">
        <v>91</v>
      </c>
    </row>
    <row r="999" spans="1:1" x14ac:dyDescent="0.25">
      <c r="A999" t="s">
        <v>92</v>
      </c>
    </row>
    <row r="1000" spans="1:1" x14ac:dyDescent="0.25">
      <c r="A1000" t="s">
        <v>93</v>
      </c>
    </row>
    <row r="1001" spans="1:1" x14ac:dyDescent="0.25">
      <c r="A1001" t="s">
        <v>130</v>
      </c>
    </row>
    <row r="1004" spans="1:1" x14ac:dyDescent="0.25">
      <c r="A1004" t="s">
        <v>275</v>
      </c>
    </row>
    <row r="1005" spans="1:1" x14ac:dyDescent="0.25">
      <c r="A1005" t="s">
        <v>276</v>
      </c>
    </row>
    <row r="1011" spans="1:1" x14ac:dyDescent="0.25">
      <c r="A1011" t="s">
        <v>72</v>
      </c>
    </row>
    <row r="1012" spans="1:1" x14ac:dyDescent="0.25">
      <c r="A1012" t="s">
        <v>73</v>
      </c>
    </row>
    <row r="1013" spans="1:1" x14ac:dyDescent="0.25">
      <c r="A1013" t="s">
        <v>74</v>
      </c>
    </row>
    <row r="1014" spans="1:1" x14ac:dyDescent="0.25">
      <c r="A1014" t="s">
        <v>75</v>
      </c>
    </row>
    <row r="1015" spans="1:1" x14ac:dyDescent="0.25">
      <c r="A1015" t="s">
        <v>76</v>
      </c>
    </row>
    <row r="1016" spans="1:1" x14ac:dyDescent="0.25">
      <c r="A1016" t="s">
        <v>77</v>
      </c>
    </row>
    <row r="1017" spans="1:1" x14ac:dyDescent="0.25">
      <c r="A1017" t="s">
        <v>277</v>
      </c>
    </row>
    <row r="1018" spans="1:1" x14ac:dyDescent="0.25">
      <c r="A1018" t="s">
        <v>79</v>
      </c>
    </row>
    <row r="1019" spans="1:1" x14ac:dyDescent="0.25">
      <c r="A1019" t="s">
        <v>278</v>
      </c>
    </row>
    <row r="1020" spans="1:1" x14ac:dyDescent="0.25">
      <c r="A1020" t="s">
        <v>83</v>
      </c>
    </row>
    <row r="1021" spans="1:1" x14ac:dyDescent="0.25">
      <c r="A1021" t="s">
        <v>84</v>
      </c>
    </row>
    <row r="1022" spans="1:1" x14ac:dyDescent="0.25">
      <c r="A1022" t="s">
        <v>85</v>
      </c>
    </row>
    <row r="1023" spans="1:1" x14ac:dyDescent="0.25">
      <c r="A1023" t="s">
        <v>86</v>
      </c>
    </row>
    <row r="1024" spans="1:1" x14ac:dyDescent="0.25">
      <c r="A1024" t="s">
        <v>87</v>
      </c>
    </row>
    <row r="1025" spans="1:1" x14ac:dyDescent="0.25">
      <c r="A1025" t="s">
        <v>88</v>
      </c>
    </row>
    <row r="1026" spans="1:1" x14ac:dyDescent="0.25">
      <c r="A1026" t="s">
        <v>89</v>
      </c>
    </row>
    <row r="1027" spans="1:1" x14ac:dyDescent="0.25">
      <c r="A1027" t="s">
        <v>110</v>
      </c>
    </row>
    <row r="1028" spans="1:1" x14ac:dyDescent="0.25">
      <c r="A1028" t="s">
        <v>91</v>
      </c>
    </row>
    <row r="1029" spans="1:1" x14ac:dyDescent="0.25">
      <c r="A1029" t="s">
        <v>92</v>
      </c>
    </row>
    <row r="1030" spans="1:1" x14ac:dyDescent="0.25">
      <c r="A1030" t="s">
        <v>93</v>
      </c>
    </row>
    <row r="1031" spans="1:1" x14ac:dyDescent="0.25">
      <c r="A1031" t="s">
        <v>111</v>
      </c>
    </row>
    <row r="1034" spans="1:1" x14ac:dyDescent="0.25">
      <c r="A1034" t="s">
        <v>279</v>
      </c>
    </row>
    <row r="1035" spans="1:1" x14ac:dyDescent="0.25">
      <c r="A1035" t="s">
        <v>280</v>
      </c>
    </row>
    <row r="1036" spans="1:1" x14ac:dyDescent="0.25">
      <c r="A1036" t="s">
        <v>199</v>
      </c>
    </row>
    <row r="1037" spans="1:1" x14ac:dyDescent="0.25">
      <c r="A1037" t="s">
        <v>83</v>
      </c>
    </row>
    <row r="1038" spans="1:1" x14ac:dyDescent="0.25">
      <c r="A1038" t="s">
        <v>84</v>
      </c>
    </row>
    <row r="1039" spans="1:1" x14ac:dyDescent="0.25">
      <c r="A1039" t="s">
        <v>85</v>
      </c>
    </row>
    <row r="1040" spans="1:1" x14ac:dyDescent="0.25">
      <c r="A1040" t="s">
        <v>86</v>
      </c>
    </row>
    <row r="1041" spans="1:1" x14ac:dyDescent="0.25">
      <c r="A1041" t="s">
        <v>87</v>
      </c>
    </row>
    <row r="1042" spans="1:1" x14ac:dyDescent="0.25">
      <c r="A1042" t="s">
        <v>88</v>
      </c>
    </row>
    <row r="1043" spans="1:1" x14ac:dyDescent="0.25">
      <c r="A1043" t="s">
        <v>89</v>
      </c>
    </row>
    <row r="1044" spans="1:1" x14ac:dyDescent="0.25">
      <c r="A1044" t="s">
        <v>90</v>
      </c>
    </row>
    <row r="1045" spans="1:1" x14ac:dyDescent="0.25">
      <c r="A1045" t="s">
        <v>91</v>
      </c>
    </row>
    <row r="1046" spans="1:1" x14ac:dyDescent="0.25">
      <c r="A1046" t="s">
        <v>92</v>
      </c>
    </row>
    <row r="1047" spans="1:1" x14ac:dyDescent="0.25">
      <c r="A1047" t="s">
        <v>93</v>
      </c>
    </row>
    <row r="1048" spans="1:1" x14ac:dyDescent="0.25">
      <c r="A1048" t="s">
        <v>94</v>
      </c>
    </row>
    <row r="1051" spans="1:1" x14ac:dyDescent="0.25">
      <c r="A1051" t="s">
        <v>281</v>
      </c>
    </row>
    <row r="1052" spans="1:1" x14ac:dyDescent="0.25">
      <c r="A1052" t="s">
        <v>282</v>
      </c>
    </row>
    <row r="1053" spans="1:1" x14ac:dyDescent="0.25">
      <c r="A1053" t="s">
        <v>283</v>
      </c>
    </row>
    <row r="1054" spans="1:1" x14ac:dyDescent="0.25">
      <c r="A1054" t="s">
        <v>83</v>
      </c>
    </row>
    <row r="1055" spans="1:1" x14ac:dyDescent="0.25">
      <c r="A1055" t="s">
        <v>84</v>
      </c>
    </row>
    <row r="1056" spans="1:1" x14ac:dyDescent="0.25">
      <c r="A1056" t="s">
        <v>85</v>
      </c>
    </row>
    <row r="1057" spans="1:1" x14ac:dyDescent="0.25">
      <c r="A1057" t="s">
        <v>86</v>
      </c>
    </row>
    <row r="1058" spans="1:1" x14ac:dyDescent="0.25">
      <c r="A1058" t="s">
        <v>87</v>
      </c>
    </row>
    <row r="1059" spans="1:1" x14ac:dyDescent="0.25">
      <c r="A1059" t="s">
        <v>88</v>
      </c>
    </row>
    <row r="1060" spans="1:1" x14ac:dyDescent="0.25">
      <c r="A1060" t="s">
        <v>89</v>
      </c>
    </row>
    <row r="1061" spans="1:1" x14ac:dyDescent="0.25">
      <c r="A1061" t="s">
        <v>104</v>
      </c>
    </row>
    <row r="1062" spans="1:1" x14ac:dyDescent="0.25">
      <c r="A1062" t="s">
        <v>91</v>
      </c>
    </row>
    <row r="1063" spans="1:1" x14ac:dyDescent="0.25">
      <c r="A1063" t="s">
        <v>92</v>
      </c>
    </row>
    <row r="1064" spans="1:1" x14ac:dyDescent="0.25">
      <c r="A1064" t="s">
        <v>93</v>
      </c>
    </row>
    <row r="1065" spans="1:1" x14ac:dyDescent="0.25">
      <c r="A1065" t="s">
        <v>284</v>
      </c>
    </row>
    <row r="1068" spans="1:1" x14ac:dyDescent="0.25">
      <c r="A1068" t="s">
        <v>285</v>
      </c>
    </row>
    <row r="1074" spans="1:1" x14ac:dyDescent="0.25">
      <c r="A1074" t="s">
        <v>72</v>
      </c>
    </row>
    <row r="1075" spans="1:1" x14ac:dyDescent="0.25">
      <c r="A1075" t="s">
        <v>73</v>
      </c>
    </row>
    <row r="1076" spans="1:1" x14ac:dyDescent="0.25">
      <c r="A1076" t="s">
        <v>74</v>
      </c>
    </row>
    <row r="1077" spans="1:1" x14ac:dyDescent="0.25">
      <c r="A1077" t="s">
        <v>75</v>
      </c>
    </row>
    <row r="1078" spans="1:1" x14ac:dyDescent="0.25">
      <c r="A1078" t="s">
        <v>76</v>
      </c>
    </row>
    <row r="1079" spans="1:1" x14ac:dyDescent="0.25">
      <c r="A1079" t="s">
        <v>77</v>
      </c>
    </row>
    <row r="1080" spans="1:1" x14ac:dyDescent="0.25">
      <c r="A1080" t="s">
        <v>286</v>
      </c>
    </row>
    <row r="1081" spans="1:1" x14ac:dyDescent="0.25">
      <c r="A1081" t="s">
        <v>79</v>
      </c>
    </row>
    <row r="1082" spans="1:1" x14ac:dyDescent="0.25">
      <c r="A1082" t="s">
        <v>287</v>
      </c>
    </row>
    <row r="1083" spans="1:1" x14ac:dyDescent="0.25">
      <c r="A1083" t="s">
        <v>288</v>
      </c>
    </row>
    <row r="1084" spans="1:1" x14ac:dyDescent="0.25">
      <c r="A1084" t="s">
        <v>134</v>
      </c>
    </row>
    <row r="1085" spans="1:1" x14ac:dyDescent="0.25">
      <c r="A1085" t="s">
        <v>84</v>
      </c>
    </row>
    <row r="1086" spans="1:1" x14ac:dyDescent="0.25">
      <c r="A1086" t="s">
        <v>85</v>
      </c>
    </row>
    <row r="1087" spans="1:1" x14ac:dyDescent="0.25">
      <c r="A1087" t="s">
        <v>86</v>
      </c>
    </row>
    <row r="1088" spans="1:1" x14ac:dyDescent="0.25">
      <c r="A1088" t="s">
        <v>87</v>
      </c>
    </row>
    <row r="1089" spans="1:1" x14ac:dyDescent="0.25">
      <c r="A1089" t="s">
        <v>88</v>
      </c>
    </row>
    <row r="1090" spans="1:1" x14ac:dyDescent="0.25">
      <c r="A1090" t="s">
        <v>289</v>
      </c>
    </row>
    <row r="1091" spans="1:1" x14ac:dyDescent="0.25">
      <c r="A1091" t="s">
        <v>290</v>
      </c>
    </row>
    <row r="1092" spans="1:1" x14ac:dyDescent="0.25">
      <c r="A1092" t="s">
        <v>91</v>
      </c>
    </row>
    <row r="1093" spans="1:1" x14ac:dyDescent="0.25">
      <c r="A1093" t="s">
        <v>92</v>
      </c>
    </row>
    <row r="1094" spans="1:1" x14ac:dyDescent="0.25">
      <c r="A1094" t="s">
        <v>93</v>
      </c>
    </row>
    <row r="1095" spans="1:1" x14ac:dyDescent="0.25">
      <c r="A1095" t="s">
        <v>124</v>
      </c>
    </row>
    <row r="1096" spans="1:1" x14ac:dyDescent="0.25">
      <c r="A1096" t="s">
        <v>291</v>
      </c>
    </row>
    <row r="1099" spans="1:1" x14ac:dyDescent="0.25">
      <c r="A1099" t="s">
        <v>292</v>
      </c>
    </row>
    <row r="1100" spans="1:1" x14ac:dyDescent="0.25">
      <c r="A1100" t="s">
        <v>293</v>
      </c>
    </row>
    <row r="1101" spans="1:1" x14ac:dyDescent="0.25">
      <c r="A1101" t="s">
        <v>239</v>
      </c>
    </row>
    <row r="1102" spans="1:1" x14ac:dyDescent="0.25">
      <c r="A1102" t="s">
        <v>83</v>
      </c>
    </row>
    <row r="1103" spans="1:1" x14ac:dyDescent="0.25">
      <c r="A1103" t="s">
        <v>84</v>
      </c>
    </row>
    <row r="1104" spans="1:1" x14ac:dyDescent="0.25">
      <c r="A1104" t="s">
        <v>85</v>
      </c>
    </row>
    <row r="1105" spans="1:1" x14ac:dyDescent="0.25">
      <c r="A1105" t="s">
        <v>86</v>
      </c>
    </row>
    <row r="1106" spans="1:1" x14ac:dyDescent="0.25">
      <c r="A1106" t="s">
        <v>87</v>
      </c>
    </row>
    <row r="1107" spans="1:1" x14ac:dyDescent="0.25">
      <c r="A1107" t="s">
        <v>88</v>
      </c>
    </row>
    <row r="1108" spans="1:1" x14ac:dyDescent="0.25">
      <c r="A1108" t="s">
        <v>89</v>
      </c>
    </row>
    <row r="1109" spans="1:1" x14ac:dyDescent="0.25">
      <c r="A1109" t="s">
        <v>110</v>
      </c>
    </row>
    <row r="1110" spans="1:1" x14ac:dyDescent="0.25">
      <c r="A1110" t="s">
        <v>91</v>
      </c>
    </row>
    <row r="1111" spans="1:1" x14ac:dyDescent="0.25">
      <c r="A1111" t="s">
        <v>92</v>
      </c>
    </row>
    <row r="1112" spans="1:1" x14ac:dyDescent="0.25">
      <c r="A1112" t="s">
        <v>93</v>
      </c>
    </row>
    <row r="1113" spans="1:1" x14ac:dyDescent="0.25">
      <c r="A1113" t="s">
        <v>111</v>
      </c>
    </row>
    <row r="1116" spans="1:1" x14ac:dyDescent="0.25">
      <c r="A1116" t="s">
        <v>294</v>
      </c>
    </row>
    <row r="1117" spans="1:1" x14ac:dyDescent="0.25">
      <c r="A1117" t="s">
        <v>295</v>
      </c>
    </row>
    <row r="1118" spans="1:1" x14ac:dyDescent="0.25">
      <c r="A1118" t="s">
        <v>296</v>
      </c>
    </row>
    <row r="1119" spans="1:1" x14ac:dyDescent="0.25">
      <c r="A1119" t="s">
        <v>83</v>
      </c>
    </row>
    <row r="1120" spans="1:1" x14ac:dyDescent="0.25">
      <c r="A1120" t="s">
        <v>184</v>
      </c>
    </row>
    <row r="1121" spans="1:1" x14ac:dyDescent="0.25">
      <c r="A1121" t="s">
        <v>85</v>
      </c>
    </row>
    <row r="1122" spans="1:1" x14ac:dyDescent="0.25">
      <c r="A1122" t="s">
        <v>86</v>
      </c>
    </row>
    <row r="1123" spans="1:1" x14ac:dyDescent="0.25">
      <c r="A1123" t="s">
        <v>87</v>
      </c>
    </row>
    <row r="1124" spans="1:1" x14ac:dyDescent="0.25">
      <c r="A1124" t="s">
        <v>88</v>
      </c>
    </row>
    <row r="1125" spans="1:1" x14ac:dyDescent="0.25">
      <c r="A1125" t="s">
        <v>89</v>
      </c>
    </row>
    <row r="1126" spans="1:1" x14ac:dyDescent="0.25">
      <c r="A1126" t="s">
        <v>123</v>
      </c>
    </row>
    <row r="1127" spans="1:1" x14ac:dyDescent="0.25">
      <c r="A1127" t="s">
        <v>91</v>
      </c>
    </row>
    <row r="1128" spans="1:1" x14ac:dyDescent="0.25">
      <c r="A1128" t="s">
        <v>92</v>
      </c>
    </row>
    <row r="1129" spans="1:1" x14ac:dyDescent="0.25">
      <c r="A1129" t="s">
        <v>93</v>
      </c>
    </row>
    <row r="1130" spans="1:1" x14ac:dyDescent="0.25">
      <c r="A1130" t="s">
        <v>124</v>
      </c>
    </row>
    <row r="1136" spans="1:1" x14ac:dyDescent="0.25">
      <c r="A1136" t="s">
        <v>72</v>
      </c>
    </row>
    <row r="1137" spans="1:1" x14ac:dyDescent="0.25">
      <c r="A1137" t="s">
        <v>73</v>
      </c>
    </row>
    <row r="1138" spans="1:1" x14ac:dyDescent="0.25">
      <c r="A1138" t="s">
        <v>74</v>
      </c>
    </row>
    <row r="1139" spans="1:1" x14ac:dyDescent="0.25">
      <c r="A1139" t="s">
        <v>75</v>
      </c>
    </row>
    <row r="1140" spans="1:1" x14ac:dyDescent="0.25">
      <c r="A1140" t="s">
        <v>76</v>
      </c>
    </row>
    <row r="1141" spans="1:1" x14ac:dyDescent="0.25">
      <c r="A1141" t="s">
        <v>77</v>
      </c>
    </row>
    <row r="1142" spans="1:1" x14ac:dyDescent="0.25">
      <c r="A1142" t="s">
        <v>297</v>
      </c>
    </row>
    <row r="1143" spans="1:1" x14ac:dyDescent="0.25">
      <c r="A1143" t="s">
        <v>79</v>
      </c>
    </row>
    <row r="1144" spans="1:1" x14ac:dyDescent="0.25">
      <c r="A1144" t="s">
        <v>125</v>
      </c>
    </row>
    <row r="1147" spans="1:1" x14ac:dyDescent="0.25">
      <c r="A1147" t="s">
        <v>298</v>
      </c>
    </row>
    <row r="1148" spans="1:1" x14ac:dyDescent="0.25">
      <c r="A1148" t="s">
        <v>299</v>
      </c>
    </row>
    <row r="1149" spans="1:1" x14ac:dyDescent="0.25">
      <c r="A1149" t="s">
        <v>300</v>
      </c>
    </row>
    <row r="1150" spans="1:1" x14ac:dyDescent="0.25">
      <c r="A1150" t="s">
        <v>134</v>
      </c>
    </row>
    <row r="1151" spans="1:1" x14ac:dyDescent="0.25">
      <c r="A1151" t="s">
        <v>84</v>
      </c>
    </row>
    <row r="1152" spans="1:1" x14ac:dyDescent="0.25">
      <c r="A1152" t="s">
        <v>85</v>
      </c>
    </row>
    <row r="1153" spans="1:1" x14ac:dyDescent="0.25">
      <c r="A1153" t="s">
        <v>86</v>
      </c>
    </row>
    <row r="1154" spans="1:1" x14ac:dyDescent="0.25">
      <c r="A1154" t="s">
        <v>87</v>
      </c>
    </row>
    <row r="1155" spans="1:1" x14ac:dyDescent="0.25">
      <c r="A1155" t="s">
        <v>88</v>
      </c>
    </row>
    <row r="1156" spans="1:1" x14ac:dyDescent="0.25">
      <c r="A1156" t="s">
        <v>129</v>
      </c>
    </row>
    <row r="1157" spans="1:1" x14ac:dyDescent="0.25">
      <c r="A1157" t="s">
        <v>99</v>
      </c>
    </row>
    <row r="1158" spans="1:1" x14ac:dyDescent="0.25">
      <c r="A1158" t="s">
        <v>91</v>
      </c>
    </row>
    <row r="1159" spans="1:1" x14ac:dyDescent="0.25">
      <c r="A1159" t="s">
        <v>92</v>
      </c>
    </row>
    <row r="1160" spans="1:1" x14ac:dyDescent="0.25">
      <c r="A1160" t="s">
        <v>93</v>
      </c>
    </row>
    <row r="1161" spans="1:1" x14ac:dyDescent="0.25">
      <c r="A1161" t="s">
        <v>301</v>
      </c>
    </row>
    <row r="1164" spans="1:1" x14ac:dyDescent="0.25">
      <c r="A1164" t="s">
        <v>302</v>
      </c>
    </row>
    <row r="1165" spans="1:1" x14ac:dyDescent="0.25">
      <c r="A1165" t="s">
        <v>303</v>
      </c>
    </row>
    <row r="1166" spans="1:1" x14ac:dyDescent="0.25">
      <c r="A1166" t="s">
        <v>304</v>
      </c>
    </row>
    <row r="1167" spans="1:1" x14ac:dyDescent="0.25">
      <c r="A1167" t="s">
        <v>134</v>
      </c>
    </row>
    <row r="1168" spans="1:1" x14ac:dyDescent="0.25">
      <c r="A1168" t="s">
        <v>84</v>
      </c>
    </row>
    <row r="1169" spans="1:1" x14ac:dyDescent="0.25">
      <c r="A1169" t="s">
        <v>85</v>
      </c>
    </row>
    <row r="1170" spans="1:1" x14ac:dyDescent="0.25">
      <c r="A1170" t="s">
        <v>86</v>
      </c>
    </row>
    <row r="1171" spans="1:1" x14ac:dyDescent="0.25">
      <c r="A1171" t="s">
        <v>87</v>
      </c>
    </row>
    <row r="1172" spans="1:1" x14ac:dyDescent="0.25">
      <c r="A1172" t="s">
        <v>88</v>
      </c>
    </row>
    <row r="1173" spans="1:1" x14ac:dyDescent="0.25">
      <c r="A1173" t="s">
        <v>89</v>
      </c>
    </row>
    <row r="1174" spans="1:1" x14ac:dyDescent="0.25">
      <c r="A1174" t="s">
        <v>104</v>
      </c>
    </row>
    <row r="1175" spans="1:1" x14ac:dyDescent="0.25">
      <c r="A1175" t="s">
        <v>91</v>
      </c>
    </row>
    <row r="1176" spans="1:1" x14ac:dyDescent="0.25">
      <c r="A1176" t="s">
        <v>92</v>
      </c>
    </row>
    <row r="1177" spans="1:1" x14ac:dyDescent="0.25">
      <c r="A1177" t="s">
        <v>93</v>
      </c>
    </row>
    <row r="1178" spans="1:1" x14ac:dyDescent="0.25">
      <c r="A1178" t="s">
        <v>284</v>
      </c>
    </row>
    <row r="1181" spans="1:1" x14ac:dyDescent="0.25">
      <c r="A1181" t="s">
        <v>305</v>
      </c>
    </row>
    <row r="1182" spans="1:1" x14ac:dyDescent="0.25">
      <c r="A1182" t="s">
        <v>306</v>
      </c>
    </row>
    <row r="1183" spans="1:1" x14ac:dyDescent="0.25">
      <c r="A1183" t="s">
        <v>307</v>
      </c>
    </row>
    <row r="1184" spans="1:1" x14ac:dyDescent="0.25">
      <c r="A1184" t="s">
        <v>134</v>
      </c>
    </row>
    <row r="1185" spans="1:1" x14ac:dyDescent="0.25">
      <c r="A1185" t="s">
        <v>84</v>
      </c>
    </row>
    <row r="1186" spans="1:1" x14ac:dyDescent="0.25">
      <c r="A1186" t="s">
        <v>85</v>
      </c>
    </row>
    <row r="1187" spans="1:1" x14ac:dyDescent="0.25">
      <c r="A1187" t="s">
        <v>86</v>
      </c>
    </row>
    <row r="1188" spans="1:1" x14ac:dyDescent="0.25">
      <c r="A1188" t="s">
        <v>87</v>
      </c>
    </row>
    <row r="1189" spans="1:1" x14ac:dyDescent="0.25">
      <c r="A1189" t="s">
        <v>88</v>
      </c>
    </row>
    <row r="1190" spans="1:1" x14ac:dyDescent="0.25">
      <c r="A1190" t="s">
        <v>89</v>
      </c>
    </row>
    <row r="1191" spans="1:1" x14ac:dyDescent="0.25">
      <c r="A1191" t="s">
        <v>110</v>
      </c>
    </row>
    <row r="1192" spans="1:1" x14ac:dyDescent="0.25">
      <c r="A1192" t="s">
        <v>91</v>
      </c>
    </row>
    <row r="1193" spans="1:1" x14ac:dyDescent="0.25">
      <c r="A1193" t="s">
        <v>92</v>
      </c>
    </row>
    <row r="1199" spans="1:1" x14ac:dyDescent="0.25">
      <c r="A1199" t="s">
        <v>72</v>
      </c>
    </row>
    <row r="1200" spans="1:1" x14ac:dyDescent="0.25">
      <c r="A1200" t="s">
        <v>73</v>
      </c>
    </row>
    <row r="1201" spans="1:1" x14ac:dyDescent="0.25">
      <c r="A1201" t="s">
        <v>74</v>
      </c>
    </row>
    <row r="1202" spans="1:1" x14ac:dyDescent="0.25">
      <c r="A1202" t="s">
        <v>75</v>
      </c>
    </row>
    <row r="1203" spans="1:1" x14ac:dyDescent="0.25">
      <c r="A1203" t="s">
        <v>76</v>
      </c>
    </row>
    <row r="1204" spans="1:1" x14ac:dyDescent="0.25">
      <c r="A1204" t="s">
        <v>77</v>
      </c>
    </row>
    <row r="1205" spans="1:1" x14ac:dyDescent="0.25">
      <c r="A1205" t="s">
        <v>308</v>
      </c>
    </row>
    <row r="1206" spans="1:1" x14ac:dyDescent="0.25">
      <c r="A1206" t="s">
        <v>79</v>
      </c>
    </row>
    <row r="1207" spans="1:1" x14ac:dyDescent="0.25">
      <c r="A1207" t="s">
        <v>93</v>
      </c>
    </row>
    <row r="1208" spans="1:1" x14ac:dyDescent="0.25">
      <c r="A1208" t="s">
        <v>111</v>
      </c>
    </row>
    <row r="1211" spans="1:1" x14ac:dyDescent="0.25">
      <c r="A1211" t="s">
        <v>309</v>
      </c>
    </row>
    <row r="1212" spans="1:1" x14ac:dyDescent="0.25">
      <c r="A1212" t="s">
        <v>310</v>
      </c>
    </row>
    <row r="1213" spans="1:1" x14ac:dyDescent="0.25">
      <c r="A1213" t="s">
        <v>199</v>
      </c>
    </row>
    <row r="1214" spans="1:1" x14ac:dyDescent="0.25">
      <c r="A1214" t="s">
        <v>83</v>
      </c>
    </row>
    <row r="1215" spans="1:1" x14ac:dyDescent="0.25">
      <c r="A1215" t="s">
        <v>84</v>
      </c>
    </row>
    <row r="1216" spans="1:1" x14ac:dyDescent="0.25">
      <c r="A1216" t="s">
        <v>85</v>
      </c>
    </row>
    <row r="1217" spans="1:1" x14ac:dyDescent="0.25">
      <c r="A1217" t="s">
        <v>86</v>
      </c>
    </row>
    <row r="1218" spans="1:1" x14ac:dyDescent="0.25">
      <c r="A1218" t="s">
        <v>87</v>
      </c>
    </row>
    <row r="1219" spans="1:1" x14ac:dyDescent="0.25">
      <c r="A1219" t="s">
        <v>88</v>
      </c>
    </row>
    <row r="1220" spans="1:1" x14ac:dyDescent="0.25">
      <c r="A1220" t="s">
        <v>89</v>
      </c>
    </row>
    <row r="1221" spans="1:1" x14ac:dyDescent="0.25">
      <c r="A1221" t="s">
        <v>110</v>
      </c>
    </row>
    <row r="1222" spans="1:1" x14ac:dyDescent="0.25">
      <c r="A1222" t="s">
        <v>91</v>
      </c>
    </row>
    <row r="1223" spans="1:1" x14ac:dyDescent="0.25">
      <c r="A1223" t="s">
        <v>92</v>
      </c>
    </row>
    <row r="1224" spans="1:1" x14ac:dyDescent="0.25">
      <c r="A1224" t="s">
        <v>93</v>
      </c>
    </row>
    <row r="1225" spans="1:1" x14ac:dyDescent="0.25">
      <c r="A1225" t="s">
        <v>111</v>
      </c>
    </row>
    <row r="1228" spans="1:1" x14ac:dyDescent="0.25">
      <c r="A1228" t="s">
        <v>311</v>
      </c>
    </row>
    <row r="1229" spans="1:1" x14ac:dyDescent="0.25">
      <c r="A1229" t="s">
        <v>312</v>
      </c>
    </row>
    <row r="1230" spans="1:1" x14ac:dyDescent="0.25">
      <c r="A1230" t="s">
        <v>313</v>
      </c>
    </row>
    <row r="1231" spans="1:1" x14ac:dyDescent="0.25">
      <c r="A1231" t="s">
        <v>134</v>
      </c>
    </row>
    <row r="1232" spans="1:1" x14ac:dyDescent="0.25">
      <c r="A1232" t="s">
        <v>84</v>
      </c>
    </row>
    <row r="1233" spans="1:1" x14ac:dyDescent="0.25">
      <c r="A1233" t="s">
        <v>85</v>
      </c>
    </row>
    <row r="1234" spans="1:1" x14ac:dyDescent="0.25">
      <c r="A1234" t="s">
        <v>86</v>
      </c>
    </row>
    <row r="1235" spans="1:1" x14ac:dyDescent="0.25">
      <c r="A1235" t="s">
        <v>87</v>
      </c>
    </row>
    <row r="1236" spans="1:1" x14ac:dyDescent="0.25">
      <c r="A1236" t="s">
        <v>88</v>
      </c>
    </row>
    <row r="1237" spans="1:1" x14ac:dyDescent="0.25">
      <c r="A1237" t="s">
        <v>98</v>
      </c>
    </row>
    <row r="1238" spans="1:1" x14ac:dyDescent="0.25">
      <c r="A1238" t="s">
        <v>99</v>
      </c>
    </row>
    <row r="1239" spans="1:1" x14ac:dyDescent="0.25">
      <c r="A1239" t="s">
        <v>91</v>
      </c>
    </row>
    <row r="1240" spans="1:1" x14ac:dyDescent="0.25">
      <c r="A1240" t="s">
        <v>92</v>
      </c>
    </row>
    <row r="1241" spans="1:1" x14ac:dyDescent="0.25">
      <c r="A1241" t="s">
        <v>93</v>
      </c>
    </row>
    <row r="1242" spans="1:1" x14ac:dyDescent="0.25">
      <c r="A1242" t="s">
        <v>100</v>
      </c>
    </row>
    <row r="1245" spans="1:1" x14ac:dyDescent="0.25">
      <c r="A1245" t="s">
        <v>314</v>
      </c>
    </row>
    <row r="1246" spans="1:1" x14ac:dyDescent="0.25">
      <c r="A1246" t="s">
        <v>315</v>
      </c>
    </row>
    <row r="1247" spans="1:1" x14ac:dyDescent="0.25">
      <c r="A1247" t="s">
        <v>316</v>
      </c>
    </row>
    <row r="1248" spans="1:1" x14ac:dyDescent="0.25">
      <c r="A1248" t="s">
        <v>83</v>
      </c>
    </row>
    <row r="1249" spans="1:1" x14ac:dyDescent="0.25">
      <c r="A1249" t="s">
        <v>84</v>
      </c>
    </row>
    <row r="1250" spans="1:1" x14ac:dyDescent="0.25">
      <c r="A1250" t="s">
        <v>85</v>
      </c>
    </row>
    <row r="1251" spans="1:1" x14ac:dyDescent="0.25">
      <c r="A1251" t="s">
        <v>86</v>
      </c>
    </row>
    <row r="1252" spans="1:1" x14ac:dyDescent="0.25">
      <c r="A1252" t="s">
        <v>87</v>
      </c>
    </row>
    <row r="1253" spans="1:1" x14ac:dyDescent="0.25">
      <c r="A1253" t="s">
        <v>88</v>
      </c>
    </row>
    <row r="1254" spans="1:1" x14ac:dyDescent="0.25">
      <c r="A1254" t="s">
        <v>89</v>
      </c>
    </row>
    <row r="1255" spans="1:1" x14ac:dyDescent="0.25">
      <c r="A1255" t="s">
        <v>90</v>
      </c>
    </row>
    <row r="1256" spans="1:1" x14ac:dyDescent="0.25">
      <c r="A1256" t="s">
        <v>91</v>
      </c>
    </row>
    <row r="1262" spans="1:1" x14ac:dyDescent="0.25">
      <c r="A1262" t="s">
        <v>72</v>
      </c>
    </row>
    <row r="1263" spans="1:1" x14ac:dyDescent="0.25">
      <c r="A1263" t="s">
        <v>73</v>
      </c>
    </row>
    <row r="1264" spans="1:1" x14ac:dyDescent="0.25">
      <c r="A1264" t="s">
        <v>74</v>
      </c>
    </row>
    <row r="1265" spans="1:1" x14ac:dyDescent="0.25">
      <c r="A1265" t="s">
        <v>75</v>
      </c>
    </row>
    <row r="1266" spans="1:1" x14ac:dyDescent="0.25">
      <c r="A1266" t="s">
        <v>76</v>
      </c>
    </row>
    <row r="1267" spans="1:1" x14ac:dyDescent="0.25">
      <c r="A1267" t="s">
        <v>77</v>
      </c>
    </row>
    <row r="1268" spans="1:1" x14ac:dyDescent="0.25">
      <c r="A1268" t="s">
        <v>317</v>
      </c>
    </row>
    <row r="1269" spans="1:1" x14ac:dyDescent="0.25">
      <c r="A1269" t="s">
        <v>79</v>
      </c>
    </row>
    <row r="1270" spans="1:1" x14ac:dyDescent="0.25">
      <c r="A1270" t="s">
        <v>92</v>
      </c>
    </row>
    <row r="1271" spans="1:1" x14ac:dyDescent="0.25">
      <c r="A1271" t="s">
        <v>93</v>
      </c>
    </row>
    <row r="1272" spans="1:1" x14ac:dyDescent="0.25">
      <c r="A1272" t="s">
        <v>94</v>
      </c>
    </row>
    <row r="1275" spans="1:1" x14ac:dyDescent="0.25">
      <c r="A1275" t="s">
        <v>318</v>
      </c>
    </row>
    <row r="1276" spans="1:1" x14ac:dyDescent="0.25">
      <c r="A1276" t="s">
        <v>319</v>
      </c>
    </row>
    <row r="1277" spans="1:1" x14ac:dyDescent="0.25">
      <c r="A1277" t="s">
        <v>320</v>
      </c>
    </row>
    <row r="1278" spans="1:1" x14ac:dyDescent="0.25">
      <c r="A1278" t="s">
        <v>83</v>
      </c>
    </row>
    <row r="1279" spans="1:1" x14ac:dyDescent="0.25">
      <c r="A1279" t="s">
        <v>184</v>
      </c>
    </row>
    <row r="1280" spans="1:1" x14ac:dyDescent="0.25">
      <c r="A1280" t="s">
        <v>85</v>
      </c>
    </row>
    <row r="1281" spans="1:1" x14ac:dyDescent="0.25">
      <c r="A1281" t="s">
        <v>86</v>
      </c>
    </row>
    <row r="1282" spans="1:1" x14ac:dyDescent="0.25">
      <c r="A1282" t="s">
        <v>87</v>
      </c>
    </row>
    <row r="1283" spans="1:1" x14ac:dyDescent="0.25">
      <c r="A1283" t="s">
        <v>88</v>
      </c>
    </row>
    <row r="1284" spans="1:1" x14ac:dyDescent="0.25">
      <c r="A1284" t="s">
        <v>89</v>
      </c>
    </row>
    <row r="1285" spans="1:1" x14ac:dyDescent="0.25">
      <c r="A1285" t="s">
        <v>110</v>
      </c>
    </row>
    <row r="1286" spans="1:1" x14ac:dyDescent="0.25">
      <c r="A1286" t="s">
        <v>91</v>
      </c>
    </row>
    <row r="1287" spans="1:1" x14ac:dyDescent="0.25">
      <c r="A1287" t="s">
        <v>92</v>
      </c>
    </row>
    <row r="1288" spans="1:1" x14ac:dyDescent="0.25">
      <c r="A1288" t="s">
        <v>93</v>
      </c>
    </row>
    <row r="1289" spans="1:1" x14ac:dyDescent="0.25">
      <c r="A1289" t="s">
        <v>111</v>
      </c>
    </row>
    <row r="1292" spans="1:1" x14ac:dyDescent="0.25">
      <c r="A1292" t="s">
        <v>321</v>
      </c>
    </row>
    <row r="1293" spans="1:1" x14ac:dyDescent="0.25">
      <c r="A1293" t="s">
        <v>322</v>
      </c>
    </row>
    <row r="1294" spans="1:1" x14ac:dyDescent="0.25">
      <c r="A1294" t="s">
        <v>323</v>
      </c>
    </row>
    <row r="1295" spans="1:1" x14ac:dyDescent="0.25">
      <c r="A1295" t="s">
        <v>134</v>
      </c>
    </row>
    <row r="1296" spans="1:1" x14ac:dyDescent="0.25">
      <c r="A1296" t="s">
        <v>84</v>
      </c>
    </row>
    <row r="1297" spans="1:1" x14ac:dyDescent="0.25">
      <c r="A1297" t="s">
        <v>85</v>
      </c>
    </row>
    <row r="1298" spans="1:1" x14ac:dyDescent="0.25">
      <c r="A1298" t="s">
        <v>86</v>
      </c>
    </row>
    <row r="1299" spans="1:1" x14ac:dyDescent="0.25">
      <c r="A1299" t="s">
        <v>87</v>
      </c>
    </row>
    <row r="1300" spans="1:1" x14ac:dyDescent="0.25">
      <c r="A1300" t="s">
        <v>88</v>
      </c>
    </row>
    <row r="1301" spans="1:1" x14ac:dyDescent="0.25">
      <c r="A1301" t="s">
        <v>289</v>
      </c>
    </row>
    <row r="1302" spans="1:1" x14ac:dyDescent="0.25">
      <c r="A1302" t="s">
        <v>324</v>
      </c>
    </row>
    <row r="1303" spans="1:1" x14ac:dyDescent="0.25">
      <c r="A1303" t="s">
        <v>91</v>
      </c>
    </row>
    <row r="1304" spans="1:1" x14ac:dyDescent="0.25">
      <c r="A1304" t="s">
        <v>92</v>
      </c>
    </row>
    <row r="1305" spans="1:1" x14ac:dyDescent="0.25">
      <c r="A1305" t="s">
        <v>93</v>
      </c>
    </row>
    <row r="1306" spans="1:1" x14ac:dyDescent="0.25">
      <c r="A1306" t="s">
        <v>325</v>
      </c>
    </row>
    <row r="1309" spans="1:1" x14ac:dyDescent="0.25">
      <c r="A1309" t="s">
        <v>326</v>
      </c>
    </row>
    <row r="1310" spans="1:1" x14ac:dyDescent="0.25">
      <c r="A1310" t="s">
        <v>327</v>
      </c>
    </row>
    <row r="1311" spans="1:1" x14ac:dyDescent="0.25">
      <c r="A1311" t="s">
        <v>328</v>
      </c>
    </row>
    <row r="1312" spans="1:1" x14ac:dyDescent="0.25">
      <c r="A1312" t="s">
        <v>134</v>
      </c>
    </row>
    <row r="1313" spans="1:1" x14ac:dyDescent="0.25">
      <c r="A1313" t="s">
        <v>84</v>
      </c>
    </row>
    <row r="1314" spans="1:1" x14ac:dyDescent="0.25">
      <c r="A1314" t="s">
        <v>85</v>
      </c>
    </row>
    <row r="1315" spans="1:1" x14ac:dyDescent="0.25">
      <c r="A1315" t="s">
        <v>86</v>
      </c>
    </row>
    <row r="1316" spans="1:1" x14ac:dyDescent="0.25">
      <c r="A1316" t="s">
        <v>87</v>
      </c>
    </row>
    <row r="1317" spans="1:1" x14ac:dyDescent="0.25">
      <c r="A1317" t="s">
        <v>88</v>
      </c>
    </row>
    <row r="1318" spans="1:1" x14ac:dyDescent="0.25">
      <c r="A1318" t="s">
        <v>89</v>
      </c>
    </row>
    <row r="1319" spans="1:1" x14ac:dyDescent="0.25">
      <c r="A1319" t="s">
        <v>98</v>
      </c>
    </row>
    <row r="1325" spans="1:1" x14ac:dyDescent="0.25">
      <c r="A1325" t="s">
        <v>72</v>
      </c>
    </row>
    <row r="1326" spans="1:1" x14ac:dyDescent="0.25">
      <c r="A1326" t="s">
        <v>73</v>
      </c>
    </row>
    <row r="1327" spans="1:1" x14ac:dyDescent="0.25">
      <c r="A1327" t="s">
        <v>74</v>
      </c>
    </row>
    <row r="1328" spans="1:1" x14ac:dyDescent="0.25">
      <c r="A1328" t="s">
        <v>75</v>
      </c>
    </row>
    <row r="1329" spans="1:1" x14ac:dyDescent="0.25">
      <c r="A1329" t="s">
        <v>76</v>
      </c>
    </row>
    <row r="1330" spans="1:1" x14ac:dyDescent="0.25">
      <c r="A1330" t="s">
        <v>77</v>
      </c>
    </row>
    <row r="1331" spans="1:1" x14ac:dyDescent="0.25">
      <c r="A1331" t="s">
        <v>329</v>
      </c>
    </row>
    <row r="1332" spans="1:1" x14ac:dyDescent="0.25">
      <c r="A1332" t="s">
        <v>79</v>
      </c>
    </row>
    <row r="1333" spans="1:1" x14ac:dyDescent="0.25">
      <c r="A1333" t="s">
        <v>104</v>
      </c>
    </row>
    <row r="1334" spans="1:1" x14ac:dyDescent="0.25">
      <c r="A1334" t="s">
        <v>91</v>
      </c>
    </row>
    <row r="1335" spans="1:1" x14ac:dyDescent="0.25">
      <c r="A1335" t="s">
        <v>92</v>
      </c>
    </row>
    <row r="1336" spans="1:1" x14ac:dyDescent="0.25">
      <c r="A1336" t="s">
        <v>93</v>
      </c>
    </row>
    <row r="1337" spans="1:1" x14ac:dyDescent="0.25">
      <c r="A1337" t="s">
        <v>106</v>
      </c>
    </row>
    <row r="1340" spans="1:1" x14ac:dyDescent="0.25">
      <c r="A1340" t="s">
        <v>330</v>
      </c>
    </row>
    <row r="1341" spans="1:1" x14ac:dyDescent="0.25">
      <c r="A1341" t="s">
        <v>331</v>
      </c>
    </row>
    <row r="1342" spans="1:1" x14ac:dyDescent="0.25">
      <c r="A1342" t="s">
        <v>138</v>
      </c>
    </row>
    <row r="1343" spans="1:1" x14ac:dyDescent="0.25">
      <c r="A1343" t="s">
        <v>134</v>
      </c>
    </row>
    <row r="1344" spans="1:1" x14ac:dyDescent="0.25">
      <c r="A1344" t="s">
        <v>184</v>
      </c>
    </row>
    <row r="1345" spans="1:1" x14ac:dyDescent="0.25">
      <c r="A1345" t="s">
        <v>85</v>
      </c>
    </row>
    <row r="1346" spans="1:1" x14ac:dyDescent="0.25">
      <c r="A1346" t="s">
        <v>86</v>
      </c>
    </row>
    <row r="1347" spans="1:1" x14ac:dyDescent="0.25">
      <c r="A1347" t="s">
        <v>87</v>
      </c>
    </row>
    <row r="1348" spans="1:1" x14ac:dyDescent="0.25">
      <c r="A1348" t="s">
        <v>88</v>
      </c>
    </row>
    <row r="1349" spans="1:1" x14ac:dyDescent="0.25">
      <c r="A1349" t="s">
        <v>89</v>
      </c>
    </row>
    <row r="1350" spans="1:1" x14ac:dyDescent="0.25">
      <c r="A1350" t="s">
        <v>110</v>
      </c>
    </row>
    <row r="1351" spans="1:1" x14ac:dyDescent="0.25">
      <c r="A1351" t="s">
        <v>91</v>
      </c>
    </row>
    <row r="1352" spans="1:1" x14ac:dyDescent="0.25">
      <c r="A1352" t="s">
        <v>92</v>
      </c>
    </row>
    <row r="1353" spans="1:1" x14ac:dyDescent="0.25">
      <c r="A1353" t="s">
        <v>93</v>
      </c>
    </row>
    <row r="1354" spans="1:1" x14ac:dyDescent="0.25">
      <c r="A1354" t="s">
        <v>111</v>
      </c>
    </row>
    <row r="1357" spans="1:1" x14ac:dyDescent="0.25">
      <c r="A1357" t="s">
        <v>332</v>
      </c>
    </row>
    <row r="1358" spans="1:1" x14ac:dyDescent="0.25">
      <c r="A1358" t="s">
        <v>333</v>
      </c>
    </row>
    <row r="1359" spans="1:1" x14ac:dyDescent="0.25">
      <c r="A1359" t="s">
        <v>278</v>
      </c>
    </row>
    <row r="1360" spans="1:1" x14ac:dyDescent="0.25">
      <c r="A1360" t="s">
        <v>83</v>
      </c>
    </row>
    <row r="1361" spans="1:1" x14ac:dyDescent="0.25">
      <c r="A1361" t="s">
        <v>84</v>
      </c>
    </row>
    <row r="1362" spans="1:1" x14ac:dyDescent="0.25">
      <c r="A1362" t="s">
        <v>85</v>
      </c>
    </row>
    <row r="1363" spans="1:1" x14ac:dyDescent="0.25">
      <c r="A1363" t="s">
        <v>86</v>
      </c>
    </row>
    <row r="1364" spans="1:1" x14ac:dyDescent="0.25">
      <c r="A1364" t="s">
        <v>87</v>
      </c>
    </row>
    <row r="1365" spans="1:1" x14ac:dyDescent="0.25">
      <c r="A1365" t="s">
        <v>88</v>
      </c>
    </row>
    <row r="1366" spans="1:1" x14ac:dyDescent="0.25">
      <c r="A1366" t="s">
        <v>89</v>
      </c>
    </row>
    <row r="1367" spans="1:1" x14ac:dyDescent="0.25">
      <c r="A1367" t="s">
        <v>90</v>
      </c>
    </row>
    <row r="1368" spans="1:1" x14ac:dyDescent="0.25">
      <c r="A1368" t="s">
        <v>91</v>
      </c>
    </row>
    <row r="1369" spans="1:1" x14ac:dyDescent="0.25">
      <c r="A1369" t="s">
        <v>92</v>
      </c>
    </row>
    <row r="1370" spans="1:1" x14ac:dyDescent="0.25">
      <c r="A1370" t="s">
        <v>93</v>
      </c>
    </row>
    <row r="1371" spans="1:1" x14ac:dyDescent="0.25">
      <c r="A1371" t="s">
        <v>94</v>
      </c>
    </row>
    <row r="1374" spans="1:1" x14ac:dyDescent="0.25">
      <c r="A1374" t="s">
        <v>334</v>
      </c>
    </row>
    <row r="1375" spans="1:1" x14ac:dyDescent="0.25">
      <c r="A1375" t="s">
        <v>335</v>
      </c>
    </row>
    <row r="1376" spans="1:1" x14ac:dyDescent="0.25">
      <c r="A1376" t="s">
        <v>336</v>
      </c>
    </row>
    <row r="1377" spans="1:1" x14ac:dyDescent="0.25">
      <c r="A1377" t="s">
        <v>83</v>
      </c>
    </row>
    <row r="1378" spans="1:1" x14ac:dyDescent="0.25">
      <c r="A1378" t="s">
        <v>84</v>
      </c>
    </row>
    <row r="1379" spans="1:1" x14ac:dyDescent="0.25">
      <c r="A1379" t="s">
        <v>85</v>
      </c>
    </row>
    <row r="1380" spans="1:1" x14ac:dyDescent="0.25">
      <c r="A1380" t="s">
        <v>86</v>
      </c>
    </row>
    <row r="1381" spans="1:1" x14ac:dyDescent="0.25">
      <c r="A1381" t="s">
        <v>87</v>
      </c>
    </row>
    <row r="1382" spans="1:1" x14ac:dyDescent="0.25">
      <c r="A1382" t="s">
        <v>88</v>
      </c>
    </row>
    <row r="1388" spans="1:1" x14ac:dyDescent="0.25">
      <c r="A1388" t="s">
        <v>72</v>
      </c>
    </row>
    <row r="1389" spans="1:1" x14ac:dyDescent="0.25">
      <c r="A1389" t="s">
        <v>73</v>
      </c>
    </row>
    <row r="1390" spans="1:1" x14ac:dyDescent="0.25">
      <c r="A1390" t="s">
        <v>74</v>
      </c>
    </row>
    <row r="1391" spans="1:1" x14ac:dyDescent="0.25">
      <c r="A1391" t="s">
        <v>75</v>
      </c>
    </row>
    <row r="1392" spans="1:1" x14ac:dyDescent="0.25">
      <c r="A1392" t="s">
        <v>76</v>
      </c>
    </row>
    <row r="1393" spans="1:1" x14ac:dyDescent="0.25">
      <c r="A1393" t="s">
        <v>77</v>
      </c>
    </row>
    <row r="1394" spans="1:1" x14ac:dyDescent="0.25">
      <c r="A1394" t="s">
        <v>337</v>
      </c>
    </row>
    <row r="1395" spans="1:1" x14ac:dyDescent="0.25">
      <c r="A1395" t="s">
        <v>79</v>
      </c>
    </row>
    <row r="1396" spans="1:1" x14ac:dyDescent="0.25">
      <c r="A1396" t="s">
        <v>89</v>
      </c>
    </row>
    <row r="1397" spans="1:1" x14ac:dyDescent="0.25">
      <c r="A1397" t="s">
        <v>104</v>
      </c>
    </row>
    <row r="1398" spans="1:1" x14ac:dyDescent="0.25">
      <c r="A1398" t="s">
        <v>91</v>
      </c>
    </row>
    <row r="1399" spans="1:1" x14ac:dyDescent="0.25">
      <c r="A1399" t="s">
        <v>92</v>
      </c>
    </row>
    <row r="1400" spans="1:1" x14ac:dyDescent="0.25">
      <c r="A1400" t="s">
        <v>93</v>
      </c>
    </row>
    <row r="1401" spans="1:1" x14ac:dyDescent="0.25">
      <c r="A1401" t="s">
        <v>284</v>
      </c>
    </row>
    <row r="1404" spans="1:1" x14ac:dyDescent="0.25">
      <c r="A1404" t="s">
        <v>338</v>
      </c>
    </row>
    <row r="1405" spans="1:1" x14ac:dyDescent="0.25">
      <c r="A1405" t="s">
        <v>339</v>
      </c>
    </row>
    <row r="1406" spans="1:1" x14ac:dyDescent="0.25">
      <c r="A1406" t="s">
        <v>340</v>
      </c>
    </row>
    <row r="1407" spans="1:1" x14ac:dyDescent="0.25">
      <c r="A1407" t="s">
        <v>134</v>
      </c>
    </row>
    <row r="1408" spans="1:1" x14ac:dyDescent="0.25">
      <c r="A1408" t="s">
        <v>84</v>
      </c>
    </row>
    <row r="1409" spans="1:1" x14ac:dyDescent="0.25">
      <c r="A1409" t="s">
        <v>85</v>
      </c>
    </row>
    <row r="1410" spans="1:1" x14ac:dyDescent="0.25">
      <c r="A1410" t="s">
        <v>86</v>
      </c>
    </row>
    <row r="1411" spans="1:1" x14ac:dyDescent="0.25">
      <c r="A1411" t="s">
        <v>87</v>
      </c>
    </row>
    <row r="1412" spans="1:1" x14ac:dyDescent="0.25">
      <c r="A1412" t="s">
        <v>88</v>
      </c>
    </row>
    <row r="1413" spans="1:1" x14ac:dyDescent="0.25">
      <c r="A1413" t="s">
        <v>89</v>
      </c>
    </row>
    <row r="1414" spans="1:1" x14ac:dyDescent="0.25">
      <c r="A1414" t="s">
        <v>110</v>
      </c>
    </row>
    <row r="1415" spans="1:1" x14ac:dyDescent="0.25">
      <c r="A1415" t="s">
        <v>91</v>
      </c>
    </row>
    <row r="1416" spans="1:1" x14ac:dyDescent="0.25">
      <c r="A1416" t="s">
        <v>92</v>
      </c>
    </row>
    <row r="1417" spans="1:1" x14ac:dyDescent="0.25">
      <c r="A1417" t="s">
        <v>93</v>
      </c>
    </row>
    <row r="1418" spans="1:1" x14ac:dyDescent="0.25">
      <c r="A1418" t="s">
        <v>111</v>
      </c>
    </row>
    <row r="1421" spans="1:1" x14ac:dyDescent="0.25">
      <c r="A1421" t="s">
        <v>341</v>
      </c>
    </row>
    <row r="1422" spans="1:1" x14ac:dyDescent="0.25">
      <c r="A1422" t="s">
        <v>342</v>
      </c>
    </row>
    <row r="1423" spans="1:1" x14ac:dyDescent="0.25">
      <c r="A1423" t="s">
        <v>343</v>
      </c>
    </row>
    <row r="1424" spans="1:1" x14ac:dyDescent="0.25">
      <c r="A1424" t="s">
        <v>134</v>
      </c>
    </row>
    <row r="1425" spans="1:1" x14ac:dyDescent="0.25">
      <c r="A1425" t="s">
        <v>84</v>
      </c>
    </row>
    <row r="1426" spans="1:1" x14ac:dyDescent="0.25">
      <c r="A1426" t="s">
        <v>85</v>
      </c>
    </row>
    <row r="1427" spans="1:1" x14ac:dyDescent="0.25">
      <c r="A1427" t="s">
        <v>86</v>
      </c>
    </row>
    <row r="1428" spans="1:1" x14ac:dyDescent="0.25">
      <c r="A1428" t="s">
        <v>87</v>
      </c>
    </row>
    <row r="1429" spans="1:1" x14ac:dyDescent="0.25">
      <c r="A1429" t="s">
        <v>88</v>
      </c>
    </row>
    <row r="1430" spans="1:1" x14ac:dyDescent="0.25">
      <c r="A1430" t="s">
        <v>89</v>
      </c>
    </row>
    <row r="1431" spans="1:1" x14ac:dyDescent="0.25">
      <c r="A1431" t="s">
        <v>90</v>
      </c>
    </row>
    <row r="1432" spans="1:1" x14ac:dyDescent="0.25">
      <c r="A1432" t="s">
        <v>91</v>
      </c>
    </row>
    <row r="1433" spans="1:1" x14ac:dyDescent="0.25">
      <c r="A1433" t="s">
        <v>92</v>
      </c>
    </row>
    <row r="1434" spans="1:1" x14ac:dyDescent="0.25">
      <c r="A1434" t="s">
        <v>93</v>
      </c>
    </row>
    <row r="1435" spans="1:1" x14ac:dyDescent="0.25">
      <c r="A1435" t="s">
        <v>94</v>
      </c>
    </row>
    <row r="1438" spans="1:1" x14ac:dyDescent="0.25">
      <c r="A1438" t="s">
        <v>344</v>
      </c>
    </row>
    <row r="1439" spans="1:1" x14ac:dyDescent="0.25">
      <c r="A1439" t="s">
        <v>345</v>
      </c>
    </row>
    <row r="1440" spans="1:1" x14ac:dyDescent="0.25">
      <c r="A1440" t="s">
        <v>346</v>
      </c>
    </row>
    <row r="1441" spans="1:1" x14ac:dyDescent="0.25">
      <c r="A1441" t="s">
        <v>83</v>
      </c>
    </row>
    <row r="1442" spans="1:1" x14ac:dyDescent="0.25">
      <c r="A1442" t="s">
        <v>84</v>
      </c>
    </row>
    <row r="1443" spans="1:1" x14ac:dyDescent="0.25">
      <c r="A1443" t="s">
        <v>85</v>
      </c>
    </row>
    <row r="1444" spans="1:1" x14ac:dyDescent="0.25">
      <c r="A1444" t="s">
        <v>86</v>
      </c>
    </row>
    <row r="1445" spans="1:1" x14ac:dyDescent="0.25">
      <c r="A1445" t="s">
        <v>87</v>
      </c>
    </row>
    <row r="1451" spans="1:1" x14ac:dyDescent="0.25">
      <c r="A1451" t="s">
        <v>72</v>
      </c>
    </row>
    <row r="1452" spans="1:1" x14ac:dyDescent="0.25">
      <c r="A1452" t="s">
        <v>73</v>
      </c>
    </row>
    <row r="1453" spans="1:1" x14ac:dyDescent="0.25">
      <c r="A1453" t="s">
        <v>74</v>
      </c>
    </row>
    <row r="1454" spans="1:1" x14ac:dyDescent="0.25">
      <c r="A1454" t="s">
        <v>75</v>
      </c>
    </row>
    <row r="1455" spans="1:1" x14ac:dyDescent="0.25">
      <c r="A1455" t="s">
        <v>76</v>
      </c>
    </row>
    <row r="1456" spans="1:1" x14ac:dyDescent="0.25">
      <c r="A1456" t="s">
        <v>77</v>
      </c>
    </row>
    <row r="1457" spans="1:1" x14ac:dyDescent="0.25">
      <c r="A1457" t="s">
        <v>347</v>
      </c>
    </row>
    <row r="1458" spans="1:1" x14ac:dyDescent="0.25">
      <c r="A1458" t="s">
        <v>79</v>
      </c>
    </row>
    <row r="1459" spans="1:1" x14ac:dyDescent="0.25">
      <c r="A1459" t="s">
        <v>88</v>
      </c>
    </row>
    <row r="1460" spans="1:1" x14ac:dyDescent="0.25">
      <c r="A1460" t="s">
        <v>89</v>
      </c>
    </row>
    <row r="1461" spans="1:1" x14ac:dyDescent="0.25">
      <c r="A1461" t="s">
        <v>104</v>
      </c>
    </row>
    <row r="1462" spans="1:1" x14ac:dyDescent="0.25">
      <c r="A1462" t="s">
        <v>91</v>
      </c>
    </row>
    <row r="1463" spans="1:1" x14ac:dyDescent="0.25">
      <c r="A1463" t="s">
        <v>92</v>
      </c>
    </row>
    <row r="1464" spans="1:1" x14ac:dyDescent="0.25">
      <c r="A1464" t="s">
        <v>93</v>
      </c>
    </row>
    <row r="1465" spans="1:1" x14ac:dyDescent="0.25">
      <c r="A1465" t="s">
        <v>284</v>
      </c>
    </row>
    <row r="1468" spans="1:1" x14ac:dyDescent="0.25">
      <c r="A1468" t="s">
        <v>348</v>
      </c>
    </row>
    <row r="1469" spans="1:1" x14ac:dyDescent="0.25">
      <c r="A1469" t="s">
        <v>349</v>
      </c>
    </row>
    <row r="1470" spans="1:1" x14ac:dyDescent="0.25">
      <c r="A1470" t="s">
        <v>350</v>
      </c>
    </row>
    <row r="1471" spans="1:1" x14ac:dyDescent="0.25">
      <c r="A1471" t="s">
        <v>83</v>
      </c>
    </row>
    <row r="1472" spans="1:1" x14ac:dyDescent="0.25">
      <c r="A1472" t="s">
        <v>84</v>
      </c>
    </row>
    <row r="1473" spans="1:1" x14ac:dyDescent="0.25">
      <c r="A1473" t="s">
        <v>85</v>
      </c>
    </row>
    <row r="1474" spans="1:1" x14ac:dyDescent="0.25">
      <c r="A1474" t="s">
        <v>86</v>
      </c>
    </row>
    <row r="1475" spans="1:1" x14ac:dyDescent="0.25">
      <c r="A1475" t="s">
        <v>87</v>
      </c>
    </row>
    <row r="1476" spans="1:1" x14ac:dyDescent="0.25">
      <c r="A1476" t="s">
        <v>88</v>
      </c>
    </row>
    <row r="1477" spans="1:1" x14ac:dyDescent="0.25">
      <c r="A1477" t="s">
        <v>99</v>
      </c>
    </row>
    <row r="1478" spans="1:1" x14ac:dyDescent="0.25">
      <c r="A1478" t="s">
        <v>91</v>
      </c>
    </row>
    <row r="1479" spans="1:1" x14ac:dyDescent="0.25">
      <c r="A1479" t="s">
        <v>92</v>
      </c>
    </row>
    <row r="1480" spans="1:1" x14ac:dyDescent="0.25">
      <c r="A1480" t="s">
        <v>93</v>
      </c>
    </row>
    <row r="1481" spans="1:1" x14ac:dyDescent="0.25">
      <c r="A1481" t="s">
        <v>115</v>
      </c>
    </row>
    <row r="1484" spans="1:1" x14ac:dyDescent="0.25">
      <c r="A1484" t="s">
        <v>351</v>
      </c>
    </row>
    <row r="1485" spans="1:1" x14ac:dyDescent="0.25">
      <c r="A1485" t="s">
        <v>352</v>
      </c>
    </row>
    <row r="1486" spans="1:1" x14ac:dyDescent="0.25">
      <c r="A1486" t="s">
        <v>328</v>
      </c>
    </row>
    <row r="1487" spans="1:1" x14ac:dyDescent="0.25">
      <c r="A1487" t="s">
        <v>83</v>
      </c>
    </row>
    <row r="1488" spans="1:1" x14ac:dyDescent="0.25">
      <c r="A1488" t="s">
        <v>184</v>
      </c>
    </row>
    <row r="1489" spans="1:1" x14ac:dyDescent="0.25">
      <c r="A1489" t="s">
        <v>85</v>
      </c>
    </row>
    <row r="1490" spans="1:1" x14ac:dyDescent="0.25">
      <c r="A1490" t="s">
        <v>86</v>
      </c>
    </row>
    <row r="1491" spans="1:1" x14ac:dyDescent="0.25">
      <c r="A1491" t="s">
        <v>87</v>
      </c>
    </row>
    <row r="1492" spans="1:1" x14ac:dyDescent="0.25">
      <c r="A1492" t="s">
        <v>88</v>
      </c>
    </row>
    <row r="1493" spans="1:1" x14ac:dyDescent="0.25">
      <c r="A1493" t="s">
        <v>89</v>
      </c>
    </row>
    <row r="1494" spans="1:1" x14ac:dyDescent="0.25">
      <c r="A1494" t="s">
        <v>353</v>
      </c>
    </row>
    <row r="1495" spans="1:1" x14ac:dyDescent="0.25">
      <c r="A1495" t="s">
        <v>91</v>
      </c>
    </row>
    <row r="1496" spans="1:1" x14ac:dyDescent="0.25">
      <c r="A1496" t="s">
        <v>92</v>
      </c>
    </row>
    <row r="1497" spans="1:1" x14ac:dyDescent="0.25">
      <c r="A1497" t="s">
        <v>93</v>
      </c>
    </row>
    <row r="1498" spans="1:1" x14ac:dyDescent="0.25">
      <c r="A1498" t="s">
        <v>124</v>
      </c>
    </row>
    <row r="1499" spans="1:1" x14ac:dyDescent="0.25">
      <c r="A1499" t="s">
        <v>354</v>
      </c>
    </row>
    <row r="1502" spans="1:1" x14ac:dyDescent="0.25">
      <c r="A1502" t="s">
        <v>355</v>
      </c>
    </row>
    <row r="1503" spans="1:1" x14ac:dyDescent="0.25">
      <c r="A1503" t="s">
        <v>356</v>
      </c>
    </row>
    <row r="1504" spans="1:1" x14ac:dyDescent="0.25">
      <c r="A1504" t="s">
        <v>357</v>
      </c>
    </row>
    <row r="1505" spans="1:1" x14ac:dyDescent="0.25">
      <c r="A1505" t="s">
        <v>134</v>
      </c>
    </row>
    <row r="1506" spans="1:1" x14ac:dyDescent="0.25">
      <c r="A1506" t="s">
        <v>84</v>
      </c>
    </row>
    <row r="1507" spans="1:1" x14ac:dyDescent="0.25">
      <c r="A1507" t="s">
        <v>85</v>
      </c>
    </row>
    <row r="1513" spans="1:1" x14ac:dyDescent="0.25">
      <c r="A1513" t="s">
        <v>72</v>
      </c>
    </row>
    <row r="1514" spans="1:1" x14ac:dyDescent="0.25">
      <c r="A1514" t="s">
        <v>73</v>
      </c>
    </row>
    <row r="1515" spans="1:1" x14ac:dyDescent="0.25">
      <c r="A1515" t="s">
        <v>74</v>
      </c>
    </row>
    <row r="1516" spans="1:1" x14ac:dyDescent="0.25">
      <c r="A1516" t="s">
        <v>75</v>
      </c>
    </row>
    <row r="1517" spans="1:1" x14ac:dyDescent="0.25">
      <c r="A1517" t="s">
        <v>76</v>
      </c>
    </row>
    <row r="1518" spans="1:1" x14ac:dyDescent="0.25">
      <c r="A1518" t="s">
        <v>77</v>
      </c>
    </row>
    <row r="1519" spans="1:1" x14ac:dyDescent="0.25">
      <c r="A1519" t="s">
        <v>358</v>
      </c>
    </row>
    <row r="1520" spans="1:1" x14ac:dyDescent="0.25">
      <c r="A1520" t="s">
        <v>79</v>
      </c>
    </row>
    <row r="1521" spans="1:1" x14ac:dyDescent="0.25">
      <c r="A1521" t="s">
        <v>86</v>
      </c>
    </row>
    <row r="1522" spans="1:1" x14ac:dyDescent="0.25">
      <c r="A1522" t="s">
        <v>87</v>
      </c>
    </row>
    <row r="1523" spans="1:1" x14ac:dyDescent="0.25">
      <c r="A1523" t="s">
        <v>88</v>
      </c>
    </row>
    <row r="1524" spans="1:1" x14ac:dyDescent="0.25">
      <c r="A1524" t="s">
        <v>89</v>
      </c>
    </row>
    <row r="1525" spans="1:1" x14ac:dyDescent="0.25">
      <c r="A1525" t="s">
        <v>247</v>
      </c>
    </row>
    <row r="1526" spans="1:1" x14ac:dyDescent="0.25">
      <c r="A1526" t="s">
        <v>91</v>
      </c>
    </row>
    <row r="1527" spans="1:1" x14ac:dyDescent="0.25">
      <c r="A1527" t="s">
        <v>92</v>
      </c>
    </row>
    <row r="1528" spans="1:1" x14ac:dyDescent="0.25">
      <c r="A1528" t="s">
        <v>93</v>
      </c>
    </row>
    <row r="1529" spans="1:1" x14ac:dyDescent="0.25">
      <c r="A1529" t="s">
        <v>248</v>
      </c>
    </row>
    <row r="1532" spans="1:1" x14ac:dyDescent="0.25">
      <c r="A1532" t="s">
        <v>359</v>
      </c>
    </row>
    <row r="1533" spans="1:1" x14ac:dyDescent="0.25">
      <c r="A1533" t="s">
        <v>360</v>
      </c>
    </row>
    <row r="1534" spans="1:1" x14ac:dyDescent="0.25">
      <c r="A1534" t="s">
        <v>361</v>
      </c>
    </row>
    <row r="1535" spans="1:1" x14ac:dyDescent="0.25">
      <c r="A1535" t="s">
        <v>134</v>
      </c>
    </row>
    <row r="1536" spans="1:1" x14ac:dyDescent="0.25">
      <c r="A1536" t="s">
        <v>84</v>
      </c>
    </row>
    <row r="1537" spans="1:1" x14ac:dyDescent="0.25">
      <c r="A1537" t="s">
        <v>85</v>
      </c>
    </row>
    <row r="1538" spans="1:1" x14ac:dyDescent="0.25">
      <c r="A1538" t="s">
        <v>86</v>
      </c>
    </row>
    <row r="1539" spans="1:1" x14ac:dyDescent="0.25">
      <c r="A1539" t="s">
        <v>87</v>
      </c>
    </row>
    <row r="1540" spans="1:1" x14ac:dyDescent="0.25">
      <c r="A1540" t="s">
        <v>88</v>
      </c>
    </row>
    <row r="1541" spans="1:1" x14ac:dyDescent="0.25">
      <c r="A1541" t="s">
        <v>89</v>
      </c>
    </row>
    <row r="1542" spans="1:1" x14ac:dyDescent="0.25">
      <c r="A1542" t="s">
        <v>104</v>
      </c>
    </row>
    <row r="1543" spans="1:1" x14ac:dyDescent="0.25">
      <c r="A1543" t="s">
        <v>91</v>
      </c>
    </row>
    <row r="1544" spans="1:1" x14ac:dyDescent="0.25">
      <c r="A1544" t="s">
        <v>92</v>
      </c>
    </row>
    <row r="1545" spans="1:1" x14ac:dyDescent="0.25">
      <c r="A1545" t="s">
        <v>93</v>
      </c>
    </row>
    <row r="1546" spans="1:1" x14ac:dyDescent="0.25">
      <c r="A1546" t="s">
        <v>284</v>
      </c>
    </row>
    <row r="1549" spans="1:1" x14ac:dyDescent="0.25">
      <c r="A1549" t="s">
        <v>362</v>
      </c>
    </row>
    <row r="1550" spans="1:1" x14ac:dyDescent="0.25">
      <c r="A1550" t="s">
        <v>363</v>
      </c>
    </row>
    <row r="1551" spans="1:1" x14ac:dyDescent="0.25">
      <c r="A1551" t="s">
        <v>364</v>
      </c>
    </row>
    <row r="1552" spans="1:1" x14ac:dyDescent="0.25">
      <c r="A1552" t="s">
        <v>134</v>
      </c>
    </row>
    <row r="1553" spans="1:1" x14ac:dyDescent="0.25">
      <c r="A1553" t="s">
        <v>84</v>
      </c>
    </row>
    <row r="1554" spans="1:1" x14ac:dyDescent="0.25">
      <c r="A1554" t="s">
        <v>85</v>
      </c>
    </row>
    <row r="1555" spans="1:1" x14ac:dyDescent="0.25">
      <c r="A1555" t="s">
        <v>86</v>
      </c>
    </row>
    <row r="1556" spans="1:1" x14ac:dyDescent="0.25">
      <c r="A1556" t="s">
        <v>87</v>
      </c>
    </row>
    <row r="1557" spans="1:1" x14ac:dyDescent="0.25">
      <c r="A1557" t="s">
        <v>88</v>
      </c>
    </row>
    <row r="1558" spans="1:1" x14ac:dyDescent="0.25">
      <c r="A1558" t="s">
        <v>365</v>
      </c>
    </row>
    <row r="1559" spans="1:1" x14ac:dyDescent="0.25">
      <c r="A1559" t="s">
        <v>91</v>
      </c>
    </row>
    <row r="1560" spans="1:1" x14ac:dyDescent="0.25">
      <c r="A1560" t="s">
        <v>92</v>
      </c>
    </row>
    <row r="1561" spans="1:1" x14ac:dyDescent="0.25">
      <c r="A1561" t="s">
        <v>93</v>
      </c>
    </row>
    <row r="1562" spans="1:1" x14ac:dyDescent="0.25">
      <c r="A1562" t="s">
        <v>366</v>
      </c>
    </row>
    <row r="1565" spans="1:1" x14ac:dyDescent="0.25">
      <c r="A1565" t="s">
        <v>367</v>
      </c>
    </row>
    <row r="1566" spans="1:1" x14ac:dyDescent="0.25">
      <c r="A1566" t="s">
        <v>368</v>
      </c>
    </row>
    <row r="1567" spans="1:1" x14ac:dyDescent="0.25">
      <c r="A1567" t="s">
        <v>246</v>
      </c>
    </row>
    <row r="1568" spans="1:1" x14ac:dyDescent="0.25">
      <c r="A1568" t="s">
        <v>134</v>
      </c>
    </row>
    <row r="1569" spans="1:1" x14ac:dyDescent="0.25">
      <c r="A1569" t="s">
        <v>84</v>
      </c>
    </row>
    <row r="1570" spans="1:1" x14ac:dyDescent="0.25">
      <c r="A1570" t="s">
        <v>85</v>
      </c>
    </row>
    <row r="1576" spans="1:1" x14ac:dyDescent="0.25">
      <c r="A1576" t="s">
        <v>72</v>
      </c>
    </row>
    <row r="1577" spans="1:1" x14ac:dyDescent="0.25">
      <c r="A1577" t="s">
        <v>73</v>
      </c>
    </row>
    <row r="1578" spans="1:1" x14ac:dyDescent="0.25">
      <c r="A1578" t="s">
        <v>74</v>
      </c>
    </row>
    <row r="1579" spans="1:1" x14ac:dyDescent="0.25">
      <c r="A1579" t="s">
        <v>75</v>
      </c>
    </row>
    <row r="1580" spans="1:1" x14ac:dyDescent="0.25">
      <c r="A1580" t="s">
        <v>76</v>
      </c>
    </row>
    <row r="1581" spans="1:1" x14ac:dyDescent="0.25">
      <c r="A1581" t="s">
        <v>77</v>
      </c>
    </row>
    <row r="1582" spans="1:1" x14ac:dyDescent="0.25">
      <c r="A1582" t="s">
        <v>369</v>
      </c>
    </row>
    <row r="1583" spans="1:1" x14ac:dyDescent="0.25">
      <c r="A1583" t="s">
        <v>79</v>
      </c>
    </row>
    <row r="1584" spans="1:1" x14ac:dyDescent="0.25">
      <c r="A1584" t="s">
        <v>86</v>
      </c>
    </row>
    <row r="1585" spans="1:1" x14ac:dyDescent="0.25">
      <c r="A1585" t="s">
        <v>87</v>
      </c>
    </row>
    <row r="1586" spans="1:1" x14ac:dyDescent="0.25">
      <c r="A1586" t="s">
        <v>88</v>
      </c>
    </row>
    <row r="1587" spans="1:1" x14ac:dyDescent="0.25">
      <c r="A1587" t="s">
        <v>89</v>
      </c>
    </row>
    <row r="1588" spans="1:1" x14ac:dyDescent="0.25">
      <c r="A1588" t="s">
        <v>247</v>
      </c>
    </row>
    <row r="1589" spans="1:1" x14ac:dyDescent="0.25">
      <c r="A1589" t="s">
        <v>91</v>
      </c>
    </row>
    <row r="1590" spans="1:1" x14ac:dyDescent="0.25">
      <c r="A1590" t="s">
        <v>92</v>
      </c>
    </row>
    <row r="1591" spans="1:1" x14ac:dyDescent="0.25">
      <c r="A1591" t="s">
        <v>93</v>
      </c>
    </row>
    <row r="1592" spans="1:1" x14ac:dyDescent="0.25">
      <c r="A1592" t="s">
        <v>248</v>
      </c>
    </row>
    <row r="1595" spans="1:1" x14ac:dyDescent="0.25">
      <c r="A1595" t="s">
        <v>370</v>
      </c>
    </row>
    <row r="1596" spans="1:1" x14ac:dyDescent="0.25">
      <c r="A1596" t="s">
        <v>371</v>
      </c>
    </row>
    <row r="1597" spans="1:1" x14ac:dyDescent="0.25">
      <c r="A1597" t="s">
        <v>340</v>
      </c>
    </row>
    <row r="1598" spans="1:1" x14ac:dyDescent="0.25">
      <c r="A1598" t="s">
        <v>134</v>
      </c>
    </row>
    <row r="1599" spans="1:1" x14ac:dyDescent="0.25">
      <c r="A1599" t="s">
        <v>84</v>
      </c>
    </row>
    <row r="1600" spans="1:1" x14ac:dyDescent="0.25">
      <c r="A1600" t="s">
        <v>85</v>
      </c>
    </row>
    <row r="1601" spans="1:1" x14ac:dyDescent="0.25">
      <c r="A1601" t="s">
        <v>86</v>
      </c>
    </row>
    <row r="1602" spans="1:1" x14ac:dyDescent="0.25">
      <c r="A1602" t="s">
        <v>87</v>
      </c>
    </row>
    <row r="1603" spans="1:1" x14ac:dyDescent="0.25">
      <c r="A1603" t="s">
        <v>88</v>
      </c>
    </row>
    <row r="1604" spans="1:1" x14ac:dyDescent="0.25">
      <c r="A1604" t="s">
        <v>89</v>
      </c>
    </row>
    <row r="1605" spans="1:1" x14ac:dyDescent="0.25">
      <c r="A1605" t="s">
        <v>90</v>
      </c>
    </row>
    <row r="1606" spans="1:1" x14ac:dyDescent="0.25">
      <c r="A1606" t="s">
        <v>91</v>
      </c>
    </row>
    <row r="1607" spans="1:1" x14ac:dyDescent="0.25">
      <c r="A1607" t="s">
        <v>92</v>
      </c>
    </row>
    <row r="1608" spans="1:1" x14ac:dyDescent="0.25">
      <c r="A1608" t="s">
        <v>93</v>
      </c>
    </row>
    <row r="1609" spans="1:1" x14ac:dyDescent="0.25">
      <c r="A1609" t="s">
        <v>94</v>
      </c>
    </row>
    <row r="1612" spans="1:1" x14ac:dyDescent="0.25">
      <c r="A1612" t="s">
        <v>372</v>
      </c>
    </row>
    <row r="1613" spans="1:1" x14ac:dyDescent="0.25">
      <c r="A1613" t="s">
        <v>373</v>
      </c>
    </row>
    <row r="1614" spans="1:1" x14ac:dyDescent="0.25">
      <c r="A1614" t="s">
        <v>374</v>
      </c>
    </row>
    <row r="1615" spans="1:1" x14ac:dyDescent="0.25">
      <c r="A1615" t="s">
        <v>83</v>
      </c>
    </row>
    <row r="1616" spans="1:1" x14ac:dyDescent="0.25">
      <c r="A1616" t="s">
        <v>84</v>
      </c>
    </row>
    <row r="1617" spans="1:1" x14ac:dyDescent="0.25">
      <c r="A1617" t="s">
        <v>85</v>
      </c>
    </row>
    <row r="1618" spans="1:1" x14ac:dyDescent="0.25">
      <c r="A1618" t="s">
        <v>86</v>
      </c>
    </row>
    <row r="1619" spans="1:1" x14ac:dyDescent="0.25">
      <c r="A1619" t="s">
        <v>87</v>
      </c>
    </row>
    <row r="1620" spans="1:1" x14ac:dyDescent="0.25">
      <c r="A1620" t="s">
        <v>88</v>
      </c>
    </row>
    <row r="1621" spans="1:1" x14ac:dyDescent="0.25">
      <c r="A1621" t="s">
        <v>99</v>
      </c>
    </row>
    <row r="1622" spans="1:1" x14ac:dyDescent="0.25">
      <c r="A1622" t="s">
        <v>91</v>
      </c>
    </row>
    <row r="1623" spans="1:1" x14ac:dyDescent="0.25">
      <c r="A1623" t="s">
        <v>92</v>
      </c>
    </row>
    <row r="1624" spans="1:1" x14ac:dyDescent="0.25">
      <c r="A1624" t="s">
        <v>93</v>
      </c>
    </row>
    <row r="1625" spans="1:1" x14ac:dyDescent="0.25">
      <c r="A1625" t="s">
        <v>115</v>
      </c>
    </row>
    <row r="1628" spans="1:1" x14ac:dyDescent="0.25">
      <c r="A1628" t="s">
        <v>375</v>
      </c>
    </row>
    <row r="1629" spans="1:1" x14ac:dyDescent="0.25">
      <c r="A1629" t="s">
        <v>376</v>
      </c>
    </row>
    <row r="1630" spans="1:1" x14ac:dyDescent="0.25">
      <c r="A1630" t="s">
        <v>377</v>
      </c>
    </row>
    <row r="1631" spans="1:1" x14ac:dyDescent="0.25">
      <c r="A1631" t="s">
        <v>134</v>
      </c>
    </row>
    <row r="1632" spans="1:1" x14ac:dyDescent="0.25">
      <c r="A1632" t="s">
        <v>84</v>
      </c>
    </row>
    <row r="1633" spans="1:1" x14ac:dyDescent="0.25">
      <c r="A1633" t="s">
        <v>85</v>
      </c>
    </row>
    <row r="1639" spans="1:1" x14ac:dyDescent="0.25">
      <c r="A1639" t="s">
        <v>72</v>
      </c>
    </row>
    <row r="1640" spans="1:1" x14ac:dyDescent="0.25">
      <c r="A1640" t="s">
        <v>73</v>
      </c>
    </row>
    <row r="1641" spans="1:1" x14ac:dyDescent="0.25">
      <c r="A1641" t="s">
        <v>74</v>
      </c>
    </row>
    <row r="1642" spans="1:1" x14ac:dyDescent="0.25">
      <c r="A1642" t="s">
        <v>75</v>
      </c>
    </row>
    <row r="1643" spans="1:1" x14ac:dyDescent="0.25">
      <c r="A1643" t="s">
        <v>76</v>
      </c>
    </row>
    <row r="1644" spans="1:1" x14ac:dyDescent="0.25">
      <c r="A1644" t="s">
        <v>77</v>
      </c>
    </row>
    <row r="1645" spans="1:1" x14ac:dyDescent="0.25">
      <c r="A1645" t="s">
        <v>378</v>
      </c>
    </row>
    <row r="1646" spans="1:1" x14ac:dyDescent="0.25">
      <c r="A1646" t="s">
        <v>79</v>
      </c>
    </row>
    <row r="1647" spans="1:1" x14ac:dyDescent="0.25">
      <c r="A1647" t="s">
        <v>86</v>
      </c>
    </row>
    <row r="1648" spans="1:1" x14ac:dyDescent="0.25">
      <c r="A1648" t="s">
        <v>87</v>
      </c>
    </row>
    <row r="1649" spans="1:1" x14ac:dyDescent="0.25">
      <c r="A1649" t="s">
        <v>88</v>
      </c>
    </row>
    <row r="1650" spans="1:1" x14ac:dyDescent="0.25">
      <c r="A1650" t="s">
        <v>89</v>
      </c>
    </row>
    <row r="1651" spans="1:1" x14ac:dyDescent="0.25">
      <c r="A1651" t="s">
        <v>110</v>
      </c>
    </row>
    <row r="1652" spans="1:1" x14ac:dyDescent="0.25">
      <c r="A1652" t="s">
        <v>91</v>
      </c>
    </row>
    <row r="1653" spans="1:1" x14ac:dyDescent="0.25">
      <c r="A1653" t="s">
        <v>92</v>
      </c>
    </row>
    <row r="1654" spans="1:1" x14ac:dyDescent="0.25">
      <c r="A1654" t="s">
        <v>93</v>
      </c>
    </row>
    <row r="1655" spans="1:1" x14ac:dyDescent="0.25">
      <c r="A1655" t="s">
        <v>111</v>
      </c>
    </row>
    <row r="1658" spans="1:1" x14ac:dyDescent="0.25">
      <c r="A1658" t="s">
        <v>379</v>
      </c>
    </row>
    <row r="1659" spans="1:1" x14ac:dyDescent="0.25">
      <c r="A1659" t="s">
        <v>380</v>
      </c>
    </row>
    <row r="1660" spans="1:1" x14ac:dyDescent="0.25">
      <c r="A1660" t="s">
        <v>199</v>
      </c>
    </row>
    <row r="1661" spans="1:1" x14ac:dyDescent="0.25">
      <c r="A1661" t="s">
        <v>83</v>
      </c>
    </row>
    <row r="1662" spans="1:1" x14ac:dyDescent="0.25">
      <c r="A1662" t="s">
        <v>84</v>
      </c>
    </row>
    <row r="1663" spans="1:1" x14ac:dyDescent="0.25">
      <c r="A1663" t="s">
        <v>85</v>
      </c>
    </row>
    <row r="1664" spans="1:1" x14ac:dyDescent="0.25">
      <c r="A1664" t="s">
        <v>86</v>
      </c>
    </row>
    <row r="1665" spans="1:1" x14ac:dyDescent="0.25">
      <c r="A1665" t="s">
        <v>87</v>
      </c>
    </row>
    <row r="1666" spans="1:1" x14ac:dyDescent="0.25">
      <c r="A1666" t="s">
        <v>88</v>
      </c>
    </row>
    <row r="1667" spans="1:1" x14ac:dyDescent="0.25">
      <c r="A1667" t="s">
        <v>89</v>
      </c>
    </row>
    <row r="1668" spans="1:1" x14ac:dyDescent="0.25">
      <c r="A1668" t="s">
        <v>110</v>
      </c>
    </row>
    <row r="1669" spans="1:1" x14ac:dyDescent="0.25">
      <c r="A1669" t="s">
        <v>91</v>
      </c>
    </row>
    <row r="1670" spans="1:1" x14ac:dyDescent="0.25">
      <c r="A1670" t="s">
        <v>92</v>
      </c>
    </row>
    <row r="1671" spans="1:1" x14ac:dyDescent="0.25">
      <c r="A1671" t="s">
        <v>93</v>
      </c>
    </row>
    <row r="1672" spans="1:1" x14ac:dyDescent="0.25">
      <c r="A1672" t="s">
        <v>111</v>
      </c>
    </row>
    <row r="1675" spans="1:1" x14ac:dyDescent="0.25">
      <c r="A1675" t="s">
        <v>381</v>
      </c>
    </row>
    <row r="1676" spans="1:1" x14ac:dyDescent="0.25">
      <c r="A1676" t="s">
        <v>382</v>
      </c>
    </row>
    <row r="1677" spans="1:1" x14ac:dyDescent="0.25">
      <c r="A1677" t="s">
        <v>383</v>
      </c>
    </row>
    <row r="1678" spans="1:1" x14ac:dyDescent="0.25">
      <c r="A1678" t="s">
        <v>83</v>
      </c>
    </row>
    <row r="1679" spans="1:1" x14ac:dyDescent="0.25">
      <c r="A1679" t="s">
        <v>84</v>
      </c>
    </row>
    <row r="1680" spans="1:1" x14ac:dyDescent="0.25">
      <c r="A1680" t="s">
        <v>85</v>
      </c>
    </row>
    <row r="1681" spans="1:1" x14ac:dyDescent="0.25">
      <c r="A1681" t="s">
        <v>86</v>
      </c>
    </row>
    <row r="1682" spans="1:1" x14ac:dyDescent="0.25">
      <c r="A1682" t="s">
        <v>87</v>
      </c>
    </row>
    <row r="1683" spans="1:1" x14ac:dyDescent="0.25">
      <c r="A1683" t="s">
        <v>88</v>
      </c>
    </row>
    <row r="1684" spans="1:1" x14ac:dyDescent="0.25">
      <c r="A1684" t="s">
        <v>89</v>
      </c>
    </row>
    <row r="1685" spans="1:1" x14ac:dyDescent="0.25">
      <c r="A1685" t="s">
        <v>384</v>
      </c>
    </row>
    <row r="1686" spans="1:1" x14ac:dyDescent="0.25">
      <c r="A1686" t="s">
        <v>91</v>
      </c>
    </row>
    <row r="1687" spans="1:1" x14ac:dyDescent="0.25">
      <c r="A1687" t="s">
        <v>92</v>
      </c>
    </row>
    <row r="1688" spans="1:1" x14ac:dyDescent="0.25">
      <c r="A1688" t="s">
        <v>93</v>
      </c>
    </row>
    <row r="1689" spans="1:1" x14ac:dyDescent="0.25">
      <c r="A1689" t="s">
        <v>385</v>
      </c>
    </row>
    <row r="1692" spans="1:1" x14ac:dyDescent="0.25">
      <c r="A1692" t="s">
        <v>386</v>
      </c>
    </row>
    <row r="1693" spans="1:1" x14ac:dyDescent="0.25">
      <c r="A1693" t="s">
        <v>387</v>
      </c>
    </row>
    <row r="1694" spans="1:1" x14ac:dyDescent="0.25">
      <c r="A1694" t="s">
        <v>388</v>
      </c>
    </row>
    <row r="1695" spans="1:1" x14ac:dyDescent="0.25">
      <c r="A1695" t="s">
        <v>134</v>
      </c>
    </row>
    <row r="1696" spans="1:1" x14ac:dyDescent="0.25">
      <c r="A1696" t="s">
        <v>84</v>
      </c>
    </row>
    <row r="1702" spans="1:1" x14ac:dyDescent="0.25">
      <c r="A1702" t="s">
        <v>72</v>
      </c>
    </row>
    <row r="1703" spans="1:1" x14ac:dyDescent="0.25">
      <c r="A1703" t="s">
        <v>73</v>
      </c>
    </row>
    <row r="1704" spans="1:1" x14ac:dyDescent="0.25">
      <c r="A1704" t="s">
        <v>74</v>
      </c>
    </row>
    <row r="1705" spans="1:1" x14ac:dyDescent="0.25">
      <c r="A1705" t="s">
        <v>75</v>
      </c>
    </row>
    <row r="1706" spans="1:1" x14ac:dyDescent="0.25">
      <c r="A1706" t="s">
        <v>76</v>
      </c>
    </row>
    <row r="1707" spans="1:1" x14ac:dyDescent="0.25">
      <c r="A1707" t="s">
        <v>77</v>
      </c>
    </row>
    <row r="1708" spans="1:1" x14ac:dyDescent="0.25">
      <c r="A1708" t="s">
        <v>389</v>
      </c>
    </row>
    <row r="1709" spans="1:1" x14ac:dyDescent="0.25">
      <c r="A1709" t="s">
        <v>79</v>
      </c>
    </row>
    <row r="1710" spans="1:1" x14ac:dyDescent="0.25">
      <c r="A1710" t="s">
        <v>85</v>
      </c>
    </row>
    <row r="1711" spans="1:1" x14ac:dyDescent="0.25">
      <c r="A1711" t="s">
        <v>86</v>
      </c>
    </row>
    <row r="1712" spans="1:1" x14ac:dyDescent="0.25">
      <c r="A1712" t="s">
        <v>87</v>
      </c>
    </row>
    <row r="1713" spans="1:1" x14ac:dyDescent="0.25">
      <c r="A1713" t="s">
        <v>88</v>
      </c>
    </row>
    <row r="1714" spans="1:1" x14ac:dyDescent="0.25">
      <c r="A1714" t="s">
        <v>89</v>
      </c>
    </row>
    <row r="1715" spans="1:1" x14ac:dyDescent="0.25">
      <c r="A1715" t="s">
        <v>98</v>
      </c>
    </row>
    <row r="1716" spans="1:1" x14ac:dyDescent="0.25">
      <c r="A1716" t="s">
        <v>104</v>
      </c>
    </row>
    <row r="1717" spans="1:1" x14ac:dyDescent="0.25">
      <c r="A1717" t="s">
        <v>91</v>
      </c>
    </row>
    <row r="1718" spans="1:1" x14ac:dyDescent="0.25">
      <c r="A1718" t="s">
        <v>92</v>
      </c>
    </row>
    <row r="1719" spans="1:1" x14ac:dyDescent="0.25">
      <c r="A1719" t="s">
        <v>93</v>
      </c>
    </row>
    <row r="1720" spans="1:1" x14ac:dyDescent="0.25">
      <c r="A1720" t="s">
        <v>106</v>
      </c>
    </row>
    <row r="1723" spans="1:1" x14ac:dyDescent="0.25">
      <c r="A1723" t="s">
        <v>390</v>
      </c>
    </row>
    <row r="1724" spans="1:1" x14ac:dyDescent="0.25">
      <c r="A1724" t="s">
        <v>391</v>
      </c>
    </row>
    <row r="1725" spans="1:1" x14ac:dyDescent="0.25">
      <c r="A1725" t="s">
        <v>199</v>
      </c>
    </row>
    <row r="1726" spans="1:1" x14ac:dyDescent="0.25">
      <c r="A1726" t="s">
        <v>83</v>
      </c>
    </row>
    <row r="1727" spans="1:1" x14ac:dyDescent="0.25">
      <c r="A1727" t="s">
        <v>84</v>
      </c>
    </row>
    <row r="1728" spans="1:1" x14ac:dyDescent="0.25">
      <c r="A1728" t="s">
        <v>85</v>
      </c>
    </row>
    <row r="1729" spans="1:1" x14ac:dyDescent="0.25">
      <c r="A1729" t="s">
        <v>86</v>
      </c>
    </row>
    <row r="1730" spans="1:1" x14ac:dyDescent="0.25">
      <c r="A1730" t="s">
        <v>87</v>
      </c>
    </row>
    <row r="1731" spans="1:1" x14ac:dyDescent="0.25">
      <c r="A1731" t="s">
        <v>88</v>
      </c>
    </row>
    <row r="1732" spans="1:1" x14ac:dyDescent="0.25">
      <c r="A1732" t="s">
        <v>89</v>
      </c>
    </row>
    <row r="1733" spans="1:1" x14ac:dyDescent="0.25">
      <c r="A1733" t="s">
        <v>110</v>
      </c>
    </row>
    <row r="1734" spans="1:1" x14ac:dyDescent="0.25">
      <c r="A1734" t="s">
        <v>91</v>
      </c>
    </row>
    <row r="1735" spans="1:1" x14ac:dyDescent="0.25">
      <c r="A1735" t="s">
        <v>92</v>
      </c>
    </row>
    <row r="1736" spans="1:1" x14ac:dyDescent="0.25">
      <c r="A1736" t="s">
        <v>93</v>
      </c>
    </row>
    <row r="1737" spans="1:1" x14ac:dyDescent="0.25">
      <c r="A1737" t="s">
        <v>111</v>
      </c>
    </row>
    <row r="1740" spans="1:1" x14ac:dyDescent="0.25">
      <c r="A1740" t="s">
        <v>392</v>
      </c>
    </row>
    <row r="1741" spans="1:1" x14ac:dyDescent="0.25">
      <c r="A1741" t="s">
        <v>393</v>
      </c>
    </row>
    <row r="1742" spans="1:1" x14ac:dyDescent="0.25">
      <c r="A1742" t="s">
        <v>394</v>
      </c>
    </row>
    <row r="1743" spans="1:1" x14ac:dyDescent="0.25">
      <c r="A1743" t="s">
        <v>83</v>
      </c>
    </row>
    <row r="1744" spans="1:1" x14ac:dyDescent="0.25">
      <c r="A1744" t="s">
        <v>84</v>
      </c>
    </row>
    <row r="1745" spans="1:1" x14ac:dyDescent="0.25">
      <c r="A1745" t="s">
        <v>85</v>
      </c>
    </row>
    <row r="1746" spans="1:1" x14ac:dyDescent="0.25">
      <c r="A1746" t="s">
        <v>86</v>
      </c>
    </row>
    <row r="1747" spans="1:1" x14ac:dyDescent="0.25">
      <c r="A1747" t="s">
        <v>87</v>
      </c>
    </row>
    <row r="1748" spans="1:1" x14ac:dyDescent="0.25">
      <c r="A1748" t="s">
        <v>88</v>
      </c>
    </row>
    <row r="1749" spans="1:1" x14ac:dyDescent="0.25">
      <c r="A1749" t="s">
        <v>89</v>
      </c>
    </row>
    <row r="1750" spans="1:1" x14ac:dyDescent="0.25">
      <c r="A1750" t="s">
        <v>110</v>
      </c>
    </row>
    <row r="1751" spans="1:1" x14ac:dyDescent="0.25">
      <c r="A1751" t="s">
        <v>91</v>
      </c>
    </row>
    <row r="1752" spans="1:1" x14ac:dyDescent="0.25">
      <c r="A1752" t="s">
        <v>92</v>
      </c>
    </row>
    <row r="1753" spans="1:1" x14ac:dyDescent="0.25">
      <c r="A1753" t="s">
        <v>93</v>
      </c>
    </row>
    <row r="1754" spans="1:1" x14ac:dyDescent="0.25">
      <c r="A1754" t="s">
        <v>111</v>
      </c>
    </row>
    <row r="1757" spans="1:1" x14ac:dyDescent="0.25">
      <c r="A1757" t="s">
        <v>395</v>
      </c>
    </row>
    <row r="1758" spans="1:1" x14ac:dyDescent="0.25">
      <c r="A1758" t="s">
        <v>396</v>
      </c>
    </row>
    <row r="1759" spans="1:1" x14ac:dyDescent="0.25">
      <c r="A1759" t="s">
        <v>397</v>
      </c>
    </row>
    <row r="1765" spans="1:1" x14ac:dyDescent="0.25">
      <c r="A1765" t="s">
        <v>72</v>
      </c>
    </row>
    <row r="1766" spans="1:1" x14ac:dyDescent="0.25">
      <c r="A1766" t="s">
        <v>73</v>
      </c>
    </row>
    <row r="1767" spans="1:1" x14ac:dyDescent="0.25">
      <c r="A1767" t="s">
        <v>74</v>
      </c>
    </row>
    <row r="1768" spans="1:1" x14ac:dyDescent="0.25">
      <c r="A1768" t="s">
        <v>75</v>
      </c>
    </row>
    <row r="1769" spans="1:1" x14ac:dyDescent="0.25">
      <c r="A1769" t="s">
        <v>76</v>
      </c>
    </row>
    <row r="1770" spans="1:1" x14ac:dyDescent="0.25">
      <c r="A1770" t="s">
        <v>77</v>
      </c>
    </row>
    <row r="1771" spans="1:1" x14ac:dyDescent="0.25">
      <c r="A1771" t="s">
        <v>398</v>
      </c>
    </row>
    <row r="1772" spans="1:1" x14ac:dyDescent="0.25">
      <c r="A1772" t="s">
        <v>79</v>
      </c>
    </row>
    <row r="1773" spans="1:1" x14ac:dyDescent="0.25">
      <c r="A1773" t="s">
        <v>134</v>
      </c>
    </row>
    <row r="1774" spans="1:1" x14ac:dyDescent="0.25">
      <c r="A1774" t="s">
        <v>84</v>
      </c>
    </row>
    <row r="1775" spans="1:1" x14ac:dyDescent="0.25">
      <c r="A1775" t="s">
        <v>85</v>
      </c>
    </row>
    <row r="1776" spans="1:1" x14ac:dyDescent="0.25">
      <c r="A1776" t="s">
        <v>86</v>
      </c>
    </row>
    <row r="1777" spans="1:1" x14ac:dyDescent="0.25">
      <c r="A1777" t="s">
        <v>87</v>
      </c>
    </row>
    <row r="1778" spans="1:1" x14ac:dyDescent="0.25">
      <c r="A1778" t="s">
        <v>88</v>
      </c>
    </row>
    <row r="1779" spans="1:1" x14ac:dyDescent="0.25">
      <c r="A1779" t="s">
        <v>89</v>
      </c>
    </row>
    <row r="1780" spans="1:1" x14ac:dyDescent="0.25">
      <c r="A1780" t="s">
        <v>104</v>
      </c>
    </row>
    <row r="1781" spans="1:1" x14ac:dyDescent="0.25">
      <c r="A1781" t="s">
        <v>91</v>
      </c>
    </row>
    <row r="1782" spans="1:1" x14ac:dyDescent="0.25">
      <c r="A1782" t="s">
        <v>92</v>
      </c>
    </row>
    <row r="1783" spans="1:1" x14ac:dyDescent="0.25">
      <c r="A1783" t="s">
        <v>93</v>
      </c>
    </row>
    <row r="1784" spans="1:1" x14ac:dyDescent="0.25">
      <c r="A1784" t="s">
        <v>284</v>
      </c>
    </row>
    <row r="1787" spans="1:1" x14ac:dyDescent="0.25">
      <c r="A1787" t="s">
        <v>399</v>
      </c>
    </row>
    <row r="1788" spans="1:1" x14ac:dyDescent="0.25">
      <c r="A1788" t="s">
        <v>400</v>
      </c>
    </row>
    <row r="1789" spans="1:1" x14ac:dyDescent="0.25">
      <c r="A1789" t="s">
        <v>231</v>
      </c>
    </row>
    <row r="1790" spans="1:1" x14ac:dyDescent="0.25">
      <c r="A1790" t="s">
        <v>83</v>
      </c>
    </row>
    <row r="1791" spans="1:1" x14ac:dyDescent="0.25">
      <c r="A1791" t="s">
        <v>84</v>
      </c>
    </row>
    <row r="1792" spans="1:1" x14ac:dyDescent="0.25">
      <c r="A1792" t="s">
        <v>85</v>
      </c>
    </row>
    <row r="1793" spans="1:1" x14ac:dyDescent="0.25">
      <c r="A1793" t="s">
        <v>86</v>
      </c>
    </row>
    <row r="1794" spans="1:1" x14ac:dyDescent="0.25">
      <c r="A1794" t="s">
        <v>87</v>
      </c>
    </row>
    <row r="1795" spans="1:1" x14ac:dyDescent="0.25">
      <c r="A1795" t="s">
        <v>88</v>
      </c>
    </row>
    <row r="1796" spans="1:1" x14ac:dyDescent="0.25">
      <c r="A1796" t="s">
        <v>89</v>
      </c>
    </row>
    <row r="1797" spans="1:1" x14ac:dyDescent="0.25">
      <c r="A1797" t="s">
        <v>90</v>
      </c>
    </row>
    <row r="1798" spans="1:1" x14ac:dyDescent="0.25">
      <c r="A1798" t="s">
        <v>91</v>
      </c>
    </row>
    <row r="1799" spans="1:1" x14ac:dyDescent="0.25">
      <c r="A1799" t="s">
        <v>92</v>
      </c>
    </row>
    <row r="1800" spans="1:1" x14ac:dyDescent="0.25">
      <c r="A1800" t="s">
        <v>93</v>
      </c>
    </row>
    <row r="1801" spans="1:1" x14ac:dyDescent="0.25">
      <c r="A1801" t="s">
        <v>94</v>
      </c>
    </row>
    <row r="1804" spans="1:1" x14ac:dyDescent="0.25">
      <c r="A1804" t="s">
        <v>401</v>
      </c>
    </row>
    <row r="1805" spans="1:1" x14ac:dyDescent="0.25">
      <c r="A1805" t="s">
        <v>402</v>
      </c>
    </row>
    <row r="1806" spans="1:1" x14ac:dyDescent="0.25">
      <c r="A1806" t="s">
        <v>403</v>
      </c>
    </row>
    <row r="1807" spans="1:1" x14ac:dyDescent="0.25">
      <c r="A1807" t="s">
        <v>83</v>
      </c>
    </row>
    <row r="1808" spans="1:1" x14ac:dyDescent="0.25">
      <c r="A1808" t="s">
        <v>84</v>
      </c>
    </row>
    <row r="1809" spans="1:1" x14ac:dyDescent="0.25">
      <c r="A1809" t="s">
        <v>85</v>
      </c>
    </row>
    <row r="1810" spans="1:1" x14ac:dyDescent="0.25">
      <c r="A1810" t="s">
        <v>86</v>
      </c>
    </row>
    <row r="1811" spans="1:1" x14ac:dyDescent="0.25">
      <c r="A1811" t="s">
        <v>87</v>
      </c>
    </row>
    <row r="1812" spans="1:1" x14ac:dyDescent="0.25">
      <c r="A1812" t="s">
        <v>88</v>
      </c>
    </row>
    <row r="1813" spans="1:1" x14ac:dyDescent="0.25">
      <c r="A1813" t="s">
        <v>289</v>
      </c>
    </row>
    <row r="1814" spans="1:1" x14ac:dyDescent="0.25">
      <c r="A1814" t="s">
        <v>91</v>
      </c>
    </row>
    <row r="1815" spans="1:1" x14ac:dyDescent="0.25">
      <c r="A1815" t="s">
        <v>92</v>
      </c>
    </row>
    <row r="1816" spans="1:1" x14ac:dyDescent="0.25">
      <c r="A1816" t="s">
        <v>93</v>
      </c>
    </row>
    <row r="1817" spans="1:1" x14ac:dyDescent="0.25">
      <c r="A1817" t="s">
        <v>175</v>
      </c>
    </row>
    <row r="1818" spans="1:1" x14ac:dyDescent="0.25">
      <c r="A1818" t="s">
        <v>404</v>
      </c>
    </row>
    <row r="1821" spans="1:1" x14ac:dyDescent="0.25">
      <c r="A1821" t="s">
        <v>405</v>
      </c>
    </row>
    <row r="1822" spans="1:1" x14ac:dyDescent="0.25">
      <c r="A1822" t="s">
        <v>406</v>
      </c>
    </row>
    <row r="1828" spans="1:1" x14ac:dyDescent="0.25">
      <c r="A1828" t="s">
        <v>72</v>
      </c>
    </row>
    <row r="1829" spans="1:1" x14ac:dyDescent="0.25">
      <c r="A1829" t="s">
        <v>73</v>
      </c>
    </row>
    <row r="1830" spans="1:1" x14ac:dyDescent="0.25">
      <c r="A1830" t="s">
        <v>74</v>
      </c>
    </row>
    <row r="1831" spans="1:1" x14ac:dyDescent="0.25">
      <c r="A1831" t="s">
        <v>75</v>
      </c>
    </row>
    <row r="1832" spans="1:1" x14ac:dyDescent="0.25">
      <c r="A1832" t="s">
        <v>76</v>
      </c>
    </row>
    <row r="1833" spans="1:1" x14ac:dyDescent="0.25">
      <c r="A1833" t="s">
        <v>77</v>
      </c>
    </row>
    <row r="1834" spans="1:1" x14ac:dyDescent="0.25">
      <c r="A1834" t="s">
        <v>407</v>
      </c>
    </row>
    <row r="1835" spans="1:1" x14ac:dyDescent="0.25">
      <c r="A1835" t="s">
        <v>79</v>
      </c>
    </row>
    <row r="1836" spans="1:1" x14ac:dyDescent="0.25">
      <c r="A1836" t="s">
        <v>408</v>
      </c>
    </row>
    <row r="1837" spans="1:1" x14ac:dyDescent="0.25">
      <c r="A1837" t="s">
        <v>134</v>
      </c>
    </row>
    <row r="1838" spans="1:1" x14ac:dyDescent="0.25">
      <c r="A1838" t="s">
        <v>84</v>
      </c>
    </row>
    <row r="1839" spans="1:1" x14ac:dyDescent="0.25">
      <c r="A1839" t="s">
        <v>85</v>
      </c>
    </row>
    <row r="1840" spans="1:1" x14ac:dyDescent="0.25">
      <c r="A1840" t="s">
        <v>86</v>
      </c>
    </row>
    <row r="1841" spans="1:1" x14ac:dyDescent="0.25">
      <c r="A1841" t="s">
        <v>87</v>
      </c>
    </row>
    <row r="1842" spans="1:1" x14ac:dyDescent="0.25">
      <c r="A1842" t="s">
        <v>88</v>
      </c>
    </row>
    <row r="1843" spans="1:1" x14ac:dyDescent="0.25">
      <c r="A1843" t="s">
        <v>365</v>
      </c>
    </row>
    <row r="1844" spans="1:1" x14ac:dyDescent="0.25">
      <c r="A1844" t="s">
        <v>91</v>
      </c>
    </row>
    <row r="1845" spans="1:1" x14ac:dyDescent="0.25">
      <c r="A1845" t="s">
        <v>92</v>
      </c>
    </row>
    <row r="1846" spans="1:1" x14ac:dyDescent="0.25">
      <c r="A1846" t="s">
        <v>93</v>
      </c>
    </row>
    <row r="1847" spans="1:1" x14ac:dyDescent="0.25">
      <c r="A1847" t="s">
        <v>366</v>
      </c>
    </row>
    <row r="1850" spans="1:1" x14ac:dyDescent="0.25">
      <c r="A1850" t="s">
        <v>409</v>
      </c>
    </row>
    <row r="1851" spans="1:1" x14ac:dyDescent="0.25">
      <c r="A1851" t="s">
        <v>410</v>
      </c>
    </row>
    <row r="1852" spans="1:1" x14ac:dyDescent="0.25">
      <c r="A1852" t="s">
        <v>234</v>
      </c>
    </row>
    <row r="1853" spans="1:1" x14ac:dyDescent="0.25">
      <c r="A1853" t="s">
        <v>134</v>
      </c>
    </row>
    <row r="1854" spans="1:1" x14ac:dyDescent="0.25">
      <c r="A1854" t="s">
        <v>84</v>
      </c>
    </row>
    <row r="1855" spans="1:1" x14ac:dyDescent="0.25">
      <c r="A1855" t="s">
        <v>85</v>
      </c>
    </row>
    <row r="1856" spans="1:1" x14ac:dyDescent="0.25">
      <c r="A1856" t="s">
        <v>86</v>
      </c>
    </row>
    <row r="1857" spans="1:1" x14ac:dyDescent="0.25">
      <c r="A1857" t="s">
        <v>87</v>
      </c>
    </row>
    <row r="1858" spans="1:1" x14ac:dyDescent="0.25">
      <c r="A1858" t="s">
        <v>88</v>
      </c>
    </row>
    <row r="1859" spans="1:1" x14ac:dyDescent="0.25">
      <c r="A1859" t="s">
        <v>289</v>
      </c>
    </row>
    <row r="1860" spans="1:1" x14ac:dyDescent="0.25">
      <c r="A1860" t="s">
        <v>98</v>
      </c>
    </row>
    <row r="1861" spans="1:1" x14ac:dyDescent="0.25">
      <c r="A1861" t="s">
        <v>365</v>
      </c>
    </row>
    <row r="1862" spans="1:1" x14ac:dyDescent="0.25">
      <c r="A1862" t="s">
        <v>91</v>
      </c>
    </row>
    <row r="1863" spans="1:1" x14ac:dyDescent="0.25">
      <c r="A1863" t="s">
        <v>92</v>
      </c>
    </row>
    <row r="1864" spans="1:1" x14ac:dyDescent="0.25">
      <c r="A1864" t="s">
        <v>93</v>
      </c>
    </row>
    <row r="1865" spans="1:1" x14ac:dyDescent="0.25">
      <c r="A1865" t="s">
        <v>411</v>
      </c>
    </row>
    <row r="1866" spans="1:1" x14ac:dyDescent="0.25">
      <c r="A1866" t="s">
        <v>412</v>
      </c>
    </row>
    <row r="1869" spans="1:1" x14ac:dyDescent="0.25">
      <c r="A1869" t="s">
        <v>413</v>
      </c>
    </row>
    <row r="1870" spans="1:1" x14ac:dyDescent="0.25">
      <c r="A1870" t="s">
        <v>414</v>
      </c>
    </row>
    <row r="1871" spans="1:1" x14ac:dyDescent="0.25">
      <c r="A1871" t="s">
        <v>415</v>
      </c>
    </row>
    <row r="1872" spans="1:1" x14ac:dyDescent="0.25">
      <c r="A1872" t="s">
        <v>83</v>
      </c>
    </row>
    <row r="1873" spans="1:1" x14ac:dyDescent="0.25">
      <c r="A1873" t="s">
        <v>84</v>
      </c>
    </row>
    <row r="1874" spans="1:1" x14ac:dyDescent="0.25">
      <c r="A1874" t="s">
        <v>85</v>
      </c>
    </row>
    <row r="1875" spans="1:1" x14ac:dyDescent="0.25">
      <c r="A1875" t="s">
        <v>86</v>
      </c>
    </row>
    <row r="1876" spans="1:1" x14ac:dyDescent="0.25">
      <c r="A1876" t="s">
        <v>87</v>
      </c>
    </row>
    <row r="1877" spans="1:1" x14ac:dyDescent="0.25">
      <c r="A1877" t="s">
        <v>88</v>
      </c>
    </row>
    <row r="1878" spans="1:1" x14ac:dyDescent="0.25">
      <c r="A1878" t="s">
        <v>89</v>
      </c>
    </row>
    <row r="1879" spans="1:1" x14ac:dyDescent="0.25">
      <c r="A1879" t="s">
        <v>90</v>
      </c>
    </row>
    <row r="1880" spans="1:1" x14ac:dyDescent="0.25">
      <c r="A1880" t="s">
        <v>91</v>
      </c>
    </row>
    <row r="1881" spans="1:1" x14ac:dyDescent="0.25">
      <c r="A1881" t="s">
        <v>92</v>
      </c>
    </row>
    <row r="1882" spans="1:1" x14ac:dyDescent="0.25">
      <c r="A1882" t="s">
        <v>93</v>
      </c>
    </row>
    <row r="1883" spans="1:1" x14ac:dyDescent="0.25">
      <c r="A1883" t="s">
        <v>94</v>
      </c>
    </row>
    <row r="1891" spans="1:1" x14ac:dyDescent="0.25">
      <c r="A1891" t="s">
        <v>72</v>
      </c>
    </row>
    <row r="1892" spans="1:1" x14ac:dyDescent="0.25">
      <c r="A1892" t="s">
        <v>73</v>
      </c>
    </row>
    <row r="1893" spans="1:1" x14ac:dyDescent="0.25">
      <c r="A1893" t="s">
        <v>74</v>
      </c>
    </row>
    <row r="1894" spans="1:1" x14ac:dyDescent="0.25">
      <c r="A1894" t="s">
        <v>75</v>
      </c>
    </row>
    <row r="1895" spans="1:1" x14ac:dyDescent="0.25">
      <c r="A1895" t="s">
        <v>76</v>
      </c>
    </row>
    <row r="1896" spans="1:1" x14ac:dyDescent="0.25">
      <c r="A1896" t="s">
        <v>77</v>
      </c>
    </row>
    <row r="1897" spans="1:1" x14ac:dyDescent="0.25">
      <c r="A1897" t="s">
        <v>416</v>
      </c>
    </row>
    <row r="1898" spans="1:1" x14ac:dyDescent="0.25">
      <c r="A1898" t="s">
        <v>79</v>
      </c>
    </row>
    <row r="1899" spans="1:1" x14ac:dyDescent="0.25">
      <c r="A1899" t="s">
        <v>417</v>
      </c>
    </row>
    <row r="1900" spans="1:1" x14ac:dyDescent="0.25">
      <c r="A1900" t="s">
        <v>418</v>
      </c>
    </row>
    <row r="1901" spans="1:1" x14ac:dyDescent="0.25">
      <c r="A1901" t="s">
        <v>122</v>
      </c>
    </row>
    <row r="1902" spans="1:1" x14ac:dyDescent="0.25">
      <c r="A1902" t="s">
        <v>83</v>
      </c>
    </row>
    <row r="1903" spans="1:1" x14ac:dyDescent="0.25">
      <c r="A1903" t="s">
        <v>84</v>
      </c>
    </row>
    <row r="1904" spans="1:1" x14ac:dyDescent="0.25">
      <c r="A1904" t="s">
        <v>85</v>
      </c>
    </row>
    <row r="1905" spans="1:1" x14ac:dyDescent="0.25">
      <c r="A1905" t="s">
        <v>86</v>
      </c>
    </row>
    <row r="1906" spans="1:1" x14ac:dyDescent="0.25">
      <c r="A1906" t="s">
        <v>87</v>
      </c>
    </row>
    <row r="1907" spans="1:1" x14ac:dyDescent="0.25">
      <c r="A1907" t="s">
        <v>88</v>
      </c>
    </row>
    <row r="1908" spans="1:1" x14ac:dyDescent="0.25">
      <c r="A1908" t="s">
        <v>89</v>
      </c>
    </row>
    <row r="1909" spans="1:1" x14ac:dyDescent="0.25">
      <c r="A1909" t="s">
        <v>419</v>
      </c>
    </row>
    <row r="1910" spans="1:1" x14ac:dyDescent="0.25">
      <c r="A1910" t="s">
        <v>91</v>
      </c>
    </row>
    <row r="1911" spans="1:1" x14ac:dyDescent="0.25">
      <c r="A1911" t="s">
        <v>92</v>
      </c>
    </row>
    <row r="1912" spans="1:1" x14ac:dyDescent="0.25">
      <c r="A1912" t="s">
        <v>93</v>
      </c>
    </row>
    <row r="1913" spans="1:1" x14ac:dyDescent="0.25">
      <c r="A1913" t="s">
        <v>124</v>
      </c>
    </row>
    <row r="1914" spans="1:1" x14ac:dyDescent="0.25">
      <c r="A1914" t="s">
        <v>420</v>
      </c>
    </row>
    <row r="1917" spans="1:1" x14ac:dyDescent="0.25">
      <c r="A1917" t="s">
        <v>421</v>
      </c>
    </row>
    <row r="1918" spans="1:1" x14ac:dyDescent="0.25">
      <c r="A1918" t="s">
        <v>422</v>
      </c>
    </row>
    <row r="1919" spans="1:1" x14ac:dyDescent="0.25">
      <c r="A1919" t="s">
        <v>423</v>
      </c>
    </row>
    <row r="1920" spans="1:1" x14ac:dyDescent="0.25">
      <c r="A1920" t="s">
        <v>83</v>
      </c>
    </row>
    <row r="1921" spans="1:1" x14ac:dyDescent="0.25">
      <c r="A1921" t="s">
        <v>84</v>
      </c>
    </row>
    <row r="1922" spans="1:1" x14ac:dyDescent="0.25">
      <c r="A1922" t="s">
        <v>85</v>
      </c>
    </row>
    <row r="1923" spans="1:1" x14ac:dyDescent="0.25">
      <c r="A1923" t="s">
        <v>86</v>
      </c>
    </row>
    <row r="1924" spans="1:1" x14ac:dyDescent="0.25">
      <c r="A1924" t="s">
        <v>87</v>
      </c>
    </row>
    <row r="1925" spans="1:1" x14ac:dyDescent="0.25">
      <c r="A1925" t="s">
        <v>88</v>
      </c>
    </row>
    <row r="1926" spans="1:1" x14ac:dyDescent="0.25">
      <c r="A1926" t="s">
        <v>89</v>
      </c>
    </row>
    <row r="1927" spans="1:1" x14ac:dyDescent="0.25">
      <c r="A1927" t="s">
        <v>424</v>
      </c>
    </row>
    <row r="1928" spans="1:1" x14ac:dyDescent="0.25">
      <c r="A1928" t="s">
        <v>104</v>
      </c>
    </row>
    <row r="1929" spans="1:1" x14ac:dyDescent="0.25">
      <c r="A1929" t="s">
        <v>91</v>
      </c>
    </row>
    <row r="1930" spans="1:1" x14ac:dyDescent="0.25">
      <c r="A1930" t="s">
        <v>92</v>
      </c>
    </row>
    <row r="1931" spans="1:1" x14ac:dyDescent="0.25">
      <c r="A1931" t="s">
        <v>93</v>
      </c>
    </row>
    <row r="1932" spans="1:1" x14ac:dyDescent="0.25">
      <c r="A1932" t="s">
        <v>425</v>
      </c>
    </row>
    <row r="1935" spans="1:1" x14ac:dyDescent="0.25">
      <c r="A1935" t="s">
        <v>426</v>
      </c>
    </row>
    <row r="1936" spans="1:1" x14ac:dyDescent="0.25">
      <c r="A1936" t="s">
        <v>427</v>
      </c>
    </row>
    <row r="1937" spans="1:1" x14ac:dyDescent="0.25">
      <c r="A1937" t="s">
        <v>428</v>
      </c>
    </row>
    <row r="1938" spans="1:1" x14ac:dyDescent="0.25">
      <c r="A1938" t="s">
        <v>83</v>
      </c>
    </row>
    <row r="1939" spans="1:1" x14ac:dyDescent="0.25">
      <c r="A1939" t="s">
        <v>84</v>
      </c>
    </row>
    <row r="1940" spans="1:1" x14ac:dyDescent="0.25">
      <c r="A1940" t="s">
        <v>85</v>
      </c>
    </row>
    <row r="1941" spans="1:1" x14ac:dyDescent="0.25">
      <c r="A1941" t="s">
        <v>86</v>
      </c>
    </row>
    <row r="1942" spans="1:1" x14ac:dyDescent="0.25">
      <c r="A1942" t="s">
        <v>87</v>
      </c>
    </row>
    <row r="1943" spans="1:1" x14ac:dyDescent="0.25">
      <c r="A1943" t="s">
        <v>88</v>
      </c>
    </row>
    <row r="1944" spans="1:1" x14ac:dyDescent="0.25">
      <c r="A1944" t="s">
        <v>89</v>
      </c>
    </row>
    <row r="1945" spans="1:1" x14ac:dyDescent="0.25">
      <c r="A1945" t="s">
        <v>104</v>
      </c>
    </row>
    <row r="1946" spans="1:1" x14ac:dyDescent="0.25">
      <c r="A1946" t="s">
        <v>91</v>
      </c>
    </row>
    <row r="1947" spans="1:1" x14ac:dyDescent="0.25">
      <c r="A1947" t="s">
        <v>92</v>
      </c>
    </row>
    <row r="1953" spans="1:1" x14ac:dyDescent="0.25">
      <c r="A1953" t="s">
        <v>72</v>
      </c>
    </row>
    <row r="1954" spans="1:1" x14ac:dyDescent="0.25">
      <c r="A1954" t="s">
        <v>73</v>
      </c>
    </row>
    <row r="1955" spans="1:1" x14ac:dyDescent="0.25">
      <c r="A1955" t="s">
        <v>74</v>
      </c>
    </row>
    <row r="1956" spans="1:1" x14ac:dyDescent="0.25">
      <c r="A1956" t="s">
        <v>75</v>
      </c>
    </row>
    <row r="1957" spans="1:1" x14ac:dyDescent="0.25">
      <c r="A1957" t="s">
        <v>76</v>
      </c>
    </row>
    <row r="1958" spans="1:1" x14ac:dyDescent="0.25">
      <c r="A1958" t="s">
        <v>77</v>
      </c>
    </row>
    <row r="1959" spans="1:1" x14ac:dyDescent="0.25">
      <c r="A1959" t="s">
        <v>429</v>
      </c>
    </row>
    <row r="1960" spans="1:1" x14ac:dyDescent="0.25">
      <c r="A1960" t="s">
        <v>79</v>
      </c>
    </row>
    <row r="1961" spans="1:1" x14ac:dyDescent="0.25">
      <c r="A1961" t="s">
        <v>93</v>
      </c>
    </row>
    <row r="1962" spans="1:1" x14ac:dyDescent="0.25">
      <c r="A1962" t="s">
        <v>284</v>
      </c>
    </row>
    <row r="1965" spans="1:1" x14ac:dyDescent="0.25">
      <c r="A1965" t="s">
        <v>430</v>
      </c>
    </row>
    <row r="1966" spans="1:1" x14ac:dyDescent="0.25">
      <c r="A1966" t="s">
        <v>431</v>
      </c>
    </row>
    <row r="1967" spans="1:1" x14ac:dyDescent="0.25">
      <c r="A1967" t="s">
        <v>432</v>
      </c>
    </row>
    <row r="1968" spans="1:1" x14ac:dyDescent="0.25">
      <c r="A1968" t="s">
        <v>134</v>
      </c>
    </row>
    <row r="1969" spans="1:1" x14ac:dyDescent="0.25">
      <c r="A1969" t="s">
        <v>84</v>
      </c>
    </row>
    <row r="1970" spans="1:1" x14ac:dyDescent="0.25">
      <c r="A1970" t="s">
        <v>85</v>
      </c>
    </row>
    <row r="1971" spans="1:1" x14ac:dyDescent="0.25">
      <c r="A1971" t="s">
        <v>86</v>
      </c>
    </row>
    <row r="1972" spans="1:1" x14ac:dyDescent="0.25">
      <c r="A1972" t="s">
        <v>87</v>
      </c>
    </row>
    <row r="1973" spans="1:1" x14ac:dyDescent="0.25">
      <c r="A1973" t="s">
        <v>88</v>
      </c>
    </row>
    <row r="1974" spans="1:1" x14ac:dyDescent="0.25">
      <c r="A1974" t="s">
        <v>89</v>
      </c>
    </row>
    <row r="1975" spans="1:1" x14ac:dyDescent="0.25">
      <c r="A1975" t="s">
        <v>211</v>
      </c>
    </row>
    <row r="1976" spans="1:1" x14ac:dyDescent="0.25">
      <c r="A1976" t="s">
        <v>90</v>
      </c>
    </row>
    <row r="1977" spans="1:1" x14ac:dyDescent="0.25">
      <c r="A1977" t="s">
        <v>91</v>
      </c>
    </row>
    <row r="1978" spans="1:1" x14ac:dyDescent="0.25">
      <c r="A1978" t="s">
        <v>92</v>
      </c>
    </row>
    <row r="1979" spans="1:1" x14ac:dyDescent="0.25">
      <c r="A1979" t="s">
        <v>93</v>
      </c>
    </row>
    <row r="1980" spans="1:1" x14ac:dyDescent="0.25">
      <c r="A1980" t="s">
        <v>212</v>
      </c>
    </row>
    <row r="1983" spans="1:1" x14ac:dyDescent="0.25">
      <c r="A1983" t="s">
        <v>433</v>
      </c>
    </row>
    <row r="1984" spans="1:1" x14ac:dyDescent="0.25">
      <c r="A1984" t="s">
        <v>434</v>
      </c>
    </row>
    <row r="1985" spans="1:1" x14ac:dyDescent="0.25">
      <c r="A1985" t="s">
        <v>435</v>
      </c>
    </row>
    <row r="1986" spans="1:1" x14ac:dyDescent="0.25">
      <c r="A1986" t="s">
        <v>83</v>
      </c>
    </row>
    <row r="1987" spans="1:1" x14ac:dyDescent="0.25">
      <c r="A1987" t="s">
        <v>84</v>
      </c>
    </row>
    <row r="1988" spans="1:1" x14ac:dyDescent="0.25">
      <c r="A1988" t="s">
        <v>85</v>
      </c>
    </row>
    <row r="1989" spans="1:1" x14ac:dyDescent="0.25">
      <c r="A1989" t="s">
        <v>86</v>
      </c>
    </row>
    <row r="1990" spans="1:1" x14ac:dyDescent="0.25">
      <c r="A1990" t="s">
        <v>87</v>
      </c>
    </row>
    <row r="1991" spans="1:1" x14ac:dyDescent="0.25">
      <c r="A1991" t="s">
        <v>88</v>
      </c>
    </row>
    <row r="1992" spans="1:1" x14ac:dyDescent="0.25">
      <c r="A1992" t="s">
        <v>89</v>
      </c>
    </row>
    <row r="1993" spans="1:1" x14ac:dyDescent="0.25">
      <c r="A1993" t="s">
        <v>90</v>
      </c>
    </row>
    <row r="1994" spans="1:1" x14ac:dyDescent="0.25">
      <c r="A1994" t="s">
        <v>91</v>
      </c>
    </row>
    <row r="1995" spans="1:1" x14ac:dyDescent="0.25">
      <c r="A1995" t="s">
        <v>92</v>
      </c>
    </row>
    <row r="1996" spans="1:1" x14ac:dyDescent="0.25">
      <c r="A1996" t="s">
        <v>93</v>
      </c>
    </row>
    <row r="1997" spans="1:1" x14ac:dyDescent="0.25">
      <c r="A1997" t="s">
        <v>94</v>
      </c>
    </row>
    <row r="2000" spans="1:1" x14ac:dyDescent="0.25">
      <c r="A2000" t="s">
        <v>436</v>
      </c>
    </row>
    <row r="2001" spans="1:1" x14ac:dyDescent="0.25">
      <c r="A2001" t="s">
        <v>437</v>
      </c>
    </row>
    <row r="2002" spans="1:1" x14ac:dyDescent="0.25">
      <c r="A2002" t="s">
        <v>122</v>
      </c>
    </row>
    <row r="2003" spans="1:1" x14ac:dyDescent="0.25">
      <c r="A2003" t="s">
        <v>83</v>
      </c>
    </row>
    <row r="2004" spans="1:1" x14ac:dyDescent="0.25">
      <c r="A2004" t="s">
        <v>84</v>
      </c>
    </row>
    <row r="2005" spans="1:1" x14ac:dyDescent="0.25">
      <c r="A2005" t="s">
        <v>85</v>
      </c>
    </row>
    <row r="2006" spans="1:1" x14ac:dyDescent="0.25">
      <c r="A2006" t="s">
        <v>86</v>
      </c>
    </row>
    <row r="2007" spans="1:1" x14ac:dyDescent="0.25">
      <c r="A2007" t="s">
        <v>87</v>
      </c>
    </row>
    <row r="2008" spans="1:1" x14ac:dyDescent="0.25">
      <c r="A2008" t="s">
        <v>88</v>
      </c>
    </row>
    <row r="2009" spans="1:1" x14ac:dyDescent="0.25">
      <c r="A2009" t="s">
        <v>89</v>
      </c>
    </row>
    <row r="2010" spans="1:1" x14ac:dyDescent="0.25">
      <c r="A2010" t="s">
        <v>419</v>
      </c>
    </row>
    <row r="2016" spans="1:1" x14ac:dyDescent="0.25">
      <c r="A2016" t="s">
        <v>72</v>
      </c>
    </row>
    <row r="2017" spans="1:1" x14ac:dyDescent="0.25">
      <c r="A2017" t="s">
        <v>73</v>
      </c>
    </row>
    <row r="2018" spans="1:1" x14ac:dyDescent="0.25">
      <c r="A2018" t="s">
        <v>74</v>
      </c>
    </row>
    <row r="2019" spans="1:1" x14ac:dyDescent="0.25">
      <c r="A2019" t="s">
        <v>75</v>
      </c>
    </row>
    <row r="2020" spans="1:1" x14ac:dyDescent="0.25">
      <c r="A2020" t="s">
        <v>76</v>
      </c>
    </row>
    <row r="2021" spans="1:1" x14ac:dyDescent="0.25">
      <c r="A2021" t="s">
        <v>77</v>
      </c>
    </row>
    <row r="2022" spans="1:1" x14ac:dyDescent="0.25">
      <c r="A2022" t="s">
        <v>438</v>
      </c>
    </row>
    <row r="2023" spans="1:1" x14ac:dyDescent="0.25">
      <c r="A2023" t="s">
        <v>79</v>
      </c>
    </row>
    <row r="2024" spans="1:1" x14ac:dyDescent="0.25">
      <c r="A2024" t="s">
        <v>91</v>
      </c>
    </row>
    <row r="2025" spans="1:1" x14ac:dyDescent="0.25">
      <c r="A2025" t="s">
        <v>92</v>
      </c>
    </row>
    <row r="2026" spans="1:1" x14ac:dyDescent="0.25">
      <c r="A2026" t="s">
        <v>93</v>
      </c>
    </row>
    <row r="2027" spans="1:1" x14ac:dyDescent="0.25">
      <c r="A2027" t="s">
        <v>124</v>
      </c>
    </row>
    <row r="2028" spans="1:1" x14ac:dyDescent="0.25">
      <c r="A2028" t="s">
        <v>420</v>
      </c>
    </row>
    <row r="2031" spans="1:1" x14ac:dyDescent="0.25">
      <c r="A2031" t="s">
        <v>439</v>
      </c>
    </row>
    <row r="2032" spans="1:1" x14ac:dyDescent="0.25">
      <c r="A2032" t="s">
        <v>440</v>
      </c>
    </row>
    <row r="2033" spans="1:1" x14ac:dyDescent="0.25">
      <c r="A2033" t="s">
        <v>243</v>
      </c>
    </row>
    <row r="2034" spans="1:1" x14ac:dyDescent="0.25">
      <c r="A2034" t="s">
        <v>83</v>
      </c>
    </row>
    <row r="2035" spans="1:1" x14ac:dyDescent="0.25">
      <c r="A2035" t="s">
        <v>84</v>
      </c>
    </row>
    <row r="2036" spans="1:1" x14ac:dyDescent="0.25">
      <c r="A2036" t="s">
        <v>85</v>
      </c>
    </row>
    <row r="2037" spans="1:1" x14ac:dyDescent="0.25">
      <c r="A2037" t="s">
        <v>86</v>
      </c>
    </row>
    <row r="2038" spans="1:1" x14ac:dyDescent="0.25">
      <c r="A2038" t="s">
        <v>87</v>
      </c>
    </row>
    <row r="2039" spans="1:1" x14ac:dyDescent="0.25">
      <c r="A2039" t="s">
        <v>88</v>
      </c>
    </row>
    <row r="2040" spans="1:1" x14ac:dyDescent="0.25">
      <c r="A2040" t="s">
        <v>89</v>
      </c>
    </row>
    <row r="2041" spans="1:1" x14ac:dyDescent="0.25">
      <c r="A2041" t="s">
        <v>110</v>
      </c>
    </row>
    <row r="2042" spans="1:1" x14ac:dyDescent="0.25">
      <c r="A2042" t="s">
        <v>91</v>
      </c>
    </row>
    <row r="2043" spans="1:1" x14ac:dyDescent="0.25">
      <c r="A2043" t="s">
        <v>92</v>
      </c>
    </row>
    <row r="2044" spans="1:1" x14ac:dyDescent="0.25">
      <c r="A2044" t="s">
        <v>93</v>
      </c>
    </row>
    <row r="2045" spans="1:1" x14ac:dyDescent="0.25">
      <c r="A2045" t="s">
        <v>111</v>
      </c>
    </row>
    <row r="2048" spans="1:1" x14ac:dyDescent="0.25">
      <c r="A2048" t="s">
        <v>441</v>
      </c>
    </row>
    <row r="2049" spans="1:1" x14ac:dyDescent="0.25">
      <c r="A2049" t="s">
        <v>442</v>
      </c>
    </row>
    <row r="2050" spans="1:1" x14ac:dyDescent="0.25">
      <c r="A2050" t="s">
        <v>443</v>
      </c>
    </row>
    <row r="2051" spans="1:1" x14ac:dyDescent="0.25">
      <c r="A2051" t="s">
        <v>134</v>
      </c>
    </row>
    <row r="2052" spans="1:1" x14ac:dyDescent="0.25">
      <c r="A2052" t="s">
        <v>84</v>
      </c>
    </row>
    <row r="2053" spans="1:1" x14ac:dyDescent="0.25">
      <c r="A2053" t="s">
        <v>85</v>
      </c>
    </row>
    <row r="2054" spans="1:1" x14ac:dyDescent="0.25">
      <c r="A2054" t="s">
        <v>86</v>
      </c>
    </row>
    <row r="2055" spans="1:1" x14ac:dyDescent="0.25">
      <c r="A2055" t="s">
        <v>87</v>
      </c>
    </row>
    <row r="2056" spans="1:1" x14ac:dyDescent="0.25">
      <c r="A2056" t="s">
        <v>88</v>
      </c>
    </row>
    <row r="2057" spans="1:1" x14ac:dyDescent="0.25">
      <c r="A2057" t="s">
        <v>89</v>
      </c>
    </row>
    <row r="2058" spans="1:1" x14ac:dyDescent="0.25">
      <c r="A2058" t="s">
        <v>110</v>
      </c>
    </row>
    <row r="2059" spans="1:1" x14ac:dyDescent="0.25">
      <c r="A2059" t="s">
        <v>91</v>
      </c>
    </row>
    <row r="2060" spans="1:1" x14ac:dyDescent="0.25">
      <c r="A2060" t="s">
        <v>92</v>
      </c>
    </row>
    <row r="2061" spans="1:1" x14ac:dyDescent="0.25">
      <c r="A2061" t="s">
        <v>93</v>
      </c>
    </row>
    <row r="2062" spans="1:1" x14ac:dyDescent="0.25">
      <c r="A2062" t="s">
        <v>111</v>
      </c>
    </row>
    <row r="2065" spans="1:1" x14ac:dyDescent="0.25">
      <c r="A2065" t="s">
        <v>444</v>
      </c>
    </row>
    <row r="2066" spans="1:1" x14ac:dyDescent="0.25">
      <c r="A2066" t="s">
        <v>445</v>
      </c>
    </row>
    <row r="2067" spans="1:1" x14ac:dyDescent="0.25">
      <c r="A2067" t="s">
        <v>138</v>
      </c>
    </row>
    <row r="2068" spans="1:1" x14ac:dyDescent="0.25">
      <c r="A2068" t="s">
        <v>134</v>
      </c>
    </row>
    <row r="2069" spans="1:1" x14ac:dyDescent="0.25">
      <c r="A2069" t="s">
        <v>84</v>
      </c>
    </row>
    <row r="2070" spans="1:1" x14ac:dyDescent="0.25">
      <c r="A2070" t="s">
        <v>85</v>
      </c>
    </row>
    <row r="2071" spans="1:1" x14ac:dyDescent="0.25">
      <c r="A2071" t="s">
        <v>86</v>
      </c>
    </row>
    <row r="2072" spans="1:1" x14ac:dyDescent="0.25">
      <c r="A2072" t="s">
        <v>87</v>
      </c>
    </row>
    <row r="2073" spans="1:1" x14ac:dyDescent="0.25">
      <c r="A2073" t="s">
        <v>88</v>
      </c>
    </row>
    <row r="2079" spans="1:1" x14ac:dyDescent="0.25">
      <c r="A2079" t="s">
        <v>72</v>
      </c>
    </row>
    <row r="2080" spans="1:1" x14ac:dyDescent="0.25">
      <c r="A2080" t="s">
        <v>73</v>
      </c>
    </row>
    <row r="2081" spans="1:1" x14ac:dyDescent="0.25">
      <c r="A2081" t="s">
        <v>74</v>
      </c>
    </row>
    <row r="2082" spans="1:1" x14ac:dyDescent="0.25">
      <c r="A2082" t="s">
        <v>75</v>
      </c>
    </row>
    <row r="2083" spans="1:1" x14ac:dyDescent="0.25">
      <c r="A2083" t="s">
        <v>76</v>
      </c>
    </row>
    <row r="2084" spans="1:1" x14ac:dyDescent="0.25">
      <c r="A2084" t="s">
        <v>77</v>
      </c>
    </row>
    <row r="2085" spans="1:1" x14ac:dyDescent="0.25">
      <c r="A2085" t="s">
        <v>446</v>
      </c>
    </row>
    <row r="2086" spans="1:1" x14ac:dyDescent="0.25">
      <c r="A2086" t="s">
        <v>79</v>
      </c>
    </row>
    <row r="2087" spans="1:1" x14ac:dyDescent="0.25">
      <c r="A2087" t="s">
        <v>89</v>
      </c>
    </row>
    <row r="2088" spans="1:1" x14ac:dyDescent="0.25">
      <c r="A2088" t="s">
        <v>98</v>
      </c>
    </row>
    <row r="2089" spans="1:1" x14ac:dyDescent="0.25">
      <c r="A2089" t="s">
        <v>104</v>
      </c>
    </row>
    <row r="2090" spans="1:1" x14ac:dyDescent="0.25">
      <c r="A2090" t="s">
        <v>91</v>
      </c>
    </row>
    <row r="2091" spans="1:1" x14ac:dyDescent="0.25">
      <c r="A2091" t="s">
        <v>92</v>
      </c>
    </row>
    <row r="2092" spans="1:1" x14ac:dyDescent="0.25">
      <c r="A2092" t="s">
        <v>93</v>
      </c>
    </row>
    <row r="2093" spans="1:1" x14ac:dyDescent="0.25">
      <c r="A2093" t="s">
        <v>106</v>
      </c>
    </row>
    <row r="2096" spans="1:1" x14ac:dyDescent="0.25">
      <c r="A2096" t="s">
        <v>447</v>
      </c>
    </row>
    <row r="2097" spans="1:1" x14ac:dyDescent="0.25">
      <c r="A2097" t="s">
        <v>448</v>
      </c>
    </row>
    <row r="2098" spans="1:1" x14ac:dyDescent="0.25">
      <c r="A2098" t="s">
        <v>449</v>
      </c>
    </row>
    <row r="2099" spans="1:1" x14ac:dyDescent="0.25">
      <c r="A2099" t="s">
        <v>83</v>
      </c>
    </row>
    <row r="2100" spans="1:1" x14ac:dyDescent="0.25">
      <c r="A2100" t="s">
        <v>84</v>
      </c>
    </row>
    <row r="2101" spans="1:1" x14ac:dyDescent="0.25">
      <c r="A2101" t="s">
        <v>85</v>
      </c>
    </row>
    <row r="2102" spans="1:1" x14ac:dyDescent="0.25">
      <c r="A2102" t="s">
        <v>86</v>
      </c>
    </row>
    <row r="2103" spans="1:1" x14ac:dyDescent="0.25">
      <c r="A2103" t="s">
        <v>87</v>
      </c>
    </row>
    <row r="2104" spans="1:1" x14ac:dyDescent="0.25">
      <c r="A2104" t="s">
        <v>88</v>
      </c>
    </row>
    <row r="2105" spans="1:1" x14ac:dyDescent="0.25">
      <c r="A2105" t="s">
        <v>170</v>
      </c>
    </row>
    <row r="2106" spans="1:1" x14ac:dyDescent="0.25">
      <c r="A2106" t="s">
        <v>91</v>
      </c>
    </row>
    <row r="2107" spans="1:1" x14ac:dyDescent="0.25">
      <c r="A2107" t="s">
        <v>92</v>
      </c>
    </row>
    <row r="2108" spans="1:1" x14ac:dyDescent="0.25">
      <c r="A2108" t="s">
        <v>93</v>
      </c>
    </row>
    <row r="2109" spans="1:1" x14ac:dyDescent="0.25">
      <c r="A2109" t="s">
        <v>171</v>
      </c>
    </row>
    <row r="2112" spans="1:1" x14ac:dyDescent="0.25">
      <c r="A2112" t="s">
        <v>450</v>
      </c>
    </row>
    <row r="2113" spans="1:1" x14ac:dyDescent="0.25">
      <c r="A2113" t="s">
        <v>451</v>
      </c>
    </row>
    <row r="2114" spans="1:1" x14ac:dyDescent="0.25">
      <c r="A2114" t="s">
        <v>452</v>
      </c>
    </row>
    <row r="2115" spans="1:1" x14ac:dyDescent="0.25">
      <c r="A2115" t="s">
        <v>83</v>
      </c>
    </row>
    <row r="2116" spans="1:1" x14ac:dyDescent="0.25">
      <c r="A2116" t="s">
        <v>84</v>
      </c>
    </row>
    <row r="2117" spans="1:1" x14ac:dyDescent="0.25">
      <c r="A2117" t="s">
        <v>85</v>
      </c>
    </row>
    <row r="2118" spans="1:1" x14ac:dyDescent="0.25">
      <c r="A2118" t="s">
        <v>86</v>
      </c>
    </row>
    <row r="2119" spans="1:1" x14ac:dyDescent="0.25">
      <c r="A2119" t="s">
        <v>87</v>
      </c>
    </row>
    <row r="2120" spans="1:1" x14ac:dyDescent="0.25">
      <c r="A2120" t="s">
        <v>88</v>
      </c>
    </row>
    <row r="2121" spans="1:1" x14ac:dyDescent="0.25">
      <c r="A2121" t="s">
        <v>89</v>
      </c>
    </row>
    <row r="2122" spans="1:1" x14ac:dyDescent="0.25">
      <c r="A2122" t="s">
        <v>384</v>
      </c>
    </row>
    <row r="2123" spans="1:1" x14ac:dyDescent="0.25">
      <c r="A2123" t="s">
        <v>91</v>
      </c>
    </row>
    <row r="2124" spans="1:1" x14ac:dyDescent="0.25">
      <c r="A2124" t="s">
        <v>92</v>
      </c>
    </row>
    <row r="2125" spans="1:1" x14ac:dyDescent="0.25">
      <c r="A2125" t="s">
        <v>93</v>
      </c>
    </row>
    <row r="2126" spans="1:1" x14ac:dyDescent="0.25">
      <c r="A2126" t="s">
        <v>385</v>
      </c>
    </row>
    <row r="2129" spans="1:1" x14ac:dyDescent="0.25">
      <c r="A2129" t="s">
        <v>453</v>
      </c>
    </row>
    <row r="2130" spans="1:1" x14ac:dyDescent="0.25">
      <c r="A2130" t="s">
        <v>454</v>
      </c>
    </row>
    <row r="2131" spans="1:1" x14ac:dyDescent="0.25">
      <c r="A2131" t="s">
        <v>455</v>
      </c>
    </row>
    <row r="2132" spans="1:1" x14ac:dyDescent="0.25">
      <c r="A2132" t="s">
        <v>83</v>
      </c>
    </row>
    <row r="2133" spans="1:1" x14ac:dyDescent="0.25">
      <c r="A2133" t="s">
        <v>84</v>
      </c>
    </row>
    <row r="2134" spans="1:1" x14ac:dyDescent="0.25">
      <c r="A2134" t="s">
        <v>85</v>
      </c>
    </row>
    <row r="2135" spans="1:1" x14ac:dyDescent="0.25">
      <c r="A2135" t="s">
        <v>86</v>
      </c>
    </row>
    <row r="2136" spans="1:1" x14ac:dyDescent="0.25">
      <c r="A2136" t="s">
        <v>87</v>
      </c>
    </row>
    <row r="2142" spans="1:1" x14ac:dyDescent="0.25">
      <c r="A2142" t="s">
        <v>72</v>
      </c>
    </row>
    <row r="2143" spans="1:1" x14ac:dyDescent="0.25">
      <c r="A2143" t="s">
        <v>73</v>
      </c>
    </row>
    <row r="2144" spans="1:1" x14ac:dyDescent="0.25">
      <c r="A2144" t="s">
        <v>74</v>
      </c>
    </row>
    <row r="2145" spans="1:1" x14ac:dyDescent="0.25">
      <c r="A2145" t="s">
        <v>75</v>
      </c>
    </row>
    <row r="2146" spans="1:1" x14ac:dyDescent="0.25">
      <c r="A2146" t="s">
        <v>76</v>
      </c>
    </row>
    <row r="2147" spans="1:1" x14ac:dyDescent="0.25">
      <c r="A2147" t="s">
        <v>77</v>
      </c>
    </row>
    <row r="2148" spans="1:1" x14ac:dyDescent="0.25">
      <c r="A2148" t="s">
        <v>456</v>
      </c>
    </row>
    <row r="2149" spans="1:1" x14ac:dyDescent="0.25">
      <c r="A2149" t="s">
        <v>79</v>
      </c>
    </row>
    <row r="2150" spans="1:1" x14ac:dyDescent="0.25">
      <c r="A2150" t="s">
        <v>88</v>
      </c>
    </row>
    <row r="2151" spans="1:1" x14ac:dyDescent="0.25">
      <c r="A2151" t="s">
        <v>89</v>
      </c>
    </row>
    <row r="2152" spans="1:1" x14ac:dyDescent="0.25">
      <c r="A2152" t="s">
        <v>457</v>
      </c>
    </row>
    <row r="2153" spans="1:1" x14ac:dyDescent="0.25">
      <c r="A2153" t="s">
        <v>110</v>
      </c>
    </row>
    <row r="2154" spans="1:1" x14ac:dyDescent="0.25">
      <c r="A2154" t="s">
        <v>91</v>
      </c>
    </row>
    <row r="2155" spans="1:1" x14ac:dyDescent="0.25">
      <c r="A2155" t="s">
        <v>92</v>
      </c>
    </row>
    <row r="2156" spans="1:1" x14ac:dyDescent="0.25">
      <c r="A2156" t="s">
        <v>93</v>
      </c>
    </row>
    <row r="2157" spans="1:1" x14ac:dyDescent="0.25">
      <c r="A2157" t="s">
        <v>458</v>
      </c>
    </row>
    <row r="2160" spans="1:1" x14ac:dyDescent="0.25">
      <c r="A2160" t="s">
        <v>459</v>
      </c>
    </row>
    <row r="2161" spans="1:1" x14ac:dyDescent="0.25">
      <c r="A2161" t="s">
        <v>460</v>
      </c>
    </row>
    <row r="2162" spans="1:1" x14ac:dyDescent="0.25">
      <c r="A2162" t="s">
        <v>461</v>
      </c>
    </row>
    <row r="2163" spans="1:1" x14ac:dyDescent="0.25">
      <c r="A2163" t="s">
        <v>83</v>
      </c>
    </row>
    <row r="2164" spans="1:1" x14ac:dyDescent="0.25">
      <c r="A2164" t="s">
        <v>84</v>
      </c>
    </row>
    <row r="2165" spans="1:1" x14ac:dyDescent="0.25">
      <c r="A2165" t="s">
        <v>85</v>
      </c>
    </row>
    <row r="2166" spans="1:1" x14ac:dyDescent="0.25">
      <c r="A2166" t="s">
        <v>86</v>
      </c>
    </row>
    <row r="2167" spans="1:1" x14ac:dyDescent="0.25">
      <c r="A2167" t="s">
        <v>87</v>
      </c>
    </row>
    <row r="2168" spans="1:1" x14ac:dyDescent="0.25">
      <c r="A2168" t="s">
        <v>88</v>
      </c>
    </row>
    <row r="2169" spans="1:1" x14ac:dyDescent="0.25">
      <c r="A2169" t="s">
        <v>89</v>
      </c>
    </row>
    <row r="2170" spans="1:1" x14ac:dyDescent="0.25">
      <c r="A2170" t="s">
        <v>211</v>
      </c>
    </row>
    <row r="2171" spans="1:1" x14ac:dyDescent="0.25">
      <c r="A2171" t="s">
        <v>90</v>
      </c>
    </row>
    <row r="2172" spans="1:1" x14ac:dyDescent="0.25">
      <c r="A2172" t="s">
        <v>91</v>
      </c>
    </row>
    <row r="2173" spans="1:1" x14ac:dyDescent="0.25">
      <c r="A2173" t="s">
        <v>92</v>
      </c>
    </row>
    <row r="2174" spans="1:1" x14ac:dyDescent="0.25">
      <c r="A2174" t="s">
        <v>93</v>
      </c>
    </row>
    <row r="2175" spans="1:1" x14ac:dyDescent="0.25">
      <c r="A2175" t="s">
        <v>212</v>
      </c>
    </row>
    <row r="2178" spans="1:1" x14ac:dyDescent="0.25">
      <c r="A2178" t="s">
        <v>462</v>
      </c>
    </row>
    <row r="2179" spans="1:1" x14ac:dyDescent="0.25">
      <c r="A2179" t="s">
        <v>463</v>
      </c>
    </row>
    <row r="2180" spans="1:1" x14ac:dyDescent="0.25">
      <c r="A2180" t="s">
        <v>464</v>
      </c>
    </row>
    <row r="2181" spans="1:1" x14ac:dyDescent="0.25">
      <c r="A2181" t="s">
        <v>134</v>
      </c>
    </row>
    <row r="2182" spans="1:1" x14ac:dyDescent="0.25">
      <c r="A2182" t="s">
        <v>84</v>
      </c>
    </row>
    <row r="2183" spans="1:1" x14ac:dyDescent="0.25">
      <c r="A2183" t="s">
        <v>85</v>
      </c>
    </row>
    <row r="2184" spans="1:1" x14ac:dyDescent="0.25">
      <c r="A2184" t="s">
        <v>86</v>
      </c>
    </row>
    <row r="2185" spans="1:1" x14ac:dyDescent="0.25">
      <c r="A2185" t="s">
        <v>87</v>
      </c>
    </row>
    <row r="2186" spans="1:1" x14ac:dyDescent="0.25">
      <c r="A2186" t="s">
        <v>88</v>
      </c>
    </row>
    <row r="2187" spans="1:1" x14ac:dyDescent="0.25">
      <c r="A2187" t="s">
        <v>465</v>
      </c>
    </row>
    <row r="2188" spans="1:1" x14ac:dyDescent="0.25">
      <c r="A2188" t="s">
        <v>91</v>
      </c>
    </row>
    <row r="2189" spans="1:1" x14ac:dyDescent="0.25">
      <c r="A2189" t="s">
        <v>92</v>
      </c>
    </row>
    <row r="2190" spans="1:1" x14ac:dyDescent="0.25">
      <c r="A2190" t="s">
        <v>93</v>
      </c>
    </row>
    <row r="2191" spans="1:1" x14ac:dyDescent="0.25">
      <c r="A2191" t="s">
        <v>466</v>
      </c>
    </row>
    <row r="2192" spans="1:1" x14ac:dyDescent="0.25">
      <c r="A2192" t="s">
        <v>467</v>
      </c>
    </row>
    <row r="2195" spans="1:1" x14ac:dyDescent="0.25">
      <c r="A2195" t="s">
        <v>468</v>
      </c>
    </row>
    <row r="2196" spans="1:1" x14ac:dyDescent="0.25">
      <c r="A2196" t="s">
        <v>469</v>
      </c>
    </row>
    <row r="2197" spans="1:1" x14ac:dyDescent="0.25">
      <c r="A2197" t="s">
        <v>470</v>
      </c>
    </row>
    <row r="2198" spans="1:1" x14ac:dyDescent="0.25">
      <c r="A2198" t="s">
        <v>83</v>
      </c>
    </row>
    <row r="2205" spans="1:1" x14ac:dyDescent="0.25">
      <c r="A2205" t="s">
        <v>72</v>
      </c>
    </row>
    <row r="2206" spans="1:1" x14ac:dyDescent="0.25">
      <c r="A2206" t="s">
        <v>73</v>
      </c>
    </row>
    <row r="2207" spans="1:1" x14ac:dyDescent="0.25">
      <c r="A2207" t="s">
        <v>74</v>
      </c>
    </row>
    <row r="2208" spans="1:1" x14ac:dyDescent="0.25">
      <c r="A2208" t="s">
        <v>75</v>
      </c>
    </row>
    <row r="2209" spans="1:1" x14ac:dyDescent="0.25">
      <c r="A2209" t="s">
        <v>76</v>
      </c>
    </row>
    <row r="2210" spans="1:1" x14ac:dyDescent="0.25">
      <c r="A2210" t="s">
        <v>77</v>
      </c>
    </row>
    <row r="2211" spans="1:1" x14ac:dyDescent="0.25">
      <c r="A2211" t="s">
        <v>471</v>
      </c>
    </row>
    <row r="2212" spans="1:1" x14ac:dyDescent="0.25">
      <c r="A2212" t="s">
        <v>79</v>
      </c>
    </row>
    <row r="2213" spans="1:1" x14ac:dyDescent="0.25">
      <c r="A2213" t="s">
        <v>84</v>
      </c>
    </row>
    <row r="2214" spans="1:1" x14ac:dyDescent="0.25">
      <c r="A2214" t="s">
        <v>85</v>
      </c>
    </row>
    <row r="2215" spans="1:1" x14ac:dyDescent="0.25">
      <c r="A2215" t="s">
        <v>86</v>
      </c>
    </row>
    <row r="2216" spans="1:1" x14ac:dyDescent="0.25">
      <c r="A2216" t="s">
        <v>87</v>
      </c>
    </row>
    <row r="2217" spans="1:1" x14ac:dyDescent="0.25">
      <c r="A2217" t="s">
        <v>88</v>
      </c>
    </row>
    <row r="2218" spans="1:1" x14ac:dyDescent="0.25">
      <c r="A2218" t="s">
        <v>170</v>
      </c>
    </row>
    <row r="2219" spans="1:1" x14ac:dyDescent="0.25">
      <c r="A2219" t="s">
        <v>91</v>
      </c>
    </row>
    <row r="2220" spans="1:1" x14ac:dyDescent="0.25">
      <c r="A2220" t="s">
        <v>92</v>
      </c>
    </row>
    <row r="2221" spans="1:1" x14ac:dyDescent="0.25">
      <c r="A2221" t="s">
        <v>93</v>
      </c>
    </row>
    <row r="2222" spans="1:1" x14ac:dyDescent="0.25">
      <c r="A2222" t="s">
        <v>171</v>
      </c>
    </row>
    <row r="2225" spans="1:1" x14ac:dyDescent="0.25">
      <c r="A2225" t="s">
        <v>472</v>
      </c>
    </row>
    <row r="2226" spans="1:1" x14ac:dyDescent="0.25">
      <c r="A2226" t="s">
        <v>473</v>
      </c>
    </row>
    <row r="2227" spans="1:1" x14ac:dyDescent="0.25">
      <c r="A2227" t="s">
        <v>388</v>
      </c>
    </row>
    <row r="2228" spans="1:1" x14ac:dyDescent="0.25">
      <c r="A2228" t="s">
        <v>134</v>
      </c>
    </row>
    <row r="2229" spans="1:1" x14ac:dyDescent="0.25">
      <c r="A2229" t="s">
        <v>84</v>
      </c>
    </row>
    <row r="2230" spans="1:1" x14ac:dyDescent="0.25">
      <c r="A2230" t="s">
        <v>85</v>
      </c>
    </row>
    <row r="2231" spans="1:1" x14ac:dyDescent="0.25">
      <c r="A2231" t="s">
        <v>86</v>
      </c>
    </row>
    <row r="2232" spans="1:1" x14ac:dyDescent="0.25">
      <c r="A2232" t="s">
        <v>87</v>
      </c>
    </row>
    <row r="2233" spans="1:1" x14ac:dyDescent="0.25">
      <c r="A2233" t="s">
        <v>88</v>
      </c>
    </row>
    <row r="2234" spans="1:1" x14ac:dyDescent="0.25">
      <c r="A2234" t="s">
        <v>89</v>
      </c>
    </row>
    <row r="2235" spans="1:1" x14ac:dyDescent="0.25">
      <c r="A2235" t="s">
        <v>110</v>
      </c>
    </row>
    <row r="2236" spans="1:1" x14ac:dyDescent="0.25">
      <c r="A2236" t="s">
        <v>91</v>
      </c>
    </row>
    <row r="2237" spans="1:1" x14ac:dyDescent="0.25">
      <c r="A2237" t="s">
        <v>92</v>
      </c>
    </row>
    <row r="2238" spans="1:1" x14ac:dyDescent="0.25">
      <c r="A2238" t="s">
        <v>93</v>
      </c>
    </row>
    <row r="2239" spans="1:1" x14ac:dyDescent="0.25">
      <c r="A2239" t="s">
        <v>111</v>
      </c>
    </row>
    <row r="2242" spans="1:1" x14ac:dyDescent="0.25">
      <c r="A2242" t="s">
        <v>474</v>
      </c>
    </row>
    <row r="2243" spans="1:1" x14ac:dyDescent="0.25">
      <c r="A2243" t="s">
        <v>475</v>
      </c>
    </row>
    <row r="2244" spans="1:1" x14ac:dyDescent="0.25">
      <c r="A2244" t="s">
        <v>476</v>
      </c>
    </row>
    <row r="2245" spans="1:1" x14ac:dyDescent="0.25">
      <c r="A2245" t="s">
        <v>134</v>
      </c>
    </row>
    <row r="2246" spans="1:1" x14ac:dyDescent="0.25">
      <c r="A2246" t="s">
        <v>84</v>
      </c>
    </row>
    <row r="2247" spans="1:1" x14ac:dyDescent="0.25">
      <c r="A2247" t="s">
        <v>85</v>
      </c>
    </row>
    <row r="2248" spans="1:1" x14ac:dyDescent="0.25">
      <c r="A2248" t="s">
        <v>86</v>
      </c>
    </row>
    <row r="2249" spans="1:1" x14ac:dyDescent="0.25">
      <c r="A2249" t="s">
        <v>87</v>
      </c>
    </row>
    <row r="2250" spans="1:1" x14ac:dyDescent="0.25">
      <c r="A2250" t="s">
        <v>88</v>
      </c>
    </row>
    <row r="2251" spans="1:1" x14ac:dyDescent="0.25">
      <c r="A2251" t="s">
        <v>170</v>
      </c>
    </row>
    <row r="2252" spans="1:1" x14ac:dyDescent="0.25">
      <c r="A2252" t="s">
        <v>91</v>
      </c>
    </row>
    <row r="2253" spans="1:1" x14ac:dyDescent="0.25">
      <c r="A2253" t="s">
        <v>92</v>
      </c>
    </row>
    <row r="2254" spans="1:1" x14ac:dyDescent="0.25">
      <c r="A2254" t="s">
        <v>93</v>
      </c>
    </row>
    <row r="2255" spans="1:1" x14ac:dyDescent="0.25">
      <c r="A2255" t="s">
        <v>171</v>
      </c>
    </row>
    <row r="2258" spans="1:1" x14ac:dyDescent="0.25">
      <c r="A2258" t="s">
        <v>477</v>
      </c>
    </row>
    <row r="2259" spans="1:1" x14ac:dyDescent="0.25">
      <c r="A2259" t="s">
        <v>478</v>
      </c>
    </row>
    <row r="2260" spans="1:1" x14ac:dyDescent="0.25">
      <c r="A2260" t="s">
        <v>479</v>
      </c>
    </row>
    <row r="2261" spans="1:1" x14ac:dyDescent="0.25">
      <c r="A2261" t="s">
        <v>83</v>
      </c>
    </row>
    <row r="2262" spans="1:1" x14ac:dyDescent="0.25">
      <c r="A2262" t="s">
        <v>84</v>
      </c>
    </row>
    <row r="2268" spans="1:1" x14ac:dyDescent="0.25">
      <c r="A2268" t="s">
        <v>72</v>
      </c>
    </row>
    <row r="2269" spans="1:1" x14ac:dyDescent="0.25">
      <c r="A2269" t="s">
        <v>73</v>
      </c>
    </row>
    <row r="2270" spans="1:1" x14ac:dyDescent="0.25">
      <c r="A2270" t="s">
        <v>74</v>
      </c>
    </row>
    <row r="2271" spans="1:1" x14ac:dyDescent="0.25">
      <c r="A2271" t="s">
        <v>75</v>
      </c>
    </row>
    <row r="2272" spans="1:1" x14ac:dyDescent="0.25">
      <c r="A2272" t="s">
        <v>76</v>
      </c>
    </row>
    <row r="2273" spans="1:1" x14ac:dyDescent="0.25">
      <c r="A2273" t="s">
        <v>77</v>
      </c>
    </row>
    <row r="2274" spans="1:1" x14ac:dyDescent="0.25">
      <c r="A2274" t="s">
        <v>480</v>
      </c>
    </row>
    <row r="2275" spans="1:1" x14ac:dyDescent="0.25">
      <c r="A2275" t="s">
        <v>79</v>
      </c>
    </row>
    <row r="2276" spans="1:1" x14ac:dyDescent="0.25">
      <c r="A2276" t="s">
        <v>85</v>
      </c>
    </row>
    <row r="2277" spans="1:1" x14ac:dyDescent="0.25">
      <c r="A2277" t="s">
        <v>86</v>
      </c>
    </row>
    <row r="2278" spans="1:1" x14ac:dyDescent="0.25">
      <c r="A2278" t="s">
        <v>87</v>
      </c>
    </row>
    <row r="2279" spans="1:1" x14ac:dyDescent="0.25">
      <c r="A2279" t="s">
        <v>88</v>
      </c>
    </row>
    <row r="2280" spans="1:1" x14ac:dyDescent="0.25">
      <c r="A2280" t="s">
        <v>89</v>
      </c>
    </row>
    <row r="2281" spans="1:1" x14ac:dyDescent="0.25">
      <c r="A2281" t="s">
        <v>90</v>
      </c>
    </row>
    <row r="2282" spans="1:1" x14ac:dyDescent="0.25">
      <c r="A2282" t="s">
        <v>91</v>
      </c>
    </row>
    <row r="2283" spans="1:1" x14ac:dyDescent="0.25">
      <c r="A2283" t="s">
        <v>92</v>
      </c>
    </row>
    <row r="2284" spans="1:1" x14ac:dyDescent="0.25">
      <c r="A2284" t="s">
        <v>93</v>
      </c>
    </row>
    <row r="2285" spans="1:1" x14ac:dyDescent="0.25">
      <c r="A2285" t="s">
        <v>94</v>
      </c>
    </row>
    <row r="2288" spans="1:1" x14ac:dyDescent="0.25">
      <c r="A2288" t="s">
        <v>481</v>
      </c>
    </row>
    <row r="2289" spans="1:1" x14ac:dyDescent="0.25">
      <c r="A2289" t="s">
        <v>482</v>
      </c>
    </row>
    <row r="2290" spans="1:1" x14ac:dyDescent="0.25">
      <c r="A2290" t="s">
        <v>483</v>
      </c>
    </row>
    <row r="2291" spans="1:1" x14ac:dyDescent="0.25">
      <c r="A2291" t="s">
        <v>83</v>
      </c>
    </row>
    <row r="2292" spans="1:1" x14ac:dyDescent="0.25">
      <c r="A2292" t="s">
        <v>84</v>
      </c>
    </row>
    <row r="2293" spans="1:1" x14ac:dyDescent="0.25">
      <c r="A2293" t="s">
        <v>85</v>
      </c>
    </row>
    <row r="2294" spans="1:1" x14ac:dyDescent="0.25">
      <c r="A2294" t="s">
        <v>86</v>
      </c>
    </row>
    <row r="2295" spans="1:1" x14ac:dyDescent="0.25">
      <c r="A2295" t="s">
        <v>87</v>
      </c>
    </row>
    <row r="2296" spans="1:1" x14ac:dyDescent="0.25">
      <c r="A2296" t="s">
        <v>88</v>
      </c>
    </row>
    <row r="2297" spans="1:1" x14ac:dyDescent="0.25">
      <c r="A2297" t="s">
        <v>89</v>
      </c>
    </row>
    <row r="2298" spans="1:1" x14ac:dyDescent="0.25">
      <c r="A2298" t="s">
        <v>110</v>
      </c>
    </row>
    <row r="2299" spans="1:1" x14ac:dyDescent="0.25">
      <c r="A2299" t="s">
        <v>91</v>
      </c>
    </row>
    <row r="2300" spans="1:1" x14ac:dyDescent="0.25">
      <c r="A2300" t="s">
        <v>92</v>
      </c>
    </row>
    <row r="2301" spans="1:1" x14ac:dyDescent="0.25">
      <c r="A2301" t="s">
        <v>93</v>
      </c>
    </row>
    <row r="2302" spans="1:1" x14ac:dyDescent="0.25">
      <c r="A2302" t="s">
        <v>111</v>
      </c>
    </row>
    <row r="2305" spans="1:1" x14ac:dyDescent="0.25">
      <c r="A2305" t="s">
        <v>484</v>
      </c>
    </row>
    <row r="2306" spans="1:1" x14ac:dyDescent="0.25">
      <c r="A2306" t="s">
        <v>485</v>
      </c>
    </row>
    <row r="2307" spans="1:1" x14ac:dyDescent="0.25">
      <c r="A2307" t="s">
        <v>122</v>
      </c>
    </row>
    <row r="2308" spans="1:1" x14ac:dyDescent="0.25">
      <c r="A2308" t="s">
        <v>83</v>
      </c>
    </row>
    <row r="2309" spans="1:1" x14ac:dyDescent="0.25">
      <c r="A2309" t="s">
        <v>84</v>
      </c>
    </row>
    <row r="2310" spans="1:1" x14ac:dyDescent="0.25">
      <c r="A2310" t="s">
        <v>85</v>
      </c>
    </row>
    <row r="2311" spans="1:1" x14ac:dyDescent="0.25">
      <c r="A2311" t="s">
        <v>86</v>
      </c>
    </row>
    <row r="2312" spans="1:1" x14ac:dyDescent="0.25">
      <c r="A2312" t="s">
        <v>87</v>
      </c>
    </row>
    <row r="2313" spans="1:1" x14ac:dyDescent="0.25">
      <c r="A2313" t="s">
        <v>88</v>
      </c>
    </row>
    <row r="2314" spans="1:1" x14ac:dyDescent="0.25">
      <c r="A2314" t="s">
        <v>89</v>
      </c>
    </row>
    <row r="2315" spans="1:1" x14ac:dyDescent="0.25">
      <c r="A2315" t="s">
        <v>123</v>
      </c>
    </row>
    <row r="2316" spans="1:1" x14ac:dyDescent="0.25">
      <c r="A2316" t="s">
        <v>91</v>
      </c>
    </row>
    <row r="2317" spans="1:1" x14ac:dyDescent="0.25">
      <c r="A2317" t="s">
        <v>92</v>
      </c>
    </row>
    <row r="2318" spans="1:1" x14ac:dyDescent="0.25">
      <c r="A2318" t="s">
        <v>93</v>
      </c>
    </row>
    <row r="2319" spans="1:1" x14ac:dyDescent="0.25">
      <c r="A2319" t="s">
        <v>124</v>
      </c>
    </row>
    <row r="2320" spans="1:1" x14ac:dyDescent="0.25">
      <c r="A2320" t="s">
        <v>125</v>
      </c>
    </row>
    <row r="2323" spans="1:1" x14ac:dyDescent="0.25">
      <c r="A2323" t="s">
        <v>486</v>
      </c>
    </row>
    <row r="2324" spans="1:1" x14ac:dyDescent="0.25">
      <c r="A2324" t="s">
        <v>487</v>
      </c>
    </row>
    <row r="2325" spans="1:1" x14ac:dyDescent="0.25">
      <c r="A2325" t="s">
        <v>488</v>
      </c>
    </row>
    <row r="2331" spans="1:1" x14ac:dyDescent="0.25">
      <c r="A2331" t="s">
        <v>72</v>
      </c>
    </row>
    <row r="2332" spans="1:1" x14ac:dyDescent="0.25">
      <c r="A2332" t="s">
        <v>73</v>
      </c>
    </row>
    <row r="2333" spans="1:1" x14ac:dyDescent="0.25">
      <c r="A2333" t="s">
        <v>74</v>
      </c>
    </row>
    <row r="2334" spans="1:1" x14ac:dyDescent="0.25">
      <c r="A2334" t="s">
        <v>75</v>
      </c>
    </row>
    <row r="2335" spans="1:1" x14ac:dyDescent="0.25">
      <c r="A2335" t="s">
        <v>76</v>
      </c>
    </row>
    <row r="2336" spans="1:1" x14ac:dyDescent="0.25">
      <c r="A2336" t="s">
        <v>77</v>
      </c>
    </row>
    <row r="2337" spans="1:1" x14ac:dyDescent="0.25">
      <c r="A2337" t="s">
        <v>489</v>
      </c>
    </row>
    <row r="2338" spans="1:1" x14ac:dyDescent="0.25">
      <c r="A2338" t="s">
        <v>79</v>
      </c>
    </row>
    <row r="2339" spans="1:1" x14ac:dyDescent="0.25">
      <c r="A2339" t="s">
        <v>83</v>
      </c>
    </row>
    <row r="2340" spans="1:1" x14ac:dyDescent="0.25">
      <c r="A2340" t="s">
        <v>84</v>
      </c>
    </row>
    <row r="2341" spans="1:1" x14ac:dyDescent="0.25">
      <c r="A2341" t="s">
        <v>85</v>
      </c>
    </row>
    <row r="2342" spans="1:1" x14ac:dyDescent="0.25">
      <c r="A2342" t="s">
        <v>86</v>
      </c>
    </row>
    <row r="2343" spans="1:1" x14ac:dyDescent="0.25">
      <c r="A2343" t="s">
        <v>87</v>
      </c>
    </row>
    <row r="2344" spans="1:1" x14ac:dyDescent="0.25">
      <c r="A2344" t="s">
        <v>88</v>
      </c>
    </row>
    <row r="2345" spans="1:1" x14ac:dyDescent="0.25">
      <c r="A2345" t="s">
        <v>89</v>
      </c>
    </row>
    <row r="2346" spans="1:1" x14ac:dyDescent="0.25">
      <c r="A2346" t="s">
        <v>98</v>
      </c>
    </row>
    <row r="2347" spans="1:1" x14ac:dyDescent="0.25">
      <c r="A2347" t="s">
        <v>104</v>
      </c>
    </row>
    <row r="2348" spans="1:1" x14ac:dyDescent="0.25">
      <c r="A2348" t="s">
        <v>91</v>
      </c>
    </row>
    <row r="2349" spans="1:1" x14ac:dyDescent="0.25">
      <c r="A2349" t="s">
        <v>92</v>
      </c>
    </row>
    <row r="2350" spans="1:1" x14ac:dyDescent="0.25">
      <c r="A2350" t="s">
        <v>93</v>
      </c>
    </row>
    <row r="2351" spans="1:1" x14ac:dyDescent="0.25">
      <c r="A2351" t="s">
        <v>106</v>
      </c>
    </row>
    <row r="2354" spans="1:1" x14ac:dyDescent="0.25">
      <c r="A2354" t="s">
        <v>490</v>
      </c>
    </row>
    <row r="2355" spans="1:1" x14ac:dyDescent="0.25">
      <c r="A2355" t="s">
        <v>491</v>
      </c>
    </row>
    <row r="2356" spans="1:1" x14ac:dyDescent="0.25">
      <c r="A2356" t="s">
        <v>492</v>
      </c>
    </row>
    <row r="2357" spans="1:1" x14ac:dyDescent="0.25">
      <c r="A2357" t="s">
        <v>83</v>
      </c>
    </row>
    <row r="2358" spans="1:1" x14ac:dyDescent="0.25">
      <c r="A2358" t="s">
        <v>84</v>
      </c>
    </row>
    <row r="2359" spans="1:1" x14ac:dyDescent="0.25">
      <c r="A2359" t="s">
        <v>85</v>
      </c>
    </row>
    <row r="2360" spans="1:1" x14ac:dyDescent="0.25">
      <c r="A2360" t="s">
        <v>86</v>
      </c>
    </row>
    <row r="2361" spans="1:1" x14ac:dyDescent="0.25">
      <c r="A2361" t="s">
        <v>87</v>
      </c>
    </row>
    <row r="2362" spans="1:1" x14ac:dyDescent="0.25">
      <c r="A2362" t="s">
        <v>88</v>
      </c>
    </row>
    <row r="2363" spans="1:1" x14ac:dyDescent="0.25">
      <c r="A2363" t="s">
        <v>89</v>
      </c>
    </row>
    <row r="2364" spans="1:1" x14ac:dyDescent="0.25">
      <c r="A2364" t="s">
        <v>191</v>
      </c>
    </row>
    <row r="2365" spans="1:1" x14ac:dyDescent="0.25">
      <c r="A2365" t="s">
        <v>90</v>
      </c>
    </row>
    <row r="2366" spans="1:1" x14ac:dyDescent="0.25">
      <c r="A2366" t="s">
        <v>91</v>
      </c>
    </row>
    <row r="2367" spans="1:1" x14ac:dyDescent="0.25">
      <c r="A2367" t="s">
        <v>92</v>
      </c>
    </row>
    <row r="2368" spans="1:1" x14ac:dyDescent="0.25">
      <c r="A2368" t="s">
        <v>93</v>
      </c>
    </row>
    <row r="2369" spans="1:1" x14ac:dyDescent="0.25">
      <c r="A2369" t="s">
        <v>192</v>
      </c>
    </row>
    <row r="2372" spans="1:1" x14ac:dyDescent="0.25">
      <c r="A2372" t="s">
        <v>493</v>
      </c>
    </row>
    <row r="2373" spans="1:1" x14ac:dyDescent="0.25">
      <c r="A2373" t="s">
        <v>494</v>
      </c>
    </row>
    <row r="2374" spans="1:1" x14ac:dyDescent="0.25">
      <c r="A2374" t="s">
        <v>97</v>
      </c>
    </row>
    <row r="2375" spans="1:1" x14ac:dyDescent="0.25">
      <c r="A2375" t="s">
        <v>83</v>
      </c>
    </row>
    <row r="2376" spans="1:1" x14ac:dyDescent="0.25">
      <c r="A2376" t="s">
        <v>84</v>
      </c>
    </row>
    <row r="2377" spans="1:1" x14ac:dyDescent="0.25">
      <c r="A2377" t="s">
        <v>85</v>
      </c>
    </row>
    <row r="2378" spans="1:1" x14ac:dyDescent="0.25">
      <c r="A2378" t="s">
        <v>86</v>
      </c>
    </row>
    <row r="2379" spans="1:1" x14ac:dyDescent="0.25">
      <c r="A2379" t="s">
        <v>87</v>
      </c>
    </row>
    <row r="2380" spans="1:1" x14ac:dyDescent="0.25">
      <c r="A2380" t="s">
        <v>88</v>
      </c>
    </row>
    <row r="2381" spans="1:1" x14ac:dyDescent="0.25">
      <c r="A2381" t="s">
        <v>89</v>
      </c>
    </row>
    <row r="2382" spans="1:1" x14ac:dyDescent="0.25">
      <c r="A2382" t="s">
        <v>90</v>
      </c>
    </row>
    <row r="2383" spans="1:1" x14ac:dyDescent="0.25">
      <c r="A2383" t="s">
        <v>91</v>
      </c>
    </row>
    <row r="2384" spans="1:1" x14ac:dyDescent="0.25">
      <c r="A2384" t="s">
        <v>92</v>
      </c>
    </row>
    <row r="2385" spans="1:1" x14ac:dyDescent="0.25">
      <c r="A2385" t="s">
        <v>93</v>
      </c>
    </row>
    <row r="2386" spans="1:1" x14ac:dyDescent="0.25">
      <c r="A2386" t="s">
        <v>94</v>
      </c>
    </row>
    <row r="2394" spans="1:1" x14ac:dyDescent="0.25">
      <c r="A2394" t="s">
        <v>72</v>
      </c>
    </row>
    <row r="2395" spans="1:1" x14ac:dyDescent="0.25">
      <c r="A2395" t="s">
        <v>73</v>
      </c>
    </row>
    <row r="2396" spans="1:1" x14ac:dyDescent="0.25">
      <c r="A2396" t="s">
        <v>74</v>
      </c>
    </row>
    <row r="2397" spans="1:1" x14ac:dyDescent="0.25">
      <c r="A2397" t="s">
        <v>75</v>
      </c>
    </row>
    <row r="2398" spans="1:1" x14ac:dyDescent="0.25">
      <c r="A2398" t="s">
        <v>76</v>
      </c>
    </row>
    <row r="2399" spans="1:1" x14ac:dyDescent="0.25">
      <c r="A2399" t="s">
        <v>77</v>
      </c>
    </row>
    <row r="2400" spans="1:1" x14ac:dyDescent="0.25">
      <c r="A2400" t="s">
        <v>495</v>
      </c>
    </row>
    <row r="2401" spans="1:1" x14ac:dyDescent="0.25">
      <c r="A2401" t="s">
        <v>79</v>
      </c>
    </row>
    <row r="2402" spans="1:1" x14ac:dyDescent="0.25">
      <c r="A2402" t="s">
        <v>496</v>
      </c>
    </row>
    <row r="2403" spans="1:1" x14ac:dyDescent="0.25">
      <c r="A2403" t="s">
        <v>497</v>
      </c>
    </row>
    <row r="2404" spans="1:1" x14ac:dyDescent="0.25">
      <c r="A2404" t="s">
        <v>498</v>
      </c>
    </row>
    <row r="2405" spans="1:1" x14ac:dyDescent="0.25">
      <c r="A2405" t="s">
        <v>83</v>
      </c>
    </row>
    <row r="2406" spans="1:1" x14ac:dyDescent="0.25">
      <c r="A2406" t="s">
        <v>84</v>
      </c>
    </row>
    <row r="2407" spans="1:1" x14ac:dyDescent="0.25">
      <c r="A2407" t="s">
        <v>85</v>
      </c>
    </row>
    <row r="2408" spans="1:1" x14ac:dyDescent="0.25">
      <c r="A2408" t="s">
        <v>86</v>
      </c>
    </row>
    <row r="2409" spans="1:1" x14ac:dyDescent="0.25">
      <c r="A2409" t="s">
        <v>87</v>
      </c>
    </row>
    <row r="2410" spans="1:1" x14ac:dyDescent="0.25">
      <c r="A2410" t="s">
        <v>88</v>
      </c>
    </row>
    <row r="2411" spans="1:1" x14ac:dyDescent="0.25">
      <c r="A2411" t="s">
        <v>89</v>
      </c>
    </row>
    <row r="2412" spans="1:1" x14ac:dyDescent="0.25">
      <c r="A2412" t="s">
        <v>90</v>
      </c>
    </row>
    <row r="2413" spans="1:1" x14ac:dyDescent="0.25">
      <c r="A2413" t="s">
        <v>91</v>
      </c>
    </row>
    <row r="2414" spans="1:1" x14ac:dyDescent="0.25">
      <c r="A2414" t="s">
        <v>92</v>
      </c>
    </row>
    <row r="2415" spans="1:1" x14ac:dyDescent="0.25">
      <c r="A2415" t="s">
        <v>93</v>
      </c>
    </row>
    <row r="2416" spans="1:1" x14ac:dyDescent="0.25">
      <c r="A2416" t="s">
        <v>94</v>
      </c>
    </row>
    <row r="2419" spans="1:1" x14ac:dyDescent="0.25">
      <c r="A2419" t="s">
        <v>499</v>
      </c>
    </row>
    <row r="2420" spans="1:1" x14ac:dyDescent="0.25">
      <c r="A2420" t="s">
        <v>500</v>
      </c>
    </row>
    <row r="2421" spans="1:1" x14ac:dyDescent="0.25">
      <c r="A2421" t="s">
        <v>501</v>
      </c>
    </row>
    <row r="2422" spans="1:1" x14ac:dyDescent="0.25">
      <c r="A2422" t="s">
        <v>134</v>
      </c>
    </row>
    <row r="2423" spans="1:1" x14ac:dyDescent="0.25">
      <c r="A2423" t="s">
        <v>84</v>
      </c>
    </row>
    <row r="2424" spans="1:1" x14ac:dyDescent="0.25">
      <c r="A2424" t="s">
        <v>85</v>
      </c>
    </row>
    <row r="2425" spans="1:1" x14ac:dyDescent="0.25">
      <c r="A2425" t="s">
        <v>86</v>
      </c>
    </row>
    <row r="2426" spans="1:1" x14ac:dyDescent="0.25">
      <c r="A2426" t="s">
        <v>87</v>
      </c>
    </row>
    <row r="2427" spans="1:1" x14ac:dyDescent="0.25">
      <c r="A2427" t="s">
        <v>88</v>
      </c>
    </row>
    <row r="2428" spans="1:1" x14ac:dyDescent="0.25">
      <c r="A2428" t="s">
        <v>89</v>
      </c>
    </row>
    <row r="2429" spans="1:1" x14ac:dyDescent="0.25">
      <c r="A2429" t="s">
        <v>98</v>
      </c>
    </row>
    <row r="2430" spans="1:1" x14ac:dyDescent="0.25">
      <c r="A2430" t="s">
        <v>104</v>
      </c>
    </row>
    <row r="2431" spans="1:1" x14ac:dyDescent="0.25">
      <c r="A2431" t="s">
        <v>91</v>
      </c>
    </row>
    <row r="2432" spans="1:1" x14ac:dyDescent="0.25">
      <c r="A2432" t="s">
        <v>92</v>
      </c>
    </row>
    <row r="2433" spans="1:1" x14ac:dyDescent="0.25">
      <c r="A2433" t="s">
        <v>93</v>
      </c>
    </row>
    <row r="2434" spans="1:1" x14ac:dyDescent="0.25">
      <c r="A2434" t="s">
        <v>106</v>
      </c>
    </row>
    <row r="2437" spans="1:1" x14ac:dyDescent="0.25">
      <c r="A2437" t="s">
        <v>502</v>
      </c>
    </row>
    <row r="2438" spans="1:1" x14ac:dyDescent="0.25">
      <c r="A2438" t="s">
        <v>503</v>
      </c>
    </row>
    <row r="2439" spans="1:1" x14ac:dyDescent="0.25">
      <c r="A2439" t="s">
        <v>504</v>
      </c>
    </row>
    <row r="2440" spans="1:1" x14ac:dyDescent="0.25">
      <c r="A2440" t="s">
        <v>83</v>
      </c>
    </row>
    <row r="2441" spans="1:1" x14ac:dyDescent="0.25">
      <c r="A2441" t="s">
        <v>84</v>
      </c>
    </row>
    <row r="2442" spans="1:1" x14ac:dyDescent="0.25">
      <c r="A2442" t="s">
        <v>85</v>
      </c>
    </row>
    <row r="2443" spans="1:1" x14ac:dyDescent="0.25">
      <c r="A2443" t="s">
        <v>86</v>
      </c>
    </row>
    <row r="2444" spans="1:1" x14ac:dyDescent="0.25">
      <c r="A2444" t="s">
        <v>87</v>
      </c>
    </row>
    <row r="2445" spans="1:1" x14ac:dyDescent="0.25">
      <c r="A2445" t="s">
        <v>88</v>
      </c>
    </row>
    <row r="2446" spans="1:1" x14ac:dyDescent="0.25">
      <c r="A2446" t="s">
        <v>89</v>
      </c>
    </row>
    <row r="2447" spans="1:1" x14ac:dyDescent="0.25">
      <c r="A2447" t="s">
        <v>191</v>
      </c>
    </row>
    <row r="2448" spans="1:1" x14ac:dyDescent="0.25">
      <c r="A2448" t="s">
        <v>90</v>
      </c>
    </row>
    <row r="2449" spans="1:1" x14ac:dyDescent="0.25">
      <c r="A2449" t="s">
        <v>91</v>
      </c>
    </row>
    <row r="2450" spans="1:1" x14ac:dyDescent="0.25">
      <c r="A2450" t="s">
        <v>92</v>
      </c>
    </row>
    <row r="2456" spans="1:1" x14ac:dyDescent="0.25">
      <c r="A2456" t="s">
        <v>72</v>
      </c>
    </row>
    <row r="2457" spans="1:1" x14ac:dyDescent="0.25">
      <c r="A2457" t="s">
        <v>73</v>
      </c>
    </row>
    <row r="2458" spans="1:1" x14ac:dyDescent="0.25">
      <c r="A2458" t="s">
        <v>74</v>
      </c>
    </row>
    <row r="2459" spans="1:1" x14ac:dyDescent="0.25">
      <c r="A2459" t="s">
        <v>75</v>
      </c>
    </row>
    <row r="2460" spans="1:1" x14ac:dyDescent="0.25">
      <c r="A2460" t="s">
        <v>76</v>
      </c>
    </row>
    <row r="2461" spans="1:1" x14ac:dyDescent="0.25">
      <c r="A2461" t="s">
        <v>77</v>
      </c>
    </row>
    <row r="2462" spans="1:1" x14ac:dyDescent="0.25">
      <c r="A2462" t="s">
        <v>505</v>
      </c>
    </row>
    <row r="2463" spans="1:1" x14ac:dyDescent="0.25">
      <c r="A2463" t="s">
        <v>79</v>
      </c>
    </row>
    <row r="2464" spans="1:1" x14ac:dyDescent="0.25">
      <c r="A2464" t="s">
        <v>93</v>
      </c>
    </row>
    <row r="2465" spans="1:1" x14ac:dyDescent="0.25">
      <c r="A2465" t="s">
        <v>192</v>
      </c>
    </row>
    <row r="2468" spans="1:1" x14ac:dyDescent="0.25">
      <c r="A2468" t="s">
        <v>506</v>
      </c>
    </row>
    <row r="2469" spans="1:1" x14ac:dyDescent="0.25">
      <c r="A2469" t="s">
        <v>507</v>
      </c>
    </row>
    <row r="2470" spans="1:1" x14ac:dyDescent="0.25">
      <c r="A2470" t="s">
        <v>508</v>
      </c>
    </row>
    <row r="2471" spans="1:1" x14ac:dyDescent="0.25">
      <c r="A2471" t="s">
        <v>134</v>
      </c>
    </row>
    <row r="2472" spans="1:1" x14ac:dyDescent="0.25">
      <c r="A2472" t="s">
        <v>84</v>
      </c>
    </row>
    <row r="2473" spans="1:1" x14ac:dyDescent="0.25">
      <c r="A2473" t="s">
        <v>85</v>
      </c>
    </row>
    <row r="2474" spans="1:1" x14ac:dyDescent="0.25">
      <c r="A2474" t="s">
        <v>86</v>
      </c>
    </row>
    <row r="2475" spans="1:1" x14ac:dyDescent="0.25">
      <c r="A2475" t="s">
        <v>87</v>
      </c>
    </row>
    <row r="2476" spans="1:1" x14ac:dyDescent="0.25">
      <c r="A2476" t="s">
        <v>88</v>
      </c>
    </row>
    <row r="2477" spans="1:1" x14ac:dyDescent="0.25">
      <c r="A2477" t="s">
        <v>365</v>
      </c>
    </row>
    <row r="2478" spans="1:1" x14ac:dyDescent="0.25">
      <c r="A2478" t="s">
        <v>91</v>
      </c>
    </row>
    <row r="2479" spans="1:1" x14ac:dyDescent="0.25">
      <c r="A2479" t="s">
        <v>92</v>
      </c>
    </row>
    <row r="2480" spans="1:1" x14ac:dyDescent="0.25">
      <c r="A2480" t="s">
        <v>93</v>
      </c>
    </row>
    <row r="2481" spans="1:1" x14ac:dyDescent="0.25">
      <c r="A2481" t="s">
        <v>366</v>
      </c>
    </row>
    <row r="2484" spans="1:1" x14ac:dyDescent="0.25">
      <c r="A2484" t="s">
        <v>509</v>
      </c>
    </row>
    <row r="2485" spans="1:1" x14ac:dyDescent="0.25">
      <c r="A2485" t="s">
        <v>510</v>
      </c>
    </row>
    <row r="2486" spans="1:1" x14ac:dyDescent="0.25">
      <c r="A2486" t="s">
        <v>511</v>
      </c>
    </row>
    <row r="2487" spans="1:1" x14ac:dyDescent="0.25">
      <c r="A2487" t="s">
        <v>83</v>
      </c>
    </row>
    <row r="2488" spans="1:1" x14ac:dyDescent="0.25">
      <c r="A2488" t="s">
        <v>84</v>
      </c>
    </row>
    <row r="2489" spans="1:1" x14ac:dyDescent="0.25">
      <c r="A2489" t="s">
        <v>85</v>
      </c>
    </row>
    <row r="2490" spans="1:1" x14ac:dyDescent="0.25">
      <c r="A2490" t="s">
        <v>86</v>
      </c>
    </row>
    <row r="2491" spans="1:1" x14ac:dyDescent="0.25">
      <c r="A2491" t="s">
        <v>87</v>
      </c>
    </row>
    <row r="2492" spans="1:1" x14ac:dyDescent="0.25">
      <c r="A2492" t="s">
        <v>88</v>
      </c>
    </row>
    <row r="2493" spans="1:1" x14ac:dyDescent="0.25">
      <c r="A2493" t="s">
        <v>89</v>
      </c>
    </row>
    <row r="2494" spans="1:1" x14ac:dyDescent="0.25">
      <c r="A2494" t="s">
        <v>110</v>
      </c>
    </row>
    <row r="2495" spans="1:1" x14ac:dyDescent="0.25">
      <c r="A2495" t="s">
        <v>91</v>
      </c>
    </row>
    <row r="2496" spans="1:1" x14ac:dyDescent="0.25">
      <c r="A2496" t="s">
        <v>92</v>
      </c>
    </row>
    <row r="2497" spans="1:1" x14ac:dyDescent="0.25">
      <c r="A2497" t="s">
        <v>93</v>
      </c>
    </row>
    <row r="2498" spans="1:1" x14ac:dyDescent="0.25">
      <c r="A2498" t="s">
        <v>111</v>
      </c>
    </row>
    <row r="2501" spans="1:1" x14ac:dyDescent="0.25">
      <c r="A2501" t="s">
        <v>512</v>
      </c>
    </row>
    <row r="2502" spans="1:1" x14ac:dyDescent="0.25">
      <c r="A2502" t="s">
        <v>513</v>
      </c>
    </row>
    <row r="2503" spans="1:1" x14ac:dyDescent="0.25">
      <c r="A2503" t="s">
        <v>234</v>
      </c>
    </row>
    <row r="2504" spans="1:1" x14ac:dyDescent="0.25">
      <c r="A2504" t="s">
        <v>83</v>
      </c>
    </row>
    <row r="2505" spans="1:1" x14ac:dyDescent="0.25">
      <c r="A2505" t="s">
        <v>84</v>
      </c>
    </row>
    <row r="2506" spans="1:1" x14ac:dyDescent="0.25">
      <c r="A2506" t="s">
        <v>85</v>
      </c>
    </row>
    <row r="2507" spans="1:1" x14ac:dyDescent="0.25">
      <c r="A2507" t="s">
        <v>86</v>
      </c>
    </row>
    <row r="2508" spans="1:1" x14ac:dyDescent="0.25">
      <c r="A2508" t="s">
        <v>87</v>
      </c>
    </row>
    <row r="2509" spans="1:1" x14ac:dyDescent="0.25">
      <c r="A2509" t="s">
        <v>88</v>
      </c>
    </row>
    <row r="2510" spans="1:1" x14ac:dyDescent="0.25">
      <c r="A2510" t="s">
        <v>89</v>
      </c>
    </row>
    <row r="2511" spans="1:1" x14ac:dyDescent="0.25">
      <c r="A2511" t="s">
        <v>110</v>
      </c>
    </row>
    <row r="2512" spans="1:1" x14ac:dyDescent="0.25">
      <c r="A2512" t="s">
        <v>91</v>
      </c>
    </row>
    <row r="2513" spans="1:1" x14ac:dyDescent="0.25">
      <c r="A2513" t="s">
        <v>92</v>
      </c>
    </row>
    <row r="2519" spans="1:1" x14ac:dyDescent="0.25">
      <c r="A2519" t="s">
        <v>72</v>
      </c>
    </row>
    <row r="2520" spans="1:1" x14ac:dyDescent="0.25">
      <c r="A2520" t="s">
        <v>73</v>
      </c>
    </row>
    <row r="2521" spans="1:1" x14ac:dyDescent="0.25">
      <c r="A2521" t="s">
        <v>74</v>
      </c>
    </row>
    <row r="2522" spans="1:1" x14ac:dyDescent="0.25">
      <c r="A2522" t="s">
        <v>75</v>
      </c>
    </row>
    <row r="2523" spans="1:1" x14ac:dyDescent="0.25">
      <c r="A2523" t="s">
        <v>76</v>
      </c>
    </row>
    <row r="2524" spans="1:1" x14ac:dyDescent="0.25">
      <c r="A2524" t="s">
        <v>77</v>
      </c>
    </row>
    <row r="2525" spans="1:1" x14ac:dyDescent="0.25">
      <c r="A2525" t="s">
        <v>514</v>
      </c>
    </row>
    <row r="2526" spans="1:1" x14ac:dyDescent="0.25">
      <c r="A2526" t="s">
        <v>79</v>
      </c>
    </row>
    <row r="2527" spans="1:1" x14ac:dyDescent="0.25">
      <c r="A2527" t="s">
        <v>93</v>
      </c>
    </row>
    <row r="2528" spans="1:1" x14ac:dyDescent="0.25">
      <c r="A2528" t="s">
        <v>111</v>
      </c>
    </row>
    <row r="2531" spans="1:1" x14ac:dyDescent="0.25">
      <c r="A2531" t="s">
        <v>515</v>
      </c>
    </row>
    <row r="2532" spans="1:1" x14ac:dyDescent="0.25">
      <c r="A2532" t="s">
        <v>516</v>
      </c>
    </row>
    <row r="2533" spans="1:1" x14ac:dyDescent="0.25">
      <c r="A2533" t="s">
        <v>517</v>
      </c>
    </row>
    <row r="2534" spans="1:1" x14ac:dyDescent="0.25">
      <c r="A2534" t="s">
        <v>83</v>
      </c>
    </row>
    <row r="2535" spans="1:1" x14ac:dyDescent="0.25">
      <c r="A2535" t="s">
        <v>84</v>
      </c>
    </row>
    <row r="2536" spans="1:1" x14ac:dyDescent="0.25">
      <c r="A2536" t="s">
        <v>85</v>
      </c>
    </row>
    <row r="2537" spans="1:1" x14ac:dyDescent="0.25">
      <c r="A2537" t="s">
        <v>86</v>
      </c>
    </row>
    <row r="2538" spans="1:1" x14ac:dyDescent="0.25">
      <c r="A2538" t="s">
        <v>87</v>
      </c>
    </row>
    <row r="2539" spans="1:1" x14ac:dyDescent="0.25">
      <c r="A2539" t="s">
        <v>88</v>
      </c>
    </row>
    <row r="2540" spans="1:1" x14ac:dyDescent="0.25">
      <c r="A2540" t="s">
        <v>89</v>
      </c>
    </row>
    <row r="2541" spans="1:1" x14ac:dyDescent="0.25">
      <c r="A2541" t="s">
        <v>110</v>
      </c>
    </row>
    <row r="2542" spans="1:1" x14ac:dyDescent="0.25">
      <c r="A2542" t="s">
        <v>91</v>
      </c>
    </row>
    <row r="2543" spans="1:1" x14ac:dyDescent="0.25">
      <c r="A2543" t="s">
        <v>92</v>
      </c>
    </row>
    <row r="2544" spans="1:1" x14ac:dyDescent="0.25">
      <c r="A2544" t="s">
        <v>93</v>
      </c>
    </row>
    <row r="2545" spans="1:1" x14ac:dyDescent="0.25">
      <c r="A2545" t="s">
        <v>111</v>
      </c>
    </row>
    <row r="2548" spans="1:1" x14ac:dyDescent="0.25">
      <c r="A2548" t="s">
        <v>518</v>
      </c>
    </row>
    <row r="2549" spans="1:1" x14ac:dyDescent="0.25">
      <c r="A2549" t="s">
        <v>519</v>
      </c>
    </row>
    <row r="2550" spans="1:1" x14ac:dyDescent="0.25">
      <c r="A2550" t="s">
        <v>520</v>
      </c>
    </row>
    <row r="2551" spans="1:1" x14ac:dyDescent="0.25">
      <c r="A2551" t="s">
        <v>83</v>
      </c>
    </row>
    <row r="2552" spans="1:1" x14ac:dyDescent="0.25">
      <c r="A2552" t="s">
        <v>84</v>
      </c>
    </row>
    <row r="2553" spans="1:1" x14ac:dyDescent="0.25">
      <c r="A2553" t="s">
        <v>85</v>
      </c>
    </row>
    <row r="2554" spans="1:1" x14ac:dyDescent="0.25">
      <c r="A2554" t="s">
        <v>86</v>
      </c>
    </row>
    <row r="2555" spans="1:1" x14ac:dyDescent="0.25">
      <c r="A2555" t="s">
        <v>87</v>
      </c>
    </row>
    <row r="2556" spans="1:1" x14ac:dyDescent="0.25">
      <c r="A2556" t="s">
        <v>88</v>
      </c>
    </row>
    <row r="2557" spans="1:1" x14ac:dyDescent="0.25">
      <c r="A2557" t="s">
        <v>89</v>
      </c>
    </row>
    <row r="2558" spans="1:1" x14ac:dyDescent="0.25">
      <c r="A2558" t="s">
        <v>90</v>
      </c>
    </row>
    <row r="2559" spans="1:1" x14ac:dyDescent="0.25">
      <c r="A2559" t="s">
        <v>91</v>
      </c>
    </row>
    <row r="2560" spans="1:1" x14ac:dyDescent="0.25">
      <c r="A2560" t="s">
        <v>92</v>
      </c>
    </row>
    <row r="2561" spans="1:1" x14ac:dyDescent="0.25">
      <c r="A2561" t="s">
        <v>93</v>
      </c>
    </row>
    <row r="2562" spans="1:1" x14ac:dyDescent="0.25">
      <c r="A2562" t="s">
        <v>94</v>
      </c>
    </row>
    <row r="2565" spans="1:1" x14ac:dyDescent="0.25">
      <c r="A2565" t="s">
        <v>521</v>
      </c>
    </row>
    <row r="2566" spans="1:1" x14ac:dyDescent="0.25">
      <c r="A2566" t="s">
        <v>522</v>
      </c>
    </row>
    <row r="2567" spans="1:1" x14ac:dyDescent="0.25">
      <c r="A2567" t="s">
        <v>202</v>
      </c>
    </row>
    <row r="2568" spans="1:1" x14ac:dyDescent="0.25">
      <c r="A2568" t="s">
        <v>83</v>
      </c>
    </row>
    <row r="2569" spans="1:1" x14ac:dyDescent="0.25">
      <c r="A2569" t="s">
        <v>84</v>
      </c>
    </row>
    <row r="2570" spans="1:1" x14ac:dyDescent="0.25">
      <c r="A2570" t="s">
        <v>85</v>
      </c>
    </row>
    <row r="2571" spans="1:1" x14ac:dyDescent="0.25">
      <c r="A2571" t="s">
        <v>86</v>
      </c>
    </row>
    <row r="2572" spans="1:1" x14ac:dyDescent="0.25">
      <c r="A2572" t="s">
        <v>87</v>
      </c>
    </row>
    <row r="2573" spans="1:1" x14ac:dyDescent="0.25">
      <c r="A2573" t="s">
        <v>88</v>
      </c>
    </row>
    <row r="2574" spans="1:1" x14ac:dyDescent="0.25">
      <c r="A2574" t="s">
        <v>289</v>
      </c>
    </row>
    <row r="2575" spans="1:1" x14ac:dyDescent="0.25">
      <c r="A2575" t="s">
        <v>523</v>
      </c>
    </row>
    <row r="2576" spans="1:1" x14ac:dyDescent="0.25">
      <c r="A2576" t="s">
        <v>91</v>
      </c>
    </row>
    <row r="2582" spans="1:1" x14ac:dyDescent="0.25">
      <c r="A2582" t="s">
        <v>72</v>
      </c>
    </row>
    <row r="2583" spans="1:1" x14ac:dyDescent="0.25">
      <c r="A2583" t="s">
        <v>73</v>
      </c>
    </row>
    <row r="2584" spans="1:1" x14ac:dyDescent="0.25">
      <c r="A2584" t="s">
        <v>74</v>
      </c>
    </row>
    <row r="2585" spans="1:1" x14ac:dyDescent="0.25">
      <c r="A2585" t="s">
        <v>75</v>
      </c>
    </row>
    <row r="2586" spans="1:1" x14ac:dyDescent="0.25">
      <c r="A2586" t="s">
        <v>76</v>
      </c>
    </row>
    <row r="2587" spans="1:1" x14ac:dyDescent="0.25">
      <c r="A2587" t="s">
        <v>77</v>
      </c>
    </row>
    <row r="2588" spans="1:1" x14ac:dyDescent="0.25">
      <c r="A2588" t="s">
        <v>524</v>
      </c>
    </row>
    <row r="2589" spans="1:1" x14ac:dyDescent="0.25">
      <c r="A2589" t="s">
        <v>79</v>
      </c>
    </row>
    <row r="2590" spans="1:1" x14ac:dyDescent="0.25">
      <c r="A2590" t="s">
        <v>92</v>
      </c>
    </row>
    <row r="2591" spans="1:1" x14ac:dyDescent="0.25">
      <c r="A2591" t="s">
        <v>93</v>
      </c>
    </row>
    <row r="2592" spans="1:1" x14ac:dyDescent="0.25">
      <c r="A2592" t="s">
        <v>525</v>
      </c>
    </row>
    <row r="2593" spans="1:1" x14ac:dyDescent="0.25">
      <c r="A2593" t="s">
        <v>526</v>
      </c>
    </row>
    <row r="2596" spans="1:1" x14ac:dyDescent="0.25">
      <c r="A2596" t="s">
        <v>527</v>
      </c>
    </row>
    <row r="2597" spans="1:1" x14ac:dyDescent="0.25">
      <c r="A2597" t="s">
        <v>528</v>
      </c>
    </row>
    <row r="2598" spans="1:1" x14ac:dyDescent="0.25">
      <c r="A2598" t="s">
        <v>511</v>
      </c>
    </row>
    <row r="2599" spans="1:1" x14ac:dyDescent="0.25">
      <c r="A2599" t="s">
        <v>83</v>
      </c>
    </row>
    <row r="2600" spans="1:1" x14ac:dyDescent="0.25">
      <c r="A2600" t="s">
        <v>184</v>
      </c>
    </row>
    <row r="2601" spans="1:1" x14ac:dyDescent="0.25">
      <c r="A2601" t="s">
        <v>85</v>
      </c>
    </row>
    <row r="2602" spans="1:1" x14ac:dyDescent="0.25">
      <c r="A2602" t="s">
        <v>86</v>
      </c>
    </row>
    <row r="2603" spans="1:1" x14ac:dyDescent="0.25">
      <c r="A2603" t="s">
        <v>87</v>
      </c>
    </row>
    <row r="2604" spans="1:1" x14ac:dyDescent="0.25">
      <c r="A2604" t="s">
        <v>88</v>
      </c>
    </row>
    <row r="2605" spans="1:1" x14ac:dyDescent="0.25">
      <c r="A2605" t="s">
        <v>89</v>
      </c>
    </row>
    <row r="2606" spans="1:1" x14ac:dyDescent="0.25">
      <c r="A2606" t="s">
        <v>123</v>
      </c>
    </row>
    <row r="2607" spans="1:1" x14ac:dyDescent="0.25">
      <c r="A2607" t="s">
        <v>91</v>
      </c>
    </row>
    <row r="2608" spans="1:1" x14ac:dyDescent="0.25">
      <c r="A2608" t="s">
        <v>92</v>
      </c>
    </row>
    <row r="2609" spans="1:1" x14ac:dyDescent="0.25">
      <c r="A2609" t="s">
        <v>93</v>
      </c>
    </row>
    <row r="2610" spans="1:1" x14ac:dyDescent="0.25">
      <c r="A2610" t="s">
        <v>124</v>
      </c>
    </row>
    <row r="2611" spans="1:1" x14ac:dyDescent="0.25">
      <c r="A2611" t="s">
        <v>125</v>
      </c>
    </row>
    <row r="2614" spans="1:1" x14ac:dyDescent="0.25">
      <c r="A2614" t="s">
        <v>529</v>
      </c>
    </row>
    <row r="2615" spans="1:1" x14ac:dyDescent="0.25">
      <c r="A2615" t="s">
        <v>530</v>
      </c>
    </row>
    <row r="2616" spans="1:1" x14ac:dyDescent="0.25">
      <c r="A2616" t="s">
        <v>122</v>
      </c>
    </row>
    <row r="2617" spans="1:1" x14ac:dyDescent="0.25">
      <c r="A2617" t="s">
        <v>83</v>
      </c>
    </row>
    <row r="2618" spans="1:1" x14ac:dyDescent="0.25">
      <c r="A2618" t="s">
        <v>84</v>
      </c>
    </row>
    <row r="2619" spans="1:1" x14ac:dyDescent="0.25">
      <c r="A2619" t="s">
        <v>85</v>
      </c>
    </row>
    <row r="2620" spans="1:1" x14ac:dyDescent="0.25">
      <c r="A2620" t="s">
        <v>86</v>
      </c>
    </row>
    <row r="2621" spans="1:1" x14ac:dyDescent="0.25">
      <c r="A2621" t="s">
        <v>87</v>
      </c>
    </row>
    <row r="2622" spans="1:1" x14ac:dyDescent="0.25">
      <c r="A2622" t="s">
        <v>88</v>
      </c>
    </row>
    <row r="2623" spans="1:1" x14ac:dyDescent="0.25">
      <c r="A2623" t="s">
        <v>89</v>
      </c>
    </row>
    <row r="2624" spans="1:1" x14ac:dyDescent="0.25">
      <c r="A2624" t="s">
        <v>110</v>
      </c>
    </row>
    <row r="2625" spans="1:1" x14ac:dyDescent="0.25">
      <c r="A2625" t="s">
        <v>91</v>
      </c>
    </row>
    <row r="2626" spans="1:1" x14ac:dyDescent="0.25">
      <c r="A2626" t="s">
        <v>92</v>
      </c>
    </row>
    <row r="2627" spans="1:1" x14ac:dyDescent="0.25">
      <c r="A2627" t="s">
        <v>93</v>
      </c>
    </row>
    <row r="2628" spans="1:1" x14ac:dyDescent="0.25">
      <c r="A2628" t="s">
        <v>111</v>
      </c>
    </row>
    <row r="2631" spans="1:1" x14ac:dyDescent="0.25">
      <c r="A2631" t="s">
        <v>531</v>
      </c>
    </row>
    <row r="2632" spans="1:1" x14ac:dyDescent="0.25">
      <c r="A2632" t="s">
        <v>532</v>
      </c>
    </row>
    <row r="2633" spans="1:1" x14ac:dyDescent="0.25">
      <c r="A2633" t="s">
        <v>533</v>
      </c>
    </row>
    <row r="2634" spans="1:1" x14ac:dyDescent="0.25">
      <c r="A2634" t="s">
        <v>83</v>
      </c>
    </row>
    <row r="2635" spans="1:1" x14ac:dyDescent="0.25">
      <c r="A2635" t="s">
        <v>84</v>
      </c>
    </row>
    <row r="2636" spans="1:1" x14ac:dyDescent="0.25">
      <c r="A2636" t="s">
        <v>85</v>
      </c>
    </row>
    <row r="2637" spans="1:1" x14ac:dyDescent="0.25">
      <c r="A2637" t="s">
        <v>86</v>
      </c>
    </row>
    <row r="2638" spans="1:1" x14ac:dyDescent="0.25">
      <c r="A2638" t="s">
        <v>87</v>
      </c>
    </row>
    <row r="2639" spans="1:1" x14ac:dyDescent="0.25">
      <c r="A2639" t="s">
        <v>88</v>
      </c>
    </row>
    <row r="2645" spans="1:1" x14ac:dyDescent="0.25">
      <c r="A2645" t="s">
        <v>72</v>
      </c>
    </row>
    <row r="2646" spans="1:1" x14ac:dyDescent="0.25">
      <c r="A2646" t="s">
        <v>73</v>
      </c>
    </row>
    <row r="2647" spans="1:1" x14ac:dyDescent="0.25">
      <c r="A2647" t="s">
        <v>74</v>
      </c>
    </row>
    <row r="2648" spans="1:1" x14ac:dyDescent="0.25">
      <c r="A2648" t="s">
        <v>75</v>
      </c>
    </row>
    <row r="2649" spans="1:1" x14ac:dyDescent="0.25">
      <c r="A2649" t="s">
        <v>76</v>
      </c>
    </row>
    <row r="2650" spans="1:1" x14ac:dyDescent="0.25">
      <c r="A2650" t="s">
        <v>77</v>
      </c>
    </row>
    <row r="2651" spans="1:1" x14ac:dyDescent="0.25">
      <c r="A2651" t="s">
        <v>534</v>
      </c>
    </row>
    <row r="2652" spans="1:1" x14ac:dyDescent="0.25">
      <c r="A2652" t="s">
        <v>79</v>
      </c>
    </row>
    <row r="2653" spans="1:1" x14ac:dyDescent="0.25">
      <c r="A2653" t="s">
        <v>535</v>
      </c>
    </row>
    <row r="2654" spans="1:1" x14ac:dyDescent="0.25">
      <c r="A2654" t="s">
        <v>91</v>
      </c>
    </row>
    <row r="2655" spans="1:1" x14ac:dyDescent="0.25">
      <c r="A2655" t="s">
        <v>92</v>
      </c>
    </row>
    <row r="2656" spans="1:1" x14ac:dyDescent="0.25">
      <c r="A2656" t="s">
        <v>93</v>
      </c>
    </row>
    <row r="2657" spans="1:1" x14ac:dyDescent="0.25">
      <c r="A2657" t="s">
        <v>536</v>
      </c>
    </row>
    <row r="2658" spans="1:1" x14ac:dyDescent="0.25">
      <c r="A2658" t="s">
        <v>537</v>
      </c>
    </row>
    <row r="2661" spans="1:1" x14ac:dyDescent="0.25">
      <c r="A2661" t="s">
        <v>538</v>
      </c>
    </row>
    <row r="2662" spans="1:1" x14ac:dyDescent="0.25">
      <c r="A2662" t="s">
        <v>539</v>
      </c>
    </row>
    <row r="2663" spans="1:1" x14ac:dyDescent="0.25">
      <c r="A2663" t="s">
        <v>202</v>
      </c>
    </row>
    <row r="2664" spans="1:1" x14ac:dyDescent="0.25">
      <c r="A2664" t="s">
        <v>83</v>
      </c>
    </row>
    <row r="2665" spans="1:1" x14ac:dyDescent="0.25">
      <c r="A2665" t="s">
        <v>84</v>
      </c>
    </row>
    <row r="2666" spans="1:1" x14ac:dyDescent="0.25">
      <c r="A2666" t="s">
        <v>85</v>
      </c>
    </row>
    <row r="2667" spans="1:1" x14ac:dyDescent="0.25">
      <c r="A2667" t="s">
        <v>86</v>
      </c>
    </row>
    <row r="2668" spans="1:1" x14ac:dyDescent="0.25">
      <c r="A2668" t="s">
        <v>87</v>
      </c>
    </row>
    <row r="2669" spans="1:1" x14ac:dyDescent="0.25">
      <c r="A2669" t="s">
        <v>88</v>
      </c>
    </row>
    <row r="2670" spans="1:1" x14ac:dyDescent="0.25">
      <c r="A2670" t="s">
        <v>89</v>
      </c>
    </row>
    <row r="2671" spans="1:1" x14ac:dyDescent="0.25">
      <c r="A2671" t="s">
        <v>110</v>
      </c>
    </row>
    <row r="2672" spans="1:1" x14ac:dyDescent="0.25">
      <c r="A2672" t="s">
        <v>91</v>
      </c>
    </row>
    <row r="2673" spans="1:1" x14ac:dyDescent="0.25">
      <c r="A2673" t="s">
        <v>92</v>
      </c>
    </row>
    <row r="2674" spans="1:1" x14ac:dyDescent="0.25">
      <c r="A2674" t="s">
        <v>93</v>
      </c>
    </row>
    <row r="2675" spans="1:1" x14ac:dyDescent="0.25">
      <c r="A2675" t="s">
        <v>111</v>
      </c>
    </row>
    <row r="2678" spans="1:1" x14ac:dyDescent="0.25">
      <c r="A2678" t="s">
        <v>540</v>
      </c>
    </row>
    <row r="2679" spans="1:1" x14ac:dyDescent="0.25">
      <c r="A2679" t="s">
        <v>541</v>
      </c>
    </row>
    <row r="2680" spans="1:1" x14ac:dyDescent="0.25">
      <c r="A2680" t="s">
        <v>542</v>
      </c>
    </row>
    <row r="2681" spans="1:1" x14ac:dyDescent="0.25">
      <c r="A2681" t="s">
        <v>83</v>
      </c>
    </row>
    <row r="2682" spans="1:1" x14ac:dyDescent="0.25">
      <c r="A2682" t="s">
        <v>84</v>
      </c>
    </row>
    <row r="2683" spans="1:1" x14ac:dyDescent="0.25">
      <c r="A2683" t="s">
        <v>85</v>
      </c>
    </row>
    <row r="2684" spans="1:1" x14ac:dyDescent="0.25">
      <c r="A2684" t="s">
        <v>86</v>
      </c>
    </row>
    <row r="2685" spans="1:1" x14ac:dyDescent="0.25">
      <c r="A2685" t="s">
        <v>87</v>
      </c>
    </row>
    <row r="2686" spans="1:1" x14ac:dyDescent="0.25">
      <c r="A2686" t="s">
        <v>88</v>
      </c>
    </row>
    <row r="2687" spans="1:1" x14ac:dyDescent="0.25">
      <c r="A2687" t="s">
        <v>90</v>
      </c>
    </row>
    <row r="2688" spans="1:1" x14ac:dyDescent="0.25">
      <c r="A2688" t="s">
        <v>91</v>
      </c>
    </row>
    <row r="2689" spans="1:1" x14ac:dyDescent="0.25">
      <c r="A2689" t="s">
        <v>92</v>
      </c>
    </row>
    <row r="2690" spans="1:1" x14ac:dyDescent="0.25">
      <c r="A2690" t="s">
        <v>93</v>
      </c>
    </row>
    <row r="2691" spans="1:1" x14ac:dyDescent="0.25">
      <c r="A2691" t="s">
        <v>124</v>
      </c>
    </row>
    <row r="2692" spans="1:1" x14ac:dyDescent="0.25">
      <c r="A2692" t="s">
        <v>543</v>
      </c>
    </row>
    <row r="2695" spans="1:1" x14ac:dyDescent="0.25">
      <c r="A2695" t="s">
        <v>544</v>
      </c>
    </row>
    <row r="2696" spans="1:1" x14ac:dyDescent="0.25">
      <c r="A2696" t="s">
        <v>545</v>
      </c>
    </row>
    <row r="2697" spans="1:1" x14ac:dyDescent="0.25">
      <c r="A2697" t="s">
        <v>546</v>
      </c>
    </row>
    <row r="2698" spans="1:1" x14ac:dyDescent="0.25">
      <c r="A2698" t="s">
        <v>83</v>
      </c>
    </row>
    <row r="2699" spans="1:1" x14ac:dyDescent="0.25">
      <c r="A2699" t="s">
        <v>84</v>
      </c>
    </row>
    <row r="2700" spans="1:1" x14ac:dyDescent="0.25">
      <c r="A2700" t="s">
        <v>85</v>
      </c>
    </row>
    <row r="2701" spans="1:1" x14ac:dyDescent="0.25">
      <c r="A2701" t="s">
        <v>86</v>
      </c>
    </row>
    <row r="2702" spans="1:1" x14ac:dyDescent="0.25">
      <c r="A2702" t="s">
        <v>87</v>
      </c>
    </row>
    <row r="2708" spans="1:1" x14ac:dyDescent="0.25">
      <c r="A2708" t="s">
        <v>72</v>
      </c>
    </row>
    <row r="2709" spans="1:1" x14ac:dyDescent="0.25">
      <c r="A2709" t="s">
        <v>73</v>
      </c>
    </row>
    <row r="2710" spans="1:1" x14ac:dyDescent="0.25">
      <c r="A2710" t="s">
        <v>74</v>
      </c>
    </row>
    <row r="2711" spans="1:1" x14ac:dyDescent="0.25">
      <c r="A2711" t="s">
        <v>75</v>
      </c>
    </row>
    <row r="2712" spans="1:1" x14ac:dyDescent="0.25">
      <c r="A2712" t="s">
        <v>76</v>
      </c>
    </row>
    <row r="2713" spans="1:1" x14ac:dyDescent="0.25">
      <c r="A2713" t="s">
        <v>77</v>
      </c>
    </row>
    <row r="2714" spans="1:1" x14ac:dyDescent="0.25">
      <c r="A2714" t="s">
        <v>547</v>
      </c>
    </row>
    <row r="2715" spans="1:1" x14ac:dyDescent="0.25">
      <c r="A2715" t="s">
        <v>79</v>
      </c>
    </row>
    <row r="2716" spans="1:1" x14ac:dyDescent="0.25">
      <c r="A2716" t="s">
        <v>88</v>
      </c>
    </row>
    <row r="2717" spans="1:1" x14ac:dyDescent="0.25">
      <c r="A2717" t="s">
        <v>89</v>
      </c>
    </row>
    <row r="2718" spans="1:1" x14ac:dyDescent="0.25">
      <c r="A2718" t="s">
        <v>90</v>
      </c>
    </row>
    <row r="2719" spans="1:1" x14ac:dyDescent="0.25">
      <c r="A2719" t="s">
        <v>91</v>
      </c>
    </row>
    <row r="2720" spans="1:1" x14ac:dyDescent="0.25">
      <c r="A2720" t="s">
        <v>92</v>
      </c>
    </row>
    <row r="2721" spans="1:1" x14ac:dyDescent="0.25">
      <c r="A2721" t="s">
        <v>93</v>
      </c>
    </row>
    <row r="2722" spans="1:1" x14ac:dyDescent="0.25">
      <c r="A2722" t="s">
        <v>94</v>
      </c>
    </row>
    <row r="2725" spans="1:1" x14ac:dyDescent="0.25">
      <c r="A2725" t="s">
        <v>548</v>
      </c>
    </row>
    <row r="2726" spans="1:1" x14ac:dyDescent="0.25">
      <c r="A2726" t="s">
        <v>549</v>
      </c>
    </row>
    <row r="2727" spans="1:1" x14ac:dyDescent="0.25">
      <c r="A2727" t="s">
        <v>550</v>
      </c>
    </row>
    <row r="2728" spans="1:1" x14ac:dyDescent="0.25">
      <c r="A2728" t="s">
        <v>134</v>
      </c>
    </row>
    <row r="2729" spans="1:1" x14ac:dyDescent="0.25">
      <c r="A2729" t="s">
        <v>84</v>
      </c>
    </row>
    <row r="2730" spans="1:1" x14ac:dyDescent="0.25">
      <c r="A2730" t="s">
        <v>85</v>
      </c>
    </row>
    <row r="2731" spans="1:1" x14ac:dyDescent="0.25">
      <c r="A2731" t="s">
        <v>86</v>
      </c>
    </row>
    <row r="2732" spans="1:1" x14ac:dyDescent="0.25">
      <c r="A2732" t="s">
        <v>87</v>
      </c>
    </row>
    <row r="2733" spans="1:1" x14ac:dyDescent="0.25">
      <c r="A2733" t="s">
        <v>88</v>
      </c>
    </row>
    <row r="2734" spans="1:1" x14ac:dyDescent="0.25">
      <c r="A2734" t="s">
        <v>89</v>
      </c>
    </row>
    <row r="2735" spans="1:1" x14ac:dyDescent="0.25">
      <c r="A2735" t="s">
        <v>110</v>
      </c>
    </row>
    <row r="2736" spans="1:1" x14ac:dyDescent="0.25">
      <c r="A2736" t="s">
        <v>91</v>
      </c>
    </row>
    <row r="2737" spans="1:1" x14ac:dyDescent="0.25">
      <c r="A2737" t="s">
        <v>92</v>
      </c>
    </row>
    <row r="2738" spans="1:1" x14ac:dyDescent="0.25">
      <c r="A2738" t="s">
        <v>93</v>
      </c>
    </row>
    <row r="2739" spans="1:1" x14ac:dyDescent="0.25">
      <c r="A2739" t="s">
        <v>111</v>
      </c>
    </row>
    <row r="2742" spans="1:1" x14ac:dyDescent="0.25">
      <c r="A2742" t="s">
        <v>551</v>
      </c>
    </row>
    <row r="2743" spans="1:1" x14ac:dyDescent="0.25">
      <c r="A2743" t="s">
        <v>552</v>
      </c>
    </row>
    <row r="2744" spans="1:1" x14ac:dyDescent="0.25">
      <c r="A2744" t="s">
        <v>553</v>
      </c>
    </row>
    <row r="2745" spans="1:1" x14ac:dyDescent="0.25">
      <c r="A2745" t="s">
        <v>83</v>
      </c>
    </row>
    <row r="2746" spans="1:1" x14ac:dyDescent="0.25">
      <c r="A2746" t="s">
        <v>84</v>
      </c>
    </row>
    <row r="2747" spans="1:1" x14ac:dyDescent="0.25">
      <c r="A2747" t="s">
        <v>85</v>
      </c>
    </row>
    <row r="2748" spans="1:1" x14ac:dyDescent="0.25">
      <c r="A2748" t="s">
        <v>86</v>
      </c>
    </row>
    <row r="2749" spans="1:1" x14ac:dyDescent="0.25">
      <c r="A2749" t="s">
        <v>87</v>
      </c>
    </row>
    <row r="2750" spans="1:1" x14ac:dyDescent="0.25">
      <c r="A2750" t="s">
        <v>88</v>
      </c>
    </row>
    <row r="2751" spans="1:1" x14ac:dyDescent="0.25">
      <c r="A2751" t="s">
        <v>89</v>
      </c>
    </row>
    <row r="2752" spans="1:1" x14ac:dyDescent="0.25">
      <c r="A2752" t="s">
        <v>90</v>
      </c>
    </row>
    <row r="2753" spans="1:1" x14ac:dyDescent="0.25">
      <c r="A2753" t="s">
        <v>91</v>
      </c>
    </row>
    <row r="2754" spans="1:1" x14ac:dyDescent="0.25">
      <c r="A2754" t="s">
        <v>92</v>
      </c>
    </row>
    <row r="2755" spans="1:1" x14ac:dyDescent="0.25">
      <c r="A2755" t="s">
        <v>93</v>
      </c>
    </row>
    <row r="2756" spans="1:1" x14ac:dyDescent="0.25">
      <c r="A2756" t="s">
        <v>94</v>
      </c>
    </row>
    <row r="2759" spans="1:1" x14ac:dyDescent="0.25">
      <c r="A2759" t="s">
        <v>554</v>
      </c>
    </row>
    <row r="2760" spans="1:1" x14ac:dyDescent="0.25">
      <c r="A2760" t="s">
        <v>555</v>
      </c>
    </row>
    <row r="2761" spans="1:1" x14ac:dyDescent="0.25">
      <c r="A2761" t="s">
        <v>148</v>
      </c>
    </row>
    <row r="2762" spans="1:1" x14ac:dyDescent="0.25">
      <c r="A2762" t="s">
        <v>83</v>
      </c>
    </row>
    <row r="2763" spans="1:1" x14ac:dyDescent="0.25">
      <c r="A2763" t="s">
        <v>84</v>
      </c>
    </row>
    <row r="2764" spans="1:1" x14ac:dyDescent="0.25">
      <c r="A2764" t="s">
        <v>85</v>
      </c>
    </row>
    <row r="2770" spans="1:1" x14ac:dyDescent="0.25">
      <c r="A2770" t="s">
        <v>72</v>
      </c>
    </row>
    <row r="2771" spans="1:1" x14ac:dyDescent="0.25">
      <c r="A2771" t="s">
        <v>73</v>
      </c>
    </row>
    <row r="2772" spans="1:1" x14ac:dyDescent="0.25">
      <c r="A2772" t="s">
        <v>74</v>
      </c>
    </row>
    <row r="2773" spans="1:1" x14ac:dyDescent="0.25">
      <c r="A2773" t="s">
        <v>75</v>
      </c>
    </row>
    <row r="2774" spans="1:1" x14ac:dyDescent="0.25">
      <c r="A2774" t="s">
        <v>76</v>
      </c>
    </row>
    <row r="2775" spans="1:1" x14ac:dyDescent="0.25">
      <c r="A2775" t="s">
        <v>77</v>
      </c>
    </row>
    <row r="2776" spans="1:1" x14ac:dyDescent="0.25">
      <c r="A2776" t="s">
        <v>556</v>
      </c>
    </row>
    <row r="2777" spans="1:1" x14ac:dyDescent="0.25">
      <c r="A2777" t="s">
        <v>79</v>
      </c>
    </row>
    <row r="2778" spans="1:1" x14ac:dyDescent="0.25">
      <c r="A2778" t="s">
        <v>86</v>
      </c>
    </row>
    <row r="2779" spans="1:1" x14ac:dyDescent="0.25">
      <c r="A2779" t="s">
        <v>87</v>
      </c>
    </row>
    <row r="2780" spans="1:1" x14ac:dyDescent="0.25">
      <c r="A2780" t="s">
        <v>88</v>
      </c>
    </row>
    <row r="2781" spans="1:1" x14ac:dyDescent="0.25">
      <c r="A2781" t="s">
        <v>89</v>
      </c>
    </row>
    <row r="2782" spans="1:1" x14ac:dyDescent="0.25">
      <c r="A2782" t="s">
        <v>129</v>
      </c>
    </row>
    <row r="2783" spans="1:1" x14ac:dyDescent="0.25">
      <c r="A2783" t="s">
        <v>104</v>
      </c>
    </row>
    <row r="2784" spans="1:1" x14ac:dyDescent="0.25">
      <c r="A2784" t="s">
        <v>91</v>
      </c>
    </row>
    <row r="2785" spans="1:1" x14ac:dyDescent="0.25">
      <c r="A2785" t="s">
        <v>92</v>
      </c>
    </row>
    <row r="2786" spans="1:1" x14ac:dyDescent="0.25">
      <c r="A2786" t="s">
        <v>93</v>
      </c>
    </row>
    <row r="2787" spans="1:1" x14ac:dyDescent="0.25">
      <c r="A2787" t="s">
        <v>130</v>
      </c>
    </row>
    <row r="2790" spans="1:1" x14ac:dyDescent="0.25">
      <c r="A2790" t="s">
        <v>557</v>
      </c>
    </row>
    <row r="2791" spans="1:1" x14ac:dyDescent="0.25">
      <c r="A2791" t="s">
        <v>558</v>
      </c>
    </row>
    <row r="2792" spans="1:1" x14ac:dyDescent="0.25">
      <c r="A2792" t="s">
        <v>243</v>
      </c>
    </row>
    <row r="2793" spans="1:1" x14ac:dyDescent="0.25">
      <c r="A2793" t="s">
        <v>83</v>
      </c>
    </row>
    <row r="2794" spans="1:1" x14ac:dyDescent="0.25">
      <c r="A2794" t="s">
        <v>84</v>
      </c>
    </row>
    <row r="2795" spans="1:1" x14ac:dyDescent="0.25">
      <c r="A2795" t="s">
        <v>85</v>
      </c>
    </row>
    <row r="2796" spans="1:1" x14ac:dyDescent="0.25">
      <c r="A2796" t="s">
        <v>86</v>
      </c>
    </row>
    <row r="2797" spans="1:1" x14ac:dyDescent="0.25">
      <c r="A2797" t="s">
        <v>87</v>
      </c>
    </row>
    <row r="2798" spans="1:1" x14ac:dyDescent="0.25">
      <c r="A2798" t="s">
        <v>88</v>
      </c>
    </row>
    <row r="2799" spans="1:1" x14ac:dyDescent="0.25">
      <c r="A2799" t="s">
        <v>98</v>
      </c>
    </row>
    <row r="2800" spans="1:1" x14ac:dyDescent="0.25">
      <c r="A2800" t="s">
        <v>99</v>
      </c>
    </row>
    <row r="2801" spans="1:1" x14ac:dyDescent="0.25">
      <c r="A2801" t="s">
        <v>91</v>
      </c>
    </row>
    <row r="2802" spans="1:1" x14ac:dyDescent="0.25">
      <c r="A2802" t="s">
        <v>92</v>
      </c>
    </row>
    <row r="2803" spans="1:1" x14ac:dyDescent="0.25">
      <c r="A2803" t="s">
        <v>93</v>
      </c>
    </row>
    <row r="2804" spans="1:1" x14ac:dyDescent="0.25">
      <c r="A2804" t="s">
        <v>100</v>
      </c>
    </row>
    <row r="2807" spans="1:1" x14ac:dyDescent="0.25">
      <c r="A2807" t="s">
        <v>559</v>
      </c>
    </row>
    <row r="2808" spans="1:1" x14ac:dyDescent="0.25">
      <c r="A2808" t="s">
        <v>560</v>
      </c>
    </row>
    <row r="2809" spans="1:1" x14ac:dyDescent="0.25">
      <c r="A2809" t="s">
        <v>561</v>
      </c>
    </row>
    <row r="2810" spans="1:1" x14ac:dyDescent="0.25">
      <c r="A2810" t="s">
        <v>83</v>
      </c>
    </row>
    <row r="2811" spans="1:1" x14ac:dyDescent="0.25">
      <c r="A2811" t="s">
        <v>84</v>
      </c>
    </row>
    <row r="2812" spans="1:1" x14ac:dyDescent="0.25">
      <c r="A2812" t="s">
        <v>85</v>
      </c>
    </row>
    <row r="2813" spans="1:1" x14ac:dyDescent="0.25">
      <c r="A2813" t="s">
        <v>86</v>
      </c>
    </row>
    <row r="2814" spans="1:1" x14ac:dyDescent="0.25">
      <c r="A2814" t="s">
        <v>87</v>
      </c>
    </row>
    <row r="2815" spans="1:1" x14ac:dyDescent="0.25">
      <c r="A2815" t="s">
        <v>88</v>
      </c>
    </row>
    <row r="2816" spans="1:1" x14ac:dyDescent="0.25">
      <c r="A2816" t="s">
        <v>89</v>
      </c>
    </row>
    <row r="2817" spans="1:1" x14ac:dyDescent="0.25">
      <c r="A2817" t="s">
        <v>104</v>
      </c>
    </row>
    <row r="2818" spans="1:1" x14ac:dyDescent="0.25">
      <c r="A2818" t="s">
        <v>91</v>
      </c>
    </row>
    <row r="2819" spans="1:1" x14ac:dyDescent="0.25">
      <c r="A2819" t="s">
        <v>92</v>
      </c>
    </row>
    <row r="2820" spans="1:1" x14ac:dyDescent="0.25">
      <c r="A2820" t="s">
        <v>93</v>
      </c>
    </row>
    <row r="2821" spans="1:1" x14ac:dyDescent="0.25">
      <c r="A2821" t="s">
        <v>284</v>
      </c>
    </row>
    <row r="2824" spans="1:1" x14ac:dyDescent="0.25">
      <c r="A2824" t="s">
        <v>562</v>
      </c>
    </row>
    <row r="2825" spans="1:1" x14ac:dyDescent="0.25">
      <c r="A2825" t="s">
        <v>563</v>
      </c>
    </row>
    <row r="2826" spans="1:1" x14ac:dyDescent="0.25">
      <c r="A2826" t="s">
        <v>564</v>
      </c>
    </row>
    <row r="2827" spans="1:1" x14ac:dyDescent="0.25">
      <c r="A2827" t="s">
        <v>134</v>
      </c>
    </row>
    <row r="2833" spans="1:1" x14ac:dyDescent="0.25">
      <c r="A2833" t="s">
        <v>72</v>
      </c>
    </row>
    <row r="2834" spans="1:1" x14ac:dyDescent="0.25">
      <c r="A2834" t="s">
        <v>73</v>
      </c>
    </row>
    <row r="2835" spans="1:1" x14ac:dyDescent="0.25">
      <c r="A2835" t="s">
        <v>74</v>
      </c>
    </row>
    <row r="2836" spans="1:1" x14ac:dyDescent="0.25">
      <c r="A2836" t="s">
        <v>75</v>
      </c>
    </row>
    <row r="2837" spans="1:1" x14ac:dyDescent="0.25">
      <c r="A2837" t="s">
        <v>76</v>
      </c>
    </row>
    <row r="2838" spans="1:1" x14ac:dyDescent="0.25">
      <c r="A2838" t="s">
        <v>77</v>
      </c>
    </row>
    <row r="2839" spans="1:1" x14ac:dyDescent="0.25">
      <c r="A2839" t="s">
        <v>565</v>
      </c>
    </row>
    <row r="2840" spans="1:1" x14ac:dyDescent="0.25">
      <c r="A2840" t="s">
        <v>79</v>
      </c>
    </row>
    <row r="2841" spans="1:1" x14ac:dyDescent="0.25">
      <c r="A2841" t="s">
        <v>84</v>
      </c>
    </row>
    <row r="2842" spans="1:1" x14ac:dyDescent="0.25">
      <c r="A2842" t="s">
        <v>85</v>
      </c>
    </row>
    <row r="2843" spans="1:1" x14ac:dyDescent="0.25">
      <c r="A2843" t="s">
        <v>86</v>
      </c>
    </row>
    <row r="2844" spans="1:1" x14ac:dyDescent="0.25">
      <c r="A2844" t="s">
        <v>87</v>
      </c>
    </row>
    <row r="2845" spans="1:1" x14ac:dyDescent="0.25">
      <c r="A2845" t="s">
        <v>88</v>
      </c>
    </row>
    <row r="2846" spans="1:1" x14ac:dyDescent="0.25">
      <c r="A2846" t="s">
        <v>89</v>
      </c>
    </row>
    <row r="2847" spans="1:1" x14ac:dyDescent="0.25">
      <c r="A2847" t="s">
        <v>104</v>
      </c>
    </row>
    <row r="2848" spans="1:1" x14ac:dyDescent="0.25">
      <c r="A2848" t="s">
        <v>91</v>
      </c>
    </row>
    <row r="2849" spans="1:1" x14ac:dyDescent="0.25">
      <c r="A2849" t="s">
        <v>92</v>
      </c>
    </row>
    <row r="2850" spans="1:1" x14ac:dyDescent="0.25">
      <c r="A2850" t="s">
        <v>93</v>
      </c>
    </row>
    <row r="2851" spans="1:1" x14ac:dyDescent="0.25">
      <c r="A2851" t="s">
        <v>284</v>
      </c>
    </row>
    <row r="2854" spans="1:1" x14ac:dyDescent="0.25">
      <c r="A2854" t="s">
        <v>566</v>
      </c>
    </row>
    <row r="2855" spans="1:1" x14ac:dyDescent="0.25">
      <c r="A2855" t="s">
        <v>567</v>
      </c>
    </row>
    <row r="2856" spans="1:1" x14ac:dyDescent="0.25">
      <c r="A2856" t="s">
        <v>568</v>
      </c>
    </row>
    <row r="2857" spans="1:1" x14ac:dyDescent="0.25">
      <c r="A2857" t="s">
        <v>134</v>
      </c>
    </row>
    <row r="2858" spans="1:1" x14ac:dyDescent="0.25">
      <c r="A2858" t="s">
        <v>84</v>
      </c>
    </row>
    <row r="2859" spans="1:1" x14ac:dyDescent="0.25">
      <c r="A2859" t="s">
        <v>85</v>
      </c>
    </row>
    <row r="2860" spans="1:1" x14ac:dyDescent="0.25">
      <c r="A2860" t="s">
        <v>86</v>
      </c>
    </row>
    <row r="2861" spans="1:1" x14ac:dyDescent="0.25">
      <c r="A2861" t="s">
        <v>87</v>
      </c>
    </row>
    <row r="2862" spans="1:1" x14ac:dyDescent="0.25">
      <c r="A2862" t="s">
        <v>88</v>
      </c>
    </row>
    <row r="2863" spans="1:1" x14ac:dyDescent="0.25">
      <c r="A2863" t="s">
        <v>89</v>
      </c>
    </row>
    <row r="2864" spans="1:1" x14ac:dyDescent="0.25">
      <c r="A2864" t="s">
        <v>110</v>
      </c>
    </row>
    <row r="2865" spans="1:1" x14ac:dyDescent="0.25">
      <c r="A2865" t="s">
        <v>91</v>
      </c>
    </row>
    <row r="2866" spans="1:1" x14ac:dyDescent="0.25">
      <c r="A2866" t="s">
        <v>92</v>
      </c>
    </row>
    <row r="2867" spans="1:1" x14ac:dyDescent="0.25">
      <c r="A2867" t="s">
        <v>93</v>
      </c>
    </row>
    <row r="2868" spans="1:1" x14ac:dyDescent="0.25">
      <c r="A2868" t="s">
        <v>111</v>
      </c>
    </row>
    <row r="2871" spans="1:1" x14ac:dyDescent="0.25">
      <c r="A2871" t="s">
        <v>569</v>
      </c>
    </row>
    <row r="2872" spans="1:1" x14ac:dyDescent="0.25">
      <c r="A2872" t="s">
        <v>570</v>
      </c>
    </row>
    <row r="2873" spans="1:1" x14ac:dyDescent="0.25">
      <c r="A2873" t="s">
        <v>571</v>
      </c>
    </row>
    <row r="2874" spans="1:1" x14ac:dyDescent="0.25">
      <c r="A2874" t="s">
        <v>83</v>
      </c>
    </row>
    <row r="2875" spans="1:1" x14ac:dyDescent="0.25">
      <c r="A2875" t="s">
        <v>184</v>
      </c>
    </row>
    <row r="2876" spans="1:1" x14ac:dyDescent="0.25">
      <c r="A2876" t="s">
        <v>85</v>
      </c>
    </row>
    <row r="2877" spans="1:1" x14ac:dyDescent="0.25">
      <c r="A2877" t="s">
        <v>86</v>
      </c>
    </row>
    <row r="2878" spans="1:1" x14ac:dyDescent="0.25">
      <c r="A2878" t="s">
        <v>87</v>
      </c>
    </row>
    <row r="2879" spans="1:1" x14ac:dyDescent="0.25">
      <c r="A2879" t="s">
        <v>88</v>
      </c>
    </row>
    <row r="2880" spans="1:1" x14ac:dyDescent="0.25">
      <c r="A2880" t="s">
        <v>89</v>
      </c>
    </row>
    <row r="2881" spans="1:1" x14ac:dyDescent="0.25">
      <c r="A2881" t="s">
        <v>90</v>
      </c>
    </row>
    <row r="2882" spans="1:1" x14ac:dyDescent="0.25">
      <c r="A2882" t="s">
        <v>91</v>
      </c>
    </row>
    <row r="2883" spans="1:1" x14ac:dyDescent="0.25">
      <c r="A2883" t="s">
        <v>92</v>
      </c>
    </row>
    <row r="2884" spans="1:1" x14ac:dyDescent="0.25">
      <c r="A2884" t="s">
        <v>93</v>
      </c>
    </row>
    <row r="2885" spans="1:1" x14ac:dyDescent="0.25">
      <c r="A2885" t="s">
        <v>94</v>
      </c>
    </row>
    <row r="2888" spans="1:1" x14ac:dyDescent="0.25">
      <c r="A2888" t="s">
        <v>572</v>
      </c>
    </row>
    <row r="2889" spans="1:1" x14ac:dyDescent="0.25">
      <c r="A2889" t="s">
        <v>573</v>
      </c>
    </row>
    <row r="2890" spans="1:1" x14ac:dyDescent="0.25">
      <c r="A2890" t="s">
        <v>574</v>
      </c>
    </row>
    <row r="2896" spans="1:1" x14ac:dyDescent="0.25">
      <c r="A2896" t="s">
        <v>72</v>
      </c>
    </row>
    <row r="2897" spans="1:1" x14ac:dyDescent="0.25">
      <c r="A2897" t="s">
        <v>73</v>
      </c>
    </row>
    <row r="2898" spans="1:1" x14ac:dyDescent="0.25">
      <c r="A2898" t="s">
        <v>74</v>
      </c>
    </row>
    <row r="2899" spans="1:1" x14ac:dyDescent="0.25">
      <c r="A2899" t="s">
        <v>75</v>
      </c>
    </row>
    <row r="2900" spans="1:1" x14ac:dyDescent="0.25">
      <c r="A2900" t="s">
        <v>76</v>
      </c>
    </row>
    <row r="2901" spans="1:1" x14ac:dyDescent="0.25">
      <c r="A2901" t="s">
        <v>77</v>
      </c>
    </row>
    <row r="2902" spans="1:1" x14ac:dyDescent="0.25">
      <c r="A2902" t="s">
        <v>575</v>
      </c>
    </row>
    <row r="2903" spans="1:1" x14ac:dyDescent="0.25">
      <c r="A2903" t="s">
        <v>79</v>
      </c>
    </row>
    <row r="2904" spans="1:1" x14ac:dyDescent="0.25">
      <c r="A2904" t="s">
        <v>83</v>
      </c>
    </row>
    <row r="2905" spans="1:1" x14ac:dyDescent="0.25">
      <c r="A2905" t="s">
        <v>84</v>
      </c>
    </row>
    <row r="2906" spans="1:1" x14ac:dyDescent="0.25">
      <c r="A2906" t="s">
        <v>85</v>
      </c>
    </row>
    <row r="2907" spans="1:1" x14ac:dyDescent="0.25">
      <c r="A2907" t="s">
        <v>86</v>
      </c>
    </row>
    <row r="2908" spans="1:1" x14ac:dyDescent="0.25">
      <c r="A2908" t="s">
        <v>87</v>
      </c>
    </row>
    <row r="2909" spans="1:1" x14ac:dyDescent="0.25">
      <c r="A2909" t="s">
        <v>88</v>
      </c>
    </row>
    <row r="2910" spans="1:1" x14ac:dyDescent="0.25">
      <c r="A2910" t="s">
        <v>89</v>
      </c>
    </row>
    <row r="2911" spans="1:1" x14ac:dyDescent="0.25">
      <c r="A2911" t="s">
        <v>576</v>
      </c>
    </row>
    <row r="2912" spans="1:1" x14ac:dyDescent="0.25">
      <c r="A2912" t="s">
        <v>91</v>
      </c>
    </row>
    <row r="2913" spans="1:1" x14ac:dyDescent="0.25">
      <c r="A2913" t="s">
        <v>92</v>
      </c>
    </row>
    <row r="2914" spans="1:1" x14ac:dyDescent="0.25">
      <c r="A2914" t="s">
        <v>93</v>
      </c>
    </row>
    <row r="2915" spans="1:1" x14ac:dyDescent="0.25">
      <c r="A2915" t="s">
        <v>156</v>
      </c>
    </row>
    <row r="2916" spans="1:1" x14ac:dyDescent="0.25">
      <c r="A2916" t="s">
        <v>577</v>
      </c>
    </row>
    <row r="2919" spans="1:1" x14ac:dyDescent="0.25">
      <c r="A2919" t="s">
        <v>578</v>
      </c>
    </row>
    <row r="2920" spans="1:1" x14ac:dyDescent="0.25">
      <c r="A2920" t="s">
        <v>579</v>
      </c>
    </row>
    <row r="2921" spans="1:1" x14ac:dyDescent="0.25">
      <c r="A2921" t="s">
        <v>488</v>
      </c>
    </row>
    <row r="2922" spans="1:1" x14ac:dyDescent="0.25">
      <c r="A2922" t="s">
        <v>83</v>
      </c>
    </row>
    <row r="2923" spans="1:1" x14ac:dyDescent="0.25">
      <c r="A2923" t="s">
        <v>84</v>
      </c>
    </row>
    <row r="2924" spans="1:1" x14ac:dyDescent="0.25">
      <c r="A2924" t="s">
        <v>85</v>
      </c>
    </row>
    <row r="2925" spans="1:1" x14ac:dyDescent="0.25">
      <c r="A2925" t="s">
        <v>86</v>
      </c>
    </row>
    <row r="2926" spans="1:1" x14ac:dyDescent="0.25">
      <c r="A2926" t="s">
        <v>87</v>
      </c>
    </row>
    <row r="2927" spans="1:1" x14ac:dyDescent="0.25">
      <c r="A2927" t="s">
        <v>88</v>
      </c>
    </row>
    <row r="2928" spans="1:1" x14ac:dyDescent="0.25">
      <c r="A2928" t="s">
        <v>365</v>
      </c>
    </row>
    <row r="2929" spans="1:1" x14ac:dyDescent="0.25">
      <c r="A2929" t="s">
        <v>91</v>
      </c>
    </row>
    <row r="2930" spans="1:1" x14ac:dyDescent="0.25">
      <c r="A2930" t="s">
        <v>92</v>
      </c>
    </row>
    <row r="2931" spans="1:1" x14ac:dyDescent="0.25">
      <c r="A2931" t="s">
        <v>93</v>
      </c>
    </row>
    <row r="2932" spans="1:1" x14ac:dyDescent="0.25">
      <c r="A2932" t="s">
        <v>366</v>
      </c>
    </row>
    <row r="2935" spans="1:1" x14ac:dyDescent="0.25">
      <c r="A2935" t="s">
        <v>580</v>
      </c>
    </row>
    <row r="2936" spans="1:1" x14ac:dyDescent="0.25">
      <c r="A2936" t="s">
        <v>581</v>
      </c>
    </row>
    <row r="2937" spans="1:1" x14ac:dyDescent="0.25">
      <c r="A2937" t="s">
        <v>210</v>
      </c>
    </row>
    <row r="2938" spans="1:1" x14ac:dyDescent="0.25">
      <c r="A2938" t="s">
        <v>83</v>
      </c>
    </row>
    <row r="2939" spans="1:1" x14ac:dyDescent="0.25">
      <c r="A2939" t="s">
        <v>84</v>
      </c>
    </row>
    <row r="2940" spans="1:1" x14ac:dyDescent="0.25">
      <c r="A2940" t="s">
        <v>85</v>
      </c>
    </row>
    <row r="2941" spans="1:1" x14ac:dyDescent="0.25">
      <c r="A2941" t="s">
        <v>86</v>
      </c>
    </row>
    <row r="2942" spans="1:1" x14ac:dyDescent="0.25">
      <c r="A2942" t="s">
        <v>87</v>
      </c>
    </row>
    <row r="2943" spans="1:1" x14ac:dyDescent="0.25">
      <c r="A2943" t="s">
        <v>88</v>
      </c>
    </row>
    <row r="2944" spans="1:1" x14ac:dyDescent="0.25">
      <c r="A2944" t="s">
        <v>89</v>
      </c>
    </row>
    <row r="2945" spans="1:1" x14ac:dyDescent="0.25">
      <c r="A2945" t="s">
        <v>90</v>
      </c>
    </row>
    <row r="2946" spans="1:1" x14ac:dyDescent="0.25">
      <c r="A2946" t="s">
        <v>91</v>
      </c>
    </row>
    <row r="2947" spans="1:1" x14ac:dyDescent="0.25">
      <c r="A2947" t="s">
        <v>92</v>
      </c>
    </row>
    <row r="2948" spans="1:1" x14ac:dyDescent="0.25">
      <c r="A2948" t="s">
        <v>93</v>
      </c>
    </row>
    <row r="2949" spans="1:1" x14ac:dyDescent="0.25">
      <c r="A2949" t="s">
        <v>94</v>
      </c>
    </row>
    <row r="2952" spans="1:1" x14ac:dyDescent="0.25">
      <c r="A2952" t="s">
        <v>582</v>
      </c>
    </row>
    <row r="2953" spans="1:1" x14ac:dyDescent="0.25">
      <c r="A2953" t="s">
        <v>583</v>
      </c>
    </row>
    <row r="2959" spans="1:1" x14ac:dyDescent="0.25">
      <c r="A2959" t="s">
        <v>72</v>
      </c>
    </row>
    <row r="2960" spans="1:1" x14ac:dyDescent="0.25">
      <c r="A2960" t="s">
        <v>73</v>
      </c>
    </row>
    <row r="2961" spans="1:1" x14ac:dyDescent="0.25">
      <c r="A2961" t="s">
        <v>74</v>
      </c>
    </row>
    <row r="2962" spans="1:1" x14ac:dyDescent="0.25">
      <c r="A2962" t="s">
        <v>75</v>
      </c>
    </row>
    <row r="2963" spans="1:1" x14ac:dyDescent="0.25">
      <c r="A2963" t="s">
        <v>76</v>
      </c>
    </row>
    <row r="2964" spans="1:1" x14ac:dyDescent="0.25">
      <c r="A2964" t="s">
        <v>77</v>
      </c>
    </row>
    <row r="2965" spans="1:1" x14ac:dyDescent="0.25">
      <c r="A2965" t="s">
        <v>584</v>
      </c>
    </row>
    <row r="2966" spans="1:1" x14ac:dyDescent="0.25">
      <c r="A2966" t="s">
        <v>79</v>
      </c>
    </row>
    <row r="2967" spans="1:1" x14ac:dyDescent="0.25">
      <c r="A2967" t="s">
        <v>202</v>
      </c>
    </row>
    <row r="2968" spans="1:1" x14ac:dyDescent="0.25">
      <c r="A2968" t="s">
        <v>83</v>
      </c>
    </row>
    <row r="2969" spans="1:1" x14ac:dyDescent="0.25">
      <c r="A2969" t="s">
        <v>84</v>
      </c>
    </row>
    <row r="2970" spans="1:1" x14ac:dyDescent="0.25">
      <c r="A2970" t="s">
        <v>85</v>
      </c>
    </row>
    <row r="2971" spans="1:1" x14ac:dyDescent="0.25">
      <c r="A2971" t="s">
        <v>86</v>
      </c>
    </row>
    <row r="2972" spans="1:1" x14ac:dyDescent="0.25">
      <c r="A2972" t="s">
        <v>87</v>
      </c>
    </row>
    <row r="2973" spans="1:1" x14ac:dyDescent="0.25">
      <c r="A2973" t="s">
        <v>88</v>
      </c>
    </row>
    <row r="2974" spans="1:1" x14ac:dyDescent="0.25">
      <c r="A2974" t="s">
        <v>89</v>
      </c>
    </row>
    <row r="2975" spans="1:1" x14ac:dyDescent="0.25">
      <c r="A2975" t="s">
        <v>576</v>
      </c>
    </row>
    <row r="2976" spans="1:1" x14ac:dyDescent="0.25">
      <c r="A2976" t="s">
        <v>91</v>
      </c>
    </row>
    <row r="2977" spans="1:1" x14ac:dyDescent="0.25">
      <c r="A2977" t="s">
        <v>92</v>
      </c>
    </row>
    <row r="2978" spans="1:1" x14ac:dyDescent="0.25">
      <c r="A2978" t="s">
        <v>93</v>
      </c>
    </row>
    <row r="2979" spans="1:1" x14ac:dyDescent="0.25">
      <c r="A2979" t="s">
        <v>156</v>
      </c>
    </row>
    <row r="2980" spans="1:1" x14ac:dyDescent="0.25">
      <c r="A2980" t="s">
        <v>577</v>
      </c>
    </row>
    <row r="2983" spans="1:1" x14ac:dyDescent="0.25">
      <c r="A2983" t="s">
        <v>585</v>
      </c>
    </row>
    <row r="2984" spans="1:1" x14ac:dyDescent="0.25">
      <c r="A2984" t="s">
        <v>586</v>
      </c>
    </row>
    <row r="2985" spans="1:1" x14ac:dyDescent="0.25">
      <c r="A2985" t="s">
        <v>587</v>
      </c>
    </row>
    <row r="2986" spans="1:1" x14ac:dyDescent="0.25">
      <c r="A2986" t="s">
        <v>83</v>
      </c>
    </row>
    <row r="2987" spans="1:1" x14ac:dyDescent="0.25">
      <c r="A2987" t="s">
        <v>84</v>
      </c>
    </row>
    <row r="2988" spans="1:1" x14ac:dyDescent="0.25">
      <c r="A2988" t="s">
        <v>85</v>
      </c>
    </row>
    <row r="2989" spans="1:1" x14ac:dyDescent="0.25">
      <c r="A2989" t="s">
        <v>86</v>
      </c>
    </row>
    <row r="2990" spans="1:1" x14ac:dyDescent="0.25">
      <c r="A2990" t="s">
        <v>87</v>
      </c>
    </row>
    <row r="2991" spans="1:1" x14ac:dyDescent="0.25">
      <c r="A2991" t="s">
        <v>88</v>
      </c>
    </row>
    <row r="2992" spans="1:1" x14ac:dyDescent="0.25">
      <c r="A2992" t="s">
        <v>89</v>
      </c>
    </row>
    <row r="2993" spans="1:1" x14ac:dyDescent="0.25">
      <c r="A2993" t="s">
        <v>424</v>
      </c>
    </row>
    <row r="2994" spans="1:1" x14ac:dyDescent="0.25">
      <c r="A2994" t="s">
        <v>104</v>
      </c>
    </row>
    <row r="2995" spans="1:1" x14ac:dyDescent="0.25">
      <c r="A2995" t="s">
        <v>91</v>
      </c>
    </row>
    <row r="2996" spans="1:1" x14ac:dyDescent="0.25">
      <c r="A2996" t="s">
        <v>92</v>
      </c>
    </row>
    <row r="2997" spans="1:1" x14ac:dyDescent="0.25">
      <c r="A2997" t="s">
        <v>93</v>
      </c>
    </row>
    <row r="2998" spans="1:1" x14ac:dyDescent="0.25">
      <c r="A2998" t="s">
        <v>425</v>
      </c>
    </row>
    <row r="3001" spans="1:1" x14ac:dyDescent="0.25">
      <c r="A3001" t="s">
        <v>588</v>
      </c>
    </row>
    <row r="3002" spans="1:1" x14ac:dyDescent="0.25">
      <c r="A3002" t="s">
        <v>589</v>
      </c>
    </row>
    <row r="3003" spans="1:1" x14ac:dyDescent="0.25">
      <c r="A3003" t="s">
        <v>590</v>
      </c>
    </row>
    <row r="3004" spans="1:1" x14ac:dyDescent="0.25">
      <c r="A3004" t="s">
        <v>83</v>
      </c>
    </row>
    <row r="3005" spans="1:1" x14ac:dyDescent="0.25">
      <c r="A3005" t="s">
        <v>84</v>
      </c>
    </row>
    <row r="3006" spans="1:1" x14ac:dyDescent="0.25">
      <c r="A3006" t="s">
        <v>85</v>
      </c>
    </row>
    <row r="3007" spans="1:1" x14ac:dyDescent="0.25">
      <c r="A3007" t="s">
        <v>86</v>
      </c>
    </row>
    <row r="3008" spans="1:1" x14ac:dyDescent="0.25">
      <c r="A3008" t="s">
        <v>87</v>
      </c>
    </row>
    <row r="3009" spans="1:1" x14ac:dyDescent="0.25">
      <c r="A3009" t="s">
        <v>88</v>
      </c>
    </row>
    <row r="3010" spans="1:1" x14ac:dyDescent="0.25">
      <c r="A3010" t="s">
        <v>89</v>
      </c>
    </row>
    <row r="3011" spans="1:1" x14ac:dyDescent="0.25">
      <c r="A3011" t="s">
        <v>90</v>
      </c>
    </row>
    <row r="3012" spans="1:1" x14ac:dyDescent="0.25">
      <c r="A3012" t="s">
        <v>91</v>
      </c>
    </row>
    <row r="3013" spans="1:1" x14ac:dyDescent="0.25">
      <c r="A3013" t="s">
        <v>92</v>
      </c>
    </row>
    <row r="3014" spans="1:1" x14ac:dyDescent="0.25">
      <c r="A3014" t="s">
        <v>93</v>
      </c>
    </row>
    <row r="3015" spans="1:1" x14ac:dyDescent="0.25">
      <c r="A3015" t="s">
        <v>94</v>
      </c>
    </row>
    <row r="3022" spans="1:1" x14ac:dyDescent="0.25">
      <c r="A3022" t="s">
        <v>72</v>
      </c>
    </row>
    <row r="3023" spans="1:1" x14ac:dyDescent="0.25">
      <c r="A3023" t="s">
        <v>73</v>
      </c>
    </row>
    <row r="3024" spans="1:1" x14ac:dyDescent="0.25">
      <c r="A3024" t="s">
        <v>74</v>
      </c>
    </row>
    <row r="3025" spans="1:1" x14ac:dyDescent="0.25">
      <c r="A3025" t="s">
        <v>75</v>
      </c>
    </row>
    <row r="3026" spans="1:1" x14ac:dyDescent="0.25">
      <c r="A3026" t="s">
        <v>76</v>
      </c>
    </row>
    <row r="3027" spans="1:1" x14ac:dyDescent="0.25">
      <c r="A3027" t="s">
        <v>77</v>
      </c>
    </row>
    <row r="3028" spans="1:1" x14ac:dyDescent="0.25">
      <c r="A3028" t="s">
        <v>591</v>
      </c>
    </row>
    <row r="3029" spans="1:1" x14ac:dyDescent="0.25">
      <c r="A3029" t="s">
        <v>79</v>
      </c>
    </row>
    <row r="3031" spans="1:1" x14ac:dyDescent="0.25">
      <c r="A3031" t="s">
        <v>592</v>
      </c>
    </row>
    <row r="3032" spans="1:1" x14ac:dyDescent="0.25">
      <c r="A3032" t="s">
        <v>593</v>
      </c>
    </row>
    <row r="3033" spans="1:1" x14ac:dyDescent="0.25">
      <c r="A3033" t="s">
        <v>594</v>
      </c>
    </row>
    <row r="3034" spans="1:1" x14ac:dyDescent="0.25">
      <c r="A3034" t="s">
        <v>134</v>
      </c>
    </row>
    <row r="3035" spans="1:1" x14ac:dyDescent="0.25">
      <c r="A3035" t="s">
        <v>84</v>
      </c>
    </row>
    <row r="3036" spans="1:1" x14ac:dyDescent="0.25">
      <c r="A3036" t="s">
        <v>85</v>
      </c>
    </row>
    <row r="3037" spans="1:1" x14ac:dyDescent="0.25">
      <c r="A3037" t="s">
        <v>86</v>
      </c>
    </row>
    <row r="3038" spans="1:1" x14ac:dyDescent="0.25">
      <c r="A3038" t="s">
        <v>87</v>
      </c>
    </row>
    <row r="3039" spans="1:1" x14ac:dyDescent="0.25">
      <c r="A3039" t="s">
        <v>88</v>
      </c>
    </row>
    <row r="3040" spans="1:1" x14ac:dyDescent="0.25">
      <c r="A3040" t="s">
        <v>89</v>
      </c>
    </row>
    <row r="3041" spans="1:1" x14ac:dyDescent="0.25">
      <c r="A3041" t="s">
        <v>104</v>
      </c>
    </row>
    <row r="3042" spans="1:1" x14ac:dyDescent="0.25">
      <c r="A3042" t="s">
        <v>91</v>
      </c>
    </row>
    <row r="3043" spans="1:1" x14ac:dyDescent="0.25">
      <c r="A3043" t="s">
        <v>92</v>
      </c>
    </row>
    <row r="3044" spans="1:1" x14ac:dyDescent="0.25">
      <c r="A3044" t="s">
        <v>93</v>
      </c>
    </row>
    <row r="3045" spans="1:1" x14ac:dyDescent="0.25">
      <c r="A3045" t="s">
        <v>284</v>
      </c>
    </row>
    <row r="3048" spans="1:1" x14ac:dyDescent="0.25">
      <c r="A3048" t="s">
        <v>595</v>
      </c>
    </row>
    <row r="3049" spans="1:1" x14ac:dyDescent="0.25">
      <c r="A3049" t="s">
        <v>596</v>
      </c>
    </row>
    <row r="3050" spans="1:1" x14ac:dyDescent="0.25">
      <c r="A3050" t="s">
        <v>597</v>
      </c>
    </row>
    <row r="3051" spans="1:1" x14ac:dyDescent="0.25">
      <c r="A3051" t="s">
        <v>83</v>
      </c>
    </row>
    <row r="3052" spans="1:1" x14ac:dyDescent="0.25">
      <c r="A3052" t="s">
        <v>84</v>
      </c>
    </row>
    <row r="3053" spans="1:1" x14ac:dyDescent="0.25">
      <c r="A3053" t="s">
        <v>85</v>
      </c>
    </row>
    <row r="3054" spans="1:1" x14ac:dyDescent="0.25">
      <c r="A3054" t="s">
        <v>86</v>
      </c>
    </row>
    <row r="3055" spans="1:1" x14ac:dyDescent="0.25">
      <c r="A3055" t="s">
        <v>87</v>
      </c>
    </row>
    <row r="3056" spans="1:1" x14ac:dyDescent="0.25">
      <c r="A3056" t="s">
        <v>88</v>
      </c>
    </row>
    <row r="3057" spans="1:1" x14ac:dyDescent="0.25">
      <c r="A3057" t="s">
        <v>89</v>
      </c>
    </row>
    <row r="3058" spans="1:1" x14ac:dyDescent="0.25">
      <c r="A3058" t="s">
        <v>98</v>
      </c>
    </row>
    <row r="3059" spans="1:1" x14ac:dyDescent="0.25">
      <c r="A3059" t="s">
        <v>104</v>
      </c>
    </row>
    <row r="3060" spans="1:1" x14ac:dyDescent="0.25">
      <c r="A3060" t="s">
        <v>91</v>
      </c>
    </row>
    <row r="3061" spans="1:1" x14ac:dyDescent="0.25">
      <c r="A3061" t="s">
        <v>92</v>
      </c>
    </row>
    <row r="3062" spans="1:1" x14ac:dyDescent="0.25">
      <c r="A3062" t="s">
        <v>93</v>
      </c>
    </row>
    <row r="3063" spans="1:1" x14ac:dyDescent="0.25">
      <c r="A3063" t="s">
        <v>106</v>
      </c>
    </row>
    <row r="3066" spans="1:1" x14ac:dyDescent="0.25">
      <c r="A3066" t="s">
        <v>598</v>
      </c>
    </row>
    <row r="3067" spans="1:1" x14ac:dyDescent="0.25">
      <c r="A3067" t="s">
        <v>599</v>
      </c>
    </row>
    <row r="3068" spans="1:1" x14ac:dyDescent="0.25">
      <c r="A3068" t="s">
        <v>361</v>
      </c>
    </row>
    <row r="3069" spans="1:1" x14ac:dyDescent="0.25">
      <c r="A3069" t="s">
        <v>134</v>
      </c>
    </row>
    <row r="3070" spans="1:1" x14ac:dyDescent="0.25">
      <c r="A3070" t="s">
        <v>84</v>
      </c>
    </row>
    <row r="3071" spans="1:1" x14ac:dyDescent="0.25">
      <c r="A3071" t="s">
        <v>85</v>
      </c>
    </row>
    <row r="3072" spans="1:1" x14ac:dyDescent="0.25">
      <c r="A3072" t="s">
        <v>86</v>
      </c>
    </row>
    <row r="3073" spans="1:1" x14ac:dyDescent="0.25">
      <c r="A3073" t="s">
        <v>87</v>
      </c>
    </row>
    <row r="3074" spans="1:1" x14ac:dyDescent="0.25">
      <c r="A3074" t="s">
        <v>88</v>
      </c>
    </row>
    <row r="3075" spans="1:1" x14ac:dyDescent="0.25">
      <c r="A3075" t="s">
        <v>170</v>
      </c>
    </row>
    <row r="3076" spans="1:1" x14ac:dyDescent="0.25">
      <c r="A3076" t="s">
        <v>91</v>
      </c>
    </row>
    <row r="3077" spans="1:1" x14ac:dyDescent="0.25">
      <c r="A3077" t="s">
        <v>92</v>
      </c>
    </row>
    <row r="3078" spans="1:1" x14ac:dyDescent="0.25">
      <c r="A3078" t="s">
        <v>93</v>
      </c>
    </row>
    <row r="3085" spans="1:1" x14ac:dyDescent="0.25">
      <c r="A3085" t="s">
        <v>72</v>
      </c>
    </row>
    <row r="3086" spans="1:1" x14ac:dyDescent="0.25">
      <c r="A3086" t="s">
        <v>73</v>
      </c>
    </row>
    <row r="3087" spans="1:1" x14ac:dyDescent="0.25">
      <c r="A3087" t="s">
        <v>74</v>
      </c>
    </row>
    <row r="3088" spans="1:1" x14ac:dyDescent="0.25">
      <c r="A3088" t="s">
        <v>75</v>
      </c>
    </row>
    <row r="3089" spans="1:1" x14ac:dyDescent="0.25">
      <c r="A3089" t="s">
        <v>76</v>
      </c>
    </row>
    <row r="3090" spans="1:1" x14ac:dyDescent="0.25">
      <c r="A3090" t="s">
        <v>77</v>
      </c>
    </row>
    <row r="3091" spans="1:1" x14ac:dyDescent="0.25">
      <c r="A3091" t="s">
        <v>600</v>
      </c>
    </row>
    <row r="3092" spans="1:1" x14ac:dyDescent="0.25">
      <c r="A3092" t="s">
        <v>79</v>
      </c>
    </row>
    <row r="3093" spans="1:1" x14ac:dyDescent="0.25">
      <c r="A3093" t="s">
        <v>171</v>
      </c>
    </row>
    <row r="3096" spans="1:1" x14ac:dyDescent="0.25">
      <c r="A3096" t="s">
        <v>601</v>
      </c>
    </row>
    <row r="3097" spans="1:1" x14ac:dyDescent="0.25">
      <c r="A3097" t="s">
        <v>602</v>
      </c>
    </row>
    <row r="3098" spans="1:1" x14ac:dyDescent="0.25">
      <c r="A3098" t="s">
        <v>603</v>
      </c>
    </row>
    <row r="3099" spans="1:1" x14ac:dyDescent="0.25">
      <c r="A3099" t="s">
        <v>134</v>
      </c>
    </row>
    <row r="3100" spans="1:1" x14ac:dyDescent="0.25">
      <c r="A3100" t="s">
        <v>84</v>
      </c>
    </row>
    <row r="3101" spans="1:1" x14ac:dyDescent="0.25">
      <c r="A3101" t="s">
        <v>85</v>
      </c>
    </row>
    <row r="3102" spans="1:1" x14ac:dyDescent="0.25">
      <c r="A3102" t="s">
        <v>86</v>
      </c>
    </row>
    <row r="3103" spans="1:1" x14ac:dyDescent="0.25">
      <c r="A3103" t="s">
        <v>87</v>
      </c>
    </row>
    <row r="3104" spans="1:1" x14ac:dyDescent="0.25">
      <c r="A3104" t="s">
        <v>88</v>
      </c>
    </row>
    <row r="3105" spans="1:1" x14ac:dyDescent="0.25">
      <c r="A3105" t="s">
        <v>89</v>
      </c>
    </row>
    <row r="3106" spans="1:1" x14ac:dyDescent="0.25">
      <c r="A3106" t="s">
        <v>104</v>
      </c>
    </row>
    <row r="3107" spans="1:1" x14ac:dyDescent="0.25">
      <c r="A3107" t="s">
        <v>91</v>
      </c>
    </row>
    <row r="3108" spans="1:1" x14ac:dyDescent="0.25">
      <c r="A3108" t="s">
        <v>92</v>
      </c>
    </row>
    <row r="3109" spans="1:1" x14ac:dyDescent="0.25">
      <c r="A3109" t="s">
        <v>93</v>
      </c>
    </row>
    <row r="3110" spans="1:1" x14ac:dyDescent="0.25">
      <c r="A3110" t="s">
        <v>284</v>
      </c>
    </row>
    <row r="3113" spans="1:1" x14ac:dyDescent="0.25">
      <c r="A3113" t="s">
        <v>604</v>
      </c>
    </row>
    <row r="3114" spans="1:1" x14ac:dyDescent="0.25">
      <c r="A3114" t="s">
        <v>605</v>
      </c>
    </row>
    <row r="3115" spans="1:1" x14ac:dyDescent="0.25">
      <c r="A3115" t="s">
        <v>606</v>
      </c>
    </row>
    <row r="3116" spans="1:1" x14ac:dyDescent="0.25">
      <c r="A3116" t="s">
        <v>83</v>
      </c>
    </row>
    <row r="3117" spans="1:1" x14ac:dyDescent="0.25">
      <c r="A3117" t="s">
        <v>84</v>
      </c>
    </row>
    <row r="3118" spans="1:1" x14ac:dyDescent="0.25">
      <c r="A3118" t="s">
        <v>85</v>
      </c>
    </row>
    <row r="3119" spans="1:1" x14ac:dyDescent="0.25">
      <c r="A3119" t="s">
        <v>86</v>
      </c>
    </row>
    <row r="3120" spans="1:1" x14ac:dyDescent="0.25">
      <c r="A3120" t="s">
        <v>87</v>
      </c>
    </row>
    <row r="3121" spans="1:1" x14ac:dyDescent="0.25">
      <c r="A3121" t="s">
        <v>88</v>
      </c>
    </row>
    <row r="3122" spans="1:1" x14ac:dyDescent="0.25">
      <c r="A3122" t="s">
        <v>170</v>
      </c>
    </row>
    <row r="3123" spans="1:1" x14ac:dyDescent="0.25">
      <c r="A3123" t="s">
        <v>91</v>
      </c>
    </row>
    <row r="3124" spans="1:1" x14ac:dyDescent="0.25">
      <c r="A3124" t="s">
        <v>92</v>
      </c>
    </row>
    <row r="3125" spans="1:1" x14ac:dyDescent="0.25">
      <c r="A3125" t="s">
        <v>93</v>
      </c>
    </row>
    <row r="3126" spans="1:1" x14ac:dyDescent="0.25">
      <c r="A3126" t="s">
        <v>171</v>
      </c>
    </row>
    <row r="3129" spans="1:1" x14ac:dyDescent="0.25">
      <c r="A3129" t="s">
        <v>607</v>
      </c>
    </row>
    <row r="3130" spans="1:1" x14ac:dyDescent="0.25">
      <c r="A3130" t="s">
        <v>608</v>
      </c>
    </row>
    <row r="3131" spans="1:1" x14ac:dyDescent="0.25">
      <c r="A3131" t="s">
        <v>609</v>
      </c>
    </row>
    <row r="3132" spans="1:1" x14ac:dyDescent="0.25">
      <c r="A3132" t="s">
        <v>134</v>
      </c>
    </row>
    <row r="3133" spans="1:1" x14ac:dyDescent="0.25">
      <c r="A3133" t="s">
        <v>84</v>
      </c>
    </row>
    <row r="3134" spans="1:1" x14ac:dyDescent="0.25">
      <c r="A3134" t="s">
        <v>85</v>
      </c>
    </row>
    <row r="3135" spans="1:1" x14ac:dyDescent="0.25">
      <c r="A3135" t="s">
        <v>86</v>
      </c>
    </row>
    <row r="3136" spans="1:1" x14ac:dyDescent="0.25">
      <c r="A3136" t="s">
        <v>87</v>
      </c>
    </row>
    <row r="3137" spans="1:1" x14ac:dyDescent="0.25">
      <c r="A3137" t="s">
        <v>88</v>
      </c>
    </row>
    <row r="3138" spans="1:1" x14ac:dyDescent="0.25">
      <c r="A3138" t="s">
        <v>89</v>
      </c>
    </row>
    <row r="3139" spans="1:1" x14ac:dyDescent="0.25">
      <c r="A3139" t="s">
        <v>247</v>
      </c>
    </row>
    <row r="3140" spans="1:1" x14ac:dyDescent="0.25">
      <c r="A3140" t="s">
        <v>91</v>
      </c>
    </row>
    <row r="3141" spans="1:1" x14ac:dyDescent="0.25">
      <c r="A3141" t="s">
        <v>92</v>
      </c>
    </row>
    <row r="3142" spans="1:1" x14ac:dyDescent="0.25">
      <c r="A3142" t="s">
        <v>93</v>
      </c>
    </row>
    <row r="3148" spans="1:1" x14ac:dyDescent="0.25">
      <c r="A3148" t="s">
        <v>72</v>
      </c>
    </row>
    <row r="3149" spans="1:1" x14ac:dyDescent="0.25">
      <c r="A3149" t="s">
        <v>73</v>
      </c>
    </row>
    <row r="3150" spans="1:1" x14ac:dyDescent="0.25">
      <c r="A3150" t="s">
        <v>74</v>
      </c>
    </row>
    <row r="3151" spans="1:1" x14ac:dyDescent="0.25">
      <c r="A3151" t="s">
        <v>75</v>
      </c>
    </row>
    <row r="3152" spans="1:1" x14ac:dyDescent="0.25">
      <c r="A3152" t="s">
        <v>76</v>
      </c>
    </row>
    <row r="3153" spans="1:1" x14ac:dyDescent="0.25">
      <c r="A3153" t="s">
        <v>77</v>
      </c>
    </row>
    <row r="3154" spans="1:1" x14ac:dyDescent="0.25">
      <c r="A3154" t="s">
        <v>610</v>
      </c>
    </row>
    <row r="3155" spans="1:1" x14ac:dyDescent="0.25">
      <c r="A3155" t="s">
        <v>79</v>
      </c>
    </row>
    <row r="3156" spans="1:1" x14ac:dyDescent="0.25">
      <c r="A3156" t="s">
        <v>248</v>
      </c>
    </row>
    <row r="3159" spans="1:1" x14ac:dyDescent="0.25">
      <c r="A3159" t="s">
        <v>611</v>
      </c>
    </row>
    <row r="3160" spans="1:1" x14ac:dyDescent="0.25">
      <c r="A3160" t="s">
        <v>612</v>
      </c>
    </row>
    <row r="3161" spans="1:1" x14ac:dyDescent="0.25">
      <c r="A3161" t="s">
        <v>613</v>
      </c>
    </row>
    <row r="3162" spans="1:1" x14ac:dyDescent="0.25">
      <c r="A3162" t="s">
        <v>83</v>
      </c>
    </row>
    <row r="3163" spans="1:1" x14ac:dyDescent="0.25">
      <c r="A3163" t="s">
        <v>84</v>
      </c>
    </row>
    <row r="3164" spans="1:1" x14ac:dyDescent="0.25">
      <c r="A3164" t="s">
        <v>85</v>
      </c>
    </row>
    <row r="3165" spans="1:1" x14ac:dyDescent="0.25">
      <c r="A3165" t="s">
        <v>86</v>
      </c>
    </row>
    <row r="3166" spans="1:1" x14ac:dyDescent="0.25">
      <c r="A3166" t="s">
        <v>87</v>
      </c>
    </row>
    <row r="3167" spans="1:1" x14ac:dyDescent="0.25">
      <c r="A3167" t="s">
        <v>88</v>
      </c>
    </row>
    <row r="3168" spans="1:1" x14ac:dyDescent="0.25">
      <c r="A3168" t="s">
        <v>89</v>
      </c>
    </row>
    <row r="3169" spans="1:1" x14ac:dyDescent="0.25">
      <c r="A3169" t="s">
        <v>104</v>
      </c>
    </row>
    <row r="3170" spans="1:1" x14ac:dyDescent="0.25">
      <c r="A3170" t="s">
        <v>91</v>
      </c>
    </row>
    <row r="3171" spans="1:1" x14ac:dyDescent="0.25">
      <c r="A3171" t="s">
        <v>92</v>
      </c>
    </row>
    <row r="3172" spans="1:1" x14ac:dyDescent="0.25">
      <c r="A3172" t="s">
        <v>93</v>
      </c>
    </row>
    <row r="3173" spans="1:1" x14ac:dyDescent="0.25">
      <c r="A3173" t="s">
        <v>284</v>
      </c>
    </row>
    <row r="3176" spans="1:1" x14ac:dyDescent="0.25">
      <c r="A3176" t="s">
        <v>614</v>
      </c>
    </row>
    <row r="3177" spans="1:1" x14ac:dyDescent="0.25">
      <c r="A3177" t="s">
        <v>615</v>
      </c>
    </row>
    <row r="3178" spans="1:1" x14ac:dyDescent="0.25">
      <c r="A3178" t="s">
        <v>616</v>
      </c>
    </row>
    <row r="3179" spans="1:1" x14ac:dyDescent="0.25">
      <c r="A3179" t="s">
        <v>83</v>
      </c>
    </row>
    <row r="3180" spans="1:1" x14ac:dyDescent="0.25">
      <c r="A3180" t="s">
        <v>84</v>
      </c>
    </row>
    <row r="3181" spans="1:1" x14ac:dyDescent="0.25">
      <c r="A3181" t="s">
        <v>85</v>
      </c>
    </row>
    <row r="3182" spans="1:1" x14ac:dyDescent="0.25">
      <c r="A3182" t="s">
        <v>86</v>
      </c>
    </row>
    <row r="3183" spans="1:1" x14ac:dyDescent="0.25">
      <c r="A3183" t="s">
        <v>87</v>
      </c>
    </row>
    <row r="3184" spans="1:1" x14ac:dyDescent="0.25">
      <c r="A3184" t="s">
        <v>88</v>
      </c>
    </row>
    <row r="3185" spans="1:1" x14ac:dyDescent="0.25">
      <c r="A3185" t="s">
        <v>89</v>
      </c>
    </row>
    <row r="3186" spans="1:1" x14ac:dyDescent="0.25">
      <c r="A3186" t="s">
        <v>90</v>
      </c>
    </row>
    <row r="3187" spans="1:1" x14ac:dyDescent="0.25">
      <c r="A3187" t="s">
        <v>91</v>
      </c>
    </row>
    <row r="3188" spans="1:1" x14ac:dyDescent="0.25">
      <c r="A3188" t="s">
        <v>92</v>
      </c>
    </row>
    <row r="3189" spans="1:1" x14ac:dyDescent="0.25">
      <c r="A3189" t="s">
        <v>93</v>
      </c>
    </row>
    <row r="3190" spans="1:1" x14ac:dyDescent="0.25">
      <c r="A3190" t="s">
        <v>94</v>
      </c>
    </row>
    <row r="3193" spans="1:1" x14ac:dyDescent="0.25">
      <c r="A3193" t="s">
        <v>617</v>
      </c>
    </row>
    <row r="3194" spans="1:1" x14ac:dyDescent="0.25">
      <c r="A3194" t="s">
        <v>618</v>
      </c>
    </row>
    <row r="3195" spans="1:1" x14ac:dyDescent="0.25">
      <c r="A3195" t="s">
        <v>619</v>
      </c>
    </row>
    <row r="3196" spans="1:1" x14ac:dyDescent="0.25">
      <c r="A3196" t="s">
        <v>83</v>
      </c>
    </row>
    <row r="3197" spans="1:1" x14ac:dyDescent="0.25">
      <c r="A3197" t="s">
        <v>84</v>
      </c>
    </row>
    <row r="3198" spans="1:1" x14ac:dyDescent="0.25">
      <c r="A3198" t="s">
        <v>85</v>
      </c>
    </row>
    <row r="3199" spans="1:1" x14ac:dyDescent="0.25">
      <c r="A3199" t="s">
        <v>86</v>
      </c>
    </row>
    <row r="3200" spans="1:1" x14ac:dyDescent="0.25">
      <c r="A3200" t="s">
        <v>87</v>
      </c>
    </row>
    <row r="3201" spans="1:1" x14ac:dyDescent="0.25">
      <c r="A3201" t="s">
        <v>88</v>
      </c>
    </row>
    <row r="3202" spans="1:1" x14ac:dyDescent="0.25">
      <c r="A3202" t="s">
        <v>89</v>
      </c>
    </row>
    <row r="3203" spans="1:1" x14ac:dyDescent="0.25">
      <c r="A3203" t="s">
        <v>104</v>
      </c>
    </row>
    <row r="3204" spans="1:1" x14ac:dyDescent="0.25">
      <c r="A3204" t="s">
        <v>91</v>
      </c>
    </row>
    <row r="3205" spans="1:1" x14ac:dyDescent="0.25">
      <c r="A3205" t="s">
        <v>92</v>
      </c>
    </row>
    <row r="3211" spans="1:1" x14ac:dyDescent="0.25">
      <c r="A3211" t="s">
        <v>72</v>
      </c>
    </row>
    <row r="3212" spans="1:1" x14ac:dyDescent="0.25">
      <c r="A3212" t="s">
        <v>73</v>
      </c>
    </row>
    <row r="3213" spans="1:1" x14ac:dyDescent="0.25">
      <c r="A3213" t="s">
        <v>74</v>
      </c>
    </row>
    <row r="3214" spans="1:1" x14ac:dyDescent="0.25">
      <c r="A3214" t="s">
        <v>75</v>
      </c>
    </row>
    <row r="3215" spans="1:1" x14ac:dyDescent="0.25">
      <c r="A3215" t="s">
        <v>76</v>
      </c>
    </row>
    <row r="3216" spans="1:1" x14ac:dyDescent="0.25">
      <c r="A3216" t="s">
        <v>77</v>
      </c>
    </row>
    <row r="3217" spans="1:1" x14ac:dyDescent="0.25">
      <c r="A3217" t="s">
        <v>620</v>
      </c>
    </row>
    <row r="3218" spans="1:1" x14ac:dyDescent="0.25">
      <c r="A3218" t="s">
        <v>79</v>
      </c>
    </row>
    <row r="3219" spans="1:1" x14ac:dyDescent="0.25">
      <c r="A3219" t="s">
        <v>93</v>
      </c>
    </row>
    <row r="3220" spans="1:1" x14ac:dyDescent="0.25">
      <c r="A3220" t="s">
        <v>284</v>
      </c>
    </row>
    <row r="3223" spans="1:1" x14ac:dyDescent="0.25">
      <c r="A3223" t="s">
        <v>621</v>
      </c>
    </row>
    <row r="3224" spans="1:1" x14ac:dyDescent="0.25">
      <c r="A3224" t="s">
        <v>622</v>
      </c>
    </row>
    <row r="3225" spans="1:1" x14ac:dyDescent="0.25">
      <c r="A3225" t="s">
        <v>623</v>
      </c>
    </row>
    <row r="3226" spans="1:1" x14ac:dyDescent="0.25">
      <c r="A3226" t="s">
        <v>83</v>
      </c>
    </row>
    <row r="3227" spans="1:1" x14ac:dyDescent="0.25">
      <c r="A3227" t="s">
        <v>84</v>
      </c>
    </row>
    <row r="3228" spans="1:1" x14ac:dyDescent="0.25">
      <c r="A3228" t="s">
        <v>85</v>
      </c>
    </row>
    <row r="3229" spans="1:1" x14ac:dyDescent="0.25">
      <c r="A3229" t="s">
        <v>86</v>
      </c>
    </row>
    <row r="3230" spans="1:1" x14ac:dyDescent="0.25">
      <c r="A3230" t="s">
        <v>87</v>
      </c>
    </row>
    <row r="3231" spans="1:1" x14ac:dyDescent="0.25">
      <c r="A3231" t="s">
        <v>88</v>
      </c>
    </row>
    <row r="3232" spans="1:1" x14ac:dyDescent="0.25">
      <c r="A3232" t="s">
        <v>89</v>
      </c>
    </row>
    <row r="3233" spans="1:1" x14ac:dyDescent="0.25">
      <c r="A3233" t="s">
        <v>161</v>
      </c>
    </row>
    <row r="3234" spans="1:1" x14ac:dyDescent="0.25">
      <c r="A3234" t="s">
        <v>110</v>
      </c>
    </row>
    <row r="3235" spans="1:1" x14ac:dyDescent="0.25">
      <c r="A3235" t="s">
        <v>91</v>
      </c>
    </row>
    <row r="3236" spans="1:1" x14ac:dyDescent="0.25">
      <c r="A3236" t="s">
        <v>92</v>
      </c>
    </row>
    <row r="3237" spans="1:1" x14ac:dyDescent="0.25">
      <c r="A3237" t="s">
        <v>93</v>
      </c>
    </row>
    <row r="3238" spans="1:1" x14ac:dyDescent="0.25">
      <c r="A3238" t="s">
        <v>162</v>
      </c>
    </row>
    <row r="3241" spans="1:1" x14ac:dyDescent="0.25">
      <c r="A3241" t="s">
        <v>624</v>
      </c>
    </row>
    <row r="3242" spans="1:1" x14ac:dyDescent="0.25">
      <c r="A3242" t="s">
        <v>625</v>
      </c>
    </row>
    <row r="3243" spans="1:1" x14ac:dyDescent="0.25">
      <c r="A3243" t="s">
        <v>626</v>
      </c>
    </row>
    <row r="3244" spans="1:1" x14ac:dyDescent="0.25">
      <c r="A3244" t="s">
        <v>83</v>
      </c>
    </row>
    <row r="3245" spans="1:1" x14ac:dyDescent="0.25">
      <c r="A3245" t="s">
        <v>84</v>
      </c>
    </row>
    <row r="3246" spans="1:1" x14ac:dyDescent="0.25">
      <c r="A3246" t="s">
        <v>85</v>
      </c>
    </row>
    <row r="3247" spans="1:1" x14ac:dyDescent="0.25">
      <c r="A3247" t="s">
        <v>86</v>
      </c>
    </row>
    <row r="3248" spans="1:1" x14ac:dyDescent="0.25">
      <c r="A3248" t="s">
        <v>87</v>
      </c>
    </row>
    <row r="3249" spans="1:1" x14ac:dyDescent="0.25">
      <c r="A3249" t="s">
        <v>88</v>
      </c>
    </row>
    <row r="3250" spans="1:1" x14ac:dyDescent="0.25">
      <c r="A3250" t="s">
        <v>211</v>
      </c>
    </row>
    <row r="3251" spans="1:1" x14ac:dyDescent="0.25">
      <c r="A3251" t="s">
        <v>170</v>
      </c>
    </row>
    <row r="3252" spans="1:1" x14ac:dyDescent="0.25">
      <c r="A3252" t="s">
        <v>91</v>
      </c>
    </row>
    <row r="3253" spans="1:1" x14ac:dyDescent="0.25">
      <c r="A3253" t="s">
        <v>92</v>
      </c>
    </row>
    <row r="3254" spans="1:1" x14ac:dyDescent="0.25">
      <c r="A3254" t="s">
        <v>93</v>
      </c>
    </row>
    <row r="3255" spans="1:1" x14ac:dyDescent="0.25">
      <c r="A3255" t="s">
        <v>627</v>
      </c>
    </row>
    <row r="3258" spans="1:1" x14ac:dyDescent="0.25">
      <c r="A3258" t="s">
        <v>628</v>
      </c>
    </row>
    <row r="3259" spans="1:1" x14ac:dyDescent="0.25">
      <c r="A3259" t="s">
        <v>629</v>
      </c>
    </row>
    <row r="3260" spans="1:1" x14ac:dyDescent="0.25">
      <c r="A3260" t="s">
        <v>630</v>
      </c>
    </row>
    <row r="3261" spans="1:1" x14ac:dyDescent="0.25">
      <c r="A3261" t="s">
        <v>83</v>
      </c>
    </row>
    <row r="3262" spans="1:1" x14ac:dyDescent="0.25">
      <c r="A3262" t="s">
        <v>84</v>
      </c>
    </row>
    <row r="3263" spans="1:1" x14ac:dyDescent="0.25">
      <c r="A3263" t="s">
        <v>85</v>
      </c>
    </row>
    <row r="3264" spans="1:1" x14ac:dyDescent="0.25">
      <c r="A3264" t="s">
        <v>86</v>
      </c>
    </row>
    <row r="3265" spans="1:1" x14ac:dyDescent="0.25">
      <c r="A3265" t="s">
        <v>87</v>
      </c>
    </row>
    <row r="3266" spans="1:1" x14ac:dyDescent="0.25">
      <c r="A3266" t="s">
        <v>88</v>
      </c>
    </row>
    <row r="3267" spans="1:1" x14ac:dyDescent="0.25">
      <c r="A3267" t="s">
        <v>170</v>
      </c>
    </row>
    <row r="3268" spans="1:1" x14ac:dyDescent="0.25">
      <c r="A3268" t="s">
        <v>91</v>
      </c>
    </row>
    <row r="3274" spans="1:1" x14ac:dyDescent="0.25">
      <c r="A3274" t="s">
        <v>72</v>
      </c>
    </row>
    <row r="3275" spans="1:1" x14ac:dyDescent="0.25">
      <c r="A3275" t="s">
        <v>73</v>
      </c>
    </row>
    <row r="3276" spans="1:1" x14ac:dyDescent="0.25">
      <c r="A3276" t="s">
        <v>74</v>
      </c>
    </row>
    <row r="3277" spans="1:1" x14ac:dyDescent="0.25">
      <c r="A3277" t="s">
        <v>75</v>
      </c>
    </row>
    <row r="3278" spans="1:1" x14ac:dyDescent="0.25">
      <c r="A3278" t="s">
        <v>76</v>
      </c>
    </row>
    <row r="3279" spans="1:1" x14ac:dyDescent="0.25">
      <c r="A3279" t="s">
        <v>77</v>
      </c>
    </row>
    <row r="3280" spans="1:1" x14ac:dyDescent="0.25">
      <c r="A3280" t="s">
        <v>631</v>
      </c>
    </row>
    <row r="3281" spans="1:1" x14ac:dyDescent="0.25">
      <c r="A3281" t="s">
        <v>79</v>
      </c>
    </row>
    <row r="3282" spans="1:1" x14ac:dyDescent="0.25">
      <c r="A3282" t="s">
        <v>92</v>
      </c>
    </row>
    <row r="3283" spans="1:1" x14ac:dyDescent="0.25">
      <c r="A3283" t="s">
        <v>93</v>
      </c>
    </row>
    <row r="3284" spans="1:1" x14ac:dyDescent="0.25">
      <c r="A3284" t="s">
        <v>171</v>
      </c>
    </row>
    <row r="3287" spans="1:1" x14ac:dyDescent="0.25">
      <c r="A3287" t="s">
        <v>632</v>
      </c>
    </row>
    <row r="3288" spans="1:1" x14ac:dyDescent="0.25">
      <c r="A3288" t="s">
        <v>633</v>
      </c>
    </row>
    <row r="3289" spans="1:1" x14ac:dyDescent="0.25">
      <c r="A3289" t="s">
        <v>634</v>
      </c>
    </row>
    <row r="3290" spans="1:1" x14ac:dyDescent="0.25">
      <c r="A3290" t="s">
        <v>134</v>
      </c>
    </row>
    <row r="3291" spans="1:1" x14ac:dyDescent="0.25">
      <c r="A3291" t="s">
        <v>84</v>
      </c>
    </row>
    <row r="3292" spans="1:1" x14ac:dyDescent="0.25">
      <c r="A3292" t="s">
        <v>85</v>
      </c>
    </row>
    <row r="3293" spans="1:1" x14ac:dyDescent="0.25">
      <c r="A3293" t="s">
        <v>86</v>
      </c>
    </row>
    <row r="3294" spans="1:1" x14ac:dyDescent="0.25">
      <c r="A3294" t="s">
        <v>87</v>
      </c>
    </row>
    <row r="3295" spans="1:1" x14ac:dyDescent="0.25">
      <c r="A3295" t="s">
        <v>88</v>
      </c>
    </row>
    <row r="3296" spans="1:1" x14ac:dyDescent="0.25">
      <c r="A3296" t="s">
        <v>89</v>
      </c>
    </row>
    <row r="3297" spans="1:1" x14ac:dyDescent="0.25">
      <c r="A3297" t="s">
        <v>110</v>
      </c>
    </row>
    <row r="3298" spans="1:1" x14ac:dyDescent="0.25">
      <c r="A3298" t="s">
        <v>91</v>
      </c>
    </row>
    <row r="3299" spans="1:1" x14ac:dyDescent="0.25">
      <c r="A3299" t="s">
        <v>92</v>
      </c>
    </row>
    <row r="3300" spans="1:1" x14ac:dyDescent="0.25">
      <c r="A3300" t="s">
        <v>93</v>
      </c>
    </row>
    <row r="3301" spans="1:1" x14ac:dyDescent="0.25">
      <c r="A3301" t="s">
        <v>111</v>
      </c>
    </row>
    <row r="3304" spans="1:1" x14ac:dyDescent="0.25">
      <c r="A3304" t="s">
        <v>635</v>
      </c>
    </row>
    <row r="3305" spans="1:1" x14ac:dyDescent="0.25">
      <c r="A3305" t="s">
        <v>636</v>
      </c>
    </row>
    <row r="3306" spans="1:1" x14ac:dyDescent="0.25">
      <c r="A3306" t="s">
        <v>259</v>
      </c>
    </row>
    <row r="3307" spans="1:1" x14ac:dyDescent="0.25">
      <c r="A3307" t="s">
        <v>134</v>
      </c>
    </row>
    <row r="3308" spans="1:1" x14ac:dyDescent="0.25">
      <c r="A3308" t="s">
        <v>84</v>
      </c>
    </row>
    <row r="3309" spans="1:1" x14ac:dyDescent="0.25">
      <c r="A3309" t="s">
        <v>85</v>
      </c>
    </row>
    <row r="3310" spans="1:1" x14ac:dyDescent="0.25">
      <c r="A3310" t="s">
        <v>86</v>
      </c>
    </row>
    <row r="3311" spans="1:1" x14ac:dyDescent="0.25">
      <c r="A3311" t="s">
        <v>87</v>
      </c>
    </row>
    <row r="3312" spans="1:1" x14ac:dyDescent="0.25">
      <c r="A3312" t="s">
        <v>88</v>
      </c>
    </row>
    <row r="3313" spans="1:1" x14ac:dyDescent="0.25">
      <c r="A3313" t="s">
        <v>211</v>
      </c>
    </row>
    <row r="3314" spans="1:1" x14ac:dyDescent="0.25">
      <c r="A3314" t="s">
        <v>170</v>
      </c>
    </row>
    <row r="3315" spans="1:1" x14ac:dyDescent="0.25">
      <c r="A3315" t="s">
        <v>91</v>
      </c>
    </row>
    <row r="3316" spans="1:1" x14ac:dyDescent="0.25">
      <c r="A3316" t="s">
        <v>92</v>
      </c>
    </row>
    <row r="3317" spans="1:1" x14ac:dyDescent="0.25">
      <c r="A3317" t="s">
        <v>93</v>
      </c>
    </row>
    <row r="3318" spans="1:1" x14ac:dyDescent="0.25">
      <c r="A3318" t="s">
        <v>627</v>
      </c>
    </row>
    <row r="3321" spans="1:1" x14ac:dyDescent="0.25">
      <c r="A3321" t="s">
        <v>637</v>
      </c>
    </row>
    <row r="3322" spans="1:1" x14ac:dyDescent="0.25">
      <c r="A3322" t="s">
        <v>638</v>
      </c>
    </row>
    <row r="3323" spans="1:1" x14ac:dyDescent="0.25">
      <c r="A3323" t="s">
        <v>639</v>
      </c>
    </row>
    <row r="3324" spans="1:1" x14ac:dyDescent="0.25">
      <c r="A3324" t="s">
        <v>83</v>
      </c>
    </row>
    <row r="3325" spans="1:1" x14ac:dyDescent="0.25">
      <c r="A3325" t="s">
        <v>84</v>
      </c>
    </row>
    <row r="3326" spans="1:1" x14ac:dyDescent="0.25">
      <c r="A3326" t="s">
        <v>85</v>
      </c>
    </row>
    <row r="3327" spans="1:1" x14ac:dyDescent="0.25">
      <c r="A3327" t="s">
        <v>86</v>
      </c>
    </row>
    <row r="3328" spans="1:1" x14ac:dyDescent="0.25">
      <c r="A3328" t="s">
        <v>87</v>
      </c>
    </row>
    <row r="3329" spans="1:1" x14ac:dyDescent="0.25">
      <c r="A3329" t="s">
        <v>88</v>
      </c>
    </row>
    <row r="3330" spans="1:1" x14ac:dyDescent="0.25">
      <c r="A3330" t="s">
        <v>170</v>
      </c>
    </row>
    <row r="3331" spans="1:1" x14ac:dyDescent="0.25">
      <c r="A3331" t="s">
        <v>91</v>
      </c>
    </row>
    <row r="3337" spans="1:1" x14ac:dyDescent="0.25">
      <c r="A3337" t="s">
        <v>72</v>
      </c>
    </row>
    <row r="3338" spans="1:1" x14ac:dyDescent="0.25">
      <c r="A3338" t="s">
        <v>73</v>
      </c>
    </row>
    <row r="3339" spans="1:1" x14ac:dyDescent="0.25">
      <c r="A3339" t="s">
        <v>74</v>
      </c>
    </row>
    <row r="3340" spans="1:1" x14ac:dyDescent="0.25">
      <c r="A3340" t="s">
        <v>75</v>
      </c>
    </row>
    <row r="3341" spans="1:1" x14ac:dyDescent="0.25">
      <c r="A3341" t="s">
        <v>76</v>
      </c>
    </row>
    <row r="3342" spans="1:1" x14ac:dyDescent="0.25">
      <c r="A3342" t="s">
        <v>77</v>
      </c>
    </row>
    <row r="3343" spans="1:1" x14ac:dyDescent="0.25">
      <c r="A3343" t="s">
        <v>640</v>
      </c>
    </row>
    <row r="3344" spans="1:1" x14ac:dyDescent="0.25">
      <c r="A3344" t="s">
        <v>79</v>
      </c>
    </row>
    <row r="3345" spans="1:1" x14ac:dyDescent="0.25">
      <c r="A3345" t="s">
        <v>92</v>
      </c>
    </row>
    <row r="3346" spans="1:1" x14ac:dyDescent="0.25">
      <c r="A3346" t="s">
        <v>93</v>
      </c>
    </row>
    <row r="3347" spans="1:1" x14ac:dyDescent="0.25">
      <c r="A3347" t="s">
        <v>171</v>
      </c>
    </row>
    <row r="3350" spans="1:1" x14ac:dyDescent="0.25">
      <c r="A3350" t="s">
        <v>641</v>
      </c>
    </row>
    <row r="3351" spans="1:1" x14ac:dyDescent="0.25">
      <c r="A3351" t="s">
        <v>642</v>
      </c>
    </row>
    <row r="3352" spans="1:1" x14ac:dyDescent="0.25">
      <c r="A3352" t="s">
        <v>643</v>
      </c>
    </row>
    <row r="3353" spans="1:1" x14ac:dyDescent="0.25">
      <c r="A3353" t="s">
        <v>83</v>
      </c>
    </row>
    <row r="3354" spans="1:1" x14ac:dyDescent="0.25">
      <c r="A3354" t="s">
        <v>84</v>
      </c>
    </row>
    <row r="3355" spans="1:1" x14ac:dyDescent="0.25">
      <c r="A3355" t="s">
        <v>85</v>
      </c>
    </row>
    <row r="3356" spans="1:1" x14ac:dyDescent="0.25">
      <c r="A3356" t="s">
        <v>86</v>
      </c>
    </row>
    <row r="3357" spans="1:1" x14ac:dyDescent="0.25">
      <c r="A3357" t="s">
        <v>87</v>
      </c>
    </row>
    <row r="3358" spans="1:1" x14ac:dyDescent="0.25">
      <c r="A3358" t="s">
        <v>88</v>
      </c>
    </row>
    <row r="3359" spans="1:1" x14ac:dyDescent="0.25">
      <c r="A3359" t="s">
        <v>89</v>
      </c>
    </row>
    <row r="3360" spans="1:1" x14ac:dyDescent="0.25">
      <c r="A3360" t="s">
        <v>90</v>
      </c>
    </row>
    <row r="3361" spans="1:1" x14ac:dyDescent="0.25">
      <c r="A3361" t="s">
        <v>91</v>
      </c>
    </row>
    <row r="3362" spans="1:1" x14ac:dyDescent="0.25">
      <c r="A3362" t="s">
        <v>92</v>
      </c>
    </row>
    <row r="3363" spans="1:1" x14ac:dyDescent="0.25">
      <c r="A3363" t="s">
        <v>93</v>
      </c>
    </row>
    <row r="3364" spans="1:1" x14ac:dyDescent="0.25">
      <c r="A3364" t="s">
        <v>94</v>
      </c>
    </row>
    <row r="3367" spans="1:1" x14ac:dyDescent="0.25">
      <c r="A3367" t="s">
        <v>644</v>
      </c>
    </row>
    <row r="3368" spans="1:1" x14ac:dyDescent="0.25">
      <c r="A3368" t="s">
        <v>645</v>
      </c>
    </row>
    <row r="3369" spans="1:1" x14ac:dyDescent="0.25">
      <c r="A3369" t="s">
        <v>328</v>
      </c>
    </row>
    <row r="3370" spans="1:1" x14ac:dyDescent="0.25">
      <c r="A3370" t="s">
        <v>83</v>
      </c>
    </row>
    <row r="3371" spans="1:1" x14ac:dyDescent="0.25">
      <c r="A3371" t="s">
        <v>84</v>
      </c>
    </row>
    <row r="3372" spans="1:1" x14ac:dyDescent="0.25">
      <c r="A3372" t="s">
        <v>85</v>
      </c>
    </row>
    <row r="3373" spans="1:1" x14ac:dyDescent="0.25">
      <c r="A3373" t="s">
        <v>86</v>
      </c>
    </row>
    <row r="3374" spans="1:1" x14ac:dyDescent="0.25">
      <c r="A3374" t="s">
        <v>87</v>
      </c>
    </row>
    <row r="3375" spans="1:1" x14ac:dyDescent="0.25">
      <c r="A3375" t="s">
        <v>88</v>
      </c>
    </row>
    <row r="3376" spans="1:1" x14ac:dyDescent="0.25">
      <c r="A3376" t="s">
        <v>89</v>
      </c>
    </row>
    <row r="3377" spans="1:1" x14ac:dyDescent="0.25">
      <c r="A3377" t="s">
        <v>104</v>
      </c>
    </row>
    <row r="3378" spans="1:1" x14ac:dyDescent="0.25">
      <c r="A3378" t="s">
        <v>91</v>
      </c>
    </row>
    <row r="3379" spans="1:1" x14ac:dyDescent="0.25">
      <c r="A3379" t="s">
        <v>92</v>
      </c>
    </row>
    <row r="3380" spans="1:1" x14ac:dyDescent="0.25">
      <c r="A3380" t="s">
        <v>93</v>
      </c>
    </row>
    <row r="3381" spans="1:1" x14ac:dyDescent="0.25">
      <c r="A3381" t="s">
        <v>284</v>
      </c>
    </row>
    <row r="3384" spans="1:1" x14ac:dyDescent="0.25">
      <c r="A3384" t="s">
        <v>646</v>
      </c>
    </row>
    <row r="3385" spans="1:1" x14ac:dyDescent="0.25">
      <c r="A3385" t="s">
        <v>647</v>
      </c>
    </row>
    <row r="3386" spans="1:1" x14ac:dyDescent="0.25">
      <c r="A3386" t="s">
        <v>648</v>
      </c>
    </row>
    <row r="3387" spans="1:1" x14ac:dyDescent="0.25">
      <c r="A3387" t="s">
        <v>83</v>
      </c>
    </row>
    <row r="3388" spans="1:1" x14ac:dyDescent="0.25">
      <c r="A3388" t="s">
        <v>84</v>
      </c>
    </row>
    <row r="3389" spans="1:1" x14ac:dyDescent="0.25">
      <c r="A3389" t="s">
        <v>85</v>
      </c>
    </row>
    <row r="3390" spans="1:1" x14ac:dyDescent="0.25">
      <c r="A3390" t="s">
        <v>86</v>
      </c>
    </row>
    <row r="3391" spans="1:1" x14ac:dyDescent="0.25">
      <c r="A3391" t="s">
        <v>87</v>
      </c>
    </row>
    <row r="3392" spans="1:1" x14ac:dyDescent="0.25">
      <c r="A3392" t="s">
        <v>88</v>
      </c>
    </row>
    <row r="3393" spans="1:1" x14ac:dyDescent="0.25">
      <c r="A3393" t="s">
        <v>89</v>
      </c>
    </row>
    <row r="3394" spans="1:1" x14ac:dyDescent="0.25">
      <c r="A3394" t="s">
        <v>211</v>
      </c>
    </row>
    <row r="3400" spans="1:1" x14ac:dyDescent="0.25">
      <c r="A3400" t="s">
        <v>72</v>
      </c>
    </row>
    <row r="3401" spans="1:1" x14ac:dyDescent="0.25">
      <c r="A3401" t="s">
        <v>73</v>
      </c>
    </row>
    <row r="3402" spans="1:1" x14ac:dyDescent="0.25">
      <c r="A3402" t="s">
        <v>74</v>
      </c>
    </row>
    <row r="3403" spans="1:1" x14ac:dyDescent="0.25">
      <c r="A3403" t="s">
        <v>75</v>
      </c>
    </row>
    <row r="3404" spans="1:1" x14ac:dyDescent="0.25">
      <c r="A3404" t="s">
        <v>76</v>
      </c>
    </row>
    <row r="3405" spans="1:1" x14ac:dyDescent="0.25">
      <c r="A3405" t="s">
        <v>77</v>
      </c>
    </row>
    <row r="3406" spans="1:1" x14ac:dyDescent="0.25">
      <c r="A3406" t="s">
        <v>649</v>
      </c>
    </row>
    <row r="3407" spans="1:1" x14ac:dyDescent="0.25">
      <c r="A3407" t="s">
        <v>79</v>
      </c>
    </row>
    <row r="3408" spans="1:1" x14ac:dyDescent="0.25">
      <c r="A3408" t="s">
        <v>90</v>
      </c>
    </row>
    <row r="3409" spans="1:1" x14ac:dyDescent="0.25">
      <c r="A3409" t="s">
        <v>91</v>
      </c>
    </row>
    <row r="3410" spans="1:1" x14ac:dyDescent="0.25">
      <c r="A3410" t="s">
        <v>92</v>
      </c>
    </row>
    <row r="3411" spans="1:1" x14ac:dyDescent="0.25">
      <c r="A3411" t="s">
        <v>93</v>
      </c>
    </row>
    <row r="3412" spans="1:1" x14ac:dyDescent="0.25">
      <c r="A3412" t="s">
        <v>212</v>
      </c>
    </row>
    <row r="3415" spans="1:1" x14ac:dyDescent="0.25">
      <c r="A3415" t="s">
        <v>650</v>
      </c>
    </row>
    <row r="3416" spans="1:1" x14ac:dyDescent="0.25">
      <c r="A3416" t="s">
        <v>651</v>
      </c>
    </row>
    <row r="3417" spans="1:1" x14ac:dyDescent="0.25">
      <c r="A3417" t="s">
        <v>652</v>
      </c>
    </row>
    <row r="3418" spans="1:1" x14ac:dyDescent="0.25">
      <c r="A3418" t="s">
        <v>83</v>
      </c>
    </row>
    <row r="3419" spans="1:1" x14ac:dyDescent="0.25">
      <c r="A3419" t="s">
        <v>84</v>
      </c>
    </row>
    <row r="3420" spans="1:1" x14ac:dyDescent="0.25">
      <c r="A3420" t="s">
        <v>85</v>
      </c>
    </row>
    <row r="3421" spans="1:1" x14ac:dyDescent="0.25">
      <c r="A3421" t="s">
        <v>86</v>
      </c>
    </row>
    <row r="3422" spans="1:1" x14ac:dyDescent="0.25">
      <c r="A3422" t="s">
        <v>87</v>
      </c>
    </row>
    <row r="3423" spans="1:1" x14ac:dyDescent="0.25">
      <c r="A3423" t="s">
        <v>88</v>
      </c>
    </row>
    <row r="3424" spans="1:1" x14ac:dyDescent="0.25">
      <c r="A3424" t="s">
        <v>89</v>
      </c>
    </row>
    <row r="3425" spans="1:1" x14ac:dyDescent="0.25">
      <c r="A3425" t="s">
        <v>90</v>
      </c>
    </row>
    <row r="3426" spans="1:1" x14ac:dyDescent="0.25">
      <c r="A3426" t="s">
        <v>91</v>
      </c>
    </row>
    <row r="3427" spans="1:1" x14ac:dyDescent="0.25">
      <c r="A3427" t="s">
        <v>92</v>
      </c>
    </row>
    <row r="3428" spans="1:1" x14ac:dyDescent="0.25">
      <c r="A3428" t="s">
        <v>93</v>
      </c>
    </row>
    <row r="3429" spans="1:1" x14ac:dyDescent="0.25">
      <c r="A3429" t="s">
        <v>94</v>
      </c>
    </row>
    <row r="3432" spans="1:1" x14ac:dyDescent="0.25">
      <c r="A3432" t="s">
        <v>653</v>
      </c>
    </row>
    <row r="3433" spans="1:1" x14ac:dyDescent="0.25">
      <c r="A3433" t="s">
        <v>654</v>
      </c>
    </row>
    <row r="3434" spans="1:1" x14ac:dyDescent="0.25">
      <c r="A3434" t="s">
        <v>655</v>
      </c>
    </row>
    <row r="3435" spans="1:1" x14ac:dyDescent="0.25">
      <c r="A3435" t="s">
        <v>83</v>
      </c>
    </row>
    <row r="3436" spans="1:1" x14ac:dyDescent="0.25">
      <c r="A3436" t="s">
        <v>84</v>
      </c>
    </row>
    <row r="3437" spans="1:1" x14ac:dyDescent="0.25">
      <c r="A3437" t="s">
        <v>85</v>
      </c>
    </row>
    <row r="3438" spans="1:1" x14ac:dyDescent="0.25">
      <c r="A3438" t="s">
        <v>86</v>
      </c>
    </row>
    <row r="3439" spans="1:1" x14ac:dyDescent="0.25">
      <c r="A3439" t="s">
        <v>87</v>
      </c>
    </row>
    <row r="3440" spans="1:1" x14ac:dyDescent="0.25">
      <c r="A3440" t="s">
        <v>88</v>
      </c>
    </row>
    <row r="3441" spans="1:1" x14ac:dyDescent="0.25">
      <c r="A3441" t="s">
        <v>89</v>
      </c>
    </row>
    <row r="3442" spans="1:1" x14ac:dyDescent="0.25">
      <c r="A3442" t="s">
        <v>98</v>
      </c>
    </row>
    <row r="3443" spans="1:1" x14ac:dyDescent="0.25">
      <c r="A3443" t="s">
        <v>104</v>
      </c>
    </row>
    <row r="3444" spans="1:1" x14ac:dyDescent="0.25">
      <c r="A3444" t="s">
        <v>91</v>
      </c>
    </row>
    <row r="3445" spans="1:1" x14ac:dyDescent="0.25">
      <c r="A3445" t="s">
        <v>92</v>
      </c>
    </row>
    <row r="3446" spans="1:1" x14ac:dyDescent="0.25">
      <c r="A3446" t="s">
        <v>93</v>
      </c>
    </row>
    <row r="3447" spans="1:1" x14ac:dyDescent="0.25">
      <c r="A3447" t="s">
        <v>106</v>
      </c>
    </row>
    <row r="3450" spans="1:1" x14ac:dyDescent="0.25">
      <c r="A3450" t="s">
        <v>656</v>
      </c>
    </row>
    <row r="3451" spans="1:1" x14ac:dyDescent="0.25">
      <c r="A3451" t="s">
        <v>657</v>
      </c>
    </row>
    <row r="3452" spans="1:1" x14ac:dyDescent="0.25">
      <c r="A3452" t="s">
        <v>658</v>
      </c>
    </row>
    <row r="3453" spans="1:1" x14ac:dyDescent="0.25">
      <c r="A3453" t="s">
        <v>83</v>
      </c>
    </row>
    <row r="3454" spans="1:1" x14ac:dyDescent="0.25">
      <c r="A3454" t="s">
        <v>84</v>
      </c>
    </row>
    <row r="3455" spans="1:1" x14ac:dyDescent="0.25">
      <c r="A3455" t="s">
        <v>85</v>
      </c>
    </row>
    <row r="3456" spans="1:1" x14ac:dyDescent="0.25">
      <c r="A3456" t="s">
        <v>86</v>
      </c>
    </row>
    <row r="3457" spans="1:1" x14ac:dyDescent="0.25">
      <c r="A3457" t="s">
        <v>87</v>
      </c>
    </row>
    <row r="3463" spans="1:1" x14ac:dyDescent="0.25">
      <c r="A3463" t="s">
        <v>72</v>
      </c>
    </row>
    <row r="3464" spans="1:1" x14ac:dyDescent="0.25">
      <c r="A3464" t="s">
        <v>73</v>
      </c>
    </row>
    <row r="3465" spans="1:1" x14ac:dyDescent="0.25">
      <c r="A3465" t="s">
        <v>74</v>
      </c>
    </row>
    <row r="3466" spans="1:1" x14ac:dyDescent="0.25">
      <c r="A3466" t="s">
        <v>75</v>
      </c>
    </row>
    <row r="3467" spans="1:1" x14ac:dyDescent="0.25">
      <c r="A3467" t="s">
        <v>76</v>
      </c>
    </row>
    <row r="3468" spans="1:1" x14ac:dyDescent="0.25">
      <c r="A3468" t="s">
        <v>77</v>
      </c>
    </row>
    <row r="3469" spans="1:1" x14ac:dyDescent="0.25">
      <c r="A3469" t="s">
        <v>659</v>
      </c>
    </row>
    <row r="3470" spans="1:1" x14ac:dyDescent="0.25">
      <c r="A3470" t="s">
        <v>79</v>
      </c>
    </row>
    <row r="3471" spans="1:1" x14ac:dyDescent="0.25">
      <c r="A3471" t="s">
        <v>88</v>
      </c>
    </row>
    <row r="3472" spans="1:1" x14ac:dyDescent="0.25">
      <c r="A3472" t="s">
        <v>89</v>
      </c>
    </row>
    <row r="3473" spans="1:1" x14ac:dyDescent="0.25">
      <c r="A3473" t="s">
        <v>104</v>
      </c>
    </row>
    <row r="3474" spans="1:1" x14ac:dyDescent="0.25">
      <c r="A3474" t="s">
        <v>91</v>
      </c>
    </row>
    <row r="3475" spans="1:1" x14ac:dyDescent="0.25">
      <c r="A3475" t="s">
        <v>92</v>
      </c>
    </row>
    <row r="3476" spans="1:1" x14ac:dyDescent="0.25">
      <c r="A3476" t="s">
        <v>93</v>
      </c>
    </row>
    <row r="3477" spans="1:1" x14ac:dyDescent="0.25">
      <c r="A3477" t="s">
        <v>284</v>
      </c>
    </row>
    <row r="3480" spans="1:1" x14ac:dyDescent="0.25">
      <c r="A3480" t="s">
        <v>660</v>
      </c>
    </row>
    <row r="3481" spans="1:1" x14ac:dyDescent="0.25">
      <c r="A3481" t="s">
        <v>661</v>
      </c>
    </row>
    <row r="3482" spans="1:1" x14ac:dyDescent="0.25">
      <c r="A3482" t="s">
        <v>662</v>
      </c>
    </row>
    <row r="3483" spans="1:1" x14ac:dyDescent="0.25">
      <c r="A3483" t="s">
        <v>83</v>
      </c>
    </row>
    <row r="3484" spans="1:1" x14ac:dyDescent="0.25">
      <c r="A3484" t="s">
        <v>84</v>
      </c>
    </row>
    <row r="3485" spans="1:1" x14ac:dyDescent="0.25">
      <c r="A3485" t="s">
        <v>85</v>
      </c>
    </row>
    <row r="3486" spans="1:1" x14ac:dyDescent="0.25">
      <c r="A3486" t="s">
        <v>86</v>
      </c>
    </row>
    <row r="3487" spans="1:1" x14ac:dyDescent="0.25">
      <c r="A3487" t="s">
        <v>87</v>
      </c>
    </row>
    <row r="3488" spans="1:1" x14ac:dyDescent="0.25">
      <c r="A3488" t="s">
        <v>88</v>
      </c>
    </row>
    <row r="3489" spans="1:1" x14ac:dyDescent="0.25">
      <c r="A3489" t="s">
        <v>89</v>
      </c>
    </row>
    <row r="3490" spans="1:1" x14ac:dyDescent="0.25">
      <c r="A3490" t="s">
        <v>110</v>
      </c>
    </row>
    <row r="3491" spans="1:1" x14ac:dyDescent="0.25">
      <c r="A3491" t="s">
        <v>91</v>
      </c>
    </row>
    <row r="3492" spans="1:1" x14ac:dyDescent="0.25">
      <c r="A3492" t="s">
        <v>92</v>
      </c>
    </row>
    <row r="3493" spans="1:1" x14ac:dyDescent="0.25">
      <c r="A3493" t="s">
        <v>93</v>
      </c>
    </row>
    <row r="3494" spans="1:1" x14ac:dyDescent="0.25">
      <c r="A3494" t="s">
        <v>111</v>
      </c>
    </row>
    <row r="3497" spans="1:1" x14ac:dyDescent="0.25">
      <c r="A3497" t="s">
        <v>663</v>
      </c>
    </row>
    <row r="3498" spans="1:1" x14ac:dyDescent="0.25">
      <c r="A3498" t="s">
        <v>664</v>
      </c>
    </row>
    <row r="3499" spans="1:1" x14ac:dyDescent="0.25">
      <c r="A3499" t="s">
        <v>665</v>
      </c>
    </row>
    <row r="3500" spans="1:1" x14ac:dyDescent="0.25">
      <c r="A3500" t="s">
        <v>83</v>
      </c>
    </row>
    <row r="3501" spans="1:1" x14ac:dyDescent="0.25">
      <c r="A3501" t="s">
        <v>84</v>
      </c>
    </row>
    <row r="3502" spans="1:1" x14ac:dyDescent="0.25">
      <c r="A3502" t="s">
        <v>85</v>
      </c>
    </row>
    <row r="3503" spans="1:1" x14ac:dyDescent="0.25">
      <c r="A3503" t="s">
        <v>86</v>
      </c>
    </row>
    <row r="3504" spans="1:1" x14ac:dyDescent="0.25">
      <c r="A3504" t="s">
        <v>87</v>
      </c>
    </row>
    <row r="3505" spans="1:1" x14ac:dyDescent="0.25">
      <c r="A3505" t="s">
        <v>88</v>
      </c>
    </row>
    <row r="3506" spans="1:1" x14ac:dyDescent="0.25">
      <c r="A3506" t="s">
        <v>89</v>
      </c>
    </row>
    <row r="3507" spans="1:1" x14ac:dyDescent="0.25">
      <c r="A3507" t="s">
        <v>424</v>
      </c>
    </row>
    <row r="3508" spans="1:1" x14ac:dyDescent="0.25">
      <c r="A3508" t="s">
        <v>104</v>
      </c>
    </row>
    <row r="3509" spans="1:1" x14ac:dyDescent="0.25">
      <c r="A3509" t="s">
        <v>91</v>
      </c>
    </row>
    <row r="3510" spans="1:1" x14ac:dyDescent="0.25">
      <c r="A3510" t="s">
        <v>92</v>
      </c>
    </row>
    <row r="3511" spans="1:1" x14ac:dyDescent="0.25">
      <c r="A3511" t="s">
        <v>93</v>
      </c>
    </row>
    <row r="3512" spans="1:1" x14ac:dyDescent="0.25">
      <c r="A3512" t="s">
        <v>425</v>
      </c>
    </row>
    <row r="3515" spans="1:1" x14ac:dyDescent="0.25">
      <c r="A3515" t="s">
        <v>666</v>
      </c>
    </row>
    <row r="3516" spans="1:1" x14ac:dyDescent="0.25">
      <c r="A3516" t="s">
        <v>667</v>
      </c>
    </row>
    <row r="3517" spans="1:1" x14ac:dyDescent="0.25">
      <c r="A3517" t="s">
        <v>550</v>
      </c>
    </row>
    <row r="3518" spans="1:1" x14ac:dyDescent="0.25">
      <c r="A3518" t="s">
        <v>134</v>
      </c>
    </row>
    <row r="3519" spans="1:1" x14ac:dyDescent="0.25">
      <c r="A3519" t="s">
        <v>84</v>
      </c>
    </row>
    <row r="3526" spans="1:1" x14ac:dyDescent="0.25">
      <c r="A3526" t="s">
        <v>72</v>
      </c>
    </row>
    <row r="3527" spans="1:1" x14ac:dyDescent="0.25">
      <c r="A3527" t="s">
        <v>73</v>
      </c>
    </row>
    <row r="3528" spans="1:1" x14ac:dyDescent="0.25">
      <c r="A3528" t="s">
        <v>74</v>
      </c>
    </row>
    <row r="3529" spans="1:1" x14ac:dyDescent="0.25">
      <c r="A3529" t="s">
        <v>75</v>
      </c>
    </row>
    <row r="3530" spans="1:1" x14ac:dyDescent="0.25">
      <c r="A3530" t="s">
        <v>76</v>
      </c>
    </row>
    <row r="3531" spans="1:1" x14ac:dyDescent="0.25">
      <c r="A3531" t="s">
        <v>77</v>
      </c>
    </row>
    <row r="3532" spans="1:1" x14ac:dyDescent="0.25">
      <c r="A3532" t="s">
        <v>668</v>
      </c>
    </row>
    <row r="3533" spans="1:1" x14ac:dyDescent="0.25">
      <c r="A3533" t="s">
        <v>79</v>
      </c>
    </row>
    <row r="3534" spans="1:1" x14ac:dyDescent="0.25">
      <c r="A3534" t="s">
        <v>85</v>
      </c>
    </row>
    <row r="3535" spans="1:1" x14ac:dyDescent="0.25">
      <c r="A3535" t="s">
        <v>86</v>
      </c>
    </row>
    <row r="3536" spans="1:1" x14ac:dyDescent="0.25">
      <c r="A3536" t="s">
        <v>87</v>
      </c>
    </row>
    <row r="3537" spans="1:1" x14ac:dyDescent="0.25">
      <c r="A3537" t="s">
        <v>88</v>
      </c>
    </row>
    <row r="3538" spans="1:1" x14ac:dyDescent="0.25">
      <c r="A3538" t="s">
        <v>89</v>
      </c>
    </row>
    <row r="3539" spans="1:1" x14ac:dyDescent="0.25">
      <c r="A3539" t="s">
        <v>110</v>
      </c>
    </row>
    <row r="3540" spans="1:1" x14ac:dyDescent="0.25">
      <c r="A3540" t="s">
        <v>91</v>
      </c>
    </row>
    <row r="3541" spans="1:1" x14ac:dyDescent="0.25">
      <c r="A3541" t="s">
        <v>92</v>
      </c>
    </row>
    <row r="3542" spans="1:1" x14ac:dyDescent="0.25">
      <c r="A3542" t="s">
        <v>93</v>
      </c>
    </row>
    <row r="3543" spans="1:1" x14ac:dyDescent="0.25">
      <c r="A3543" t="s">
        <v>111</v>
      </c>
    </row>
    <row r="3546" spans="1:1" x14ac:dyDescent="0.25">
      <c r="A3546" t="s">
        <v>669</v>
      </c>
    </row>
    <row r="3547" spans="1:1" x14ac:dyDescent="0.25">
      <c r="A3547" t="s">
        <v>670</v>
      </c>
    </row>
    <row r="3548" spans="1:1" x14ac:dyDescent="0.25">
      <c r="A3548" t="s">
        <v>671</v>
      </c>
    </row>
    <row r="3549" spans="1:1" x14ac:dyDescent="0.25">
      <c r="A3549" t="s">
        <v>134</v>
      </c>
    </row>
    <row r="3550" spans="1:1" x14ac:dyDescent="0.25">
      <c r="A3550" t="s">
        <v>84</v>
      </c>
    </row>
    <row r="3551" spans="1:1" x14ac:dyDescent="0.25">
      <c r="A3551" t="s">
        <v>85</v>
      </c>
    </row>
    <row r="3552" spans="1:1" x14ac:dyDescent="0.25">
      <c r="A3552" t="s">
        <v>86</v>
      </c>
    </row>
    <row r="3553" spans="1:1" x14ac:dyDescent="0.25">
      <c r="A3553" t="s">
        <v>87</v>
      </c>
    </row>
    <row r="3554" spans="1:1" x14ac:dyDescent="0.25">
      <c r="A3554" t="s">
        <v>88</v>
      </c>
    </row>
    <row r="3555" spans="1:1" x14ac:dyDescent="0.25">
      <c r="A3555" t="s">
        <v>89</v>
      </c>
    </row>
    <row r="3556" spans="1:1" x14ac:dyDescent="0.25">
      <c r="A3556" t="s">
        <v>90</v>
      </c>
    </row>
    <row r="3557" spans="1:1" x14ac:dyDescent="0.25">
      <c r="A3557" t="s">
        <v>91</v>
      </c>
    </row>
    <row r="3558" spans="1:1" x14ac:dyDescent="0.25">
      <c r="A3558" t="s">
        <v>92</v>
      </c>
    </row>
    <row r="3559" spans="1:1" x14ac:dyDescent="0.25">
      <c r="A3559" t="s">
        <v>93</v>
      </c>
    </row>
    <row r="3560" spans="1:1" x14ac:dyDescent="0.25">
      <c r="A3560" t="s">
        <v>94</v>
      </c>
    </row>
    <row r="3563" spans="1:1" x14ac:dyDescent="0.25">
      <c r="A3563" t="s">
        <v>672</v>
      </c>
    </row>
    <row r="3564" spans="1:1" x14ac:dyDescent="0.25">
      <c r="A3564" t="s">
        <v>673</v>
      </c>
    </row>
    <row r="3565" spans="1:1" x14ac:dyDescent="0.25">
      <c r="A3565" t="s">
        <v>674</v>
      </c>
    </row>
    <row r="3566" spans="1:1" x14ac:dyDescent="0.25">
      <c r="A3566" t="s">
        <v>134</v>
      </c>
    </row>
    <row r="3567" spans="1:1" x14ac:dyDescent="0.25">
      <c r="A3567" t="s">
        <v>84</v>
      </c>
    </row>
    <row r="3568" spans="1:1" x14ac:dyDescent="0.25">
      <c r="A3568" t="s">
        <v>85</v>
      </c>
    </row>
    <row r="3569" spans="1:1" x14ac:dyDescent="0.25">
      <c r="A3569" t="s">
        <v>86</v>
      </c>
    </row>
    <row r="3570" spans="1:1" x14ac:dyDescent="0.25">
      <c r="A3570" t="s">
        <v>87</v>
      </c>
    </row>
    <row r="3571" spans="1:1" x14ac:dyDescent="0.25">
      <c r="A3571" t="s">
        <v>88</v>
      </c>
    </row>
    <row r="3572" spans="1:1" x14ac:dyDescent="0.25">
      <c r="A3572" t="s">
        <v>89</v>
      </c>
    </row>
    <row r="3573" spans="1:1" x14ac:dyDescent="0.25">
      <c r="A3573" t="s">
        <v>98</v>
      </c>
    </row>
    <row r="3574" spans="1:1" x14ac:dyDescent="0.25">
      <c r="A3574" t="s">
        <v>104</v>
      </c>
    </row>
    <row r="3575" spans="1:1" x14ac:dyDescent="0.25">
      <c r="A3575" t="s">
        <v>91</v>
      </c>
    </row>
    <row r="3576" spans="1:1" x14ac:dyDescent="0.25">
      <c r="A3576" t="s">
        <v>92</v>
      </c>
    </row>
    <row r="3577" spans="1:1" x14ac:dyDescent="0.25">
      <c r="A3577" t="s">
        <v>93</v>
      </c>
    </row>
    <row r="3578" spans="1:1" x14ac:dyDescent="0.25">
      <c r="A3578" t="s">
        <v>106</v>
      </c>
    </row>
    <row r="3581" spans="1:1" x14ac:dyDescent="0.25">
      <c r="A3581" t="s">
        <v>675</v>
      </c>
    </row>
    <row r="3582" spans="1:1" x14ac:dyDescent="0.25">
      <c r="A3582" t="s">
        <v>676</v>
      </c>
    </row>
    <row r="3583" spans="1:1" x14ac:dyDescent="0.25">
      <c r="A3583" t="s">
        <v>677</v>
      </c>
    </row>
    <row r="3589" spans="1:1" x14ac:dyDescent="0.25">
      <c r="A3589" t="s">
        <v>72</v>
      </c>
    </row>
    <row r="3590" spans="1:1" x14ac:dyDescent="0.25">
      <c r="A3590" t="s">
        <v>73</v>
      </c>
    </row>
    <row r="3591" spans="1:1" x14ac:dyDescent="0.25">
      <c r="A3591" t="s">
        <v>74</v>
      </c>
    </row>
    <row r="3592" spans="1:1" x14ac:dyDescent="0.25">
      <c r="A3592" t="s">
        <v>75</v>
      </c>
    </row>
    <row r="3593" spans="1:1" x14ac:dyDescent="0.25">
      <c r="A3593" t="s">
        <v>76</v>
      </c>
    </row>
    <row r="3594" spans="1:1" x14ac:dyDescent="0.25">
      <c r="A3594" t="s">
        <v>77</v>
      </c>
    </row>
    <row r="3595" spans="1:1" x14ac:dyDescent="0.25">
      <c r="A3595" t="s">
        <v>678</v>
      </c>
    </row>
    <row r="3596" spans="1:1" x14ac:dyDescent="0.25">
      <c r="A3596" t="s">
        <v>79</v>
      </c>
    </row>
    <row r="3597" spans="1:1" x14ac:dyDescent="0.25">
      <c r="A3597" t="s">
        <v>134</v>
      </c>
    </row>
    <row r="3598" spans="1:1" x14ac:dyDescent="0.25">
      <c r="A3598" t="s">
        <v>84</v>
      </c>
    </row>
    <row r="3599" spans="1:1" x14ac:dyDescent="0.25">
      <c r="A3599" t="s">
        <v>85</v>
      </c>
    </row>
    <row r="3600" spans="1:1" x14ac:dyDescent="0.25">
      <c r="A3600" t="s">
        <v>86</v>
      </c>
    </row>
    <row r="3601" spans="1:1" x14ac:dyDescent="0.25">
      <c r="A3601" t="s">
        <v>87</v>
      </c>
    </row>
    <row r="3602" spans="1:1" x14ac:dyDescent="0.25">
      <c r="A3602" t="s">
        <v>88</v>
      </c>
    </row>
    <row r="3603" spans="1:1" x14ac:dyDescent="0.25">
      <c r="A3603" t="s">
        <v>89</v>
      </c>
    </row>
    <row r="3604" spans="1:1" x14ac:dyDescent="0.25">
      <c r="A3604" t="s">
        <v>98</v>
      </c>
    </row>
    <row r="3605" spans="1:1" x14ac:dyDescent="0.25">
      <c r="A3605" t="s">
        <v>104</v>
      </c>
    </row>
    <row r="3606" spans="1:1" x14ac:dyDescent="0.25">
      <c r="A3606" t="s">
        <v>91</v>
      </c>
    </row>
    <row r="3607" spans="1:1" x14ac:dyDescent="0.25">
      <c r="A3607" t="s">
        <v>92</v>
      </c>
    </row>
    <row r="3608" spans="1:1" x14ac:dyDescent="0.25">
      <c r="A3608" t="s">
        <v>93</v>
      </c>
    </row>
    <row r="3609" spans="1:1" x14ac:dyDescent="0.25">
      <c r="A3609" t="s">
        <v>106</v>
      </c>
    </row>
    <row r="3612" spans="1:1" x14ac:dyDescent="0.25">
      <c r="A3612" t="s">
        <v>679</v>
      </c>
    </row>
    <row r="3613" spans="1:1" x14ac:dyDescent="0.25">
      <c r="A3613" t="s">
        <v>680</v>
      </c>
    </row>
    <row r="3614" spans="1:1" x14ac:dyDescent="0.25">
      <c r="A3614" t="s">
        <v>681</v>
      </c>
    </row>
    <row r="3615" spans="1:1" x14ac:dyDescent="0.25">
      <c r="A3615" t="s">
        <v>83</v>
      </c>
    </row>
    <row r="3616" spans="1:1" x14ac:dyDescent="0.25">
      <c r="A3616" t="s">
        <v>84</v>
      </c>
    </row>
    <row r="3617" spans="1:1" x14ac:dyDescent="0.25">
      <c r="A3617" t="s">
        <v>85</v>
      </c>
    </row>
    <row r="3618" spans="1:1" x14ac:dyDescent="0.25">
      <c r="A3618" t="s">
        <v>86</v>
      </c>
    </row>
    <row r="3619" spans="1:1" x14ac:dyDescent="0.25">
      <c r="A3619" t="s">
        <v>87</v>
      </c>
    </row>
    <row r="3620" spans="1:1" x14ac:dyDescent="0.25">
      <c r="A3620" t="s">
        <v>88</v>
      </c>
    </row>
    <row r="3621" spans="1:1" x14ac:dyDescent="0.25">
      <c r="A3621" t="s">
        <v>170</v>
      </c>
    </row>
    <row r="3622" spans="1:1" x14ac:dyDescent="0.25">
      <c r="A3622" t="s">
        <v>91</v>
      </c>
    </row>
    <row r="3623" spans="1:1" x14ac:dyDescent="0.25">
      <c r="A3623" t="s">
        <v>92</v>
      </c>
    </row>
    <row r="3624" spans="1:1" x14ac:dyDescent="0.25">
      <c r="A3624" t="s">
        <v>93</v>
      </c>
    </row>
    <row r="3625" spans="1:1" x14ac:dyDescent="0.25">
      <c r="A3625" t="s">
        <v>171</v>
      </c>
    </row>
    <row r="3628" spans="1:1" x14ac:dyDescent="0.25">
      <c r="A3628" t="s">
        <v>682</v>
      </c>
    </row>
    <row r="3629" spans="1:1" x14ac:dyDescent="0.25">
      <c r="A3629" t="s">
        <v>683</v>
      </c>
    </row>
    <row r="3630" spans="1:1" x14ac:dyDescent="0.25">
      <c r="A3630" t="s">
        <v>684</v>
      </c>
    </row>
    <row r="3631" spans="1:1" x14ac:dyDescent="0.25">
      <c r="A3631" t="s">
        <v>83</v>
      </c>
    </row>
    <row r="3632" spans="1:1" x14ac:dyDescent="0.25">
      <c r="A3632" t="s">
        <v>84</v>
      </c>
    </row>
    <row r="3633" spans="1:1" x14ac:dyDescent="0.25">
      <c r="A3633" t="s">
        <v>85</v>
      </c>
    </row>
    <row r="3634" spans="1:1" x14ac:dyDescent="0.25">
      <c r="A3634" t="s">
        <v>86</v>
      </c>
    </row>
    <row r="3635" spans="1:1" x14ac:dyDescent="0.25">
      <c r="A3635" t="s">
        <v>87</v>
      </c>
    </row>
    <row r="3636" spans="1:1" x14ac:dyDescent="0.25">
      <c r="A3636" t="s">
        <v>88</v>
      </c>
    </row>
    <row r="3637" spans="1:1" x14ac:dyDescent="0.25">
      <c r="A3637" t="s">
        <v>191</v>
      </c>
    </row>
    <row r="3638" spans="1:1" x14ac:dyDescent="0.25">
      <c r="A3638" t="s">
        <v>170</v>
      </c>
    </row>
    <row r="3639" spans="1:1" x14ac:dyDescent="0.25">
      <c r="A3639" t="s">
        <v>91</v>
      </c>
    </row>
    <row r="3640" spans="1:1" x14ac:dyDescent="0.25">
      <c r="A3640" t="s">
        <v>92</v>
      </c>
    </row>
    <row r="3641" spans="1:1" x14ac:dyDescent="0.25">
      <c r="A3641" t="s">
        <v>93</v>
      </c>
    </row>
    <row r="3642" spans="1:1" x14ac:dyDescent="0.25">
      <c r="A3642" t="s">
        <v>685</v>
      </c>
    </row>
    <row r="3645" spans="1:1" x14ac:dyDescent="0.25">
      <c r="A3645" t="s">
        <v>686</v>
      </c>
    </row>
    <row r="3646" spans="1:1" x14ac:dyDescent="0.25">
      <c r="A3646" t="s">
        <v>687</v>
      </c>
    </row>
    <row r="3652" spans="1:1" x14ac:dyDescent="0.25">
      <c r="A3652" t="s">
        <v>72</v>
      </c>
    </row>
    <row r="3653" spans="1:1" x14ac:dyDescent="0.25">
      <c r="A3653" t="s">
        <v>73</v>
      </c>
    </row>
    <row r="3654" spans="1:1" x14ac:dyDescent="0.25">
      <c r="A3654" t="s">
        <v>74</v>
      </c>
    </row>
    <row r="3655" spans="1:1" x14ac:dyDescent="0.25">
      <c r="A3655" t="s">
        <v>75</v>
      </c>
    </row>
    <row r="3656" spans="1:1" x14ac:dyDescent="0.25">
      <c r="A3656" t="s">
        <v>76</v>
      </c>
    </row>
    <row r="3657" spans="1:1" x14ac:dyDescent="0.25">
      <c r="A3657" t="s">
        <v>77</v>
      </c>
    </row>
    <row r="3658" spans="1:1" x14ac:dyDescent="0.25">
      <c r="A3658" t="s">
        <v>688</v>
      </c>
    </row>
    <row r="3659" spans="1:1" x14ac:dyDescent="0.25">
      <c r="A3659" t="s">
        <v>79</v>
      </c>
    </row>
    <row r="3660" spans="1:1" x14ac:dyDescent="0.25">
      <c r="A3660" t="s">
        <v>296</v>
      </c>
    </row>
    <row r="3661" spans="1:1" x14ac:dyDescent="0.25">
      <c r="A3661" t="s">
        <v>83</v>
      </c>
    </row>
    <row r="3662" spans="1:1" x14ac:dyDescent="0.25">
      <c r="A3662" t="s">
        <v>84</v>
      </c>
    </row>
    <row r="3663" spans="1:1" x14ac:dyDescent="0.25">
      <c r="A3663" t="s">
        <v>85</v>
      </c>
    </row>
    <row r="3664" spans="1:1" x14ac:dyDescent="0.25">
      <c r="A3664" t="s">
        <v>86</v>
      </c>
    </row>
    <row r="3665" spans="1:1" x14ac:dyDescent="0.25">
      <c r="A3665" t="s">
        <v>87</v>
      </c>
    </row>
    <row r="3666" spans="1:1" x14ac:dyDescent="0.25">
      <c r="A3666" t="s">
        <v>88</v>
      </c>
    </row>
    <row r="3667" spans="1:1" x14ac:dyDescent="0.25">
      <c r="A3667" t="s">
        <v>89</v>
      </c>
    </row>
    <row r="3668" spans="1:1" x14ac:dyDescent="0.25">
      <c r="A3668" t="s">
        <v>110</v>
      </c>
    </row>
    <row r="3669" spans="1:1" x14ac:dyDescent="0.25">
      <c r="A3669" t="s">
        <v>91</v>
      </c>
    </row>
    <row r="3670" spans="1:1" x14ac:dyDescent="0.25">
      <c r="A3670" t="s">
        <v>92</v>
      </c>
    </row>
    <row r="3671" spans="1:1" x14ac:dyDescent="0.25">
      <c r="A3671" t="s">
        <v>93</v>
      </c>
    </row>
    <row r="3672" spans="1:1" x14ac:dyDescent="0.25">
      <c r="A3672" t="s">
        <v>111</v>
      </c>
    </row>
    <row r="3675" spans="1:1" x14ac:dyDescent="0.25">
      <c r="A3675" t="s">
        <v>689</v>
      </c>
    </row>
    <row r="3676" spans="1:1" x14ac:dyDescent="0.25">
      <c r="A3676" t="s">
        <v>690</v>
      </c>
    </row>
    <row r="3677" spans="1:1" x14ac:dyDescent="0.25">
      <c r="A3677" t="s">
        <v>609</v>
      </c>
    </row>
    <row r="3678" spans="1:1" x14ac:dyDescent="0.25">
      <c r="A3678" t="s">
        <v>134</v>
      </c>
    </row>
    <row r="3679" spans="1:1" x14ac:dyDescent="0.25">
      <c r="A3679" t="s">
        <v>184</v>
      </c>
    </row>
    <row r="3680" spans="1:1" x14ac:dyDescent="0.25">
      <c r="A3680" t="s">
        <v>85</v>
      </c>
    </row>
    <row r="3681" spans="1:1" x14ac:dyDescent="0.25">
      <c r="A3681" t="s">
        <v>86</v>
      </c>
    </row>
    <row r="3682" spans="1:1" x14ac:dyDescent="0.25">
      <c r="A3682" t="s">
        <v>87</v>
      </c>
    </row>
    <row r="3683" spans="1:1" x14ac:dyDescent="0.25">
      <c r="A3683" t="s">
        <v>88</v>
      </c>
    </row>
    <row r="3684" spans="1:1" x14ac:dyDescent="0.25">
      <c r="A3684" t="s">
        <v>289</v>
      </c>
    </row>
    <row r="3685" spans="1:1" x14ac:dyDescent="0.25">
      <c r="A3685" t="s">
        <v>691</v>
      </c>
    </row>
    <row r="3686" spans="1:1" x14ac:dyDescent="0.25">
      <c r="A3686" t="s">
        <v>91</v>
      </c>
    </row>
    <row r="3687" spans="1:1" x14ac:dyDescent="0.25">
      <c r="A3687" t="s">
        <v>92</v>
      </c>
    </row>
    <row r="3688" spans="1:1" x14ac:dyDescent="0.25">
      <c r="A3688" t="s">
        <v>93</v>
      </c>
    </row>
    <row r="3689" spans="1:1" x14ac:dyDescent="0.25">
      <c r="A3689" t="s">
        <v>124</v>
      </c>
    </row>
    <row r="3690" spans="1:1" x14ac:dyDescent="0.25">
      <c r="A3690" t="s">
        <v>692</v>
      </c>
    </row>
    <row r="3693" spans="1:1" x14ac:dyDescent="0.25">
      <c r="A3693" t="s">
        <v>693</v>
      </c>
    </row>
    <row r="3694" spans="1:1" x14ac:dyDescent="0.25">
      <c r="A3694" t="s">
        <v>694</v>
      </c>
    </row>
    <row r="3695" spans="1:1" x14ac:dyDescent="0.25">
      <c r="A3695" t="s">
        <v>210</v>
      </c>
    </row>
    <row r="3696" spans="1:1" x14ac:dyDescent="0.25">
      <c r="A3696" t="s">
        <v>134</v>
      </c>
    </row>
    <row r="3697" spans="1:1" x14ac:dyDescent="0.25">
      <c r="A3697" t="s">
        <v>84</v>
      </c>
    </row>
    <row r="3698" spans="1:1" x14ac:dyDescent="0.25">
      <c r="A3698" t="s">
        <v>85</v>
      </c>
    </row>
    <row r="3699" spans="1:1" x14ac:dyDescent="0.25">
      <c r="A3699" t="s">
        <v>86</v>
      </c>
    </row>
    <row r="3700" spans="1:1" x14ac:dyDescent="0.25">
      <c r="A3700" t="s">
        <v>87</v>
      </c>
    </row>
    <row r="3701" spans="1:1" x14ac:dyDescent="0.25">
      <c r="A3701" t="s">
        <v>88</v>
      </c>
    </row>
    <row r="3702" spans="1:1" x14ac:dyDescent="0.25">
      <c r="A3702" t="s">
        <v>89</v>
      </c>
    </row>
    <row r="3703" spans="1:1" x14ac:dyDescent="0.25">
      <c r="A3703" t="s">
        <v>110</v>
      </c>
    </row>
    <row r="3704" spans="1:1" x14ac:dyDescent="0.25">
      <c r="A3704" t="s">
        <v>91</v>
      </c>
    </row>
    <row r="3705" spans="1:1" x14ac:dyDescent="0.25">
      <c r="A3705" t="s">
        <v>92</v>
      </c>
    </row>
    <row r="3706" spans="1:1" x14ac:dyDescent="0.25">
      <c r="A3706" t="s">
        <v>93</v>
      </c>
    </row>
    <row r="3707" spans="1:1" x14ac:dyDescent="0.25">
      <c r="A3707" t="s">
        <v>111</v>
      </c>
    </row>
    <row r="3715" spans="1:1" x14ac:dyDescent="0.25">
      <c r="A3715" t="s">
        <v>72</v>
      </c>
    </row>
    <row r="3716" spans="1:1" x14ac:dyDescent="0.25">
      <c r="A3716" t="s">
        <v>73</v>
      </c>
    </row>
    <row r="3717" spans="1:1" x14ac:dyDescent="0.25">
      <c r="A3717" t="s">
        <v>74</v>
      </c>
    </row>
    <row r="3718" spans="1:1" x14ac:dyDescent="0.25">
      <c r="A3718" t="s">
        <v>75</v>
      </c>
    </row>
    <row r="3719" spans="1:1" x14ac:dyDescent="0.25">
      <c r="A3719" t="s">
        <v>76</v>
      </c>
    </row>
    <row r="3720" spans="1:1" x14ac:dyDescent="0.25">
      <c r="A3720" t="s">
        <v>77</v>
      </c>
    </row>
    <row r="3721" spans="1:1" x14ac:dyDescent="0.25">
      <c r="A3721" t="s">
        <v>695</v>
      </c>
    </row>
    <row r="3722" spans="1:1" x14ac:dyDescent="0.25">
      <c r="A3722" t="s">
        <v>79</v>
      </c>
    </row>
    <row r="3723" spans="1:1" x14ac:dyDescent="0.25">
      <c r="A3723" t="s">
        <v>696</v>
      </c>
    </row>
    <row r="3724" spans="1:1" x14ac:dyDescent="0.25">
      <c r="A3724" t="s">
        <v>697</v>
      </c>
    </row>
    <row r="3725" spans="1:1" x14ac:dyDescent="0.25">
      <c r="A3725" t="s">
        <v>122</v>
      </c>
    </row>
    <row r="3726" spans="1:1" x14ac:dyDescent="0.25">
      <c r="A3726" t="s">
        <v>83</v>
      </c>
    </row>
    <row r="3727" spans="1:1" x14ac:dyDescent="0.25">
      <c r="A3727" t="s">
        <v>84</v>
      </c>
    </row>
    <row r="3728" spans="1:1" x14ac:dyDescent="0.25">
      <c r="A3728" t="s">
        <v>85</v>
      </c>
    </row>
    <row r="3729" spans="1:1" x14ac:dyDescent="0.25">
      <c r="A3729" t="s">
        <v>86</v>
      </c>
    </row>
    <row r="3730" spans="1:1" x14ac:dyDescent="0.25">
      <c r="A3730" t="s">
        <v>87</v>
      </c>
    </row>
    <row r="3731" spans="1:1" x14ac:dyDescent="0.25">
      <c r="A3731" t="s">
        <v>88</v>
      </c>
    </row>
    <row r="3732" spans="1:1" x14ac:dyDescent="0.25">
      <c r="A3732" t="s">
        <v>89</v>
      </c>
    </row>
    <row r="3733" spans="1:1" x14ac:dyDescent="0.25">
      <c r="A3733" t="s">
        <v>110</v>
      </c>
    </row>
    <row r="3734" spans="1:1" x14ac:dyDescent="0.25">
      <c r="A3734" t="s">
        <v>91</v>
      </c>
    </row>
    <row r="3735" spans="1:1" x14ac:dyDescent="0.25">
      <c r="A3735" t="s">
        <v>92</v>
      </c>
    </row>
    <row r="3736" spans="1:1" x14ac:dyDescent="0.25">
      <c r="A3736" t="s">
        <v>93</v>
      </c>
    </row>
    <row r="3737" spans="1:1" x14ac:dyDescent="0.25">
      <c r="A3737" t="s">
        <v>111</v>
      </c>
    </row>
    <row r="3740" spans="1:1" x14ac:dyDescent="0.25">
      <c r="A3740" t="s">
        <v>698</v>
      </c>
    </row>
    <row r="3741" spans="1:1" x14ac:dyDescent="0.25">
      <c r="A3741" t="s">
        <v>699</v>
      </c>
    </row>
    <row r="3742" spans="1:1" x14ac:dyDescent="0.25">
      <c r="A3742" t="s">
        <v>700</v>
      </c>
    </row>
    <row r="3743" spans="1:1" x14ac:dyDescent="0.25">
      <c r="A3743" t="s">
        <v>134</v>
      </c>
    </row>
    <row r="3744" spans="1:1" x14ac:dyDescent="0.25">
      <c r="A3744" t="s">
        <v>84</v>
      </c>
    </row>
    <row r="3745" spans="1:1" x14ac:dyDescent="0.25">
      <c r="A3745" t="s">
        <v>85</v>
      </c>
    </row>
    <row r="3746" spans="1:1" x14ac:dyDescent="0.25">
      <c r="A3746" t="s">
        <v>86</v>
      </c>
    </row>
    <row r="3747" spans="1:1" x14ac:dyDescent="0.25">
      <c r="A3747" t="s">
        <v>87</v>
      </c>
    </row>
    <row r="3748" spans="1:1" x14ac:dyDescent="0.25">
      <c r="A3748" t="s">
        <v>88</v>
      </c>
    </row>
    <row r="3749" spans="1:1" x14ac:dyDescent="0.25">
      <c r="A3749" t="s">
        <v>89</v>
      </c>
    </row>
    <row r="3750" spans="1:1" x14ac:dyDescent="0.25">
      <c r="A3750" t="s">
        <v>247</v>
      </c>
    </row>
    <row r="3751" spans="1:1" x14ac:dyDescent="0.25">
      <c r="A3751" t="s">
        <v>91</v>
      </c>
    </row>
    <row r="3752" spans="1:1" x14ac:dyDescent="0.25">
      <c r="A3752" t="s">
        <v>92</v>
      </c>
    </row>
    <row r="3753" spans="1:1" x14ac:dyDescent="0.25">
      <c r="A3753" t="s">
        <v>93</v>
      </c>
    </row>
    <row r="3754" spans="1:1" x14ac:dyDescent="0.25">
      <c r="A3754" t="s">
        <v>248</v>
      </c>
    </row>
    <row r="3757" spans="1:1" x14ac:dyDescent="0.25">
      <c r="A3757" t="s">
        <v>701</v>
      </c>
    </row>
    <row r="3758" spans="1:1" x14ac:dyDescent="0.25">
      <c r="A3758" t="s">
        <v>702</v>
      </c>
    </row>
    <row r="3759" spans="1:1" x14ac:dyDescent="0.25">
      <c r="A3759" t="s">
        <v>703</v>
      </c>
    </row>
    <row r="3760" spans="1:1" x14ac:dyDescent="0.25">
      <c r="A3760" t="s">
        <v>83</v>
      </c>
    </row>
    <row r="3761" spans="1:1" x14ac:dyDescent="0.25">
      <c r="A3761" t="s">
        <v>84</v>
      </c>
    </row>
    <row r="3762" spans="1:1" x14ac:dyDescent="0.25">
      <c r="A3762" t="s">
        <v>85</v>
      </c>
    </row>
    <row r="3763" spans="1:1" x14ac:dyDescent="0.25">
      <c r="A3763" t="s">
        <v>86</v>
      </c>
    </row>
    <row r="3764" spans="1:1" x14ac:dyDescent="0.25">
      <c r="A3764" t="s">
        <v>87</v>
      </c>
    </row>
    <row r="3765" spans="1:1" x14ac:dyDescent="0.25">
      <c r="A3765" t="s">
        <v>88</v>
      </c>
    </row>
    <row r="3766" spans="1:1" x14ac:dyDescent="0.25">
      <c r="A3766" t="s">
        <v>89</v>
      </c>
    </row>
    <row r="3767" spans="1:1" x14ac:dyDescent="0.25">
      <c r="A3767" t="s">
        <v>90</v>
      </c>
    </row>
    <row r="3768" spans="1:1" x14ac:dyDescent="0.25">
      <c r="A3768" t="s">
        <v>91</v>
      </c>
    </row>
    <row r="3769" spans="1:1" x14ac:dyDescent="0.25">
      <c r="A3769" t="s">
        <v>92</v>
      </c>
    </row>
    <row r="3770" spans="1:1" x14ac:dyDescent="0.25">
      <c r="A3770" t="s">
        <v>93</v>
      </c>
    </row>
    <row r="3771" spans="1:1" x14ac:dyDescent="0.25">
      <c r="A3771" t="s">
        <v>94</v>
      </c>
    </row>
    <row r="3777" spans="1:1" x14ac:dyDescent="0.25">
      <c r="A3777" t="s">
        <v>72</v>
      </c>
    </row>
    <row r="3778" spans="1:1" x14ac:dyDescent="0.25">
      <c r="A3778" t="s">
        <v>73</v>
      </c>
    </row>
    <row r="3779" spans="1:1" x14ac:dyDescent="0.25">
      <c r="A3779" t="s">
        <v>74</v>
      </c>
    </row>
    <row r="3780" spans="1:1" x14ac:dyDescent="0.25">
      <c r="A3780" t="s">
        <v>75</v>
      </c>
    </row>
    <row r="3781" spans="1:1" x14ac:dyDescent="0.25">
      <c r="A3781" t="s">
        <v>76</v>
      </c>
    </row>
    <row r="3782" spans="1:1" x14ac:dyDescent="0.25">
      <c r="A3782" t="s">
        <v>77</v>
      </c>
    </row>
    <row r="3783" spans="1:1" x14ac:dyDescent="0.25">
      <c r="A3783" t="s">
        <v>704</v>
      </c>
    </row>
    <row r="3784" spans="1:1" x14ac:dyDescent="0.25">
      <c r="A3784" t="s">
        <v>79</v>
      </c>
    </row>
    <row r="3786" spans="1:1" x14ac:dyDescent="0.25">
      <c r="A3786" t="s">
        <v>705</v>
      </c>
    </row>
    <row r="3787" spans="1:1" x14ac:dyDescent="0.25">
      <c r="A3787" t="s">
        <v>706</v>
      </c>
    </row>
    <row r="3788" spans="1:1" x14ac:dyDescent="0.25">
      <c r="A3788" t="s">
        <v>323</v>
      </c>
    </row>
    <row r="3789" spans="1:1" x14ac:dyDescent="0.25">
      <c r="A3789" t="s">
        <v>134</v>
      </c>
    </row>
    <row r="3790" spans="1:1" x14ac:dyDescent="0.25">
      <c r="A3790" t="s">
        <v>84</v>
      </c>
    </row>
    <row r="3791" spans="1:1" x14ac:dyDescent="0.25">
      <c r="A3791" t="s">
        <v>85</v>
      </c>
    </row>
    <row r="3792" spans="1:1" x14ac:dyDescent="0.25">
      <c r="A3792" t="s">
        <v>86</v>
      </c>
    </row>
    <row r="3793" spans="1:1" x14ac:dyDescent="0.25">
      <c r="A3793" t="s">
        <v>87</v>
      </c>
    </row>
    <row r="3794" spans="1:1" x14ac:dyDescent="0.25">
      <c r="A3794" t="s">
        <v>88</v>
      </c>
    </row>
    <row r="3795" spans="1:1" x14ac:dyDescent="0.25">
      <c r="A3795" t="s">
        <v>99</v>
      </c>
    </row>
    <row r="3796" spans="1:1" x14ac:dyDescent="0.25">
      <c r="A3796" t="s">
        <v>91</v>
      </c>
    </row>
    <row r="3797" spans="1:1" x14ac:dyDescent="0.25">
      <c r="A3797" t="s">
        <v>92</v>
      </c>
    </row>
    <row r="3798" spans="1:1" x14ac:dyDescent="0.25">
      <c r="A3798" t="s">
        <v>93</v>
      </c>
    </row>
    <row r="3799" spans="1:1" x14ac:dyDescent="0.25">
      <c r="A3799" t="s">
        <v>115</v>
      </c>
    </row>
    <row r="3802" spans="1:1" x14ac:dyDescent="0.25">
      <c r="A3802" t="s">
        <v>707</v>
      </c>
    </row>
    <row r="3803" spans="1:1" x14ac:dyDescent="0.25">
      <c r="A3803" t="s">
        <v>708</v>
      </c>
    </row>
    <row r="3804" spans="1:1" x14ac:dyDescent="0.25">
      <c r="A3804" t="s">
        <v>709</v>
      </c>
    </row>
    <row r="3805" spans="1:1" x14ac:dyDescent="0.25">
      <c r="A3805" t="s">
        <v>83</v>
      </c>
    </row>
    <row r="3806" spans="1:1" x14ac:dyDescent="0.25">
      <c r="A3806" t="s">
        <v>84</v>
      </c>
    </row>
    <row r="3807" spans="1:1" x14ac:dyDescent="0.25">
      <c r="A3807" t="s">
        <v>85</v>
      </c>
    </row>
    <row r="3808" spans="1:1" x14ac:dyDescent="0.25">
      <c r="A3808" t="s">
        <v>86</v>
      </c>
    </row>
    <row r="3809" spans="1:1" x14ac:dyDescent="0.25">
      <c r="A3809" t="s">
        <v>87</v>
      </c>
    </row>
    <row r="3810" spans="1:1" x14ac:dyDescent="0.25">
      <c r="A3810" t="s">
        <v>88</v>
      </c>
    </row>
    <row r="3811" spans="1:1" x14ac:dyDescent="0.25">
      <c r="A3811" t="s">
        <v>89</v>
      </c>
    </row>
    <row r="3812" spans="1:1" x14ac:dyDescent="0.25">
      <c r="A3812" t="s">
        <v>104</v>
      </c>
    </row>
    <row r="3813" spans="1:1" x14ac:dyDescent="0.25">
      <c r="A3813" t="s">
        <v>91</v>
      </c>
    </row>
    <row r="3814" spans="1:1" x14ac:dyDescent="0.25">
      <c r="A3814" t="s">
        <v>92</v>
      </c>
    </row>
    <row r="3815" spans="1:1" x14ac:dyDescent="0.25">
      <c r="A3815" t="s">
        <v>93</v>
      </c>
    </row>
    <row r="3816" spans="1:1" x14ac:dyDescent="0.25">
      <c r="A3816" t="s">
        <v>284</v>
      </c>
    </row>
    <row r="3819" spans="1:1" x14ac:dyDescent="0.25">
      <c r="A3819" t="s">
        <v>710</v>
      </c>
    </row>
    <row r="3820" spans="1:1" x14ac:dyDescent="0.25">
      <c r="A3820" t="s">
        <v>711</v>
      </c>
    </row>
    <row r="3821" spans="1:1" x14ac:dyDescent="0.25">
      <c r="A3821" t="s">
        <v>712</v>
      </c>
    </row>
    <row r="3822" spans="1:1" x14ac:dyDescent="0.25">
      <c r="A3822" t="s">
        <v>83</v>
      </c>
    </row>
    <row r="3823" spans="1:1" x14ac:dyDescent="0.25">
      <c r="A3823" t="s">
        <v>84</v>
      </c>
    </row>
    <row r="3824" spans="1:1" x14ac:dyDescent="0.25">
      <c r="A3824" t="s">
        <v>85</v>
      </c>
    </row>
    <row r="3825" spans="1:1" x14ac:dyDescent="0.25">
      <c r="A3825" t="s">
        <v>86</v>
      </c>
    </row>
    <row r="3826" spans="1:1" x14ac:dyDescent="0.25">
      <c r="A3826" t="s">
        <v>87</v>
      </c>
    </row>
    <row r="3827" spans="1:1" x14ac:dyDescent="0.25">
      <c r="A3827" t="s">
        <v>88</v>
      </c>
    </row>
    <row r="3828" spans="1:1" x14ac:dyDescent="0.25">
      <c r="A3828" t="s">
        <v>89</v>
      </c>
    </row>
    <row r="3829" spans="1:1" x14ac:dyDescent="0.25">
      <c r="A3829" t="s">
        <v>110</v>
      </c>
    </row>
    <row r="3830" spans="1:1" x14ac:dyDescent="0.25">
      <c r="A3830" t="s">
        <v>91</v>
      </c>
    </row>
    <row r="3831" spans="1:1" x14ac:dyDescent="0.25">
      <c r="A3831" t="s">
        <v>92</v>
      </c>
    </row>
    <row r="3832" spans="1:1" x14ac:dyDescent="0.25">
      <c r="A3832" t="s">
        <v>93</v>
      </c>
    </row>
    <row r="3833" spans="1:1" x14ac:dyDescent="0.25">
      <c r="A3833" t="s">
        <v>111</v>
      </c>
    </row>
    <row r="3840" spans="1:1" x14ac:dyDescent="0.25">
      <c r="A3840" t="s">
        <v>72</v>
      </c>
    </row>
    <row r="3841" spans="1:1" x14ac:dyDescent="0.25">
      <c r="A3841" t="s">
        <v>73</v>
      </c>
    </row>
    <row r="3842" spans="1:1" x14ac:dyDescent="0.25">
      <c r="A3842" t="s">
        <v>74</v>
      </c>
    </row>
    <row r="3843" spans="1:1" x14ac:dyDescent="0.25">
      <c r="A3843" t="s">
        <v>75</v>
      </c>
    </row>
    <row r="3844" spans="1:1" x14ac:dyDescent="0.25">
      <c r="A3844" t="s">
        <v>76</v>
      </c>
    </row>
    <row r="3845" spans="1:1" x14ac:dyDescent="0.25">
      <c r="A3845" t="s">
        <v>77</v>
      </c>
    </row>
    <row r="3846" spans="1:1" x14ac:dyDescent="0.25">
      <c r="A3846" t="s">
        <v>713</v>
      </c>
    </row>
    <row r="3847" spans="1:1" x14ac:dyDescent="0.25">
      <c r="A3847" t="s">
        <v>79</v>
      </c>
    </row>
    <row r="3849" spans="1:1" x14ac:dyDescent="0.25">
      <c r="A3849" t="s">
        <v>714</v>
      </c>
    </row>
    <row r="3850" spans="1:1" x14ac:dyDescent="0.25">
      <c r="A3850" t="s">
        <v>715</v>
      </c>
    </row>
    <row r="3851" spans="1:1" x14ac:dyDescent="0.25">
      <c r="A3851" t="s">
        <v>202</v>
      </c>
    </row>
    <row r="3852" spans="1:1" x14ac:dyDescent="0.25">
      <c r="A3852" t="s">
        <v>83</v>
      </c>
    </row>
    <row r="3853" spans="1:1" x14ac:dyDescent="0.25">
      <c r="A3853" t="s">
        <v>84</v>
      </c>
    </row>
    <row r="3854" spans="1:1" x14ac:dyDescent="0.25">
      <c r="A3854" t="s">
        <v>85</v>
      </c>
    </row>
    <row r="3855" spans="1:1" x14ac:dyDescent="0.25">
      <c r="A3855" t="s">
        <v>86</v>
      </c>
    </row>
    <row r="3856" spans="1:1" x14ac:dyDescent="0.25">
      <c r="A3856" t="s">
        <v>87</v>
      </c>
    </row>
    <row r="3857" spans="1:1" x14ac:dyDescent="0.25">
      <c r="A3857" t="s">
        <v>88</v>
      </c>
    </row>
    <row r="3858" spans="1:1" x14ac:dyDescent="0.25">
      <c r="A3858" t="s">
        <v>89</v>
      </c>
    </row>
    <row r="3859" spans="1:1" x14ac:dyDescent="0.25">
      <c r="A3859" t="s">
        <v>110</v>
      </c>
    </row>
    <row r="3860" spans="1:1" x14ac:dyDescent="0.25">
      <c r="A3860" t="s">
        <v>91</v>
      </c>
    </row>
    <row r="3861" spans="1:1" x14ac:dyDescent="0.25">
      <c r="A3861" t="s">
        <v>92</v>
      </c>
    </row>
    <row r="3862" spans="1:1" x14ac:dyDescent="0.25">
      <c r="A3862" t="s">
        <v>93</v>
      </c>
    </row>
    <row r="3863" spans="1:1" x14ac:dyDescent="0.25">
      <c r="A3863" t="s">
        <v>111</v>
      </c>
    </row>
    <row r="3866" spans="1:1" x14ac:dyDescent="0.25">
      <c r="A3866" t="s">
        <v>716</v>
      </c>
    </row>
    <row r="3867" spans="1:1" x14ac:dyDescent="0.25">
      <c r="A3867" t="s">
        <v>717</v>
      </c>
    </row>
    <row r="3868" spans="1:1" x14ac:dyDescent="0.25">
      <c r="A3868" t="s">
        <v>246</v>
      </c>
    </row>
    <row r="3869" spans="1:1" x14ac:dyDescent="0.25">
      <c r="A3869" t="s">
        <v>134</v>
      </c>
    </row>
    <row r="3870" spans="1:1" x14ac:dyDescent="0.25">
      <c r="A3870" t="s">
        <v>84</v>
      </c>
    </row>
    <row r="3871" spans="1:1" x14ac:dyDescent="0.25">
      <c r="A3871" t="s">
        <v>85</v>
      </c>
    </row>
    <row r="3872" spans="1:1" x14ac:dyDescent="0.25">
      <c r="A3872" t="s">
        <v>86</v>
      </c>
    </row>
    <row r="3873" spans="1:1" x14ac:dyDescent="0.25">
      <c r="A3873" t="s">
        <v>87</v>
      </c>
    </row>
    <row r="3874" spans="1:1" x14ac:dyDescent="0.25">
      <c r="A3874" t="s">
        <v>88</v>
      </c>
    </row>
    <row r="3875" spans="1:1" x14ac:dyDescent="0.25">
      <c r="A3875" t="s">
        <v>89</v>
      </c>
    </row>
    <row r="3876" spans="1:1" x14ac:dyDescent="0.25">
      <c r="A3876" t="s">
        <v>110</v>
      </c>
    </row>
    <row r="3877" spans="1:1" x14ac:dyDescent="0.25">
      <c r="A3877" t="s">
        <v>91</v>
      </c>
    </row>
    <row r="3878" spans="1:1" x14ac:dyDescent="0.25">
      <c r="A3878" t="s">
        <v>92</v>
      </c>
    </row>
    <row r="3879" spans="1:1" x14ac:dyDescent="0.25">
      <c r="A3879" t="s">
        <v>93</v>
      </c>
    </row>
    <row r="3880" spans="1:1" x14ac:dyDescent="0.25">
      <c r="A3880" t="s">
        <v>111</v>
      </c>
    </row>
    <row r="3883" spans="1:1" x14ac:dyDescent="0.25">
      <c r="A3883" t="s">
        <v>718</v>
      </c>
    </row>
    <row r="3884" spans="1:1" x14ac:dyDescent="0.25">
      <c r="A3884" t="s">
        <v>719</v>
      </c>
    </row>
    <row r="3885" spans="1:1" x14ac:dyDescent="0.25">
      <c r="A3885" t="s">
        <v>720</v>
      </c>
    </row>
    <row r="3886" spans="1:1" x14ac:dyDescent="0.25">
      <c r="A3886" t="s">
        <v>83</v>
      </c>
    </row>
    <row r="3887" spans="1:1" x14ac:dyDescent="0.25">
      <c r="A3887" t="s">
        <v>84</v>
      </c>
    </row>
    <row r="3888" spans="1:1" x14ac:dyDescent="0.25">
      <c r="A3888" t="s">
        <v>85</v>
      </c>
    </row>
    <row r="3889" spans="1:1" x14ac:dyDescent="0.25">
      <c r="A3889" t="s">
        <v>86</v>
      </c>
    </row>
    <row r="3890" spans="1:1" x14ac:dyDescent="0.25">
      <c r="A3890" t="s">
        <v>87</v>
      </c>
    </row>
    <row r="3891" spans="1:1" x14ac:dyDescent="0.25">
      <c r="A3891" t="s">
        <v>88</v>
      </c>
    </row>
    <row r="3892" spans="1:1" x14ac:dyDescent="0.25">
      <c r="A3892" t="s">
        <v>721</v>
      </c>
    </row>
    <row r="3893" spans="1:1" x14ac:dyDescent="0.25">
      <c r="A3893" t="s">
        <v>99</v>
      </c>
    </row>
    <row r="3894" spans="1:1" x14ac:dyDescent="0.25">
      <c r="A3894" t="s">
        <v>91</v>
      </c>
    </row>
    <row r="3895" spans="1:1" x14ac:dyDescent="0.25">
      <c r="A3895" t="s">
        <v>92</v>
      </c>
    </row>
    <row r="3896" spans="1:1" x14ac:dyDescent="0.25">
      <c r="A3896" t="s">
        <v>93</v>
      </c>
    </row>
    <row r="3903" spans="1:1" x14ac:dyDescent="0.25">
      <c r="A3903" t="s">
        <v>72</v>
      </c>
    </row>
    <row r="3904" spans="1:1" x14ac:dyDescent="0.25">
      <c r="A3904" t="s">
        <v>73</v>
      </c>
    </row>
    <row r="3905" spans="1:1" x14ac:dyDescent="0.25">
      <c r="A3905" t="s">
        <v>74</v>
      </c>
    </row>
    <row r="3906" spans="1:1" x14ac:dyDescent="0.25">
      <c r="A3906" t="s">
        <v>75</v>
      </c>
    </row>
    <row r="3907" spans="1:1" x14ac:dyDescent="0.25">
      <c r="A3907" t="s">
        <v>76</v>
      </c>
    </row>
    <row r="3908" spans="1:1" x14ac:dyDescent="0.25">
      <c r="A3908" t="s">
        <v>77</v>
      </c>
    </row>
    <row r="3909" spans="1:1" x14ac:dyDescent="0.25">
      <c r="A3909" t="s">
        <v>722</v>
      </c>
    </row>
    <row r="3910" spans="1:1" x14ac:dyDescent="0.25">
      <c r="A3910" t="s">
        <v>79</v>
      </c>
    </row>
    <row r="3911" spans="1:1" x14ac:dyDescent="0.25">
      <c r="A3911" t="s">
        <v>723</v>
      </c>
    </row>
    <row r="3914" spans="1:1" x14ac:dyDescent="0.25">
      <c r="A3914" t="s">
        <v>724</v>
      </c>
    </row>
    <row r="3915" spans="1:1" x14ac:dyDescent="0.25">
      <c r="A3915" t="s">
        <v>725</v>
      </c>
    </row>
    <row r="3916" spans="1:1" x14ac:dyDescent="0.25">
      <c r="A3916" t="s">
        <v>726</v>
      </c>
    </row>
    <row r="3917" spans="1:1" x14ac:dyDescent="0.25">
      <c r="A3917" t="s">
        <v>134</v>
      </c>
    </row>
    <row r="3918" spans="1:1" x14ac:dyDescent="0.25">
      <c r="A3918" t="s">
        <v>84</v>
      </c>
    </row>
    <row r="3919" spans="1:1" x14ac:dyDescent="0.25">
      <c r="A3919" t="s">
        <v>85</v>
      </c>
    </row>
    <row r="3920" spans="1:1" x14ac:dyDescent="0.25">
      <c r="A3920" t="s">
        <v>86</v>
      </c>
    </row>
    <row r="3921" spans="1:1" x14ac:dyDescent="0.25">
      <c r="A3921" t="s">
        <v>87</v>
      </c>
    </row>
    <row r="3922" spans="1:1" x14ac:dyDescent="0.25">
      <c r="A3922" t="s">
        <v>88</v>
      </c>
    </row>
    <row r="3923" spans="1:1" x14ac:dyDescent="0.25">
      <c r="A3923" t="s">
        <v>289</v>
      </c>
    </row>
    <row r="3924" spans="1:1" x14ac:dyDescent="0.25">
      <c r="A3924" t="s">
        <v>727</v>
      </c>
    </row>
    <row r="3925" spans="1:1" x14ac:dyDescent="0.25">
      <c r="A3925" t="s">
        <v>91</v>
      </c>
    </row>
    <row r="3926" spans="1:1" x14ac:dyDescent="0.25">
      <c r="A3926" t="s">
        <v>92</v>
      </c>
    </row>
    <row r="3927" spans="1:1" x14ac:dyDescent="0.25">
      <c r="A3927" t="s">
        <v>93</v>
      </c>
    </row>
    <row r="3928" spans="1:1" x14ac:dyDescent="0.25">
      <c r="A3928" t="s">
        <v>411</v>
      </c>
    </row>
    <row r="3929" spans="1:1" x14ac:dyDescent="0.25">
      <c r="A3929" t="s">
        <v>728</v>
      </c>
    </row>
    <row r="3932" spans="1:1" x14ac:dyDescent="0.25">
      <c r="A3932" t="s">
        <v>729</v>
      </c>
    </row>
    <row r="3933" spans="1:1" x14ac:dyDescent="0.25">
      <c r="A3933" t="s">
        <v>730</v>
      </c>
    </row>
    <row r="3934" spans="1:1" x14ac:dyDescent="0.25">
      <c r="A3934" t="s">
        <v>731</v>
      </c>
    </row>
    <row r="3935" spans="1:1" x14ac:dyDescent="0.25">
      <c r="A3935" t="s">
        <v>83</v>
      </c>
    </row>
    <row r="3936" spans="1:1" x14ac:dyDescent="0.25">
      <c r="A3936" t="s">
        <v>84</v>
      </c>
    </row>
    <row r="3937" spans="1:1" x14ac:dyDescent="0.25">
      <c r="A3937" t="s">
        <v>85</v>
      </c>
    </row>
    <row r="3938" spans="1:1" x14ac:dyDescent="0.25">
      <c r="A3938" t="s">
        <v>86</v>
      </c>
    </row>
    <row r="3939" spans="1:1" x14ac:dyDescent="0.25">
      <c r="A3939" t="s">
        <v>87</v>
      </c>
    </row>
    <row r="3940" spans="1:1" x14ac:dyDescent="0.25">
      <c r="A3940" t="s">
        <v>88</v>
      </c>
    </row>
    <row r="3941" spans="1:1" x14ac:dyDescent="0.25">
      <c r="A3941" t="s">
        <v>98</v>
      </c>
    </row>
    <row r="3942" spans="1:1" x14ac:dyDescent="0.25">
      <c r="A3942" t="s">
        <v>99</v>
      </c>
    </row>
    <row r="3943" spans="1:1" x14ac:dyDescent="0.25">
      <c r="A3943" t="s">
        <v>91</v>
      </c>
    </row>
    <row r="3944" spans="1:1" x14ac:dyDescent="0.25">
      <c r="A3944" t="s">
        <v>92</v>
      </c>
    </row>
    <row r="3945" spans="1:1" x14ac:dyDescent="0.25">
      <c r="A3945" t="s">
        <v>93</v>
      </c>
    </row>
    <row r="3946" spans="1:1" x14ac:dyDescent="0.25">
      <c r="A3946" t="s">
        <v>100</v>
      </c>
    </row>
    <row r="3949" spans="1:1" x14ac:dyDescent="0.25">
      <c r="A3949" t="s">
        <v>732</v>
      </c>
    </row>
    <row r="3950" spans="1:1" x14ac:dyDescent="0.25">
      <c r="A3950" t="s">
        <v>733</v>
      </c>
    </row>
    <row r="3951" spans="1:1" x14ac:dyDescent="0.25">
      <c r="A3951" t="s">
        <v>734</v>
      </c>
    </row>
    <row r="3952" spans="1:1" x14ac:dyDescent="0.25">
      <c r="A3952" t="s">
        <v>83</v>
      </c>
    </row>
    <row r="3953" spans="1:1" x14ac:dyDescent="0.25">
      <c r="A3953" t="s">
        <v>84</v>
      </c>
    </row>
    <row r="3954" spans="1:1" x14ac:dyDescent="0.25">
      <c r="A3954" t="s">
        <v>85</v>
      </c>
    </row>
    <row r="3955" spans="1:1" x14ac:dyDescent="0.25">
      <c r="A3955" t="s">
        <v>86</v>
      </c>
    </row>
    <row r="3956" spans="1:1" x14ac:dyDescent="0.25">
      <c r="A3956" t="s">
        <v>87</v>
      </c>
    </row>
    <row r="3957" spans="1:1" x14ac:dyDescent="0.25">
      <c r="A3957" t="s">
        <v>88</v>
      </c>
    </row>
    <row r="3958" spans="1:1" x14ac:dyDescent="0.25">
      <c r="A3958" t="s">
        <v>89</v>
      </c>
    </row>
    <row r="3959" spans="1:1" x14ac:dyDescent="0.25">
      <c r="A3959" t="s">
        <v>384</v>
      </c>
    </row>
    <row r="3960" spans="1:1" x14ac:dyDescent="0.25">
      <c r="A3960" t="s">
        <v>91</v>
      </c>
    </row>
    <row r="3966" spans="1:1" x14ac:dyDescent="0.25">
      <c r="A3966" t="s">
        <v>72</v>
      </c>
    </row>
    <row r="3967" spans="1:1" x14ac:dyDescent="0.25">
      <c r="A3967" t="s">
        <v>73</v>
      </c>
    </row>
    <row r="3968" spans="1:1" x14ac:dyDescent="0.25">
      <c r="A3968" t="s">
        <v>74</v>
      </c>
    </row>
    <row r="3969" spans="1:1" x14ac:dyDescent="0.25">
      <c r="A3969" t="s">
        <v>75</v>
      </c>
    </row>
    <row r="3970" spans="1:1" x14ac:dyDescent="0.25">
      <c r="A3970" t="s">
        <v>76</v>
      </c>
    </row>
    <row r="3971" spans="1:1" x14ac:dyDescent="0.25">
      <c r="A3971" t="s">
        <v>77</v>
      </c>
    </row>
    <row r="3972" spans="1:1" x14ac:dyDescent="0.25">
      <c r="A3972" t="s">
        <v>735</v>
      </c>
    </row>
    <row r="3973" spans="1:1" x14ac:dyDescent="0.25">
      <c r="A3973" t="s">
        <v>79</v>
      </c>
    </row>
    <row r="3974" spans="1:1" x14ac:dyDescent="0.25">
      <c r="A3974" t="s">
        <v>92</v>
      </c>
    </row>
    <row r="3975" spans="1:1" x14ac:dyDescent="0.25">
      <c r="A3975" t="s">
        <v>93</v>
      </c>
    </row>
    <row r="3976" spans="1:1" x14ac:dyDescent="0.25">
      <c r="A3976" t="s">
        <v>385</v>
      </c>
    </row>
    <row r="3979" spans="1:1" x14ac:dyDescent="0.25">
      <c r="A3979" t="s">
        <v>736</v>
      </c>
    </row>
    <row r="3980" spans="1:1" x14ac:dyDescent="0.25">
      <c r="A3980" t="s">
        <v>737</v>
      </c>
    </row>
    <row r="3981" spans="1:1" x14ac:dyDescent="0.25">
      <c r="A3981" t="s">
        <v>328</v>
      </c>
    </row>
    <row r="3982" spans="1:1" x14ac:dyDescent="0.25">
      <c r="A3982" t="s">
        <v>83</v>
      </c>
    </row>
    <row r="3983" spans="1:1" x14ac:dyDescent="0.25">
      <c r="A3983" t="s">
        <v>84</v>
      </c>
    </row>
    <row r="3984" spans="1:1" x14ac:dyDescent="0.25">
      <c r="A3984" t="s">
        <v>85</v>
      </c>
    </row>
    <row r="3985" spans="1:1" x14ac:dyDescent="0.25">
      <c r="A3985" t="s">
        <v>86</v>
      </c>
    </row>
    <row r="3986" spans="1:1" x14ac:dyDescent="0.25">
      <c r="A3986" t="s">
        <v>87</v>
      </c>
    </row>
    <row r="3987" spans="1:1" x14ac:dyDescent="0.25">
      <c r="A3987" t="s">
        <v>88</v>
      </c>
    </row>
    <row r="3988" spans="1:1" x14ac:dyDescent="0.25">
      <c r="A3988" t="s">
        <v>89</v>
      </c>
    </row>
    <row r="3989" spans="1:1" x14ac:dyDescent="0.25">
      <c r="A3989" t="s">
        <v>110</v>
      </c>
    </row>
    <row r="3990" spans="1:1" x14ac:dyDescent="0.25">
      <c r="A3990" t="s">
        <v>91</v>
      </c>
    </row>
    <row r="3991" spans="1:1" x14ac:dyDescent="0.25">
      <c r="A3991" t="s">
        <v>92</v>
      </c>
    </row>
    <row r="3992" spans="1:1" x14ac:dyDescent="0.25">
      <c r="A3992" t="s">
        <v>93</v>
      </c>
    </row>
    <row r="3993" spans="1:1" x14ac:dyDescent="0.25">
      <c r="A3993" t="s">
        <v>111</v>
      </c>
    </row>
    <row r="3996" spans="1:1" x14ac:dyDescent="0.25">
      <c r="A3996" t="s">
        <v>738</v>
      </c>
    </row>
    <row r="3997" spans="1:1" x14ac:dyDescent="0.25">
      <c r="A3997" t="s">
        <v>739</v>
      </c>
    </row>
    <row r="3998" spans="1:1" x14ac:dyDescent="0.25">
      <c r="A3998" t="s">
        <v>246</v>
      </c>
    </row>
    <row r="3999" spans="1:1" x14ac:dyDescent="0.25">
      <c r="A3999" t="s">
        <v>134</v>
      </c>
    </row>
    <row r="4000" spans="1:1" x14ac:dyDescent="0.25">
      <c r="A4000" t="s">
        <v>84</v>
      </c>
    </row>
    <row r="4001" spans="1:1" x14ac:dyDescent="0.25">
      <c r="A4001" t="s">
        <v>85</v>
      </c>
    </row>
    <row r="4002" spans="1:1" x14ac:dyDescent="0.25">
      <c r="A4002" t="s">
        <v>86</v>
      </c>
    </row>
    <row r="4003" spans="1:1" x14ac:dyDescent="0.25">
      <c r="A4003" t="s">
        <v>87</v>
      </c>
    </row>
    <row r="4004" spans="1:1" x14ac:dyDescent="0.25">
      <c r="A4004" t="s">
        <v>88</v>
      </c>
    </row>
    <row r="4005" spans="1:1" x14ac:dyDescent="0.25">
      <c r="A4005" t="s">
        <v>89</v>
      </c>
    </row>
    <row r="4006" spans="1:1" x14ac:dyDescent="0.25">
      <c r="A4006" t="s">
        <v>740</v>
      </c>
    </row>
    <row r="4007" spans="1:1" x14ac:dyDescent="0.25">
      <c r="A4007" t="s">
        <v>247</v>
      </c>
    </row>
    <row r="4008" spans="1:1" x14ac:dyDescent="0.25">
      <c r="A4008" t="s">
        <v>91</v>
      </c>
    </row>
    <row r="4009" spans="1:1" x14ac:dyDescent="0.25">
      <c r="A4009" t="s">
        <v>92</v>
      </c>
    </row>
    <row r="4010" spans="1:1" x14ac:dyDescent="0.25">
      <c r="A4010" t="s">
        <v>93</v>
      </c>
    </row>
    <row r="4011" spans="1:1" x14ac:dyDescent="0.25">
      <c r="A4011" t="s">
        <v>741</v>
      </c>
    </row>
    <row r="4014" spans="1:1" x14ac:dyDescent="0.25">
      <c r="A4014" t="s">
        <v>742</v>
      </c>
    </row>
    <row r="4015" spans="1:1" x14ac:dyDescent="0.25">
      <c r="A4015" t="s">
        <v>743</v>
      </c>
    </row>
    <row r="4016" spans="1:1" x14ac:dyDescent="0.25">
      <c r="A4016" t="s">
        <v>744</v>
      </c>
    </row>
    <row r="4017" spans="1:1" x14ac:dyDescent="0.25">
      <c r="A4017" t="s">
        <v>83</v>
      </c>
    </row>
    <row r="4018" spans="1:1" x14ac:dyDescent="0.25">
      <c r="A4018" t="s">
        <v>84</v>
      </c>
    </row>
    <row r="4019" spans="1:1" x14ac:dyDescent="0.25">
      <c r="A4019" t="s">
        <v>85</v>
      </c>
    </row>
    <row r="4020" spans="1:1" x14ac:dyDescent="0.25">
      <c r="A4020" t="s">
        <v>86</v>
      </c>
    </row>
    <row r="4021" spans="1:1" x14ac:dyDescent="0.25">
      <c r="A4021" t="s">
        <v>87</v>
      </c>
    </row>
    <row r="4022" spans="1:1" x14ac:dyDescent="0.25">
      <c r="A4022" t="s">
        <v>88</v>
      </c>
    </row>
    <row r="4023" spans="1:1" x14ac:dyDescent="0.25">
      <c r="A4023" t="s">
        <v>89</v>
      </c>
    </row>
    <row r="4029" spans="1:1" x14ac:dyDescent="0.25">
      <c r="A4029" t="s">
        <v>745</v>
      </c>
    </row>
    <row r="4030" spans="1:1" x14ac:dyDescent="0.25">
      <c r="A4030" t="s">
        <v>746</v>
      </c>
    </row>
    <row r="4031" spans="1:1" x14ac:dyDescent="0.25">
      <c r="A4031" t="s">
        <v>747</v>
      </c>
    </row>
    <row r="4032" spans="1:1" x14ac:dyDescent="0.25">
      <c r="A4032" t="s">
        <v>748</v>
      </c>
    </row>
    <row r="4033" spans="1:1" x14ac:dyDescent="0.25">
      <c r="A4033" t="s">
        <v>749</v>
      </c>
    </row>
    <row r="4034" spans="1:1" x14ac:dyDescent="0.25">
      <c r="A4034" t="s">
        <v>750</v>
      </c>
    </row>
    <row r="4035" spans="1:1" x14ac:dyDescent="0.25">
      <c r="A4035" t="s">
        <v>751</v>
      </c>
    </row>
    <row r="4036" spans="1:1" x14ac:dyDescent="0.25">
      <c r="A4036" t="s">
        <v>79</v>
      </c>
    </row>
    <row r="4037" spans="1:1" x14ac:dyDescent="0.25">
      <c r="A4037" t="s">
        <v>752</v>
      </c>
    </row>
    <row r="4038" spans="1:1" x14ac:dyDescent="0.25">
      <c r="A4038" t="s">
        <v>753</v>
      </c>
    </row>
    <row r="4039" spans="1:1" x14ac:dyDescent="0.25">
      <c r="A4039" t="s">
        <v>754</v>
      </c>
    </row>
    <row r="4040" spans="1:1" x14ac:dyDescent="0.25">
      <c r="A4040" t="s">
        <v>755</v>
      </c>
    </row>
    <row r="4041" spans="1:1" x14ac:dyDescent="0.25">
      <c r="A4041" t="s">
        <v>756</v>
      </c>
    </row>
    <row r="4042" spans="1:1" x14ac:dyDescent="0.25">
      <c r="A4042" t="s">
        <v>757</v>
      </c>
    </row>
    <row r="4045" spans="1:1" x14ac:dyDescent="0.25">
      <c r="A4045" t="s">
        <v>758</v>
      </c>
    </row>
    <row r="4046" spans="1:1" x14ac:dyDescent="0.25">
      <c r="A4046" t="s">
        <v>759</v>
      </c>
    </row>
    <row r="4047" spans="1:1" x14ac:dyDescent="0.25">
      <c r="A4047" t="s">
        <v>760</v>
      </c>
    </row>
    <row r="4048" spans="1:1" x14ac:dyDescent="0.25">
      <c r="A4048" t="s">
        <v>761</v>
      </c>
    </row>
    <row r="4049" spans="1:1" x14ac:dyDescent="0.25">
      <c r="A4049" t="s">
        <v>84</v>
      </c>
    </row>
    <row r="4050" spans="1:1" x14ac:dyDescent="0.25">
      <c r="A4050" t="s">
        <v>762</v>
      </c>
    </row>
    <row r="4051" spans="1:1" x14ac:dyDescent="0.25">
      <c r="A4051" t="s">
        <v>763</v>
      </c>
    </row>
    <row r="4052" spans="1:1" x14ac:dyDescent="0.25">
      <c r="A4052" t="s">
        <v>764</v>
      </c>
    </row>
    <row r="4053" spans="1:1" x14ac:dyDescent="0.25">
      <c r="A4053" t="s">
        <v>765</v>
      </c>
    </row>
    <row r="4054" spans="1:1" x14ac:dyDescent="0.25">
      <c r="A4054" t="s">
        <v>766</v>
      </c>
    </row>
    <row r="4055" spans="1:1" x14ac:dyDescent="0.25">
      <c r="A4055" t="s">
        <v>752</v>
      </c>
    </row>
    <row r="4056" spans="1:1" x14ac:dyDescent="0.25">
      <c r="A4056" t="s">
        <v>753</v>
      </c>
    </row>
    <row r="4057" spans="1:1" x14ac:dyDescent="0.25">
      <c r="A4057" t="s">
        <v>754</v>
      </c>
    </row>
    <row r="4058" spans="1:1" x14ac:dyDescent="0.25">
      <c r="A4058" t="s">
        <v>755</v>
      </c>
    </row>
    <row r="4059" spans="1:1" x14ac:dyDescent="0.25">
      <c r="A4059" t="s">
        <v>756</v>
      </c>
    </row>
    <row r="4060" spans="1:1" x14ac:dyDescent="0.25">
      <c r="A4060" t="s">
        <v>757</v>
      </c>
    </row>
    <row r="4063" spans="1:1" x14ac:dyDescent="0.25">
      <c r="A4063" t="s">
        <v>767</v>
      </c>
    </row>
    <row r="4064" spans="1:1" x14ac:dyDescent="0.25">
      <c r="A4064" t="s">
        <v>768</v>
      </c>
    </row>
    <row r="4066" spans="1:1" x14ac:dyDescent="0.25">
      <c r="A4066" t="s">
        <v>769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4"/>
  <sheetViews>
    <sheetView workbookViewId="0">
      <pane xSplit="1" topLeftCell="I1" activePane="topRight" state="frozen"/>
      <selection pane="topRight" activeCell="P15" sqref="P15"/>
    </sheetView>
  </sheetViews>
  <sheetFormatPr baseColWidth="10" defaultRowHeight="15" x14ac:dyDescent="0.25"/>
  <cols>
    <col min="1" max="1" width="14.7109375" bestFit="1" customWidth="1"/>
    <col min="2" max="2" width="17.42578125" bestFit="1" customWidth="1"/>
    <col min="3" max="3" width="13.7109375" style="16" bestFit="1" customWidth="1"/>
    <col min="4" max="4" width="10" bestFit="1" customWidth="1"/>
    <col min="5" max="5" width="16.42578125" bestFit="1" customWidth="1"/>
    <col min="7" max="7" width="16.42578125" bestFit="1" customWidth="1"/>
    <col min="8" max="8" width="15.85546875" bestFit="1" customWidth="1"/>
    <col min="9" max="9" width="13.7109375" bestFit="1" customWidth="1"/>
    <col min="10" max="10" width="11.5703125" bestFit="1" customWidth="1"/>
    <col min="11" max="11" width="13.7109375" bestFit="1" customWidth="1"/>
    <col min="12" max="12" width="15.28515625" bestFit="1" customWidth="1"/>
    <col min="17" max="17" width="12.42578125" bestFit="1" customWidth="1"/>
    <col min="19" max="19" width="13.7109375" bestFit="1" customWidth="1"/>
    <col min="21" max="21" width="13.7109375" bestFit="1" customWidth="1"/>
  </cols>
  <sheetData>
    <row r="1" spans="1:22" s="1" customFormat="1" ht="45" x14ac:dyDescent="0.25">
      <c r="A1" s="2" t="s">
        <v>71</v>
      </c>
      <c r="B1" s="2" t="s">
        <v>0</v>
      </c>
      <c r="C1" s="19" t="s">
        <v>3</v>
      </c>
      <c r="D1" s="2" t="s">
        <v>1</v>
      </c>
      <c r="E1" s="2" t="s">
        <v>4</v>
      </c>
      <c r="F1" s="2" t="s">
        <v>10</v>
      </c>
      <c r="G1" s="2" t="s">
        <v>2</v>
      </c>
      <c r="H1" s="2" t="s">
        <v>5</v>
      </c>
      <c r="I1" s="2" t="s">
        <v>6</v>
      </c>
      <c r="J1" s="2" t="s">
        <v>41</v>
      </c>
      <c r="K1" s="2" t="s">
        <v>42</v>
      </c>
      <c r="L1" s="2" t="s">
        <v>70</v>
      </c>
      <c r="M1" s="2" t="s">
        <v>11</v>
      </c>
      <c r="N1" s="2" t="s">
        <v>12</v>
      </c>
      <c r="O1" s="2" t="s">
        <v>35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45</v>
      </c>
      <c r="U1" s="2" t="s">
        <v>771</v>
      </c>
      <c r="V1" s="2" t="s">
        <v>785</v>
      </c>
    </row>
    <row r="2" spans="1:22" x14ac:dyDescent="0.25">
      <c r="A2" s="3" t="s">
        <v>17</v>
      </c>
      <c r="B2" s="13">
        <v>0</v>
      </c>
      <c r="C2" s="10">
        <v>0</v>
      </c>
      <c r="D2" s="4" t="s">
        <v>30</v>
      </c>
      <c r="E2" s="10">
        <v>0</v>
      </c>
      <c r="F2" s="4" t="s">
        <v>30</v>
      </c>
      <c r="G2" s="11"/>
      <c r="H2" s="33">
        <v>0</v>
      </c>
      <c r="I2" s="10">
        <v>0</v>
      </c>
      <c r="J2" s="10">
        <v>0</v>
      </c>
      <c r="K2" s="10">
        <v>0</v>
      </c>
      <c r="L2" s="10">
        <v>0</v>
      </c>
      <c r="M2" s="4" t="s">
        <v>30</v>
      </c>
      <c r="N2" s="4" t="s">
        <v>30</v>
      </c>
      <c r="O2" s="4" t="s">
        <v>30</v>
      </c>
      <c r="P2" s="32" t="s">
        <v>798</v>
      </c>
      <c r="Q2" s="4" t="s">
        <v>797</v>
      </c>
      <c r="R2" s="3"/>
      <c r="S2" s="10">
        <v>0</v>
      </c>
      <c r="T2" s="4"/>
      <c r="U2" s="8"/>
      <c r="V2" s="10"/>
    </row>
    <row r="3" spans="1:22" x14ac:dyDescent="0.25">
      <c r="A3" s="3" t="s">
        <v>18</v>
      </c>
      <c r="B3" s="16">
        <v>0</v>
      </c>
      <c r="C3" s="11">
        <v>0</v>
      </c>
      <c r="D3" s="4" t="s">
        <v>30</v>
      </c>
      <c r="E3" s="10">
        <v>0</v>
      </c>
      <c r="F3" s="4" t="s">
        <v>30</v>
      </c>
      <c r="G3" s="11"/>
      <c r="H3" s="33">
        <v>0</v>
      </c>
      <c r="I3" s="10">
        <v>0</v>
      </c>
      <c r="J3" s="10">
        <v>0</v>
      </c>
      <c r="K3" s="10">
        <v>0</v>
      </c>
      <c r="L3" s="10">
        <v>0</v>
      </c>
      <c r="M3" s="4" t="s">
        <v>30</v>
      </c>
      <c r="N3" s="4" t="s">
        <v>30</v>
      </c>
      <c r="O3" s="4" t="s">
        <v>30</v>
      </c>
      <c r="P3" s="32" t="s">
        <v>799</v>
      </c>
      <c r="Q3" s="4" t="s">
        <v>799</v>
      </c>
      <c r="R3" s="3"/>
      <c r="S3" s="10">
        <v>0</v>
      </c>
      <c r="T3" s="4"/>
      <c r="U3" s="8"/>
      <c r="V3" s="8"/>
    </row>
    <row r="4" spans="1:22" x14ac:dyDescent="0.25">
      <c r="A4" s="3" t="s">
        <v>19</v>
      </c>
      <c r="B4" s="8">
        <v>0</v>
      </c>
      <c r="C4" s="11">
        <v>0</v>
      </c>
      <c r="D4" s="14" t="s">
        <v>30</v>
      </c>
      <c r="E4" s="11">
        <v>0</v>
      </c>
      <c r="F4" s="4" t="s">
        <v>30</v>
      </c>
      <c r="G4" s="11"/>
      <c r="H4" s="33">
        <v>0</v>
      </c>
      <c r="I4" s="10">
        <v>0</v>
      </c>
      <c r="J4" s="10">
        <v>0</v>
      </c>
      <c r="K4" s="10">
        <v>0</v>
      </c>
      <c r="L4" s="10">
        <v>0</v>
      </c>
      <c r="M4" s="4" t="s">
        <v>30</v>
      </c>
      <c r="N4" s="4" t="s">
        <v>30</v>
      </c>
      <c r="O4" s="4" t="s">
        <v>30</v>
      </c>
      <c r="P4" s="4"/>
      <c r="Q4" s="4" t="s">
        <v>30</v>
      </c>
      <c r="R4" s="3"/>
      <c r="S4" s="10">
        <v>0</v>
      </c>
      <c r="T4" s="4"/>
      <c r="U4" s="8"/>
      <c r="V4" s="8"/>
    </row>
    <row r="5" spans="1:22" x14ac:dyDescent="0.25">
      <c r="A5" s="3" t="s">
        <v>20</v>
      </c>
      <c r="B5" s="8">
        <v>0</v>
      </c>
      <c r="C5" s="11">
        <v>0</v>
      </c>
      <c r="D5" s="14" t="s">
        <v>30</v>
      </c>
      <c r="E5" s="11">
        <v>0</v>
      </c>
      <c r="F5" s="4" t="s">
        <v>30</v>
      </c>
      <c r="G5" s="11"/>
      <c r="H5" s="33">
        <v>0</v>
      </c>
      <c r="I5" s="10">
        <v>0</v>
      </c>
      <c r="J5" s="10">
        <v>0</v>
      </c>
      <c r="K5" s="10">
        <v>0</v>
      </c>
      <c r="L5" s="10">
        <v>0</v>
      </c>
      <c r="M5" s="4" t="s">
        <v>30</v>
      </c>
      <c r="N5" s="4" t="s">
        <v>30</v>
      </c>
      <c r="O5" s="4" t="s">
        <v>30</v>
      </c>
      <c r="P5" s="4"/>
      <c r="Q5" s="4" t="s">
        <v>30</v>
      </c>
      <c r="R5" s="3"/>
      <c r="S5" s="10">
        <v>0</v>
      </c>
      <c r="T5" s="4"/>
      <c r="U5" s="8"/>
      <c r="V5" s="8"/>
    </row>
    <row r="6" spans="1:22" x14ac:dyDescent="0.25">
      <c r="A6" s="3" t="s">
        <v>21</v>
      </c>
      <c r="B6" s="8">
        <v>0</v>
      </c>
      <c r="C6" s="11">
        <v>0</v>
      </c>
      <c r="D6" s="14" t="s">
        <v>30</v>
      </c>
      <c r="E6" s="11">
        <v>0</v>
      </c>
      <c r="F6" s="4" t="s">
        <v>30</v>
      </c>
      <c r="G6" s="11"/>
      <c r="H6" s="33">
        <v>0</v>
      </c>
      <c r="I6" s="10">
        <v>0</v>
      </c>
      <c r="J6" s="10">
        <v>0</v>
      </c>
      <c r="K6" s="10">
        <v>0</v>
      </c>
      <c r="L6" s="10">
        <v>0</v>
      </c>
      <c r="M6" s="4" t="s">
        <v>30</v>
      </c>
      <c r="N6" s="4" t="s">
        <v>30</v>
      </c>
      <c r="O6" s="4" t="s">
        <v>30</v>
      </c>
      <c r="P6" s="4"/>
      <c r="Q6" s="4" t="s">
        <v>30</v>
      </c>
      <c r="R6" s="3"/>
      <c r="S6" s="10">
        <v>0</v>
      </c>
      <c r="T6" s="4"/>
      <c r="U6" s="8"/>
      <c r="V6" s="8"/>
    </row>
    <row r="7" spans="1:22" x14ac:dyDescent="0.25">
      <c r="A7" s="3" t="s">
        <v>22</v>
      </c>
      <c r="B7" s="8">
        <v>0</v>
      </c>
      <c r="C7" s="11">
        <v>0</v>
      </c>
      <c r="D7" s="14" t="s">
        <v>30</v>
      </c>
      <c r="E7" s="11">
        <v>0</v>
      </c>
      <c r="F7" s="4" t="s">
        <v>30</v>
      </c>
      <c r="G7" s="11"/>
      <c r="H7" s="33">
        <v>0</v>
      </c>
      <c r="I7" s="10">
        <v>0</v>
      </c>
      <c r="J7" s="10">
        <v>0</v>
      </c>
      <c r="K7" s="10">
        <v>0</v>
      </c>
      <c r="L7" s="10">
        <v>0</v>
      </c>
      <c r="M7" s="4" t="s">
        <v>30</v>
      </c>
      <c r="N7" s="4" t="s">
        <v>30</v>
      </c>
      <c r="O7" s="4" t="s">
        <v>30</v>
      </c>
      <c r="P7" s="4"/>
      <c r="Q7" s="4" t="s">
        <v>800</v>
      </c>
      <c r="R7" s="3"/>
      <c r="S7" s="10">
        <v>0</v>
      </c>
      <c r="T7" s="4"/>
      <c r="U7" s="8"/>
      <c r="V7" s="8"/>
    </row>
    <row r="8" spans="1:22" x14ac:dyDescent="0.25">
      <c r="A8" s="3" t="s">
        <v>23</v>
      </c>
      <c r="B8" s="8">
        <v>0</v>
      </c>
      <c r="C8" s="11">
        <v>0</v>
      </c>
      <c r="D8" s="14" t="s">
        <v>30</v>
      </c>
      <c r="E8" s="11">
        <v>0</v>
      </c>
      <c r="F8" s="4" t="s">
        <v>30</v>
      </c>
      <c r="G8" s="11"/>
      <c r="H8" s="33">
        <v>0</v>
      </c>
      <c r="I8" s="10">
        <v>0</v>
      </c>
      <c r="J8" s="10">
        <v>0</v>
      </c>
      <c r="K8" s="10">
        <v>0</v>
      </c>
      <c r="L8" s="10">
        <v>0</v>
      </c>
      <c r="M8" s="4" t="s">
        <v>30</v>
      </c>
      <c r="N8" s="4" t="s">
        <v>30</v>
      </c>
      <c r="O8" s="4" t="s">
        <v>30</v>
      </c>
      <c r="P8" s="4" t="s">
        <v>801</v>
      </c>
      <c r="Q8" s="32" t="s">
        <v>802</v>
      </c>
      <c r="R8" s="3"/>
      <c r="S8" s="10">
        <v>0</v>
      </c>
      <c r="T8" s="4"/>
      <c r="U8" s="8"/>
      <c r="V8" s="8"/>
    </row>
    <row r="9" spans="1:22" x14ac:dyDescent="0.25">
      <c r="A9" s="3" t="s">
        <v>24</v>
      </c>
      <c r="B9" s="13">
        <v>0</v>
      </c>
      <c r="C9" s="11">
        <v>0</v>
      </c>
      <c r="D9" s="14" t="s">
        <v>30</v>
      </c>
      <c r="E9" s="11">
        <v>0</v>
      </c>
      <c r="F9" s="4" t="s">
        <v>30</v>
      </c>
      <c r="G9" s="11"/>
      <c r="H9" s="33">
        <v>0</v>
      </c>
      <c r="I9" s="10">
        <v>0</v>
      </c>
      <c r="J9" s="10">
        <v>0</v>
      </c>
      <c r="K9" s="10">
        <v>0</v>
      </c>
      <c r="L9" s="10">
        <v>0</v>
      </c>
      <c r="M9" s="4" t="s">
        <v>30</v>
      </c>
      <c r="N9" s="4" t="s">
        <v>30</v>
      </c>
      <c r="O9" s="4" t="s">
        <v>30</v>
      </c>
      <c r="P9" s="4"/>
      <c r="Q9" s="4" t="s">
        <v>803</v>
      </c>
      <c r="R9" s="3"/>
      <c r="S9" s="10">
        <v>0</v>
      </c>
      <c r="T9" s="4"/>
      <c r="U9" s="8"/>
      <c r="V9" s="8"/>
    </row>
    <row r="10" spans="1:22" x14ac:dyDescent="0.25">
      <c r="A10" s="3" t="s">
        <v>25</v>
      </c>
      <c r="B10" s="8">
        <v>0</v>
      </c>
      <c r="C10" s="11">
        <v>0</v>
      </c>
      <c r="D10" s="14" t="s">
        <v>30</v>
      </c>
      <c r="E10" s="11">
        <v>0</v>
      </c>
      <c r="F10" s="4" t="s">
        <v>30</v>
      </c>
      <c r="G10" s="11"/>
      <c r="H10" s="33">
        <v>0</v>
      </c>
      <c r="I10" s="10">
        <v>0</v>
      </c>
      <c r="J10" s="10">
        <v>0</v>
      </c>
      <c r="K10" s="10">
        <v>0</v>
      </c>
      <c r="L10" s="10">
        <v>0</v>
      </c>
      <c r="M10" s="4" t="s">
        <v>30</v>
      </c>
      <c r="N10" s="4" t="s">
        <v>30</v>
      </c>
      <c r="O10" s="4" t="s">
        <v>30</v>
      </c>
      <c r="P10" s="4" t="s">
        <v>803</v>
      </c>
      <c r="Q10" s="30"/>
      <c r="R10" s="3"/>
      <c r="S10" s="10">
        <v>0</v>
      </c>
      <c r="T10" s="4"/>
      <c r="U10" s="8"/>
      <c r="V10" s="8"/>
    </row>
    <row r="11" spans="1:22" s="67" customFormat="1" x14ac:dyDescent="0.25">
      <c r="A11" s="61" t="s">
        <v>773</v>
      </c>
      <c r="B11" s="62">
        <f>SUM(B2:B10)</f>
        <v>0</v>
      </c>
      <c r="C11" s="63">
        <v>0</v>
      </c>
      <c r="D11" s="64" t="s">
        <v>30</v>
      </c>
      <c r="E11" s="63">
        <v>0</v>
      </c>
      <c r="F11" s="64" t="s">
        <v>30</v>
      </c>
      <c r="G11" s="63"/>
      <c r="H11" s="65">
        <v>0</v>
      </c>
      <c r="I11" s="63">
        <v>0</v>
      </c>
      <c r="J11" s="63">
        <v>0</v>
      </c>
      <c r="K11" s="63">
        <f>SUM(K7:K10)</f>
        <v>0</v>
      </c>
      <c r="L11" s="63">
        <v>0</v>
      </c>
      <c r="M11" s="64"/>
      <c r="N11" s="64"/>
      <c r="O11" s="64"/>
      <c r="P11" s="64"/>
      <c r="Q11" s="66"/>
      <c r="R11" s="61"/>
      <c r="S11" s="63">
        <v>0</v>
      </c>
      <c r="T11" s="64"/>
      <c r="U11" s="62"/>
      <c r="V11" s="62"/>
    </row>
    <row r="12" spans="1:22" s="67" customFormat="1" x14ac:dyDescent="0.25">
      <c r="A12" s="61" t="s">
        <v>774</v>
      </c>
      <c r="B12" s="71">
        <f>+B11/1000000</f>
        <v>0</v>
      </c>
      <c r="C12" s="72">
        <v>0</v>
      </c>
      <c r="D12" s="64" t="s">
        <v>30</v>
      </c>
      <c r="E12" s="63">
        <v>0</v>
      </c>
      <c r="F12" s="64" t="s">
        <v>30</v>
      </c>
      <c r="G12" s="63"/>
      <c r="H12" s="70">
        <v>0</v>
      </c>
      <c r="I12" s="63">
        <v>0</v>
      </c>
      <c r="J12" s="63">
        <v>0</v>
      </c>
      <c r="K12" s="63">
        <f>+K11/1000000</f>
        <v>0</v>
      </c>
      <c r="L12" s="63">
        <v>0</v>
      </c>
      <c r="M12" s="64"/>
      <c r="N12" s="64"/>
      <c r="O12" s="64"/>
      <c r="P12" s="64"/>
      <c r="Q12" s="66"/>
      <c r="R12" s="61"/>
      <c r="S12" s="63">
        <v>0</v>
      </c>
      <c r="T12" s="64"/>
      <c r="U12" s="62"/>
      <c r="V12" s="62"/>
    </row>
    <row r="13" spans="1:22" x14ac:dyDescent="0.25">
      <c r="A13" s="3" t="s">
        <v>26</v>
      </c>
      <c r="B13" s="8">
        <v>0</v>
      </c>
      <c r="C13" s="11">
        <v>0</v>
      </c>
      <c r="D13" s="14" t="s">
        <v>30</v>
      </c>
      <c r="E13" s="11">
        <v>0</v>
      </c>
      <c r="F13" s="4" t="s">
        <v>30</v>
      </c>
      <c r="G13" s="11"/>
      <c r="H13" s="33">
        <v>0</v>
      </c>
      <c r="I13" s="10">
        <v>0</v>
      </c>
      <c r="J13" s="10">
        <v>0</v>
      </c>
      <c r="K13" s="10">
        <v>0</v>
      </c>
      <c r="L13" s="10">
        <v>0</v>
      </c>
      <c r="M13" s="4" t="s">
        <v>30</v>
      </c>
      <c r="N13" s="4" t="s">
        <v>30</v>
      </c>
      <c r="O13" s="4" t="s">
        <v>30</v>
      </c>
      <c r="P13" s="4" t="s">
        <v>804</v>
      </c>
      <c r="Q13" s="4"/>
      <c r="R13" s="3"/>
      <c r="S13" s="10">
        <v>0</v>
      </c>
      <c r="T13" s="4"/>
      <c r="U13" s="8"/>
      <c r="V13" s="8"/>
    </row>
    <row r="14" spans="1:22" x14ac:dyDescent="0.25">
      <c r="A14" s="3" t="s">
        <v>27</v>
      </c>
      <c r="B14" s="8">
        <v>0</v>
      </c>
      <c r="C14" s="10">
        <v>0</v>
      </c>
      <c r="D14" s="4" t="s">
        <v>30</v>
      </c>
      <c r="E14" s="10">
        <v>0</v>
      </c>
      <c r="F14" s="4" t="s">
        <v>30</v>
      </c>
      <c r="G14" s="10"/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4" t="s">
        <v>30</v>
      </c>
      <c r="N14" s="4" t="s">
        <v>30</v>
      </c>
      <c r="O14" s="4" t="s">
        <v>30</v>
      </c>
      <c r="P14" s="4" t="s">
        <v>805</v>
      </c>
      <c r="Q14" s="4"/>
      <c r="R14" s="3"/>
      <c r="S14" s="10">
        <v>0</v>
      </c>
      <c r="T14" s="4"/>
      <c r="U14" s="8"/>
      <c r="V14" s="8"/>
    </row>
    <row r="15" spans="1:22" s="15" customFormat="1" x14ac:dyDescent="0.25">
      <c r="A15" s="3" t="s">
        <v>28</v>
      </c>
      <c r="B15" s="13">
        <v>0</v>
      </c>
      <c r="C15" s="11">
        <v>0</v>
      </c>
      <c r="D15" s="14" t="s">
        <v>30</v>
      </c>
      <c r="E15" s="11">
        <v>0</v>
      </c>
      <c r="F15" s="4" t="s">
        <v>30</v>
      </c>
      <c r="G15" s="11"/>
      <c r="H15" s="11">
        <v>0</v>
      </c>
      <c r="I15" s="11">
        <v>0</v>
      </c>
      <c r="J15" s="10">
        <v>0</v>
      </c>
      <c r="K15" s="11">
        <v>0</v>
      </c>
      <c r="L15" s="10">
        <v>0</v>
      </c>
      <c r="M15" s="4" t="s">
        <v>30</v>
      </c>
      <c r="N15" s="4" t="s">
        <v>30</v>
      </c>
      <c r="O15" s="4" t="s">
        <v>30</v>
      </c>
      <c r="P15" s="14"/>
      <c r="Q15" s="14"/>
      <c r="R15" s="12"/>
      <c r="S15" s="10">
        <v>0</v>
      </c>
      <c r="T15" s="14"/>
      <c r="U15" s="13"/>
      <c r="V15" s="13"/>
    </row>
    <row r="16" spans="1:22" s="39" customFormat="1" x14ac:dyDescent="0.25">
      <c r="A16" s="34" t="s">
        <v>34</v>
      </c>
      <c r="B16" s="35">
        <f>SUM(B12:B15)</f>
        <v>0</v>
      </c>
      <c r="C16" s="36"/>
      <c r="D16" s="37"/>
      <c r="E16" s="36"/>
      <c r="F16" s="37"/>
      <c r="G16" s="36"/>
      <c r="H16" s="36"/>
      <c r="I16" s="36"/>
      <c r="J16" s="36">
        <f>SUM(J2:J15)</f>
        <v>0</v>
      </c>
      <c r="K16" s="36">
        <f>SUM(K12:K15)</f>
        <v>0</v>
      </c>
      <c r="L16" s="36">
        <f>SUM(L2:L15)</f>
        <v>0</v>
      </c>
      <c r="M16" s="37"/>
      <c r="N16" s="37"/>
      <c r="O16" s="37"/>
      <c r="P16" s="37"/>
      <c r="Q16" s="37"/>
      <c r="R16" s="34"/>
      <c r="S16" s="38"/>
      <c r="T16" s="37"/>
      <c r="U16" s="35"/>
      <c r="V16" s="35"/>
    </row>
    <row r="17" spans="1:22" s="39" customFormat="1" x14ac:dyDescent="0.25">
      <c r="A17" s="86"/>
      <c r="B17" s="87"/>
      <c r="C17" s="88"/>
      <c r="D17" s="89"/>
      <c r="E17" s="88"/>
      <c r="F17" s="89"/>
      <c r="G17" s="88"/>
      <c r="H17" s="88"/>
      <c r="I17" s="88"/>
      <c r="J17" s="88"/>
      <c r="K17" s="88"/>
      <c r="L17" s="88"/>
      <c r="M17" s="89"/>
      <c r="N17" s="89"/>
      <c r="O17" s="89"/>
      <c r="P17" s="89"/>
      <c r="Q17" s="89"/>
      <c r="R17" s="86"/>
      <c r="S17" s="90"/>
      <c r="T17" s="89"/>
      <c r="U17" s="87"/>
      <c r="V17" s="87"/>
    </row>
    <row r="18" spans="1:22" x14ac:dyDescent="0.25">
      <c r="B18" t="s">
        <v>783</v>
      </c>
      <c r="S18" s="16"/>
    </row>
    <row r="19" spans="1:22" x14ac:dyDescent="0.25">
      <c r="B19" t="s">
        <v>784</v>
      </c>
    </row>
    <row r="20" spans="1:22" x14ac:dyDescent="0.25">
      <c r="B20" t="s">
        <v>782</v>
      </c>
    </row>
    <row r="23" spans="1:22" x14ac:dyDescent="0.25">
      <c r="A23">
        <v>40</v>
      </c>
      <c r="B23" t="s">
        <v>795</v>
      </c>
      <c r="D23">
        <f>3+10+2+14</f>
        <v>29</v>
      </c>
      <c r="E23">
        <v>239.72</v>
      </c>
      <c r="F23">
        <f>+A23-D23</f>
        <v>11</v>
      </c>
      <c r="G23" s="91">
        <f>+F23*E23</f>
        <v>2636.92</v>
      </c>
    </row>
    <row r="24" spans="1:22" x14ac:dyDescent="0.25">
      <c r="A24">
        <v>85</v>
      </c>
      <c r="B24" t="s">
        <v>786</v>
      </c>
      <c r="D24">
        <f>15+10+20+10+15+12</f>
        <v>82</v>
      </c>
      <c r="E24">
        <v>239.72</v>
      </c>
      <c r="F24">
        <f t="shared" ref="F24:F33" si="0">+A24-D24</f>
        <v>3</v>
      </c>
      <c r="G24" s="91">
        <f t="shared" ref="G24:G33" si="1">+F24*E24</f>
        <v>719.16</v>
      </c>
    </row>
    <row r="25" spans="1:22" x14ac:dyDescent="0.25">
      <c r="A25">
        <v>25</v>
      </c>
      <c r="B25" t="s">
        <v>796</v>
      </c>
      <c r="D25">
        <v>25</v>
      </c>
      <c r="E25">
        <v>140.13999999999999</v>
      </c>
      <c r="F25">
        <f t="shared" si="0"/>
        <v>0</v>
      </c>
      <c r="G25" s="91">
        <f t="shared" si="1"/>
        <v>0</v>
      </c>
    </row>
    <row r="26" spans="1:22" x14ac:dyDescent="0.25">
      <c r="A26">
        <v>45</v>
      </c>
      <c r="B26" t="s">
        <v>787</v>
      </c>
      <c r="D26">
        <f>3+10+5+17</f>
        <v>35</v>
      </c>
      <c r="E26">
        <v>258.16000000000003</v>
      </c>
      <c r="F26">
        <f t="shared" si="0"/>
        <v>10</v>
      </c>
      <c r="G26" s="91">
        <f t="shared" si="1"/>
        <v>2581.6000000000004</v>
      </c>
    </row>
    <row r="27" spans="1:22" x14ac:dyDescent="0.25">
      <c r="A27">
        <v>40</v>
      </c>
      <c r="B27" t="s">
        <v>788</v>
      </c>
      <c r="D27">
        <f>10+10+12</f>
        <v>32</v>
      </c>
      <c r="E27">
        <v>258.16000000000003</v>
      </c>
      <c r="F27">
        <f t="shared" si="0"/>
        <v>8</v>
      </c>
      <c r="G27" s="91">
        <f t="shared" si="1"/>
        <v>2065.2800000000002</v>
      </c>
    </row>
    <row r="28" spans="1:22" x14ac:dyDescent="0.25">
      <c r="A28">
        <v>65</v>
      </c>
      <c r="B28" t="s">
        <v>789</v>
      </c>
      <c r="D28">
        <f>13+10+1+6+5+17</f>
        <v>52</v>
      </c>
      <c r="E28">
        <v>276.60000000000002</v>
      </c>
      <c r="F28">
        <f t="shared" si="0"/>
        <v>13</v>
      </c>
      <c r="G28" s="91">
        <f t="shared" si="1"/>
        <v>3595.8</v>
      </c>
    </row>
    <row r="29" spans="1:22" x14ac:dyDescent="0.25">
      <c r="A29">
        <v>13</v>
      </c>
      <c r="B29" t="s">
        <v>790</v>
      </c>
      <c r="D29">
        <v>10</v>
      </c>
      <c r="E29">
        <v>2028.4</v>
      </c>
      <c r="F29">
        <f t="shared" si="0"/>
        <v>3</v>
      </c>
      <c r="G29" s="91">
        <f t="shared" si="1"/>
        <v>6085.2000000000007</v>
      </c>
    </row>
    <row r="30" spans="1:22" x14ac:dyDescent="0.25">
      <c r="A30">
        <v>32</v>
      </c>
      <c r="B30" t="s">
        <v>791</v>
      </c>
      <c r="D30">
        <f>1+5+9</f>
        <v>15</v>
      </c>
      <c r="E30">
        <v>40.56</v>
      </c>
      <c r="F30">
        <f t="shared" si="0"/>
        <v>17</v>
      </c>
      <c r="G30" s="91">
        <f t="shared" si="1"/>
        <v>689.52</v>
      </c>
    </row>
    <row r="31" spans="1:22" x14ac:dyDescent="0.25">
      <c r="A31">
        <v>15</v>
      </c>
      <c r="B31" t="s">
        <v>792</v>
      </c>
      <c r="D31">
        <f>5+10</f>
        <v>15</v>
      </c>
      <c r="E31">
        <v>70.069999999999993</v>
      </c>
      <c r="F31">
        <f t="shared" si="0"/>
        <v>0</v>
      </c>
      <c r="G31" s="91">
        <f t="shared" si="1"/>
        <v>0</v>
      </c>
    </row>
    <row r="32" spans="1:22" x14ac:dyDescent="0.25">
      <c r="A32">
        <v>6</v>
      </c>
      <c r="B32" t="s">
        <v>793</v>
      </c>
      <c r="D32">
        <v>5</v>
      </c>
      <c r="E32">
        <v>1290.8</v>
      </c>
      <c r="F32">
        <f t="shared" si="0"/>
        <v>1</v>
      </c>
      <c r="G32" s="91">
        <f t="shared" si="1"/>
        <v>1290.8</v>
      </c>
    </row>
    <row r="33" spans="1:7" x14ac:dyDescent="0.25">
      <c r="A33">
        <v>6</v>
      </c>
      <c r="B33" t="s">
        <v>794</v>
      </c>
      <c r="D33">
        <v>5</v>
      </c>
      <c r="E33">
        <v>1357.18</v>
      </c>
      <c r="F33">
        <f t="shared" si="0"/>
        <v>1</v>
      </c>
      <c r="G33" s="91">
        <f t="shared" si="1"/>
        <v>1357.18</v>
      </c>
    </row>
    <row r="34" spans="1:7" x14ac:dyDescent="0.25">
      <c r="G34" s="92">
        <f>SUM(G23:G33)</f>
        <v>21021.460000000003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7"/>
  <sheetViews>
    <sheetView workbookViewId="0">
      <pane xSplit="1" topLeftCell="I1" activePane="topRight" state="frozen"/>
      <selection pane="topRight" activeCell="M19" sqref="M19"/>
    </sheetView>
  </sheetViews>
  <sheetFormatPr baseColWidth="10" defaultRowHeight="15" x14ac:dyDescent="0.25"/>
  <cols>
    <col min="1" max="1" width="12.42578125" customWidth="1"/>
    <col min="2" max="2" width="17.42578125" bestFit="1" customWidth="1"/>
    <col min="3" max="3" width="13.7109375" style="16" bestFit="1" customWidth="1"/>
    <col min="4" max="4" width="10" bestFit="1" customWidth="1"/>
    <col min="5" max="5" width="16.42578125" bestFit="1" customWidth="1"/>
    <col min="7" max="7" width="16.42578125" bestFit="1" customWidth="1"/>
    <col min="8" max="8" width="15.85546875" bestFit="1" customWidth="1"/>
    <col min="9" max="9" width="13.7109375" bestFit="1" customWidth="1"/>
    <col min="10" max="10" width="11.5703125" bestFit="1" customWidth="1"/>
    <col min="11" max="11" width="13.7109375" bestFit="1" customWidth="1"/>
    <col min="12" max="12" width="15.28515625" bestFit="1" customWidth="1"/>
    <col min="19" max="19" width="13.7109375" bestFit="1" customWidth="1"/>
    <col min="21" max="21" width="13.7109375" bestFit="1" customWidth="1"/>
  </cols>
  <sheetData>
    <row r="1" spans="1:22" s="1" customFormat="1" ht="45" x14ac:dyDescent="0.25">
      <c r="A1" s="2" t="s">
        <v>29</v>
      </c>
      <c r="B1" s="2" t="s">
        <v>0</v>
      </c>
      <c r="C1" s="19" t="s">
        <v>3</v>
      </c>
      <c r="D1" s="2" t="s">
        <v>1</v>
      </c>
      <c r="E1" s="2" t="s">
        <v>4</v>
      </c>
      <c r="F1" s="2" t="s">
        <v>10</v>
      </c>
      <c r="G1" s="2" t="s">
        <v>2</v>
      </c>
      <c r="H1" s="2" t="s">
        <v>5</v>
      </c>
      <c r="I1" s="2" t="s">
        <v>6</v>
      </c>
      <c r="J1" s="2" t="s">
        <v>41</v>
      </c>
      <c r="K1" s="2" t="s">
        <v>42</v>
      </c>
      <c r="L1" s="2" t="s">
        <v>70</v>
      </c>
      <c r="M1" s="2" t="s">
        <v>11</v>
      </c>
      <c r="N1" s="2" t="s">
        <v>12</v>
      </c>
      <c r="O1" s="2" t="s">
        <v>35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45</v>
      </c>
      <c r="U1" s="2"/>
      <c r="V1" s="2"/>
    </row>
    <row r="2" spans="1:22" x14ac:dyDescent="0.25">
      <c r="A2" s="3" t="s">
        <v>17</v>
      </c>
      <c r="B2" s="13">
        <v>0</v>
      </c>
      <c r="C2" s="10">
        <v>0</v>
      </c>
      <c r="D2" s="4" t="s">
        <v>30</v>
      </c>
      <c r="E2" s="10">
        <v>0</v>
      </c>
      <c r="F2" s="4" t="s">
        <v>30</v>
      </c>
      <c r="G2" s="11"/>
      <c r="H2" s="33">
        <v>0</v>
      </c>
      <c r="I2" s="10">
        <v>0</v>
      </c>
      <c r="J2" s="10">
        <v>0</v>
      </c>
      <c r="K2" s="10">
        <v>0</v>
      </c>
      <c r="L2" s="10">
        <v>0</v>
      </c>
      <c r="M2" s="4" t="s">
        <v>33</v>
      </c>
      <c r="N2" s="4" t="s">
        <v>33</v>
      </c>
      <c r="O2" s="4" t="s">
        <v>33</v>
      </c>
      <c r="P2" s="32"/>
      <c r="Q2" s="4"/>
      <c r="R2" s="3"/>
      <c r="S2" s="10">
        <v>0</v>
      </c>
      <c r="T2" s="4"/>
      <c r="U2" s="8"/>
      <c r="V2" s="10"/>
    </row>
    <row r="3" spans="1:22" x14ac:dyDescent="0.25">
      <c r="A3" s="3" t="s">
        <v>18</v>
      </c>
      <c r="B3" s="16">
        <v>0</v>
      </c>
      <c r="C3" s="11">
        <v>0</v>
      </c>
      <c r="D3" s="4" t="s">
        <v>30</v>
      </c>
      <c r="E3" s="10">
        <v>0</v>
      </c>
      <c r="F3" s="4" t="s">
        <v>30</v>
      </c>
      <c r="G3" s="11"/>
      <c r="H3" s="33">
        <v>0</v>
      </c>
      <c r="I3" s="10">
        <v>0</v>
      </c>
      <c r="J3" s="10">
        <v>0</v>
      </c>
      <c r="K3" s="10">
        <v>0</v>
      </c>
      <c r="L3" s="10">
        <v>0</v>
      </c>
      <c r="M3" s="4" t="s">
        <v>33</v>
      </c>
      <c r="N3" s="4" t="s">
        <v>33</v>
      </c>
      <c r="O3" s="4" t="s">
        <v>33</v>
      </c>
      <c r="P3" s="32"/>
      <c r="Q3" s="4"/>
      <c r="R3" s="3"/>
      <c r="S3" s="10">
        <v>0</v>
      </c>
      <c r="T3" s="4"/>
      <c r="U3" s="8"/>
      <c r="V3" s="8"/>
    </row>
    <row r="4" spans="1:22" x14ac:dyDescent="0.25">
      <c r="A4" s="3" t="s">
        <v>19</v>
      </c>
      <c r="B4" s="8">
        <v>0</v>
      </c>
      <c r="C4" s="11">
        <v>0</v>
      </c>
      <c r="D4" s="14" t="s">
        <v>30</v>
      </c>
      <c r="E4" s="11">
        <v>0</v>
      </c>
      <c r="F4" s="4" t="s">
        <v>30</v>
      </c>
      <c r="G4" s="11"/>
      <c r="H4" s="33">
        <v>0</v>
      </c>
      <c r="I4" s="10">
        <v>0</v>
      </c>
      <c r="J4" s="10">
        <v>0</v>
      </c>
      <c r="K4" s="10">
        <v>0</v>
      </c>
      <c r="L4" s="10">
        <v>0</v>
      </c>
      <c r="M4" s="4" t="s">
        <v>33</v>
      </c>
      <c r="N4" s="4" t="s">
        <v>33</v>
      </c>
      <c r="O4" s="4" t="s">
        <v>33</v>
      </c>
      <c r="P4" s="4"/>
      <c r="Q4" s="4"/>
      <c r="R4" s="3"/>
      <c r="S4" s="10">
        <v>0</v>
      </c>
      <c r="T4" s="4"/>
      <c r="U4" s="8"/>
      <c r="V4" s="8"/>
    </row>
    <row r="5" spans="1:22" x14ac:dyDescent="0.25">
      <c r="A5" s="3" t="s">
        <v>20</v>
      </c>
      <c r="B5" s="8">
        <v>1973348837</v>
      </c>
      <c r="C5" s="11">
        <v>0</v>
      </c>
      <c r="D5" s="14" t="s">
        <v>30</v>
      </c>
      <c r="E5" s="11">
        <v>28089574374.759998</v>
      </c>
      <c r="F5" s="4" t="s">
        <v>30</v>
      </c>
      <c r="G5" s="11"/>
      <c r="H5" s="33">
        <v>0</v>
      </c>
      <c r="I5" s="10">
        <v>0</v>
      </c>
      <c r="J5" s="10">
        <v>0</v>
      </c>
      <c r="K5" s="10">
        <v>0</v>
      </c>
      <c r="L5" s="10">
        <v>0</v>
      </c>
      <c r="M5" s="4" t="s">
        <v>30</v>
      </c>
      <c r="N5" s="4" t="s">
        <v>30</v>
      </c>
      <c r="O5" s="4" t="s">
        <v>30</v>
      </c>
      <c r="P5" s="4"/>
      <c r="Q5" s="4"/>
      <c r="R5" s="3"/>
      <c r="S5" s="10">
        <v>0</v>
      </c>
      <c r="T5" s="4"/>
      <c r="U5" s="8"/>
      <c r="V5" s="8"/>
    </row>
    <row r="6" spans="1:22" x14ac:dyDescent="0.25">
      <c r="A6" s="3" t="s">
        <v>21</v>
      </c>
      <c r="B6" s="8">
        <v>112583592716.41</v>
      </c>
      <c r="C6" s="11">
        <v>0</v>
      </c>
      <c r="D6" s="14" t="s">
        <v>30</v>
      </c>
      <c r="E6" s="11">
        <v>26876625128.34</v>
      </c>
      <c r="F6" s="4" t="s">
        <v>30</v>
      </c>
      <c r="G6" s="11"/>
      <c r="H6" s="33">
        <v>0</v>
      </c>
      <c r="I6" s="10">
        <v>0</v>
      </c>
      <c r="J6" s="10">
        <v>0</v>
      </c>
      <c r="K6" s="10">
        <v>0</v>
      </c>
      <c r="L6" s="10">
        <v>0</v>
      </c>
      <c r="M6" s="4" t="s">
        <v>30</v>
      </c>
      <c r="N6" s="4" t="s">
        <v>30</v>
      </c>
      <c r="O6" s="4" t="s">
        <v>30</v>
      </c>
      <c r="P6" s="4"/>
      <c r="Q6" s="4"/>
      <c r="R6" s="3"/>
      <c r="S6" s="10">
        <v>0</v>
      </c>
      <c r="T6" s="4"/>
      <c r="U6" s="8"/>
      <c r="V6" s="8"/>
    </row>
    <row r="7" spans="1:22" x14ac:dyDescent="0.25">
      <c r="A7" s="3" t="s">
        <v>22</v>
      </c>
      <c r="B7" s="8">
        <v>128346751351.55</v>
      </c>
      <c r="C7" s="11">
        <v>0</v>
      </c>
      <c r="D7" s="14" t="s">
        <v>30</v>
      </c>
      <c r="E7" s="11">
        <v>27944889007.759998</v>
      </c>
      <c r="F7" s="4" t="s">
        <v>30</v>
      </c>
      <c r="G7" s="11"/>
      <c r="H7" s="33">
        <v>0</v>
      </c>
      <c r="I7" s="10">
        <v>93364005.840000004</v>
      </c>
      <c r="J7" s="10">
        <v>0</v>
      </c>
      <c r="K7" s="10">
        <v>101185.35</v>
      </c>
      <c r="L7" s="10">
        <v>0</v>
      </c>
      <c r="M7" s="4" t="s">
        <v>30</v>
      </c>
      <c r="N7" s="4" t="s">
        <v>30</v>
      </c>
      <c r="O7" s="4" t="s">
        <v>30</v>
      </c>
      <c r="P7" s="4"/>
      <c r="Q7" s="4"/>
      <c r="R7" s="3"/>
      <c r="S7" s="10">
        <v>0</v>
      </c>
      <c r="T7" s="4"/>
      <c r="U7" s="8"/>
      <c r="V7" s="8"/>
    </row>
    <row r="8" spans="1:22" x14ac:dyDescent="0.25">
      <c r="A8" s="3" t="s">
        <v>23</v>
      </c>
      <c r="B8" s="8">
        <v>162750528413.64001</v>
      </c>
      <c r="C8" s="11">
        <v>0</v>
      </c>
      <c r="D8" s="14" t="s">
        <v>30</v>
      </c>
      <c r="E8" s="11">
        <v>23746327047.799999</v>
      </c>
      <c r="F8" s="4" t="s">
        <v>30</v>
      </c>
      <c r="G8" s="11"/>
      <c r="H8" s="33">
        <v>0</v>
      </c>
      <c r="I8" s="10">
        <v>38874504.479999997</v>
      </c>
      <c r="J8" s="10">
        <v>0</v>
      </c>
      <c r="K8" s="10">
        <v>23546788.600000001</v>
      </c>
      <c r="L8" s="10">
        <v>0</v>
      </c>
      <c r="M8" s="4" t="s">
        <v>30</v>
      </c>
      <c r="N8" s="4" t="s">
        <v>30</v>
      </c>
      <c r="O8" s="4" t="s">
        <v>30</v>
      </c>
      <c r="P8" s="4"/>
      <c r="Q8" s="4"/>
      <c r="R8" s="3"/>
      <c r="S8" s="10">
        <v>0</v>
      </c>
      <c r="T8" s="4"/>
      <c r="U8" s="8"/>
      <c r="V8" s="8"/>
    </row>
    <row r="9" spans="1:22" x14ac:dyDescent="0.25">
      <c r="A9" s="3" t="s">
        <v>24</v>
      </c>
      <c r="B9" s="13">
        <v>165521591974.01001</v>
      </c>
      <c r="C9" s="11">
        <v>0</v>
      </c>
      <c r="D9" s="14" t="s">
        <v>30</v>
      </c>
      <c r="E9" s="11">
        <v>18979335378.849998</v>
      </c>
      <c r="F9" s="4" t="s">
        <v>30</v>
      </c>
      <c r="G9" s="11"/>
      <c r="H9" s="33">
        <v>0</v>
      </c>
      <c r="I9" s="10">
        <v>341083238.16000003</v>
      </c>
      <c r="J9" s="10">
        <v>0</v>
      </c>
      <c r="K9" s="10">
        <v>32012679.039999999</v>
      </c>
      <c r="L9" s="10">
        <v>0</v>
      </c>
      <c r="M9" s="4" t="s">
        <v>30</v>
      </c>
      <c r="N9" s="4" t="s">
        <v>30</v>
      </c>
      <c r="O9" s="4" t="s">
        <v>30</v>
      </c>
      <c r="P9" s="4"/>
      <c r="Q9" s="4"/>
      <c r="R9" s="3"/>
      <c r="S9" s="10">
        <v>0</v>
      </c>
      <c r="T9" s="4"/>
      <c r="U9" s="8"/>
      <c r="V9" s="8"/>
    </row>
    <row r="10" spans="1:22" x14ac:dyDescent="0.25">
      <c r="A10" s="3" t="s">
        <v>25</v>
      </c>
      <c r="B10" s="8">
        <v>172282260000</v>
      </c>
      <c r="C10" s="11">
        <v>0</v>
      </c>
      <c r="D10" s="14" t="s">
        <v>30</v>
      </c>
      <c r="E10" s="11">
        <v>14299.04</v>
      </c>
      <c r="F10" s="4" t="s">
        <v>30</v>
      </c>
      <c r="G10" s="11"/>
      <c r="H10" s="33">
        <v>0</v>
      </c>
      <c r="I10" s="10">
        <v>67.89</v>
      </c>
      <c r="J10" s="10">
        <v>0</v>
      </c>
      <c r="K10" s="10">
        <v>52720000</v>
      </c>
      <c r="L10" s="10">
        <v>0</v>
      </c>
      <c r="M10" s="4" t="s">
        <v>30</v>
      </c>
      <c r="N10" s="4" t="s">
        <v>30</v>
      </c>
      <c r="O10" s="4" t="s">
        <v>30</v>
      </c>
      <c r="P10" s="4"/>
      <c r="Q10" s="30"/>
      <c r="R10" s="3"/>
      <c r="S10" s="10">
        <v>0</v>
      </c>
      <c r="T10" s="4"/>
      <c r="U10" s="8"/>
      <c r="V10" s="8"/>
    </row>
    <row r="11" spans="1:22" s="67" customFormat="1" x14ac:dyDescent="0.25">
      <c r="A11" s="61" t="s">
        <v>773</v>
      </c>
      <c r="B11" s="62">
        <f>SUM(B2:B10)</f>
        <v>743458073292.61011</v>
      </c>
      <c r="C11" s="63">
        <v>0</v>
      </c>
      <c r="D11" s="64" t="s">
        <v>30</v>
      </c>
      <c r="E11" s="63">
        <v>14299.04</v>
      </c>
      <c r="F11" s="64" t="s">
        <v>30</v>
      </c>
      <c r="G11" s="63"/>
      <c r="H11" s="65">
        <v>0</v>
      </c>
      <c r="I11" s="63">
        <v>67.89</v>
      </c>
      <c r="J11" s="63">
        <v>0</v>
      </c>
      <c r="K11" s="63">
        <f>SUM(K7:K10)</f>
        <v>108380652.99000001</v>
      </c>
      <c r="L11" s="63">
        <v>0</v>
      </c>
      <c r="M11" s="64"/>
      <c r="N11" s="64"/>
      <c r="O11" s="64"/>
      <c r="P11" s="64"/>
      <c r="Q11" s="66"/>
      <c r="R11" s="61"/>
      <c r="S11" s="63">
        <v>0</v>
      </c>
      <c r="T11" s="64"/>
      <c r="U11" s="62"/>
      <c r="V11" s="62"/>
    </row>
    <row r="12" spans="1:22" s="67" customFormat="1" x14ac:dyDescent="0.25">
      <c r="A12" s="61" t="s">
        <v>774</v>
      </c>
      <c r="B12" s="71">
        <f>+B11/1000000</f>
        <v>743458.07329261012</v>
      </c>
      <c r="C12" s="72">
        <v>0</v>
      </c>
      <c r="D12" s="64" t="s">
        <v>30</v>
      </c>
      <c r="E12" s="63">
        <v>14299.04</v>
      </c>
      <c r="F12" s="64" t="s">
        <v>30</v>
      </c>
      <c r="G12" s="63"/>
      <c r="H12" s="70">
        <v>0</v>
      </c>
      <c r="I12" s="63">
        <v>67.89</v>
      </c>
      <c r="J12" s="63">
        <v>0</v>
      </c>
      <c r="K12" s="63">
        <f>+K11/1000000</f>
        <v>108.38065299000002</v>
      </c>
      <c r="L12" s="63">
        <v>0</v>
      </c>
      <c r="M12" s="64"/>
      <c r="N12" s="64"/>
      <c r="O12" s="64"/>
      <c r="P12" s="64"/>
      <c r="Q12" s="66"/>
      <c r="R12" s="61"/>
      <c r="S12" s="63">
        <v>0</v>
      </c>
      <c r="T12" s="64"/>
      <c r="U12" s="62"/>
      <c r="V12" s="62"/>
    </row>
    <row r="13" spans="1:22" x14ac:dyDescent="0.25">
      <c r="A13" s="3" t="s">
        <v>26</v>
      </c>
      <c r="B13" s="8">
        <v>175010.54</v>
      </c>
      <c r="C13" s="11">
        <v>0</v>
      </c>
      <c r="D13" s="14" t="s">
        <v>30</v>
      </c>
      <c r="E13" s="11">
        <v>9390.66</v>
      </c>
      <c r="F13" s="4" t="s">
        <v>30</v>
      </c>
      <c r="G13" s="11"/>
      <c r="H13" s="33">
        <v>0</v>
      </c>
      <c r="I13" s="10">
        <v>49.87</v>
      </c>
      <c r="J13" s="10">
        <v>0</v>
      </c>
      <c r="K13" s="10">
        <v>20.41</v>
      </c>
      <c r="L13" s="10">
        <v>0</v>
      </c>
      <c r="M13" s="4" t="s">
        <v>30</v>
      </c>
      <c r="N13" s="4" t="s">
        <v>30</v>
      </c>
      <c r="O13" s="4" t="s">
        <v>30</v>
      </c>
      <c r="P13" s="4"/>
      <c r="Q13" s="4"/>
      <c r="R13" s="3"/>
      <c r="S13" s="10">
        <v>0</v>
      </c>
      <c r="T13" s="4"/>
      <c r="U13" s="8"/>
      <c r="V13" s="8"/>
    </row>
    <row r="14" spans="1:22" x14ac:dyDescent="0.25">
      <c r="A14" s="3" t="s">
        <v>27</v>
      </c>
      <c r="B14" s="8">
        <v>204970.1</v>
      </c>
      <c r="C14" s="10">
        <v>0</v>
      </c>
      <c r="D14" s="4" t="s">
        <v>30</v>
      </c>
      <c r="E14" s="10">
        <v>4608.54</v>
      </c>
      <c r="F14" s="4" t="s">
        <v>30</v>
      </c>
      <c r="G14" s="10"/>
      <c r="H14" s="10">
        <v>0</v>
      </c>
      <c r="I14" s="10">
        <v>115.39</v>
      </c>
      <c r="J14" s="10">
        <v>0</v>
      </c>
      <c r="K14" s="10">
        <v>60.58</v>
      </c>
      <c r="L14" s="10">
        <v>0</v>
      </c>
      <c r="M14" s="4" t="s">
        <v>30</v>
      </c>
      <c r="N14" s="4" t="s">
        <v>30</v>
      </c>
      <c r="O14" s="4" t="s">
        <v>30</v>
      </c>
      <c r="P14" s="4"/>
      <c r="Q14" s="4"/>
      <c r="R14" s="3"/>
      <c r="S14" s="10">
        <v>499.08</v>
      </c>
      <c r="T14" s="4"/>
      <c r="U14" s="8"/>
      <c r="V14" s="8"/>
    </row>
    <row r="15" spans="1:22" s="15" customFormat="1" x14ac:dyDescent="0.25">
      <c r="A15" s="3" t="s">
        <v>28</v>
      </c>
      <c r="B15" s="13">
        <v>262407.32</v>
      </c>
      <c r="C15" s="11">
        <v>1255.49</v>
      </c>
      <c r="D15" s="14" t="s">
        <v>30</v>
      </c>
      <c r="E15" s="11">
        <v>0</v>
      </c>
      <c r="F15" s="4" t="s">
        <v>30</v>
      </c>
      <c r="G15" s="11"/>
      <c r="H15" s="11">
        <v>1394.48</v>
      </c>
      <c r="I15" s="11">
        <v>242.62</v>
      </c>
      <c r="J15" s="10">
        <v>0</v>
      </c>
      <c r="K15" s="11">
        <v>15.8</v>
      </c>
      <c r="L15" s="10">
        <v>0</v>
      </c>
      <c r="M15" s="4" t="s">
        <v>30</v>
      </c>
      <c r="N15" s="4" t="s">
        <v>30</v>
      </c>
      <c r="O15" s="4" t="s">
        <v>30</v>
      </c>
      <c r="P15" s="14"/>
      <c r="Q15" s="14"/>
      <c r="R15" s="12"/>
      <c r="S15" s="10">
        <v>3212.16</v>
      </c>
      <c r="T15" s="14"/>
      <c r="U15" s="13"/>
      <c r="V15" s="13"/>
    </row>
    <row r="16" spans="1:22" s="39" customFormat="1" x14ac:dyDescent="0.25">
      <c r="A16" s="34" t="s">
        <v>34</v>
      </c>
      <c r="B16" s="35">
        <f>SUM(B12:B15)</f>
        <v>1385846.0332926102</v>
      </c>
      <c r="C16" s="36"/>
      <c r="D16" s="37"/>
      <c r="E16" s="36"/>
      <c r="F16" s="37"/>
      <c r="G16" s="36"/>
      <c r="H16" s="36"/>
      <c r="I16" s="36"/>
      <c r="J16" s="36">
        <f>SUM(J2:J15)</f>
        <v>0</v>
      </c>
      <c r="K16" s="36">
        <f>SUM(K12:K15)</f>
        <v>205.17065299000001</v>
      </c>
      <c r="L16" s="36">
        <f>SUM(L2:L15)</f>
        <v>0</v>
      </c>
      <c r="M16" s="37"/>
      <c r="N16" s="37"/>
      <c r="O16" s="37"/>
      <c r="P16" s="37"/>
      <c r="Q16" s="37"/>
      <c r="R16" s="34"/>
      <c r="S16" s="38"/>
      <c r="T16" s="37"/>
      <c r="U16" s="35"/>
      <c r="V16" s="35"/>
    </row>
    <row r="17" spans="19:19" x14ac:dyDescent="0.25">
      <c r="S17" s="16"/>
    </row>
  </sheetData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7"/>
  <sheetViews>
    <sheetView workbookViewId="0">
      <pane xSplit="1" topLeftCell="H1" activePane="topRight" state="frozen"/>
      <selection pane="topRight" activeCell="L2" sqref="L2"/>
    </sheetView>
  </sheetViews>
  <sheetFormatPr baseColWidth="10" defaultRowHeight="15" x14ac:dyDescent="0.25"/>
  <cols>
    <col min="1" max="1" width="13.28515625" bestFit="1" customWidth="1"/>
    <col min="2" max="2" width="17.42578125" bestFit="1" customWidth="1"/>
    <col min="3" max="3" width="13.7109375" style="16" bestFit="1" customWidth="1"/>
    <col min="4" max="4" width="10" bestFit="1" customWidth="1"/>
    <col min="5" max="5" width="13.7109375" bestFit="1" customWidth="1"/>
    <col min="7" max="7" width="15.28515625" bestFit="1" customWidth="1"/>
    <col min="8" max="8" width="15.85546875" bestFit="1" customWidth="1"/>
    <col min="9" max="9" width="13.7109375" bestFit="1" customWidth="1"/>
    <col min="10" max="10" width="11.5703125" bestFit="1" customWidth="1"/>
    <col min="11" max="12" width="15.28515625" bestFit="1" customWidth="1"/>
    <col min="19" max="19" width="15.28515625" bestFit="1" customWidth="1"/>
    <col min="21" max="22" width="15.28515625" bestFit="1" customWidth="1"/>
    <col min="23" max="23" width="16.28515625" bestFit="1" customWidth="1"/>
  </cols>
  <sheetData>
    <row r="1" spans="1:23" s="1" customFormat="1" ht="45" x14ac:dyDescent="0.25">
      <c r="A1" s="2" t="s">
        <v>71</v>
      </c>
      <c r="B1" s="2" t="s">
        <v>0</v>
      </c>
      <c r="C1" s="19" t="s">
        <v>3</v>
      </c>
      <c r="D1" s="2" t="s">
        <v>1</v>
      </c>
      <c r="E1" s="2" t="s">
        <v>4</v>
      </c>
      <c r="F1" s="2" t="s">
        <v>10</v>
      </c>
      <c r="G1" s="2" t="s">
        <v>2</v>
      </c>
      <c r="H1" s="2" t="s">
        <v>5</v>
      </c>
      <c r="I1" s="2" t="s">
        <v>6</v>
      </c>
      <c r="J1" s="2" t="s">
        <v>41</v>
      </c>
      <c r="K1" s="2" t="s">
        <v>62</v>
      </c>
      <c r="L1" s="2" t="s">
        <v>70</v>
      </c>
      <c r="M1" s="2" t="s">
        <v>11</v>
      </c>
      <c r="N1" s="2" t="s">
        <v>12</v>
      </c>
      <c r="O1" s="2" t="s">
        <v>35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45</v>
      </c>
      <c r="U1" s="2" t="s">
        <v>771</v>
      </c>
      <c r="V1" s="2" t="s">
        <v>772</v>
      </c>
      <c r="W1" s="2" t="s">
        <v>57</v>
      </c>
    </row>
    <row r="2" spans="1:23" x14ac:dyDescent="0.25">
      <c r="A2" s="3" t="s">
        <v>17</v>
      </c>
      <c r="B2" s="13"/>
      <c r="C2" s="10"/>
      <c r="D2" s="4"/>
      <c r="E2" s="10"/>
      <c r="F2" s="4"/>
      <c r="G2" s="11"/>
      <c r="H2" s="33"/>
      <c r="I2" s="10"/>
      <c r="J2" s="10">
        <v>0</v>
      </c>
      <c r="K2" s="10">
        <v>81098887.700000003</v>
      </c>
      <c r="L2" s="10">
        <f>27.02+17.6+6.83</f>
        <v>51.45</v>
      </c>
      <c r="M2" s="4"/>
      <c r="N2" s="4"/>
      <c r="O2" s="4"/>
      <c r="P2" s="32"/>
      <c r="Q2" s="4"/>
      <c r="R2" s="3"/>
      <c r="S2" s="10"/>
      <c r="T2" s="4"/>
      <c r="U2" s="8"/>
      <c r="V2" s="10"/>
      <c r="W2" s="42"/>
    </row>
    <row r="3" spans="1:23" x14ac:dyDescent="0.25">
      <c r="A3" s="3" t="s">
        <v>18</v>
      </c>
      <c r="B3" s="16"/>
      <c r="C3" s="11"/>
      <c r="D3" s="4"/>
      <c r="E3" s="10"/>
      <c r="F3" s="4"/>
      <c r="G3" s="11"/>
      <c r="H3" s="33"/>
      <c r="I3" s="10"/>
      <c r="J3" s="10">
        <v>0</v>
      </c>
      <c r="K3" s="10">
        <v>284593561.94</v>
      </c>
      <c r="L3" s="10">
        <f>31.26+46.82</f>
        <v>78.08</v>
      </c>
      <c r="M3" s="4"/>
      <c r="N3" s="4"/>
      <c r="O3" s="4"/>
      <c r="P3" s="32"/>
      <c r="Q3" s="4"/>
      <c r="R3" s="3"/>
      <c r="S3" s="10"/>
      <c r="T3" s="4"/>
      <c r="U3" s="8"/>
      <c r="V3" s="8"/>
      <c r="W3" s="42"/>
    </row>
    <row r="4" spans="1:23" x14ac:dyDescent="0.25">
      <c r="A4" s="3" t="s">
        <v>19</v>
      </c>
      <c r="B4" s="8"/>
      <c r="C4" s="11"/>
      <c r="D4" s="14"/>
      <c r="E4" s="11"/>
      <c r="F4" s="4"/>
      <c r="G4" s="11"/>
      <c r="H4" s="33"/>
      <c r="I4" s="10"/>
      <c r="J4" s="10">
        <v>0</v>
      </c>
      <c r="K4" s="10">
        <v>208664140.03</v>
      </c>
      <c r="L4" s="10">
        <f>23.99+36.68</f>
        <v>60.67</v>
      </c>
      <c r="M4" s="4"/>
      <c r="N4" s="4"/>
      <c r="O4" s="4"/>
      <c r="P4" s="4"/>
      <c r="Q4" s="4"/>
      <c r="R4" s="3"/>
      <c r="S4" s="10"/>
      <c r="T4" s="4"/>
      <c r="U4" s="8"/>
      <c r="V4" s="8"/>
      <c r="W4" s="42"/>
    </row>
    <row r="5" spans="1:23" x14ac:dyDescent="0.25">
      <c r="A5" s="3" t="s">
        <v>20</v>
      </c>
      <c r="B5" s="8"/>
      <c r="C5" s="11"/>
      <c r="D5" s="14"/>
      <c r="E5" s="11"/>
      <c r="F5" s="4"/>
      <c r="G5" s="11"/>
      <c r="H5" s="33"/>
      <c r="I5" s="10"/>
      <c r="J5" s="10">
        <v>0</v>
      </c>
      <c r="K5" s="10">
        <v>257787404.00999999</v>
      </c>
      <c r="L5" s="10">
        <f>69.59+48.64</f>
        <v>118.23</v>
      </c>
      <c r="M5" s="4"/>
      <c r="N5" s="4"/>
      <c r="O5" s="4"/>
      <c r="P5" s="4"/>
      <c r="Q5" s="4"/>
      <c r="R5" s="3"/>
      <c r="S5" s="10"/>
      <c r="T5" s="4"/>
      <c r="U5" s="8"/>
      <c r="V5" s="8"/>
      <c r="W5" s="42"/>
    </row>
    <row r="6" spans="1:23" x14ac:dyDescent="0.25">
      <c r="A6" s="3" t="s">
        <v>21</v>
      </c>
      <c r="B6" s="8"/>
      <c r="C6" s="11"/>
      <c r="D6" s="14"/>
      <c r="E6" s="11"/>
      <c r="F6" s="4"/>
      <c r="G6" s="11"/>
      <c r="H6" s="33"/>
      <c r="I6" s="10"/>
      <c r="J6" s="10">
        <v>0</v>
      </c>
      <c r="K6" s="10">
        <v>197480989.86000001</v>
      </c>
      <c r="L6" s="10">
        <f>45.57+22.34</f>
        <v>67.91</v>
      </c>
      <c r="M6" s="4"/>
      <c r="N6" s="4"/>
      <c r="O6" s="4"/>
      <c r="P6" s="4"/>
      <c r="Q6" s="4"/>
      <c r="R6" s="3"/>
      <c r="S6" s="10"/>
      <c r="T6" s="4"/>
      <c r="U6" s="8"/>
      <c r="V6" s="8"/>
      <c r="W6" s="42"/>
    </row>
    <row r="7" spans="1:23" x14ac:dyDescent="0.25">
      <c r="A7" s="3" t="s">
        <v>22</v>
      </c>
      <c r="B7" s="8"/>
      <c r="C7" s="11"/>
      <c r="D7" s="14"/>
      <c r="E7" s="11"/>
      <c r="F7" s="4"/>
      <c r="G7" s="11"/>
      <c r="H7" s="33"/>
      <c r="I7" s="10"/>
      <c r="J7" s="10">
        <v>0</v>
      </c>
      <c r="K7" s="10">
        <v>772707313.32000005</v>
      </c>
      <c r="L7" s="10">
        <f>207.95+64.01</f>
        <v>271.95999999999998</v>
      </c>
      <c r="M7" s="4"/>
      <c r="N7" s="4"/>
      <c r="O7" s="4"/>
      <c r="P7" s="4"/>
      <c r="Q7" s="4"/>
      <c r="R7" s="3"/>
      <c r="S7" s="10"/>
      <c r="T7" s="4"/>
      <c r="U7" s="8"/>
      <c r="V7" s="8"/>
      <c r="W7" s="42"/>
    </row>
    <row r="8" spans="1:23" x14ac:dyDescent="0.25">
      <c r="A8" s="3" t="s">
        <v>23</v>
      </c>
      <c r="B8" s="8">
        <v>88590674226.589996</v>
      </c>
      <c r="C8" s="11"/>
      <c r="D8" s="14"/>
      <c r="E8" s="11"/>
      <c r="F8" s="4"/>
      <c r="G8" s="11"/>
      <c r="H8" s="33"/>
      <c r="I8" s="10"/>
      <c r="J8" s="10">
        <v>0</v>
      </c>
      <c r="K8" s="10">
        <v>541420421.29999995</v>
      </c>
      <c r="L8" s="10">
        <f>165.66+98.9</f>
        <v>264.56</v>
      </c>
      <c r="M8" s="4"/>
      <c r="N8" s="4"/>
      <c r="O8" s="4"/>
      <c r="P8" s="4"/>
      <c r="Q8" s="4"/>
      <c r="R8" s="3"/>
      <c r="S8" s="10">
        <v>1878467350.6099999</v>
      </c>
      <c r="T8" s="4"/>
      <c r="U8" s="8">
        <v>1942800156.4400001</v>
      </c>
      <c r="V8" s="8"/>
      <c r="W8" s="42">
        <v>8797637199.5100002</v>
      </c>
    </row>
    <row r="9" spans="1:23" s="15" customFormat="1" x14ac:dyDescent="0.25">
      <c r="A9" s="12" t="s">
        <v>24</v>
      </c>
      <c r="B9" s="13">
        <v>17764807188.970001</v>
      </c>
      <c r="C9" s="11">
        <v>84654049</v>
      </c>
      <c r="D9" s="14" t="s">
        <v>30</v>
      </c>
      <c r="E9" s="11">
        <v>0</v>
      </c>
      <c r="F9" s="14" t="s">
        <v>30</v>
      </c>
      <c r="G9" s="11">
        <v>0</v>
      </c>
      <c r="H9" s="53">
        <v>84654049</v>
      </c>
      <c r="I9" s="11">
        <v>49921330.729999997</v>
      </c>
      <c r="J9" s="11">
        <v>0</v>
      </c>
      <c r="K9" s="11">
        <v>307465495.94999999</v>
      </c>
      <c r="L9" s="11">
        <f>98.31+79.33</f>
        <v>177.64</v>
      </c>
      <c r="M9" s="14" t="s">
        <v>30</v>
      </c>
      <c r="N9" s="14" t="s">
        <v>30</v>
      </c>
      <c r="O9" s="14" t="s">
        <v>30</v>
      </c>
      <c r="P9" s="14"/>
      <c r="Q9" s="14"/>
      <c r="R9" s="12"/>
      <c r="S9" s="11">
        <v>754006061.74000001</v>
      </c>
      <c r="T9" s="14"/>
      <c r="U9" s="13">
        <v>1942780641.8</v>
      </c>
      <c r="V9" s="13">
        <v>2584932238.29</v>
      </c>
      <c r="W9" s="43">
        <v>3399259589.8400002</v>
      </c>
    </row>
    <row r="10" spans="1:23" x14ac:dyDescent="0.25">
      <c r="A10" s="3" t="s">
        <v>25</v>
      </c>
      <c r="B10" s="8">
        <f>11817739000.51+14811736871.24</f>
        <v>26629475871.75</v>
      </c>
      <c r="C10" s="11">
        <v>537337315</v>
      </c>
      <c r="D10" s="14" t="s">
        <v>30</v>
      </c>
      <c r="E10" s="11">
        <v>0</v>
      </c>
      <c r="F10" s="14" t="s">
        <v>30</v>
      </c>
      <c r="G10" s="11">
        <v>0</v>
      </c>
      <c r="H10" s="33">
        <v>581770000</v>
      </c>
      <c r="I10" s="10">
        <v>37340000</v>
      </c>
      <c r="J10" s="10">
        <v>0</v>
      </c>
      <c r="K10" s="10">
        <v>699370000</v>
      </c>
      <c r="L10" s="10">
        <f>118.17+148.11</f>
        <v>266.28000000000003</v>
      </c>
      <c r="M10" s="14" t="s">
        <v>30</v>
      </c>
      <c r="N10" s="14" t="s">
        <v>30</v>
      </c>
      <c r="O10" s="14" t="s">
        <v>30</v>
      </c>
      <c r="P10" s="4"/>
      <c r="Q10" s="30"/>
      <c r="R10" s="3"/>
      <c r="S10" s="10">
        <v>506297004.88999999</v>
      </c>
      <c r="T10" s="4"/>
      <c r="U10" s="8"/>
      <c r="V10" s="8"/>
      <c r="W10" s="42"/>
    </row>
    <row r="11" spans="1:23" s="67" customFormat="1" x14ac:dyDescent="0.25">
      <c r="A11" s="61" t="s">
        <v>778</v>
      </c>
      <c r="B11" s="62">
        <f>SUM(B2:B10)</f>
        <v>132984957287.31</v>
      </c>
      <c r="C11" s="63">
        <f>+C10</f>
        <v>537337315</v>
      </c>
      <c r="D11" s="64" t="s">
        <v>30</v>
      </c>
      <c r="E11" s="63">
        <v>0</v>
      </c>
      <c r="F11" s="64" t="s">
        <v>30</v>
      </c>
      <c r="G11" s="63">
        <v>0</v>
      </c>
      <c r="H11" s="65">
        <f>+H10</f>
        <v>581770000</v>
      </c>
      <c r="I11" s="63">
        <f>+I10</f>
        <v>37340000</v>
      </c>
      <c r="J11" s="63">
        <v>0</v>
      </c>
      <c r="K11" s="63">
        <f>SUM(K2:K10)</f>
        <v>3350588214.1099997</v>
      </c>
      <c r="L11" s="63">
        <v>0</v>
      </c>
      <c r="M11" s="64" t="s">
        <v>30</v>
      </c>
      <c r="N11" s="64" t="s">
        <v>30</v>
      </c>
      <c r="O11" s="64" t="s">
        <v>30</v>
      </c>
      <c r="P11" s="64"/>
      <c r="Q11" s="66"/>
      <c r="R11" s="61"/>
      <c r="S11" s="63">
        <f>SUM(S2:S10)</f>
        <v>3138770417.2399998</v>
      </c>
      <c r="T11" s="64"/>
      <c r="U11" s="62"/>
      <c r="V11" s="62"/>
      <c r="W11" s="76"/>
    </row>
    <row r="12" spans="1:23" s="67" customFormat="1" x14ac:dyDescent="0.25">
      <c r="A12" s="61" t="s">
        <v>779</v>
      </c>
      <c r="B12" s="62">
        <f>+B11/1000000</f>
        <v>132984.95728731001</v>
      </c>
      <c r="C12" s="63">
        <f>+C11/1000000</f>
        <v>537.33731499999999</v>
      </c>
      <c r="D12" s="64" t="s">
        <v>30</v>
      </c>
      <c r="E12" s="63">
        <v>0</v>
      </c>
      <c r="F12" s="64" t="s">
        <v>30</v>
      </c>
      <c r="G12" s="63">
        <v>0</v>
      </c>
      <c r="H12" s="65">
        <f>+H11/1000000</f>
        <v>581.77</v>
      </c>
      <c r="I12" s="63">
        <f>+I11/1000000</f>
        <v>37.340000000000003</v>
      </c>
      <c r="J12" s="63">
        <v>0</v>
      </c>
      <c r="K12" s="63">
        <f>+K11/1000000</f>
        <v>3350.5882141099996</v>
      </c>
      <c r="L12" s="63">
        <f>SUM(L2:L11)</f>
        <v>1356.78</v>
      </c>
      <c r="M12" s="64" t="s">
        <v>30</v>
      </c>
      <c r="N12" s="64" t="s">
        <v>30</v>
      </c>
      <c r="O12" s="64" t="s">
        <v>30</v>
      </c>
      <c r="P12" s="64"/>
      <c r="Q12" s="66"/>
      <c r="R12" s="61"/>
      <c r="S12" s="63">
        <f>+S11/1000000</f>
        <v>3138.7704172399999</v>
      </c>
      <c r="T12" s="64"/>
      <c r="U12" s="62"/>
      <c r="V12" s="62"/>
      <c r="W12" s="76"/>
    </row>
    <row r="13" spans="1:23" x14ac:dyDescent="0.25">
      <c r="A13" s="3" t="s">
        <v>26</v>
      </c>
      <c r="B13" s="8">
        <f>10868.38+13869.1</f>
        <v>24737.48</v>
      </c>
      <c r="C13" s="11">
        <v>448.37</v>
      </c>
      <c r="D13" s="14" t="s">
        <v>30</v>
      </c>
      <c r="E13" s="11">
        <v>0</v>
      </c>
      <c r="F13" s="14" t="s">
        <v>30</v>
      </c>
      <c r="G13" s="11">
        <v>0</v>
      </c>
      <c r="H13" s="33">
        <v>223.73</v>
      </c>
      <c r="I13" s="10">
        <v>12.83</v>
      </c>
      <c r="J13" s="10">
        <v>0</v>
      </c>
      <c r="K13" s="10">
        <v>440.89</v>
      </c>
      <c r="L13" s="10">
        <f>108.68+138.69</f>
        <v>247.37</v>
      </c>
      <c r="M13" s="14" t="s">
        <v>30</v>
      </c>
      <c r="N13" s="14" t="s">
        <v>30</v>
      </c>
      <c r="O13" s="14" t="s">
        <v>30</v>
      </c>
      <c r="P13" s="4"/>
      <c r="Q13" s="4"/>
      <c r="R13" s="3"/>
      <c r="S13" s="10">
        <v>758.94</v>
      </c>
      <c r="T13" s="4"/>
      <c r="U13" s="8">
        <v>1942.74</v>
      </c>
      <c r="V13" s="8">
        <v>3321.18</v>
      </c>
      <c r="W13" s="42">
        <v>2413.1799999999998</v>
      </c>
    </row>
    <row r="14" spans="1:23" x14ac:dyDescent="0.25">
      <c r="A14" s="3" t="s">
        <v>27</v>
      </c>
      <c r="B14" s="8">
        <f>34788.75+7837.81</f>
        <v>42626.559999999998</v>
      </c>
      <c r="C14" s="10">
        <v>525.9</v>
      </c>
      <c r="D14" s="4" t="s">
        <v>30</v>
      </c>
      <c r="E14" s="10">
        <v>0</v>
      </c>
      <c r="F14" s="4" t="s">
        <v>30</v>
      </c>
      <c r="G14" s="11">
        <v>0</v>
      </c>
      <c r="H14" s="10">
        <v>190.82</v>
      </c>
      <c r="I14" s="10">
        <v>24.44</v>
      </c>
      <c r="J14" s="10">
        <v>0</v>
      </c>
      <c r="K14" s="10">
        <v>363.98</v>
      </c>
      <c r="L14" s="10">
        <v>347.88</v>
      </c>
      <c r="M14" s="14" t="s">
        <v>30</v>
      </c>
      <c r="N14" s="14" t="s">
        <v>30</v>
      </c>
      <c r="O14" s="14" t="s">
        <v>30</v>
      </c>
      <c r="P14" s="4"/>
      <c r="Q14" s="4"/>
      <c r="R14" s="3"/>
      <c r="S14" s="10">
        <v>705.02</v>
      </c>
      <c r="T14" s="4"/>
      <c r="U14" s="8">
        <v>1942.72</v>
      </c>
      <c r="V14" s="8">
        <v>3366.67</v>
      </c>
      <c r="W14" s="42">
        <v>218.64</v>
      </c>
    </row>
    <row r="15" spans="1:23" s="15" customFormat="1" x14ac:dyDescent="0.25">
      <c r="A15" s="3" t="s">
        <v>28</v>
      </c>
      <c r="B15" s="13">
        <f>20502.23+9874.5</f>
        <v>30376.73</v>
      </c>
      <c r="C15" s="11">
        <v>165.93</v>
      </c>
      <c r="D15" s="14" t="s">
        <v>30</v>
      </c>
      <c r="E15" s="11">
        <v>0</v>
      </c>
      <c r="F15" s="4" t="s">
        <v>30</v>
      </c>
      <c r="G15" s="11">
        <v>0</v>
      </c>
      <c r="H15" s="11">
        <v>282.94</v>
      </c>
      <c r="I15" s="11">
        <v>24.01</v>
      </c>
      <c r="J15" s="10">
        <v>0</v>
      </c>
      <c r="K15" s="11">
        <v>533.42999999999995</v>
      </c>
      <c r="L15" s="10">
        <f>78.37+205.02</f>
        <v>283.39</v>
      </c>
      <c r="M15" s="14" t="s">
        <v>30</v>
      </c>
      <c r="N15" s="14" t="s">
        <v>30</v>
      </c>
      <c r="O15" s="14" t="s">
        <v>30</v>
      </c>
      <c r="P15" s="14"/>
      <c r="Q15" s="14"/>
      <c r="R15" s="12"/>
      <c r="S15" s="10">
        <v>1214.8599999999999</v>
      </c>
      <c r="T15" s="14"/>
      <c r="U15" s="13"/>
      <c r="V15" s="13"/>
      <c r="W15" s="43"/>
    </row>
    <row r="16" spans="1:23" s="39" customFormat="1" x14ac:dyDescent="0.25">
      <c r="A16" s="34" t="s">
        <v>34</v>
      </c>
      <c r="B16" s="35">
        <f>SUM(B12:B15)</f>
        <v>230725.72728731003</v>
      </c>
      <c r="C16" s="36"/>
      <c r="D16" s="37"/>
      <c r="E16" s="36"/>
      <c r="F16" s="37"/>
      <c r="G16" s="36"/>
      <c r="H16" s="36"/>
      <c r="I16" s="36"/>
      <c r="J16" s="36">
        <f>SUM(J2:J15)</f>
        <v>0</v>
      </c>
      <c r="K16" s="36">
        <f>SUM(K12:K15)</f>
        <v>4688.8882141100003</v>
      </c>
      <c r="L16" s="36">
        <f>SUM(L12:L15)</f>
        <v>2235.42</v>
      </c>
      <c r="M16" s="37"/>
      <c r="N16" s="37"/>
      <c r="O16" s="37"/>
      <c r="P16" s="37"/>
      <c r="Q16" s="37"/>
      <c r="R16" s="34"/>
      <c r="S16" s="38">
        <f>SUM(S12:S15)</f>
        <v>5817.5904172399996</v>
      </c>
      <c r="T16" s="37"/>
      <c r="U16" s="35"/>
      <c r="V16" s="35"/>
      <c r="W16" s="54"/>
    </row>
    <row r="17" spans="19:19" x14ac:dyDescent="0.25">
      <c r="S17" s="16"/>
    </row>
  </sheetData>
  <pageMargins left="0.7" right="0.7" top="0.75" bottom="0.75" header="0.3" footer="0.3"/>
  <pageSetup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3"/>
  <sheetViews>
    <sheetView topLeftCell="A16" workbookViewId="0">
      <pane xSplit="1" topLeftCell="B1" activePane="topRight" state="frozen"/>
      <selection pane="topRight" activeCell="F27" sqref="F27"/>
    </sheetView>
  </sheetViews>
  <sheetFormatPr baseColWidth="10" defaultRowHeight="15" x14ac:dyDescent="0.25"/>
  <cols>
    <col min="1" max="1" width="12.42578125" customWidth="1"/>
    <col min="2" max="2" width="17.42578125" bestFit="1" customWidth="1"/>
    <col min="3" max="3" width="13.7109375" style="16" bestFit="1" customWidth="1"/>
    <col min="4" max="4" width="11" customWidth="1"/>
    <col min="5" max="5" width="13.7109375" bestFit="1" customWidth="1"/>
    <col min="7" max="7" width="16.42578125" bestFit="1" customWidth="1"/>
    <col min="8" max="8" width="15.85546875" bestFit="1" customWidth="1"/>
    <col min="9" max="9" width="12.7109375" bestFit="1" customWidth="1"/>
    <col min="10" max="10" width="11.5703125" bestFit="1" customWidth="1"/>
    <col min="11" max="11" width="13.7109375" bestFit="1" customWidth="1"/>
    <col min="12" max="12" width="12.7109375" bestFit="1" customWidth="1"/>
    <col min="13" max="13" width="15.28515625" bestFit="1" customWidth="1"/>
    <col min="20" max="20" width="13.7109375" bestFit="1" customWidth="1"/>
    <col min="22" max="22" width="13.7109375" bestFit="1" customWidth="1"/>
  </cols>
  <sheetData>
    <row r="1" spans="1:23" s="1" customFormat="1" ht="45" x14ac:dyDescent="0.25">
      <c r="A1" s="2" t="s">
        <v>29</v>
      </c>
      <c r="B1" s="2" t="s">
        <v>0</v>
      </c>
      <c r="C1" s="19" t="s">
        <v>3</v>
      </c>
      <c r="D1" s="2" t="s">
        <v>1</v>
      </c>
      <c r="E1" s="2" t="s">
        <v>4</v>
      </c>
      <c r="F1" s="2" t="s">
        <v>10</v>
      </c>
      <c r="G1" s="2" t="s">
        <v>2</v>
      </c>
      <c r="H1" s="2" t="s">
        <v>5</v>
      </c>
      <c r="I1" s="2" t="s">
        <v>6</v>
      </c>
      <c r="J1" s="2" t="s">
        <v>41</v>
      </c>
      <c r="K1" s="2" t="s">
        <v>62</v>
      </c>
      <c r="L1" s="2" t="s">
        <v>40</v>
      </c>
      <c r="M1" s="2" t="s">
        <v>63</v>
      </c>
      <c r="N1" s="2" t="s">
        <v>11</v>
      </c>
      <c r="O1" s="2" t="s">
        <v>12</v>
      </c>
      <c r="P1" s="2" t="s">
        <v>35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45</v>
      </c>
      <c r="V1" s="2" t="s">
        <v>58</v>
      </c>
      <c r="W1" s="2" t="s">
        <v>44</v>
      </c>
    </row>
    <row r="2" spans="1:23" x14ac:dyDescent="0.25">
      <c r="A2" s="3" t="s">
        <v>17</v>
      </c>
      <c r="B2" s="13">
        <f>646564313.44+718361961.4</f>
        <v>1364926274.8400002</v>
      </c>
      <c r="C2" s="10">
        <v>105938243.31999999</v>
      </c>
      <c r="D2" s="4" t="s">
        <v>30</v>
      </c>
      <c r="E2" s="10">
        <v>0</v>
      </c>
      <c r="F2" s="4" t="s">
        <v>30</v>
      </c>
      <c r="G2" s="11" t="s">
        <v>30</v>
      </c>
      <c r="H2" s="33">
        <v>6749752.8799999999</v>
      </c>
      <c r="I2" s="10" t="s">
        <v>30</v>
      </c>
      <c r="J2" s="10">
        <v>0</v>
      </c>
      <c r="K2" s="10">
        <v>1016694.74</v>
      </c>
      <c r="L2" s="10">
        <v>0</v>
      </c>
      <c r="M2" s="10"/>
      <c r="N2" s="4"/>
      <c r="O2" s="4"/>
      <c r="P2" s="4"/>
      <c r="Q2" s="32"/>
      <c r="R2" s="4"/>
      <c r="S2" s="3"/>
      <c r="T2" s="10"/>
      <c r="U2" s="4"/>
      <c r="V2" s="8"/>
      <c r="W2" s="10"/>
    </row>
    <row r="3" spans="1:23" x14ac:dyDescent="0.25">
      <c r="A3" s="3" t="s">
        <v>18</v>
      </c>
      <c r="B3" s="16">
        <f>990440725.83+242438946.9</f>
        <v>1232879672.73</v>
      </c>
      <c r="C3" s="11">
        <v>38512149.979999997</v>
      </c>
      <c r="D3" s="4" t="s">
        <v>30</v>
      </c>
      <c r="E3" s="10">
        <v>0</v>
      </c>
      <c r="F3" s="4" t="s">
        <v>30</v>
      </c>
      <c r="G3" s="11" t="s">
        <v>30</v>
      </c>
      <c r="H3" s="33">
        <v>0</v>
      </c>
      <c r="I3" s="10" t="s">
        <v>30</v>
      </c>
      <c r="J3" s="10">
        <v>0</v>
      </c>
      <c r="K3" s="10">
        <v>5420253.1900000004</v>
      </c>
      <c r="L3" s="10">
        <v>0</v>
      </c>
      <c r="M3" s="10"/>
      <c r="N3" s="4"/>
      <c r="O3" s="4"/>
      <c r="P3" s="4"/>
      <c r="Q3" s="32"/>
      <c r="R3" s="4"/>
      <c r="S3" s="3"/>
      <c r="T3" s="10"/>
      <c r="U3" s="4"/>
      <c r="V3" s="8"/>
      <c r="W3" s="8"/>
    </row>
    <row r="4" spans="1:23" x14ac:dyDescent="0.25">
      <c r="A4" s="3" t="s">
        <v>19</v>
      </c>
      <c r="B4" s="8">
        <v>1003256010.6</v>
      </c>
      <c r="C4" s="11">
        <v>112739923.55</v>
      </c>
      <c r="D4" s="14" t="s">
        <v>30</v>
      </c>
      <c r="E4" s="11">
        <v>0</v>
      </c>
      <c r="F4" s="4" t="s">
        <v>30</v>
      </c>
      <c r="G4" s="11" t="s">
        <v>30</v>
      </c>
      <c r="H4" s="33">
        <v>0</v>
      </c>
      <c r="I4" s="10" t="s">
        <v>30</v>
      </c>
      <c r="J4" s="10">
        <v>0</v>
      </c>
      <c r="K4" s="10">
        <v>97.65</v>
      </c>
      <c r="L4" s="10">
        <v>0</v>
      </c>
      <c r="M4" s="10"/>
      <c r="N4" s="4"/>
      <c r="O4" s="4"/>
      <c r="P4" s="4"/>
      <c r="Q4" s="4"/>
      <c r="R4" s="4"/>
      <c r="S4" s="3"/>
      <c r="T4" s="10"/>
      <c r="U4" s="4"/>
      <c r="V4" s="8"/>
      <c r="W4" s="8"/>
    </row>
    <row r="5" spans="1:23" x14ac:dyDescent="0.25">
      <c r="A5" s="3" t="s">
        <v>20</v>
      </c>
      <c r="B5" s="8">
        <f>759566107.5+2497581062.62</f>
        <v>3257147170.1199999</v>
      </c>
      <c r="C5" s="11">
        <v>332087397.64999998</v>
      </c>
      <c r="D5" s="14" t="s">
        <v>30</v>
      </c>
      <c r="E5" s="11">
        <v>0</v>
      </c>
      <c r="F5" s="4" t="s">
        <v>30</v>
      </c>
      <c r="G5" s="11" t="s">
        <v>30</v>
      </c>
      <c r="H5" s="33">
        <v>24244080</v>
      </c>
      <c r="I5" s="10" t="s">
        <v>30</v>
      </c>
      <c r="J5" s="10">
        <v>0</v>
      </c>
      <c r="K5" s="10">
        <v>541746.18000000005</v>
      </c>
      <c r="L5" s="10">
        <v>0</v>
      </c>
      <c r="M5" s="10"/>
      <c r="N5" s="4"/>
      <c r="O5" s="4"/>
      <c r="P5" s="4"/>
      <c r="Q5" s="4"/>
      <c r="R5" s="4"/>
      <c r="S5" s="3"/>
      <c r="T5" s="10"/>
      <c r="U5" s="4"/>
      <c r="V5" s="8"/>
      <c r="W5" s="8"/>
    </row>
    <row r="6" spans="1:23" x14ac:dyDescent="0.25">
      <c r="A6" s="3" t="s">
        <v>21</v>
      </c>
      <c r="B6" s="8">
        <f>2165666818.3+2872392154.94</f>
        <v>5038058973.2399998</v>
      </c>
      <c r="C6" s="11">
        <v>245177996.94</v>
      </c>
      <c r="D6" s="14" t="s">
        <v>30</v>
      </c>
      <c r="E6" s="11">
        <v>0</v>
      </c>
      <c r="F6" s="4" t="s">
        <v>30</v>
      </c>
      <c r="G6" s="11" t="s">
        <v>30</v>
      </c>
      <c r="H6" s="33">
        <v>174449384</v>
      </c>
      <c r="I6" s="10" t="s">
        <v>30</v>
      </c>
      <c r="J6" s="10">
        <v>0</v>
      </c>
      <c r="K6" s="10">
        <v>3382188.5</v>
      </c>
      <c r="L6" s="10">
        <v>0</v>
      </c>
      <c r="M6" s="10"/>
      <c r="N6" s="4"/>
      <c r="O6" s="4"/>
      <c r="P6" s="4"/>
      <c r="Q6" s="4"/>
      <c r="R6" s="4"/>
      <c r="S6" s="3"/>
      <c r="T6" s="10"/>
      <c r="U6" s="4"/>
      <c r="V6" s="8"/>
      <c r="W6" s="8"/>
    </row>
    <row r="7" spans="1:23" x14ac:dyDescent="0.25">
      <c r="A7" s="3" t="s">
        <v>22</v>
      </c>
      <c r="B7" s="8">
        <f>2351246713.52+3681700013.16</f>
        <v>6032946726.6800003</v>
      </c>
      <c r="C7" s="11">
        <v>352439086.83999997</v>
      </c>
      <c r="D7" s="14" t="s">
        <v>30</v>
      </c>
      <c r="E7" s="11">
        <v>0</v>
      </c>
      <c r="F7" s="4" t="s">
        <v>30</v>
      </c>
      <c r="G7" s="11" t="s">
        <v>30</v>
      </c>
      <c r="H7" s="33">
        <v>52226240</v>
      </c>
      <c r="I7" s="10" t="s">
        <v>30</v>
      </c>
      <c r="J7" s="10">
        <v>0</v>
      </c>
      <c r="K7" s="10">
        <v>2279541.7200000002</v>
      </c>
      <c r="L7" s="10">
        <v>0</v>
      </c>
      <c r="M7" s="10"/>
      <c r="N7" s="4"/>
      <c r="O7" s="4"/>
      <c r="P7" s="4"/>
      <c r="Q7" s="4"/>
      <c r="R7" s="4"/>
      <c r="S7" s="3"/>
      <c r="T7" s="10"/>
      <c r="U7" s="4"/>
      <c r="V7" s="8"/>
      <c r="W7" s="8"/>
    </row>
    <row r="8" spans="1:23" x14ac:dyDescent="0.25">
      <c r="A8" s="3" t="s">
        <v>23</v>
      </c>
      <c r="B8" s="8">
        <f>10630989837.92+18921316724.2</f>
        <v>29552306562.120003</v>
      </c>
      <c r="C8" s="11">
        <v>0</v>
      </c>
      <c r="D8" s="14" t="s">
        <v>30</v>
      </c>
      <c r="E8" s="11">
        <v>568896217.70000005</v>
      </c>
      <c r="F8" s="4" t="s">
        <v>30</v>
      </c>
      <c r="G8" s="11">
        <v>12323295640.32</v>
      </c>
      <c r="H8" s="33">
        <v>2725877734.3699999</v>
      </c>
      <c r="I8" s="10" t="s">
        <v>30</v>
      </c>
      <c r="J8" s="10">
        <v>0</v>
      </c>
      <c r="K8" s="10">
        <v>49916987.869999997</v>
      </c>
      <c r="L8" s="10">
        <v>0</v>
      </c>
      <c r="M8" s="10"/>
      <c r="N8" s="4" t="s">
        <v>30</v>
      </c>
      <c r="O8" s="4" t="s">
        <v>30</v>
      </c>
      <c r="P8" s="4" t="s">
        <v>30</v>
      </c>
      <c r="Q8" s="4"/>
      <c r="R8" s="4"/>
      <c r="S8" s="3"/>
      <c r="T8" s="10">
        <v>116915772.65000001</v>
      </c>
      <c r="U8" s="4"/>
      <c r="V8" s="8"/>
      <c r="W8" s="8"/>
    </row>
    <row r="9" spans="1:23" x14ac:dyDescent="0.25">
      <c r="A9" s="3" t="s">
        <v>24</v>
      </c>
      <c r="B9" s="13">
        <f>25097259681.11+31745739666.21</f>
        <v>56842999347.32</v>
      </c>
      <c r="C9" s="11">
        <v>58048404.82</v>
      </c>
      <c r="D9" s="14" t="s">
        <v>30</v>
      </c>
      <c r="E9" s="11">
        <v>0</v>
      </c>
      <c r="F9" s="4" t="s">
        <v>30</v>
      </c>
      <c r="G9" s="11">
        <v>0</v>
      </c>
      <c r="H9" s="33">
        <v>2246566497.4200001</v>
      </c>
      <c r="I9" s="10" t="s">
        <v>30</v>
      </c>
      <c r="J9" s="10">
        <v>0</v>
      </c>
      <c r="K9" s="10">
        <v>11329439.5</v>
      </c>
      <c r="L9" s="10">
        <v>0</v>
      </c>
      <c r="M9" s="10"/>
      <c r="N9" s="4"/>
      <c r="O9" s="4"/>
      <c r="P9" s="4"/>
      <c r="Q9" s="4"/>
      <c r="R9" s="4"/>
      <c r="S9" s="3"/>
      <c r="T9" s="10"/>
      <c r="U9" s="4"/>
      <c r="V9" s="8"/>
      <c r="W9" s="8"/>
    </row>
    <row r="10" spans="1:23" x14ac:dyDescent="0.25">
      <c r="A10" s="3" t="s">
        <v>25</v>
      </c>
      <c r="B10" s="8">
        <f>41906478088.29+43059637051.51</f>
        <v>84966115139.800003</v>
      </c>
      <c r="C10" s="11">
        <v>858385837</v>
      </c>
      <c r="D10" s="14" t="s">
        <v>30</v>
      </c>
      <c r="E10" s="11">
        <v>0</v>
      </c>
      <c r="F10" s="4" t="s">
        <v>30</v>
      </c>
      <c r="G10" s="11">
        <v>0</v>
      </c>
      <c r="H10" s="33">
        <v>1748109111.9400001</v>
      </c>
      <c r="I10" s="10" t="s">
        <v>30</v>
      </c>
      <c r="J10" s="10">
        <v>0</v>
      </c>
      <c r="K10" s="10">
        <v>32610000</v>
      </c>
      <c r="L10" s="10">
        <v>0</v>
      </c>
      <c r="M10" s="10"/>
      <c r="N10" s="4"/>
      <c r="O10" s="4"/>
      <c r="P10" s="4"/>
      <c r="Q10" s="4"/>
      <c r="R10" s="30"/>
      <c r="S10" s="3"/>
      <c r="T10" s="10"/>
      <c r="U10" s="4"/>
      <c r="V10" s="8"/>
      <c r="W10" s="8"/>
    </row>
    <row r="11" spans="1:23" s="67" customFormat="1" x14ac:dyDescent="0.25">
      <c r="A11" s="61" t="s">
        <v>773</v>
      </c>
      <c r="B11" s="8">
        <f>+B2+B3+B4+B5+B6+B7+B8+B9+B10</f>
        <v>189290635877.45001</v>
      </c>
      <c r="C11" s="11">
        <v>858385838</v>
      </c>
      <c r="D11" s="64" t="s">
        <v>30</v>
      </c>
      <c r="E11" s="63">
        <v>0</v>
      </c>
      <c r="F11" s="64" t="s">
        <v>30</v>
      </c>
      <c r="G11" s="63">
        <v>0</v>
      </c>
      <c r="H11" s="65">
        <v>1748109111.9400001</v>
      </c>
      <c r="I11" s="63" t="s">
        <v>30</v>
      </c>
      <c r="J11" s="63"/>
      <c r="K11" s="63">
        <f>SUM(K2:K10)</f>
        <v>106496949.34999999</v>
      </c>
      <c r="L11" s="63"/>
      <c r="M11" s="63"/>
      <c r="N11" s="64"/>
      <c r="O11" s="64"/>
      <c r="P11" s="64"/>
      <c r="Q11" s="64"/>
      <c r="R11" s="66"/>
      <c r="S11" s="61"/>
      <c r="T11" s="63"/>
      <c r="U11" s="64"/>
      <c r="V11" s="62"/>
      <c r="W11" s="62"/>
    </row>
    <row r="12" spans="1:23" s="67" customFormat="1" x14ac:dyDescent="0.25">
      <c r="A12" s="61" t="s">
        <v>774</v>
      </c>
      <c r="B12" s="71">
        <f>+B11/1000000</f>
        <v>189290.63587745003</v>
      </c>
      <c r="C12" s="72">
        <f>+C11/1000000</f>
        <v>858.38583800000004</v>
      </c>
      <c r="D12" s="64" t="s">
        <v>30</v>
      </c>
      <c r="E12" s="63">
        <v>0</v>
      </c>
      <c r="F12" s="64" t="s">
        <v>30</v>
      </c>
      <c r="G12" s="63">
        <v>0</v>
      </c>
      <c r="H12" s="70">
        <f>+H11/1000000</f>
        <v>1748.10911194</v>
      </c>
      <c r="I12" s="63" t="s">
        <v>30</v>
      </c>
      <c r="J12" s="63"/>
      <c r="K12" s="63">
        <f>+K11/1000000</f>
        <v>106.49694934999999</v>
      </c>
      <c r="L12" s="63"/>
      <c r="M12" s="63"/>
      <c r="N12" s="64"/>
      <c r="O12" s="64"/>
      <c r="P12" s="64"/>
      <c r="Q12" s="64"/>
      <c r="R12" s="66"/>
      <c r="S12" s="61"/>
      <c r="T12" s="63"/>
      <c r="U12" s="64"/>
      <c r="V12" s="62"/>
      <c r="W12" s="62"/>
    </row>
    <row r="13" spans="1:23" x14ac:dyDescent="0.25">
      <c r="A13" s="3" t="s">
        <v>26</v>
      </c>
      <c r="B13" s="8">
        <v>99717.48</v>
      </c>
      <c r="C13" s="11"/>
      <c r="D13" s="14"/>
      <c r="E13" s="11"/>
      <c r="F13" s="4" t="s">
        <v>30</v>
      </c>
      <c r="G13" s="11"/>
      <c r="H13" s="33"/>
      <c r="I13" s="10"/>
      <c r="J13" s="10">
        <v>0</v>
      </c>
      <c r="K13" s="10">
        <v>6.73</v>
      </c>
      <c r="L13" s="10">
        <v>0</v>
      </c>
      <c r="M13" s="10"/>
      <c r="N13" s="4"/>
      <c r="O13" s="4"/>
      <c r="P13" s="4"/>
      <c r="Q13" s="4"/>
      <c r="R13" s="4"/>
      <c r="S13" s="3"/>
      <c r="T13" s="10"/>
      <c r="U13" s="4"/>
      <c r="V13" s="8"/>
      <c r="W13" s="8"/>
    </row>
    <row r="14" spans="1:23" x14ac:dyDescent="0.25">
      <c r="A14" s="3" t="s">
        <v>27</v>
      </c>
      <c r="B14" s="8">
        <f>77022.63+71708.86</f>
        <v>148731.49</v>
      </c>
      <c r="C14" s="10"/>
      <c r="D14" s="4"/>
      <c r="E14" s="10"/>
      <c r="F14" s="4"/>
      <c r="G14" s="10"/>
      <c r="H14" s="10"/>
      <c r="I14" s="10"/>
      <c r="J14" s="10">
        <v>0</v>
      </c>
      <c r="K14" s="10">
        <v>21.68</v>
      </c>
      <c r="L14" s="10">
        <v>0</v>
      </c>
      <c r="M14" s="10"/>
      <c r="N14" s="4"/>
      <c r="O14" s="4"/>
      <c r="P14" s="4"/>
      <c r="Q14" s="4"/>
      <c r="R14" s="4"/>
      <c r="S14" s="3"/>
      <c r="T14" s="10"/>
      <c r="U14" s="4"/>
      <c r="V14" s="8"/>
      <c r="W14" s="8"/>
    </row>
    <row r="15" spans="1:23" s="15" customFormat="1" x14ac:dyDescent="0.25">
      <c r="A15" s="3" t="s">
        <v>28</v>
      </c>
      <c r="B15" s="13">
        <f>89314.94+81749.02</f>
        <v>171063.96000000002</v>
      </c>
      <c r="C15" s="11"/>
      <c r="D15" s="14"/>
      <c r="E15" s="11"/>
      <c r="F15" s="4"/>
      <c r="G15" s="11"/>
      <c r="H15" s="11"/>
      <c r="I15" s="11"/>
      <c r="J15" s="10">
        <v>0</v>
      </c>
      <c r="K15" s="11">
        <v>81.62</v>
      </c>
      <c r="L15" s="10">
        <v>0</v>
      </c>
      <c r="M15" s="10"/>
      <c r="N15" s="14"/>
      <c r="O15" s="14"/>
      <c r="P15" s="14"/>
      <c r="Q15" s="14"/>
      <c r="R15" s="14"/>
      <c r="S15" s="12"/>
      <c r="T15" s="10"/>
      <c r="U15" s="14"/>
      <c r="V15" s="13"/>
      <c r="W15" s="13"/>
    </row>
    <row r="16" spans="1:23" s="39" customFormat="1" x14ac:dyDescent="0.25">
      <c r="A16" s="34" t="s">
        <v>34</v>
      </c>
      <c r="B16" s="35">
        <f>SUM(B12:B15)</f>
        <v>608803.56587745005</v>
      </c>
      <c r="C16" s="36"/>
      <c r="D16" s="37"/>
      <c r="E16" s="36"/>
      <c r="F16" s="37"/>
      <c r="G16" s="36"/>
      <c r="H16" s="36"/>
      <c r="I16" s="36">
        <f>SUM(I2:I15)</f>
        <v>0</v>
      </c>
      <c r="J16" s="36">
        <f>SUM(J2:J15)</f>
        <v>0</v>
      </c>
      <c r="K16" s="36">
        <f>SUM(K12:K15)</f>
        <v>216.52694935</v>
      </c>
      <c r="L16" s="36">
        <f>SUM(L2:L15)</f>
        <v>0</v>
      </c>
      <c r="M16" s="36">
        <f>SUM(M2:M15)</f>
        <v>0</v>
      </c>
      <c r="N16" s="37"/>
      <c r="O16" s="37"/>
      <c r="P16" s="37"/>
      <c r="Q16" s="37"/>
      <c r="R16" s="37"/>
      <c r="S16" s="34"/>
      <c r="T16" s="38" t="s">
        <v>33</v>
      </c>
      <c r="U16" s="37"/>
      <c r="V16" s="35"/>
      <c r="W16" s="35"/>
    </row>
    <row r="17" spans="1:23" x14ac:dyDescent="0.25">
      <c r="T17" s="16"/>
    </row>
    <row r="19" spans="1:23" x14ac:dyDescent="0.25">
      <c r="E19" s="9" t="s">
        <v>817</v>
      </c>
    </row>
    <row r="20" spans="1:23" s="1" customFormat="1" ht="45" x14ac:dyDescent="0.25">
      <c r="A20" s="2" t="s">
        <v>780</v>
      </c>
      <c r="B20" s="2" t="s">
        <v>0</v>
      </c>
      <c r="C20" s="19" t="s">
        <v>3</v>
      </c>
      <c r="D20" s="2" t="s">
        <v>1</v>
      </c>
      <c r="E20" s="2" t="s">
        <v>4</v>
      </c>
      <c r="F20" s="2" t="s">
        <v>10</v>
      </c>
      <c r="G20" s="2" t="s">
        <v>2</v>
      </c>
      <c r="H20" s="2" t="s">
        <v>5</v>
      </c>
      <c r="I20" s="2" t="s">
        <v>6</v>
      </c>
      <c r="J20" s="2" t="s">
        <v>41</v>
      </c>
      <c r="K20" s="2" t="s">
        <v>62</v>
      </c>
      <c r="L20" s="2" t="s">
        <v>40</v>
      </c>
      <c r="M20" s="2" t="s">
        <v>63</v>
      </c>
      <c r="N20" s="2" t="s">
        <v>11</v>
      </c>
      <c r="O20" s="2" t="s">
        <v>12</v>
      </c>
      <c r="P20" s="2" t="s">
        <v>35</v>
      </c>
      <c r="Q20" s="2" t="s">
        <v>13</v>
      </c>
      <c r="R20" s="2" t="s">
        <v>14</v>
      </c>
      <c r="S20" s="2" t="s">
        <v>15</v>
      </c>
      <c r="T20" s="2" t="s">
        <v>16</v>
      </c>
      <c r="U20" s="2" t="s">
        <v>45</v>
      </c>
      <c r="V20" s="2" t="s">
        <v>58</v>
      </c>
      <c r="W20" s="2" t="s">
        <v>44</v>
      </c>
    </row>
    <row r="21" spans="1:23" x14ac:dyDescent="0.25">
      <c r="A21" s="3" t="s">
        <v>17</v>
      </c>
      <c r="B21" s="13">
        <v>127071.73</v>
      </c>
      <c r="C21" s="10">
        <v>0</v>
      </c>
      <c r="D21" s="4" t="s">
        <v>30</v>
      </c>
      <c r="E21" s="10">
        <v>892.5</v>
      </c>
      <c r="F21" s="4"/>
      <c r="G21" s="11"/>
      <c r="H21" s="33"/>
      <c r="I21" s="10">
        <v>4.25</v>
      </c>
      <c r="J21" s="10"/>
      <c r="K21" s="10"/>
      <c r="L21" s="10"/>
      <c r="M21" s="10"/>
      <c r="N21" s="4"/>
      <c r="O21" s="4"/>
      <c r="P21" s="4"/>
      <c r="Q21" s="32"/>
      <c r="R21" s="4"/>
      <c r="S21" s="3"/>
      <c r="T21" s="10"/>
      <c r="U21" s="4"/>
      <c r="V21" s="8"/>
      <c r="W21" s="10"/>
    </row>
    <row r="22" spans="1:23" x14ac:dyDescent="0.25">
      <c r="A22" s="3" t="s">
        <v>18</v>
      </c>
      <c r="B22" s="16"/>
      <c r="C22" s="11"/>
      <c r="D22" s="4"/>
      <c r="E22" s="10"/>
      <c r="F22" s="4"/>
      <c r="G22" s="11"/>
      <c r="H22" s="33"/>
      <c r="I22" s="10"/>
      <c r="J22" s="10"/>
      <c r="K22" s="10"/>
      <c r="L22" s="10"/>
      <c r="M22" s="10"/>
      <c r="N22" s="4"/>
      <c r="O22" s="4"/>
      <c r="P22" s="4"/>
      <c r="Q22" s="32"/>
      <c r="R22" s="4"/>
      <c r="S22" s="3"/>
      <c r="T22" s="10"/>
      <c r="U22" s="4"/>
      <c r="V22" s="8"/>
      <c r="W22" s="8"/>
    </row>
    <row r="23" spans="1:23" x14ac:dyDescent="0.25">
      <c r="A23" s="3" t="s">
        <v>19</v>
      </c>
      <c r="B23" s="8"/>
      <c r="C23" s="11"/>
      <c r="D23" s="14"/>
      <c r="E23" s="11"/>
      <c r="F23" s="4"/>
      <c r="G23" s="11"/>
      <c r="H23" s="33"/>
      <c r="I23" s="10"/>
      <c r="J23" s="10"/>
      <c r="K23" s="10"/>
      <c r="L23" s="10"/>
      <c r="M23" s="10"/>
      <c r="N23" s="4"/>
      <c r="O23" s="4"/>
      <c r="P23" s="4"/>
      <c r="Q23" s="4"/>
      <c r="R23" s="4"/>
      <c r="S23" s="3"/>
      <c r="T23" s="10"/>
      <c r="U23" s="4"/>
      <c r="V23" s="8"/>
      <c r="W23" s="8"/>
    </row>
    <row r="24" spans="1:23" x14ac:dyDescent="0.25">
      <c r="A24" s="3" t="s">
        <v>20</v>
      </c>
      <c r="B24" s="8"/>
      <c r="C24" s="11"/>
      <c r="D24" s="14"/>
      <c r="E24" s="11"/>
      <c r="F24" s="4"/>
      <c r="G24" s="11"/>
      <c r="H24" s="33"/>
      <c r="I24" s="10"/>
      <c r="J24" s="10"/>
      <c r="K24" s="10"/>
      <c r="L24" s="10"/>
      <c r="M24" s="10"/>
      <c r="N24" s="4"/>
      <c r="O24" s="4"/>
      <c r="P24" s="4"/>
      <c r="Q24" s="4"/>
      <c r="R24" s="4"/>
      <c r="S24" s="3"/>
      <c r="T24" s="10"/>
      <c r="U24" s="4"/>
      <c r="V24" s="8"/>
      <c r="W24" s="8"/>
    </row>
    <row r="25" spans="1:23" x14ac:dyDescent="0.25">
      <c r="A25" s="3" t="s">
        <v>21</v>
      </c>
      <c r="B25" s="8"/>
      <c r="C25" s="11"/>
      <c r="D25" s="14"/>
      <c r="E25" s="11"/>
      <c r="F25" s="4"/>
      <c r="G25" s="11"/>
      <c r="H25" s="33"/>
      <c r="I25" s="10"/>
      <c r="J25" s="10"/>
      <c r="K25" s="10"/>
      <c r="L25" s="10"/>
      <c r="M25" s="10"/>
      <c r="N25" s="4"/>
      <c r="O25" s="4"/>
      <c r="P25" s="4"/>
      <c r="Q25" s="4"/>
      <c r="R25" s="4"/>
      <c r="S25" s="3"/>
      <c r="T25" s="10"/>
      <c r="U25" s="4"/>
      <c r="V25" s="8"/>
      <c r="W25" s="8"/>
    </row>
    <row r="26" spans="1:23" x14ac:dyDescent="0.25">
      <c r="A26" s="3" t="s">
        <v>22</v>
      </c>
      <c r="B26" s="8"/>
      <c r="C26" s="11"/>
      <c r="D26" s="14"/>
      <c r="E26" s="11"/>
      <c r="F26" s="4"/>
      <c r="G26" s="11"/>
      <c r="H26" s="33"/>
      <c r="I26" s="10"/>
      <c r="J26" s="10"/>
      <c r="K26" s="10"/>
      <c r="L26" s="10"/>
      <c r="M26" s="10"/>
      <c r="N26" s="4"/>
      <c r="O26" s="4"/>
      <c r="P26" s="4"/>
      <c r="Q26" s="4"/>
      <c r="R26" s="4"/>
      <c r="S26" s="3"/>
      <c r="T26" s="10"/>
      <c r="U26" s="4"/>
      <c r="V26" s="8"/>
      <c r="W26" s="8"/>
    </row>
    <row r="27" spans="1:23" x14ac:dyDescent="0.25">
      <c r="A27" s="3" t="s">
        <v>23</v>
      </c>
      <c r="B27" s="8"/>
      <c r="C27" s="11"/>
      <c r="D27" s="14"/>
      <c r="E27" s="11"/>
      <c r="F27" s="4"/>
      <c r="G27" s="11"/>
      <c r="H27" s="33"/>
      <c r="I27" s="10"/>
      <c r="J27" s="10"/>
      <c r="K27" s="10"/>
      <c r="L27" s="10"/>
      <c r="M27" s="10"/>
      <c r="N27" s="4"/>
      <c r="O27" s="4"/>
      <c r="P27" s="4"/>
      <c r="Q27" s="4"/>
      <c r="R27" s="4"/>
      <c r="S27" s="3"/>
      <c r="T27" s="10"/>
      <c r="U27" s="4"/>
      <c r="V27" s="8"/>
      <c r="W27" s="8"/>
    </row>
    <row r="28" spans="1:23" x14ac:dyDescent="0.25">
      <c r="A28" s="3" t="s">
        <v>24</v>
      </c>
      <c r="B28" s="13"/>
      <c r="C28" s="11"/>
      <c r="D28" s="14"/>
      <c r="E28" s="11"/>
      <c r="F28" s="4"/>
      <c r="G28" s="11"/>
      <c r="H28" s="33"/>
      <c r="I28" s="10"/>
      <c r="J28" s="10"/>
      <c r="K28" s="10"/>
      <c r="L28" s="10"/>
      <c r="M28" s="10"/>
      <c r="N28" s="4"/>
      <c r="O28" s="4"/>
      <c r="P28" s="4"/>
      <c r="Q28" s="4"/>
      <c r="R28" s="4"/>
      <c r="S28" s="3"/>
      <c r="T28" s="10"/>
      <c r="U28" s="4"/>
      <c r="V28" s="8"/>
      <c r="W28" s="8"/>
    </row>
    <row r="29" spans="1:23" x14ac:dyDescent="0.25">
      <c r="A29" s="3" t="s">
        <v>25</v>
      </c>
      <c r="B29" s="8"/>
      <c r="C29" s="11"/>
      <c r="D29" s="14"/>
      <c r="E29" s="11"/>
      <c r="F29" s="4"/>
      <c r="G29" s="11"/>
      <c r="H29" s="33"/>
      <c r="I29" s="10"/>
      <c r="J29" s="10"/>
      <c r="K29" s="10"/>
      <c r="L29" s="10"/>
      <c r="M29" s="10"/>
      <c r="N29" s="4"/>
      <c r="O29" s="4"/>
      <c r="P29" s="4"/>
      <c r="Q29" s="4"/>
      <c r="R29" s="30"/>
      <c r="S29" s="3"/>
      <c r="T29" s="10"/>
      <c r="U29" s="4"/>
      <c r="V29" s="8"/>
      <c r="W29" s="8"/>
    </row>
    <row r="30" spans="1:23" x14ac:dyDescent="0.25">
      <c r="A30" s="3" t="s">
        <v>26</v>
      </c>
      <c r="B30" s="8"/>
      <c r="C30" s="11"/>
      <c r="D30" s="14"/>
      <c r="E30" s="11"/>
      <c r="F30" s="4"/>
      <c r="G30" s="11"/>
      <c r="H30" s="33"/>
      <c r="I30" s="10"/>
      <c r="J30" s="10"/>
      <c r="K30" s="10"/>
      <c r="L30" s="10"/>
      <c r="M30" s="10"/>
      <c r="N30" s="4"/>
      <c r="O30" s="4"/>
      <c r="P30" s="4"/>
      <c r="Q30" s="4"/>
      <c r="R30" s="4"/>
      <c r="S30" s="3"/>
      <c r="T30" s="10"/>
      <c r="U30" s="4"/>
      <c r="V30" s="8"/>
      <c r="W30" s="8"/>
    </row>
    <row r="31" spans="1:23" x14ac:dyDescent="0.25">
      <c r="A31" s="3" t="s">
        <v>27</v>
      </c>
      <c r="B31" s="8"/>
      <c r="C31" s="10"/>
      <c r="D31" s="4"/>
      <c r="E31" s="10"/>
      <c r="F31" s="4"/>
      <c r="G31" s="10"/>
      <c r="H31" s="10"/>
      <c r="I31" s="10"/>
      <c r="J31" s="10"/>
      <c r="K31" s="10"/>
      <c r="L31" s="10"/>
      <c r="M31" s="10"/>
      <c r="N31" s="4"/>
      <c r="O31" s="4"/>
      <c r="P31" s="4"/>
      <c r="Q31" s="4"/>
      <c r="R31" s="4"/>
      <c r="S31" s="3"/>
      <c r="T31" s="10"/>
      <c r="U31" s="4"/>
      <c r="V31" s="8"/>
      <c r="W31" s="8"/>
    </row>
    <row r="32" spans="1:23" s="15" customFormat="1" x14ac:dyDescent="0.25">
      <c r="A32" s="3" t="s">
        <v>28</v>
      </c>
      <c r="B32" s="13"/>
      <c r="C32" s="11"/>
      <c r="D32" s="14"/>
      <c r="E32" s="11"/>
      <c r="F32" s="4"/>
      <c r="G32" s="11"/>
      <c r="H32" s="11"/>
      <c r="I32" s="11"/>
      <c r="J32" s="10"/>
      <c r="K32" s="11"/>
      <c r="L32" s="10"/>
      <c r="M32" s="10"/>
      <c r="N32" s="14"/>
      <c r="O32" s="14"/>
      <c r="P32" s="14"/>
      <c r="Q32" s="14"/>
      <c r="R32" s="14"/>
      <c r="S32" s="12"/>
      <c r="T32" s="10"/>
      <c r="U32" s="14"/>
      <c r="V32" s="13"/>
      <c r="W32" s="13"/>
    </row>
    <row r="33" spans="1:23" s="39" customFormat="1" x14ac:dyDescent="0.25">
      <c r="A33" s="34" t="s">
        <v>34</v>
      </c>
      <c r="B33" s="35">
        <f>SUM(B21:B32)</f>
        <v>127071.73</v>
      </c>
      <c r="C33" s="36"/>
      <c r="D33" s="37"/>
      <c r="E33" s="36"/>
      <c r="F33" s="37"/>
      <c r="G33" s="36"/>
      <c r="H33" s="36"/>
      <c r="I33" s="36">
        <f>SUM(I21:I32)</f>
        <v>4.25</v>
      </c>
      <c r="J33" s="36">
        <f>SUM(J21:J32)</f>
        <v>0</v>
      </c>
      <c r="K33" s="36">
        <f>SUM(K30:K32)</f>
        <v>0</v>
      </c>
      <c r="L33" s="36">
        <f>SUM(L21:L32)</f>
        <v>0</v>
      </c>
      <c r="M33" s="36">
        <f>SUM(M21:M32)</f>
        <v>0</v>
      </c>
      <c r="N33" s="37"/>
      <c r="O33" s="37"/>
      <c r="P33" s="37"/>
      <c r="Q33" s="37"/>
      <c r="R33" s="37"/>
      <c r="S33" s="34"/>
      <c r="T33" s="38" t="s">
        <v>33</v>
      </c>
      <c r="U33" s="37"/>
      <c r="V33" s="35"/>
      <c r="W33" s="35"/>
    </row>
  </sheetData>
  <pageMargins left="0.7" right="0.7" top="0.75" bottom="0.75" header="0.3" footer="0.3"/>
  <pageSetup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opLeftCell="A16" workbookViewId="0">
      <pane xSplit="1" topLeftCell="B1" activePane="topRight" state="frozen"/>
      <selection pane="topRight" activeCell="E36" sqref="E36"/>
    </sheetView>
  </sheetViews>
  <sheetFormatPr baseColWidth="10" defaultRowHeight="15" x14ac:dyDescent="0.25"/>
  <cols>
    <col min="1" max="1" width="13.42578125" bestFit="1" customWidth="1"/>
    <col min="2" max="2" width="17.42578125" bestFit="1" customWidth="1"/>
    <col min="3" max="3" width="13.7109375" style="16" bestFit="1" customWidth="1"/>
    <col min="4" max="4" width="10" bestFit="1" customWidth="1"/>
    <col min="5" max="5" width="15.28515625" bestFit="1" customWidth="1"/>
    <col min="7" max="7" width="15.28515625" bestFit="1" customWidth="1"/>
    <col min="8" max="8" width="15.85546875" bestFit="1" customWidth="1"/>
    <col min="9" max="9" width="12.7109375" bestFit="1" customWidth="1"/>
    <col min="10" max="10" width="11.5703125" bestFit="1" customWidth="1"/>
    <col min="11" max="11" width="13.7109375" bestFit="1" customWidth="1"/>
    <col min="12" max="12" width="15.28515625" bestFit="1" customWidth="1"/>
    <col min="19" max="19" width="12.85546875" bestFit="1" customWidth="1"/>
    <col min="21" max="21" width="13.7109375" bestFit="1" customWidth="1"/>
  </cols>
  <sheetData>
    <row r="1" spans="1:22" s="1" customFormat="1" ht="45" x14ac:dyDescent="0.25">
      <c r="A1" s="2" t="s">
        <v>29</v>
      </c>
      <c r="B1" s="2" t="s">
        <v>0</v>
      </c>
      <c r="C1" s="19" t="s">
        <v>3</v>
      </c>
      <c r="D1" s="2" t="s">
        <v>1</v>
      </c>
      <c r="E1" s="2" t="s">
        <v>4</v>
      </c>
      <c r="F1" s="2" t="s">
        <v>10</v>
      </c>
      <c r="G1" s="2" t="s">
        <v>2</v>
      </c>
      <c r="H1" s="2" t="s">
        <v>5</v>
      </c>
      <c r="I1" s="2" t="s">
        <v>6</v>
      </c>
      <c r="J1" s="2" t="s">
        <v>41</v>
      </c>
      <c r="K1" s="2" t="s">
        <v>62</v>
      </c>
      <c r="L1" s="2" t="s">
        <v>63</v>
      </c>
      <c r="M1" s="2" t="s">
        <v>11</v>
      </c>
      <c r="N1" s="2" t="s">
        <v>12</v>
      </c>
      <c r="O1" s="2" t="s">
        <v>35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45</v>
      </c>
      <c r="U1" s="2" t="s">
        <v>58</v>
      </c>
      <c r="V1" s="2" t="s">
        <v>44</v>
      </c>
    </row>
    <row r="2" spans="1:22" x14ac:dyDescent="0.25">
      <c r="A2" s="3" t="s">
        <v>17</v>
      </c>
      <c r="B2" s="13"/>
      <c r="C2" s="10"/>
      <c r="D2" s="4"/>
      <c r="E2" s="10"/>
      <c r="F2" s="4"/>
      <c r="G2" s="11"/>
      <c r="H2" s="33"/>
      <c r="I2" s="10"/>
      <c r="J2" s="10">
        <v>0</v>
      </c>
      <c r="K2" s="10">
        <v>51654.98</v>
      </c>
      <c r="L2" s="10"/>
      <c r="M2" s="4"/>
      <c r="N2" s="4"/>
      <c r="O2" s="4"/>
      <c r="P2" s="32"/>
      <c r="Q2" s="4"/>
      <c r="R2" s="3"/>
      <c r="S2" s="10"/>
      <c r="T2" s="4"/>
      <c r="U2" s="8"/>
      <c r="V2" s="10"/>
    </row>
    <row r="3" spans="1:22" x14ac:dyDescent="0.25">
      <c r="A3" s="3" t="s">
        <v>18</v>
      </c>
      <c r="B3" s="16"/>
      <c r="C3" s="11"/>
      <c r="D3" s="4"/>
      <c r="E3" s="10"/>
      <c r="F3" s="4"/>
      <c r="G3" s="11"/>
      <c r="H3" s="33"/>
      <c r="I3" s="10"/>
      <c r="J3" s="10">
        <v>0</v>
      </c>
      <c r="K3" s="10">
        <v>52029.86</v>
      </c>
      <c r="L3" s="10"/>
      <c r="M3" s="4"/>
      <c r="N3" s="4"/>
      <c r="O3" s="4"/>
      <c r="P3" s="32"/>
      <c r="Q3" s="4"/>
      <c r="R3" s="3"/>
      <c r="S3" s="10"/>
      <c r="T3" s="4"/>
      <c r="U3" s="8"/>
      <c r="V3" s="8"/>
    </row>
    <row r="4" spans="1:22" x14ac:dyDescent="0.25">
      <c r="A4" s="3" t="s">
        <v>19</v>
      </c>
      <c r="B4" s="8"/>
      <c r="C4" s="11"/>
      <c r="D4" s="14"/>
      <c r="E4" s="11"/>
      <c r="F4" s="4"/>
      <c r="G4" s="11"/>
      <c r="H4" s="33"/>
      <c r="I4" s="10"/>
      <c r="J4" s="10">
        <v>0</v>
      </c>
      <c r="K4" s="10">
        <v>533082.04</v>
      </c>
      <c r="L4" s="10"/>
      <c r="M4" s="4"/>
      <c r="N4" s="4"/>
      <c r="O4" s="4"/>
      <c r="P4" s="4"/>
      <c r="Q4" s="4"/>
      <c r="R4" s="3"/>
      <c r="S4" s="10"/>
      <c r="T4" s="4"/>
      <c r="U4" s="8"/>
      <c r="V4" s="8"/>
    </row>
    <row r="5" spans="1:22" x14ac:dyDescent="0.25">
      <c r="A5" s="3" t="s">
        <v>20</v>
      </c>
      <c r="B5" s="8"/>
      <c r="C5" s="11"/>
      <c r="D5" s="14"/>
      <c r="E5" s="11"/>
      <c r="F5" s="4"/>
      <c r="G5" s="11"/>
      <c r="H5" s="33"/>
      <c r="I5" s="10"/>
      <c r="J5" s="10">
        <v>0</v>
      </c>
      <c r="K5" s="10">
        <v>347893.48</v>
      </c>
      <c r="L5" s="10"/>
      <c r="M5" s="4"/>
      <c r="N5" s="4"/>
      <c r="O5" s="4"/>
      <c r="P5" s="4"/>
      <c r="Q5" s="4"/>
      <c r="R5" s="3"/>
      <c r="S5" s="10"/>
      <c r="T5" s="4"/>
      <c r="U5" s="8"/>
      <c r="V5" s="8"/>
    </row>
    <row r="6" spans="1:22" x14ac:dyDescent="0.25">
      <c r="A6" s="3" t="s">
        <v>21</v>
      </c>
      <c r="B6" s="8"/>
      <c r="C6" s="11"/>
      <c r="D6" s="14"/>
      <c r="E6" s="11"/>
      <c r="F6" s="4"/>
      <c r="G6" s="11"/>
      <c r="H6" s="33"/>
      <c r="I6" s="10"/>
      <c r="J6" s="10">
        <v>0</v>
      </c>
      <c r="K6" s="10">
        <v>287355.73</v>
      </c>
      <c r="L6" s="10"/>
      <c r="M6" s="4"/>
      <c r="N6" s="4"/>
      <c r="O6" s="4"/>
      <c r="P6" s="4"/>
      <c r="Q6" s="4"/>
      <c r="R6" s="3"/>
      <c r="S6" s="10"/>
      <c r="T6" s="4"/>
      <c r="U6" s="8"/>
      <c r="V6" s="8"/>
    </row>
    <row r="7" spans="1:22" x14ac:dyDescent="0.25">
      <c r="A7" s="3" t="s">
        <v>22</v>
      </c>
      <c r="B7" s="8"/>
      <c r="C7" s="11"/>
      <c r="D7" s="14"/>
      <c r="E7" s="11"/>
      <c r="F7" s="4"/>
      <c r="G7" s="11"/>
      <c r="H7" s="33"/>
      <c r="I7" s="10"/>
      <c r="J7" s="10">
        <v>0</v>
      </c>
      <c r="K7" s="10">
        <v>1050187.3</v>
      </c>
      <c r="L7" s="10"/>
      <c r="M7" s="4"/>
      <c r="N7" s="4"/>
      <c r="O7" s="4"/>
      <c r="P7" s="4"/>
      <c r="Q7" s="4"/>
      <c r="R7" s="3"/>
      <c r="S7" s="10"/>
      <c r="T7" s="4"/>
      <c r="U7" s="8"/>
      <c r="V7" s="8"/>
    </row>
    <row r="8" spans="1:22" x14ac:dyDescent="0.25">
      <c r="A8" s="3" t="s">
        <v>23</v>
      </c>
      <c r="B8" s="8"/>
      <c r="C8" s="11"/>
      <c r="D8" s="14"/>
      <c r="E8" s="11"/>
      <c r="F8" s="4"/>
      <c r="G8" s="11"/>
      <c r="H8" s="33"/>
      <c r="I8" s="10"/>
      <c r="J8" s="10">
        <v>0</v>
      </c>
      <c r="K8" s="10">
        <v>2204148.5099999998</v>
      </c>
      <c r="L8" s="10"/>
      <c r="M8" s="4"/>
      <c r="N8" s="4"/>
      <c r="O8" s="4"/>
      <c r="P8" s="4"/>
      <c r="Q8" s="4"/>
      <c r="R8" s="3"/>
      <c r="S8" s="10"/>
      <c r="T8" s="4"/>
      <c r="U8" s="8"/>
      <c r="V8" s="8"/>
    </row>
    <row r="9" spans="1:22" x14ac:dyDescent="0.25">
      <c r="A9" s="3" t="s">
        <v>24</v>
      </c>
      <c r="B9" s="8"/>
      <c r="C9" s="11"/>
      <c r="D9" s="14"/>
      <c r="E9" s="11"/>
      <c r="F9" s="4"/>
      <c r="G9" s="11"/>
      <c r="H9" s="33"/>
      <c r="I9" s="10"/>
      <c r="J9" s="10">
        <v>0</v>
      </c>
      <c r="K9" s="10">
        <v>3138180.3</v>
      </c>
      <c r="L9" s="10"/>
      <c r="M9" s="4"/>
      <c r="N9" s="4"/>
      <c r="O9" s="4"/>
      <c r="P9" s="4"/>
      <c r="Q9" s="4"/>
      <c r="R9" s="3"/>
      <c r="S9" s="10"/>
      <c r="T9" s="4"/>
      <c r="U9" s="8"/>
      <c r="V9" s="8"/>
    </row>
    <row r="10" spans="1:22" x14ac:dyDescent="0.25">
      <c r="A10" s="3" t="s">
        <v>25</v>
      </c>
      <c r="B10" s="8"/>
      <c r="C10" s="11"/>
      <c r="D10" s="14"/>
      <c r="E10" s="11"/>
      <c r="F10" s="4"/>
      <c r="G10" s="11"/>
      <c r="H10" s="33"/>
      <c r="I10" s="10"/>
      <c r="J10" s="10">
        <v>0</v>
      </c>
      <c r="K10" s="10">
        <v>4860201.78</v>
      </c>
      <c r="L10" s="10"/>
      <c r="M10" s="4"/>
      <c r="N10" s="4"/>
      <c r="O10" s="4"/>
      <c r="P10" s="4"/>
      <c r="Q10" s="30"/>
      <c r="R10" s="3"/>
      <c r="S10" s="10"/>
      <c r="T10" s="4"/>
      <c r="U10" s="8"/>
      <c r="V10" s="8"/>
    </row>
    <row r="11" spans="1:22" x14ac:dyDescent="0.25">
      <c r="A11" s="3" t="s">
        <v>26</v>
      </c>
      <c r="B11" s="8">
        <v>22044943699.919998</v>
      </c>
      <c r="C11" s="11">
        <v>89325555.519999996</v>
      </c>
      <c r="D11" s="14" t="s">
        <v>30</v>
      </c>
      <c r="E11" s="11">
        <v>0</v>
      </c>
      <c r="F11" s="4" t="s">
        <v>30</v>
      </c>
      <c r="G11" s="11">
        <v>884551763.47000003</v>
      </c>
      <c r="H11" s="33">
        <v>34103285.719999999</v>
      </c>
      <c r="I11" s="10">
        <v>0</v>
      </c>
      <c r="J11" s="10">
        <v>0</v>
      </c>
      <c r="K11" s="10">
        <v>3587394.49</v>
      </c>
      <c r="L11" s="10">
        <v>195617830.44999999</v>
      </c>
      <c r="M11" s="4"/>
      <c r="N11" s="4"/>
      <c r="O11" s="4"/>
      <c r="P11" s="4"/>
      <c r="Q11" s="4"/>
      <c r="R11" s="3"/>
      <c r="S11" s="10"/>
      <c r="T11" s="4"/>
      <c r="U11" s="8"/>
      <c r="V11" s="8"/>
    </row>
    <row r="12" spans="1:22" x14ac:dyDescent="0.25">
      <c r="A12" s="3" t="s">
        <v>27</v>
      </c>
      <c r="B12" s="8">
        <v>5394236915.3999996</v>
      </c>
      <c r="C12" s="10">
        <v>0</v>
      </c>
      <c r="D12" s="4" t="s">
        <v>30</v>
      </c>
      <c r="E12" s="10">
        <v>28777063.390000001</v>
      </c>
      <c r="F12" s="4" t="s">
        <v>30</v>
      </c>
      <c r="G12" s="10">
        <v>905698371.25999999</v>
      </c>
      <c r="H12" s="10">
        <v>73554550.769999996</v>
      </c>
      <c r="I12" s="10">
        <v>0</v>
      </c>
      <c r="J12" s="10">
        <v>0</v>
      </c>
      <c r="K12" s="10">
        <v>3336274.63</v>
      </c>
      <c r="L12" s="10">
        <v>46882794.770000003</v>
      </c>
      <c r="M12" s="4"/>
      <c r="N12" s="4"/>
      <c r="O12" s="4"/>
      <c r="P12" s="4"/>
      <c r="Q12" s="4"/>
      <c r="R12" s="3"/>
      <c r="S12" s="10"/>
      <c r="T12" s="4"/>
      <c r="U12" s="8"/>
      <c r="V12" s="8"/>
    </row>
    <row r="13" spans="1:22" s="15" customFormat="1" x14ac:dyDescent="0.25">
      <c r="A13" s="3" t="s">
        <v>28</v>
      </c>
      <c r="B13" s="13">
        <v>8910889040.5499992</v>
      </c>
      <c r="C13" s="11">
        <v>10205114.359999999</v>
      </c>
      <c r="D13" s="14" t="s">
        <v>30</v>
      </c>
      <c r="E13" s="11">
        <v>0</v>
      </c>
      <c r="F13" s="4" t="s">
        <v>30</v>
      </c>
      <c r="G13" s="11">
        <v>1851540322.74</v>
      </c>
      <c r="H13" s="11">
        <v>125515518.73</v>
      </c>
      <c r="I13" s="11">
        <v>0</v>
      </c>
      <c r="J13" s="10">
        <v>0</v>
      </c>
      <c r="K13" s="11">
        <v>13099335.369999999</v>
      </c>
      <c r="L13" s="10">
        <v>76222938.909999996</v>
      </c>
      <c r="M13" s="14"/>
      <c r="N13" s="14"/>
      <c r="O13" s="14"/>
      <c r="P13" s="14"/>
      <c r="Q13" s="14"/>
      <c r="R13" s="12"/>
      <c r="S13" s="10"/>
      <c r="T13" s="14"/>
      <c r="U13" s="13"/>
      <c r="V13" s="13"/>
    </row>
    <row r="14" spans="1:22" s="39" customFormat="1" x14ac:dyDescent="0.25">
      <c r="A14" s="34" t="s">
        <v>34</v>
      </c>
      <c r="B14" s="35">
        <f>SUM(B2:B13)</f>
        <v>36350069655.869995</v>
      </c>
      <c r="C14" s="36"/>
      <c r="D14" s="37"/>
      <c r="E14" s="36"/>
      <c r="F14" s="37"/>
      <c r="G14" s="36"/>
      <c r="H14" s="36"/>
      <c r="I14" s="36">
        <f>SUM(I2:I13)</f>
        <v>0</v>
      </c>
      <c r="J14" s="36">
        <f>SUM(J2:J13)</f>
        <v>0</v>
      </c>
      <c r="K14" s="36">
        <f>SUM(K2:K13)</f>
        <v>32547738.469999999</v>
      </c>
      <c r="L14" s="36">
        <f>SUM(L2:L13)</f>
        <v>318723564.13</v>
      </c>
      <c r="M14" s="37"/>
      <c r="N14" s="37"/>
      <c r="O14" s="37"/>
      <c r="P14" s="37"/>
      <c r="Q14" s="37"/>
      <c r="R14" s="34"/>
      <c r="S14" s="38" t="s">
        <v>33</v>
      </c>
      <c r="T14" s="37"/>
      <c r="U14" s="35"/>
      <c r="V14" s="35"/>
    </row>
    <row r="15" spans="1:22" x14ac:dyDescent="0.25">
      <c r="S15" s="16"/>
    </row>
    <row r="18" spans="1:22" s="1" customFormat="1" ht="45" x14ac:dyDescent="0.25">
      <c r="A18" s="2" t="s">
        <v>71</v>
      </c>
      <c r="B18" s="2" t="s">
        <v>0</v>
      </c>
      <c r="C18" s="19" t="s">
        <v>3</v>
      </c>
      <c r="D18" s="2" t="s">
        <v>1</v>
      </c>
      <c r="E18" s="2" t="s">
        <v>4</v>
      </c>
      <c r="F18" s="2" t="s">
        <v>10</v>
      </c>
      <c r="G18" s="2" t="s">
        <v>2</v>
      </c>
      <c r="H18" s="2" t="s">
        <v>5</v>
      </c>
      <c r="I18" s="2" t="s">
        <v>6</v>
      </c>
      <c r="J18" s="2" t="s">
        <v>41</v>
      </c>
      <c r="K18" s="2" t="s">
        <v>62</v>
      </c>
      <c r="L18" s="2" t="s">
        <v>63</v>
      </c>
      <c r="M18" s="2" t="s">
        <v>11</v>
      </c>
      <c r="N18" s="2" t="s">
        <v>12</v>
      </c>
      <c r="O18" s="2" t="s">
        <v>35</v>
      </c>
      <c r="P18" s="2" t="s">
        <v>13</v>
      </c>
      <c r="Q18" s="2" t="s">
        <v>14</v>
      </c>
      <c r="R18" s="2" t="s">
        <v>15</v>
      </c>
      <c r="S18" s="2" t="s">
        <v>16</v>
      </c>
      <c r="T18" s="2" t="s">
        <v>45</v>
      </c>
      <c r="U18" s="2" t="s">
        <v>58</v>
      </c>
      <c r="V18" s="2" t="s">
        <v>44</v>
      </c>
    </row>
    <row r="19" spans="1:22" x14ac:dyDescent="0.25">
      <c r="A19" s="3" t="s">
        <v>17</v>
      </c>
      <c r="B19" s="13">
        <v>18893499448.48</v>
      </c>
      <c r="C19" s="10">
        <v>192721499.88</v>
      </c>
      <c r="D19" s="4" t="s">
        <v>30</v>
      </c>
      <c r="E19" s="10">
        <v>0</v>
      </c>
      <c r="F19" s="4" t="s">
        <v>30</v>
      </c>
      <c r="G19" s="11"/>
      <c r="H19" s="33"/>
      <c r="I19" s="10"/>
      <c r="J19" s="10">
        <v>0</v>
      </c>
      <c r="K19" s="10">
        <v>5341027.2699999996</v>
      </c>
      <c r="L19" s="10">
        <f>49870969.5+90200237.2</f>
        <v>140071206.69999999</v>
      </c>
      <c r="M19" s="4"/>
      <c r="N19" s="4"/>
      <c r="O19" s="4"/>
      <c r="P19" s="32"/>
      <c r="Q19" s="4"/>
      <c r="R19" s="3"/>
      <c r="S19" s="10"/>
      <c r="T19" s="4"/>
      <c r="U19" s="8"/>
      <c r="V19" s="10"/>
    </row>
    <row r="20" spans="1:22" x14ac:dyDescent="0.25">
      <c r="A20" s="3" t="s">
        <v>18</v>
      </c>
      <c r="B20" s="16">
        <v>19296808698.080002</v>
      </c>
      <c r="C20" s="11">
        <v>150033113.86000001</v>
      </c>
      <c r="D20" s="4" t="s">
        <v>30</v>
      </c>
      <c r="E20" s="10">
        <v>0</v>
      </c>
      <c r="F20" s="4" t="s">
        <v>30</v>
      </c>
      <c r="G20" s="11"/>
      <c r="H20" s="33"/>
      <c r="I20" s="10"/>
      <c r="J20" s="10">
        <v>0</v>
      </c>
      <c r="K20" s="10">
        <v>22704961.68</v>
      </c>
      <c r="L20" s="10">
        <f>98734757.27+103153210.52</f>
        <v>201887967.78999999</v>
      </c>
      <c r="M20" s="4"/>
      <c r="N20" s="4"/>
      <c r="O20" s="4"/>
      <c r="P20" s="32"/>
      <c r="Q20" s="4"/>
      <c r="R20" s="3"/>
      <c r="S20" s="10"/>
      <c r="T20" s="4"/>
      <c r="U20" s="8"/>
      <c r="V20" s="8"/>
    </row>
    <row r="21" spans="1:22" x14ac:dyDescent="0.25">
      <c r="A21" s="3" t="s">
        <v>19</v>
      </c>
      <c r="B21" s="8">
        <v>36459301146.190002</v>
      </c>
      <c r="C21" s="11">
        <v>269452325.63999999</v>
      </c>
      <c r="D21" s="4" t="s">
        <v>30</v>
      </c>
      <c r="E21" s="11">
        <v>0</v>
      </c>
      <c r="F21" s="4" t="s">
        <v>30</v>
      </c>
      <c r="G21" s="11"/>
      <c r="H21" s="33"/>
      <c r="I21" s="10"/>
      <c r="J21" s="10">
        <v>0</v>
      </c>
      <c r="K21" s="10">
        <v>19142811.91</v>
      </c>
      <c r="L21" s="10">
        <f>89814876.45+174101323.98</f>
        <v>263916200.43000001</v>
      </c>
      <c r="M21" s="4"/>
      <c r="N21" s="4"/>
      <c r="O21" s="4"/>
      <c r="P21" s="4"/>
      <c r="Q21" s="4"/>
      <c r="R21" s="3"/>
      <c r="S21" s="10"/>
      <c r="T21" s="4"/>
      <c r="U21" s="8"/>
      <c r="V21" s="8"/>
    </row>
    <row r="22" spans="1:22" x14ac:dyDescent="0.25">
      <c r="A22" s="3" t="s">
        <v>20</v>
      </c>
      <c r="B22" s="8">
        <v>30977188194.690002</v>
      </c>
      <c r="C22" s="11">
        <v>18521781.34</v>
      </c>
      <c r="D22" s="4" t="s">
        <v>30</v>
      </c>
      <c r="E22" s="11">
        <v>0</v>
      </c>
      <c r="F22" s="4" t="s">
        <v>30</v>
      </c>
      <c r="G22" s="11"/>
      <c r="H22" s="33"/>
      <c r="I22" s="10"/>
      <c r="J22" s="10">
        <v>0</v>
      </c>
      <c r="K22" s="10">
        <v>22399950.16</v>
      </c>
      <c r="L22" s="10">
        <f>190491687.47+181875572.4</f>
        <v>372367259.87</v>
      </c>
      <c r="M22" s="4"/>
      <c r="N22" s="4"/>
      <c r="O22" s="4"/>
      <c r="P22" s="4"/>
      <c r="Q22" s="4"/>
      <c r="R22" s="3"/>
      <c r="S22" s="10"/>
      <c r="T22" s="4"/>
      <c r="U22" s="8"/>
      <c r="V22" s="8"/>
    </row>
    <row r="23" spans="1:22" x14ac:dyDescent="0.25">
      <c r="A23" s="3" t="s">
        <v>21</v>
      </c>
      <c r="B23" s="8">
        <v>21864617822.580002</v>
      </c>
      <c r="C23" s="11">
        <v>159954366.11000001</v>
      </c>
      <c r="D23" s="4" t="s">
        <v>30</v>
      </c>
      <c r="E23" s="11">
        <v>0</v>
      </c>
      <c r="F23" s="4" t="s">
        <v>30</v>
      </c>
      <c r="G23" s="11"/>
      <c r="H23" s="33"/>
      <c r="I23" s="10"/>
      <c r="J23" s="10">
        <v>0</v>
      </c>
      <c r="K23" s="10">
        <v>48479283.560000002</v>
      </c>
      <c r="L23" s="10">
        <f>127896309.53+100574604.91</f>
        <v>228470914.44</v>
      </c>
      <c r="M23" s="4"/>
      <c r="N23" s="4"/>
      <c r="O23" s="4"/>
      <c r="P23" s="4"/>
      <c r="Q23" s="4"/>
      <c r="R23" s="3"/>
      <c r="S23" s="10"/>
      <c r="T23" s="4"/>
      <c r="U23" s="8"/>
      <c r="V23" s="8"/>
    </row>
    <row r="24" spans="1:22" x14ac:dyDescent="0.25">
      <c r="A24" s="3" t="s">
        <v>22</v>
      </c>
      <c r="B24" s="8">
        <v>23115926609.349998</v>
      </c>
      <c r="C24" s="11">
        <v>34324583.890000001</v>
      </c>
      <c r="D24" s="4" t="s">
        <v>30</v>
      </c>
      <c r="E24" s="11">
        <v>0</v>
      </c>
      <c r="F24" s="4" t="s">
        <v>30</v>
      </c>
      <c r="G24" s="11"/>
      <c r="H24" s="33"/>
      <c r="I24" s="10"/>
      <c r="J24" s="10">
        <v>0</v>
      </c>
      <c r="K24" s="10">
        <v>58890559.920000002</v>
      </c>
      <c r="L24" s="10">
        <f>118071573.31+130057797.16</f>
        <v>248129370.47</v>
      </c>
      <c r="M24" s="4"/>
      <c r="N24" s="4"/>
      <c r="O24" s="4"/>
      <c r="P24" s="4"/>
      <c r="Q24" s="4"/>
      <c r="R24" s="3"/>
      <c r="S24" s="10"/>
      <c r="T24" s="4"/>
      <c r="U24" s="8"/>
      <c r="V24" s="8"/>
    </row>
    <row r="25" spans="1:22" x14ac:dyDescent="0.25">
      <c r="A25" s="3" t="s">
        <v>23</v>
      </c>
      <c r="B25" s="8">
        <v>20535934089.09</v>
      </c>
      <c r="C25" s="11">
        <v>0</v>
      </c>
      <c r="D25" s="4" t="s">
        <v>30</v>
      </c>
      <c r="E25" s="11">
        <v>337579656.23000002</v>
      </c>
      <c r="F25" s="4" t="s">
        <v>30</v>
      </c>
      <c r="G25" s="11"/>
      <c r="H25" s="33"/>
      <c r="I25" s="10"/>
      <c r="J25" s="10">
        <v>0</v>
      </c>
      <c r="K25" s="10">
        <v>84571907.260000005</v>
      </c>
      <c r="L25" s="10">
        <f>101101468.93+109358484.88</f>
        <v>210459953.81</v>
      </c>
      <c r="M25" s="4"/>
      <c r="N25" s="4"/>
      <c r="O25" s="4"/>
      <c r="P25" s="4"/>
      <c r="Q25" s="4"/>
      <c r="R25" s="3"/>
      <c r="S25" s="10"/>
      <c r="T25" s="4"/>
      <c r="U25" s="8"/>
      <c r="V25" s="8"/>
    </row>
    <row r="26" spans="1:22" x14ac:dyDescent="0.25">
      <c r="A26" s="3" t="s">
        <v>24</v>
      </c>
      <c r="B26" s="8">
        <v>23585768959.080002</v>
      </c>
      <c r="C26" s="11">
        <v>0</v>
      </c>
      <c r="D26" s="4" t="s">
        <v>30</v>
      </c>
      <c r="E26" s="11">
        <v>876463207.24000001</v>
      </c>
      <c r="F26" s="4" t="s">
        <v>30</v>
      </c>
      <c r="G26" s="11"/>
      <c r="H26" s="33"/>
      <c r="I26" s="10"/>
      <c r="J26" s="10">
        <v>0</v>
      </c>
      <c r="K26" s="10">
        <v>31180170.920000002</v>
      </c>
      <c r="L26" s="10">
        <f>96000856+108263704.54</f>
        <v>204264560.54000002</v>
      </c>
      <c r="M26" s="4"/>
      <c r="N26" s="4"/>
      <c r="O26" s="4"/>
      <c r="P26" s="4"/>
      <c r="Q26" s="4"/>
      <c r="R26" s="3"/>
      <c r="S26" s="10"/>
      <c r="T26" s="4"/>
      <c r="U26" s="8"/>
      <c r="V26" s="8"/>
    </row>
    <row r="27" spans="1:22" x14ac:dyDescent="0.25">
      <c r="A27" s="3" t="s">
        <v>25</v>
      </c>
      <c r="B27" s="8">
        <v>24327400746.940002</v>
      </c>
      <c r="C27" s="11">
        <v>0</v>
      </c>
      <c r="D27" s="4" t="s">
        <v>30</v>
      </c>
      <c r="E27" s="11">
        <v>1378095864.55</v>
      </c>
      <c r="F27" s="4" t="s">
        <v>30</v>
      </c>
      <c r="G27" s="11"/>
      <c r="H27" s="33"/>
      <c r="I27" s="10"/>
      <c r="J27" s="10">
        <v>0</v>
      </c>
      <c r="K27" s="10">
        <v>65080000</v>
      </c>
      <c r="L27" s="10">
        <f>127593985.04+109485545.21</f>
        <v>237079530.25</v>
      </c>
      <c r="M27" s="4"/>
      <c r="N27" s="4"/>
      <c r="O27" s="4"/>
      <c r="P27" s="4"/>
      <c r="Q27" s="30"/>
      <c r="R27" s="3"/>
      <c r="S27" s="10"/>
      <c r="T27" s="4"/>
      <c r="U27" s="8"/>
      <c r="V27" s="8"/>
    </row>
    <row r="28" spans="1:22" s="67" customFormat="1" x14ac:dyDescent="0.25">
      <c r="A28" s="61" t="s">
        <v>776</v>
      </c>
      <c r="B28" s="62">
        <f>SUM(B19:B27)</f>
        <v>219056445714.47998</v>
      </c>
      <c r="C28" s="63">
        <v>0</v>
      </c>
      <c r="D28" s="64" t="s">
        <v>30</v>
      </c>
      <c r="E28" s="63">
        <f>+E27</f>
        <v>1378095864.55</v>
      </c>
      <c r="F28" s="64" t="s">
        <v>30</v>
      </c>
      <c r="G28" s="63"/>
      <c r="H28" s="65"/>
      <c r="I28" s="63"/>
      <c r="J28" s="63">
        <v>0</v>
      </c>
      <c r="K28" s="63">
        <f>SUM(K19:K27)</f>
        <v>357790672.68000001</v>
      </c>
      <c r="L28" s="63">
        <f>SUM(L19:L27)</f>
        <v>2106646964.3</v>
      </c>
      <c r="M28" s="64"/>
      <c r="N28" s="64"/>
      <c r="O28" s="64"/>
      <c r="P28" s="64"/>
      <c r="Q28" s="66"/>
      <c r="R28" s="61"/>
      <c r="S28" s="63"/>
      <c r="T28" s="64"/>
      <c r="U28" s="62"/>
      <c r="V28" s="62"/>
    </row>
    <row r="29" spans="1:22" s="67" customFormat="1" x14ac:dyDescent="0.25">
      <c r="A29" s="61" t="s">
        <v>777</v>
      </c>
      <c r="B29" s="62">
        <f>+B28/1000000</f>
        <v>219056.44571447998</v>
      </c>
      <c r="C29" s="63">
        <v>0</v>
      </c>
      <c r="D29" s="64" t="s">
        <v>30</v>
      </c>
      <c r="E29" s="63">
        <f>+E28/1000000</f>
        <v>1378.09586455</v>
      </c>
      <c r="F29" s="64" t="s">
        <v>30</v>
      </c>
      <c r="G29" s="63"/>
      <c r="H29" s="65"/>
      <c r="I29" s="63"/>
      <c r="J29" s="63">
        <v>0</v>
      </c>
      <c r="K29" s="63">
        <f>+K28/1000000</f>
        <v>357.79067268</v>
      </c>
      <c r="L29" s="63">
        <f>+L28/1000000</f>
        <v>2106.6469643</v>
      </c>
      <c r="M29" s="64"/>
      <c r="N29" s="64"/>
      <c r="O29" s="64"/>
      <c r="P29" s="64"/>
      <c r="Q29" s="66"/>
      <c r="R29" s="61"/>
      <c r="S29" s="63"/>
      <c r="T29" s="64"/>
      <c r="U29" s="62"/>
      <c r="V29" s="62"/>
    </row>
    <row r="30" spans="1:22" x14ac:dyDescent="0.25">
      <c r="A30" s="3" t="s">
        <v>26</v>
      </c>
      <c r="B30" s="8">
        <f>11646.44+9930.49</f>
        <v>21576.93</v>
      </c>
      <c r="C30" s="11">
        <v>0</v>
      </c>
      <c r="D30" s="14" t="s">
        <v>30</v>
      </c>
      <c r="E30" s="11">
        <v>1964.98</v>
      </c>
      <c r="F30" s="4" t="s">
        <v>30</v>
      </c>
      <c r="G30" s="11"/>
      <c r="H30" s="33"/>
      <c r="I30" s="10">
        <v>0</v>
      </c>
      <c r="J30" s="10">
        <v>0</v>
      </c>
      <c r="K30" s="10">
        <v>37.92</v>
      </c>
      <c r="L30" s="10">
        <f>133.78+116.46</f>
        <v>250.24</v>
      </c>
      <c r="M30" s="4"/>
      <c r="N30" s="4"/>
      <c r="O30" s="4"/>
      <c r="P30" s="4"/>
      <c r="Q30" s="4"/>
      <c r="R30" s="3"/>
      <c r="S30" s="10"/>
      <c r="T30" s="4"/>
      <c r="U30" s="8"/>
      <c r="V30" s="8"/>
    </row>
    <row r="31" spans="1:22" x14ac:dyDescent="0.25">
      <c r="A31" s="3" t="s">
        <v>27</v>
      </c>
      <c r="B31" s="8">
        <f>9969.04+4772.46</f>
        <v>14741.5</v>
      </c>
      <c r="C31" s="10">
        <v>0</v>
      </c>
      <c r="D31" s="4" t="s">
        <v>30</v>
      </c>
      <c r="E31" s="10">
        <v>2422.39</v>
      </c>
      <c r="F31" s="4" t="s">
        <v>30</v>
      </c>
      <c r="G31" s="10"/>
      <c r="H31" s="10"/>
      <c r="I31" s="10">
        <v>0</v>
      </c>
      <c r="J31" s="10">
        <v>0</v>
      </c>
      <c r="K31" s="10">
        <v>29.81</v>
      </c>
      <c r="L31" s="10">
        <f>99.3+99.69</f>
        <v>198.99</v>
      </c>
      <c r="M31" s="4"/>
      <c r="N31" s="4"/>
      <c r="O31" s="4"/>
      <c r="P31" s="4"/>
      <c r="Q31" s="4"/>
      <c r="R31" s="3"/>
      <c r="S31" s="10"/>
      <c r="T31" s="4"/>
      <c r="U31" s="8"/>
      <c r="V31" s="8"/>
    </row>
    <row r="32" spans="1:22" s="15" customFormat="1" x14ac:dyDescent="0.25">
      <c r="A32" s="3" t="s">
        <v>28</v>
      </c>
      <c r="B32" s="13">
        <f>3112.42+3484.54</f>
        <v>6596.96</v>
      </c>
      <c r="C32" s="11">
        <v>0</v>
      </c>
      <c r="D32" s="14" t="s">
        <v>30</v>
      </c>
      <c r="E32" s="11">
        <v>2662.57</v>
      </c>
      <c r="F32" s="4" t="s">
        <v>30</v>
      </c>
      <c r="G32" s="11"/>
      <c r="H32" s="11">
        <v>134.76</v>
      </c>
      <c r="I32" s="11">
        <v>0</v>
      </c>
      <c r="J32" s="10">
        <v>0</v>
      </c>
      <c r="K32" s="11">
        <v>38.15</v>
      </c>
      <c r="L32" s="10">
        <f>47.72+31.12</f>
        <v>78.84</v>
      </c>
      <c r="M32" s="14"/>
      <c r="N32" s="14"/>
      <c r="O32" s="14"/>
      <c r="P32" s="14"/>
      <c r="Q32" s="14"/>
      <c r="R32" s="12"/>
      <c r="S32" s="10"/>
      <c r="T32" s="14"/>
      <c r="U32" s="13"/>
      <c r="V32" s="13"/>
    </row>
    <row r="33" spans="1:22" s="39" customFormat="1" x14ac:dyDescent="0.25">
      <c r="A33" s="34" t="s">
        <v>34</v>
      </c>
      <c r="B33" s="35">
        <f>SUM(B29:B32)</f>
        <v>261971.83571447997</v>
      </c>
      <c r="C33" s="36"/>
      <c r="D33" s="37"/>
      <c r="E33" s="36">
        <f>+E32</f>
        <v>2662.57</v>
      </c>
      <c r="F33" s="37"/>
      <c r="G33" s="36"/>
      <c r="H33" s="36">
        <f>+H32</f>
        <v>134.76</v>
      </c>
      <c r="I33" s="36">
        <f>SUM(I19:I32)</f>
        <v>0</v>
      </c>
      <c r="J33" s="36">
        <f>SUM(J19:J32)</f>
        <v>0</v>
      </c>
      <c r="K33" s="36">
        <f>SUM(K29:K32)</f>
        <v>463.67067268</v>
      </c>
      <c r="L33" s="36">
        <f>SUM(L29:L32)</f>
        <v>2634.7169642999997</v>
      </c>
      <c r="M33" s="37"/>
      <c r="N33" s="37"/>
      <c r="O33" s="37"/>
      <c r="P33" s="37"/>
      <c r="Q33" s="37"/>
      <c r="R33" s="34"/>
      <c r="S33" s="38" t="s">
        <v>33</v>
      </c>
      <c r="T33" s="37"/>
      <c r="U33" s="35"/>
      <c r="V33" s="35"/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opLeftCell="A15" workbookViewId="0">
      <pane xSplit="1" topLeftCell="B1" activePane="topRight" state="frozen"/>
      <selection pane="topRight" activeCell="G21" sqref="G21"/>
    </sheetView>
  </sheetViews>
  <sheetFormatPr baseColWidth="10" defaultRowHeight="15" x14ac:dyDescent="0.25"/>
  <cols>
    <col min="1" max="1" width="13.42578125" bestFit="1" customWidth="1"/>
    <col min="2" max="2" width="17.42578125" bestFit="1" customWidth="1"/>
    <col min="3" max="3" width="12.7109375" style="16" bestFit="1" customWidth="1"/>
    <col min="4" max="4" width="10" bestFit="1" customWidth="1"/>
    <col min="5" max="5" width="13.7109375" bestFit="1" customWidth="1"/>
    <col min="7" max="7" width="13.5703125" customWidth="1"/>
    <col min="8" max="8" width="15.85546875" bestFit="1" customWidth="1"/>
    <col min="9" max="9" width="12.7109375" bestFit="1" customWidth="1"/>
    <col min="10" max="10" width="11.5703125" bestFit="1" customWidth="1"/>
    <col min="11" max="11" width="13.7109375" bestFit="1" customWidth="1"/>
    <col min="12" max="12" width="12.7109375" hidden="1" customWidth="1"/>
    <col min="13" max="13" width="15.28515625" bestFit="1" customWidth="1"/>
    <col min="20" max="20" width="12.85546875" bestFit="1" customWidth="1"/>
    <col min="22" max="22" width="13.7109375" bestFit="1" customWidth="1"/>
    <col min="23" max="23" width="12.7109375" bestFit="1" customWidth="1"/>
  </cols>
  <sheetData>
    <row r="1" spans="1:23" s="1" customFormat="1" ht="45" x14ac:dyDescent="0.25">
      <c r="A1" s="2" t="s">
        <v>29</v>
      </c>
      <c r="B1" s="2" t="s">
        <v>0</v>
      </c>
      <c r="C1" s="19" t="s">
        <v>3</v>
      </c>
      <c r="D1" s="2" t="s">
        <v>1</v>
      </c>
      <c r="E1" s="2" t="s">
        <v>4</v>
      </c>
      <c r="F1" s="2" t="s">
        <v>10</v>
      </c>
      <c r="G1" s="2" t="s">
        <v>2</v>
      </c>
      <c r="H1" s="2" t="s">
        <v>5</v>
      </c>
      <c r="I1" s="2" t="s">
        <v>6</v>
      </c>
      <c r="J1" s="2" t="s">
        <v>41</v>
      </c>
      <c r="K1" s="2" t="s">
        <v>42</v>
      </c>
      <c r="L1" s="2" t="s">
        <v>40</v>
      </c>
      <c r="M1" s="2" t="s">
        <v>43</v>
      </c>
      <c r="N1" s="2" t="s">
        <v>11</v>
      </c>
      <c r="O1" s="2" t="s">
        <v>12</v>
      </c>
      <c r="P1" s="2" t="s">
        <v>35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45</v>
      </c>
      <c r="V1" s="2" t="s">
        <v>58</v>
      </c>
      <c r="W1" s="2" t="s">
        <v>44</v>
      </c>
    </row>
    <row r="2" spans="1:23" x14ac:dyDescent="0.25">
      <c r="A2" s="3" t="s">
        <v>17</v>
      </c>
      <c r="B2" s="13">
        <v>4952200</v>
      </c>
      <c r="C2" s="10">
        <v>0</v>
      </c>
      <c r="D2" s="4" t="s">
        <v>30</v>
      </c>
      <c r="E2" s="10">
        <v>0</v>
      </c>
      <c r="F2" s="4" t="s">
        <v>33</v>
      </c>
      <c r="G2" s="11">
        <v>0</v>
      </c>
      <c r="H2" s="33">
        <v>0</v>
      </c>
      <c r="I2" s="10">
        <v>46675</v>
      </c>
      <c r="J2" s="10">
        <v>0</v>
      </c>
      <c r="K2" s="10">
        <v>10344.82</v>
      </c>
      <c r="L2" s="10">
        <v>0</v>
      </c>
      <c r="M2" s="10">
        <v>0</v>
      </c>
      <c r="N2" s="4"/>
      <c r="O2" s="4"/>
      <c r="P2" s="4"/>
      <c r="Q2" s="32"/>
      <c r="R2" s="4"/>
      <c r="S2" s="3"/>
      <c r="T2" s="10" t="s">
        <v>33</v>
      </c>
      <c r="U2" s="4" t="s">
        <v>30</v>
      </c>
      <c r="V2" s="8"/>
      <c r="W2" s="10"/>
    </row>
    <row r="3" spans="1:23" x14ac:dyDescent="0.25">
      <c r="A3" s="3" t="s">
        <v>18</v>
      </c>
      <c r="B3" s="16">
        <v>3213000</v>
      </c>
      <c r="C3" s="11">
        <v>0</v>
      </c>
      <c r="D3" s="4" t="s">
        <v>30</v>
      </c>
      <c r="E3" s="10">
        <v>0</v>
      </c>
      <c r="F3" s="4" t="s">
        <v>33</v>
      </c>
      <c r="G3" s="11">
        <v>0</v>
      </c>
      <c r="H3" s="33">
        <v>0</v>
      </c>
      <c r="I3" s="10">
        <v>107385.5</v>
      </c>
      <c r="J3" s="10">
        <v>0</v>
      </c>
      <c r="K3" s="10">
        <v>0</v>
      </c>
      <c r="L3" s="10">
        <v>0</v>
      </c>
      <c r="M3" s="10">
        <v>0</v>
      </c>
      <c r="N3" s="4"/>
      <c r="O3" s="4"/>
      <c r="P3" s="4"/>
      <c r="Q3" s="32"/>
      <c r="R3" s="4"/>
      <c r="S3" s="3"/>
      <c r="T3" s="10" t="s">
        <v>33</v>
      </c>
      <c r="U3" s="4" t="s">
        <v>30</v>
      </c>
      <c r="V3" s="8"/>
      <c r="W3" s="8"/>
    </row>
    <row r="4" spans="1:23" x14ac:dyDescent="0.25">
      <c r="A4" s="3" t="s">
        <v>19</v>
      </c>
      <c r="B4" s="8">
        <v>723700</v>
      </c>
      <c r="C4" s="11">
        <v>0</v>
      </c>
      <c r="D4" s="14" t="s">
        <v>30</v>
      </c>
      <c r="E4" s="11">
        <v>0</v>
      </c>
      <c r="F4" s="4" t="s">
        <v>33</v>
      </c>
      <c r="G4" s="11">
        <v>0</v>
      </c>
      <c r="H4" s="33">
        <v>0</v>
      </c>
      <c r="I4" s="10">
        <v>188875</v>
      </c>
      <c r="J4" s="10">
        <v>0</v>
      </c>
      <c r="K4" s="10">
        <v>0</v>
      </c>
      <c r="L4" s="10">
        <v>0</v>
      </c>
      <c r="M4" s="10">
        <v>0</v>
      </c>
      <c r="N4" s="4"/>
      <c r="O4" s="4"/>
      <c r="P4" s="4"/>
      <c r="Q4" s="4"/>
      <c r="R4" s="4"/>
      <c r="S4" s="3"/>
      <c r="T4" s="10" t="s">
        <v>33</v>
      </c>
      <c r="U4" s="4" t="s">
        <v>30</v>
      </c>
      <c r="V4" s="8"/>
      <c r="W4" s="8"/>
    </row>
    <row r="5" spans="1:23" x14ac:dyDescent="0.25">
      <c r="A5" s="3" t="s">
        <v>20</v>
      </c>
      <c r="B5" s="8">
        <v>9088000</v>
      </c>
      <c r="C5" s="11">
        <v>0</v>
      </c>
      <c r="D5" s="14" t="s">
        <v>30</v>
      </c>
      <c r="E5" s="11">
        <v>0</v>
      </c>
      <c r="F5" s="4" t="s">
        <v>33</v>
      </c>
      <c r="G5" s="11">
        <v>0</v>
      </c>
      <c r="H5" s="33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4"/>
      <c r="O5" s="4"/>
      <c r="P5" s="4"/>
      <c r="Q5" s="4"/>
      <c r="R5" s="4"/>
      <c r="S5" s="3"/>
      <c r="T5" s="10" t="s">
        <v>33</v>
      </c>
      <c r="U5" s="4" t="s">
        <v>30</v>
      </c>
      <c r="V5" s="8"/>
      <c r="W5" s="8"/>
    </row>
    <row r="6" spans="1:23" x14ac:dyDescent="0.25">
      <c r="A6" s="3" t="s">
        <v>21</v>
      </c>
      <c r="B6" s="8">
        <v>2470000</v>
      </c>
      <c r="C6" s="11">
        <v>0</v>
      </c>
      <c r="D6" s="14" t="s">
        <v>30</v>
      </c>
      <c r="E6" s="11">
        <v>0</v>
      </c>
      <c r="F6" s="4" t="s">
        <v>33</v>
      </c>
      <c r="G6" s="11">
        <v>0</v>
      </c>
      <c r="H6" s="33">
        <v>0</v>
      </c>
      <c r="I6" s="10">
        <v>357557.99</v>
      </c>
      <c r="J6" s="10">
        <v>0</v>
      </c>
      <c r="K6" s="10">
        <v>0</v>
      </c>
      <c r="L6" s="10">
        <v>0</v>
      </c>
      <c r="M6" s="10">
        <v>0</v>
      </c>
      <c r="N6" s="4"/>
      <c r="O6" s="4"/>
      <c r="P6" s="4"/>
      <c r="Q6" s="4"/>
      <c r="R6" s="4"/>
      <c r="S6" s="3"/>
      <c r="T6" s="10" t="s">
        <v>33</v>
      </c>
      <c r="U6" s="4" t="s">
        <v>30</v>
      </c>
      <c r="V6" s="8"/>
      <c r="W6" s="8"/>
    </row>
    <row r="7" spans="1:23" x14ac:dyDescent="0.25">
      <c r="A7" s="3" t="s">
        <v>22</v>
      </c>
      <c r="B7" s="8">
        <v>14445000</v>
      </c>
      <c r="C7" s="11">
        <v>0</v>
      </c>
      <c r="D7" s="14" t="s">
        <v>30</v>
      </c>
      <c r="E7" s="11">
        <v>0</v>
      </c>
      <c r="F7" s="4" t="s">
        <v>33</v>
      </c>
      <c r="G7" s="11">
        <v>0</v>
      </c>
      <c r="H7" s="33">
        <v>0</v>
      </c>
      <c r="I7" s="10">
        <v>222630</v>
      </c>
      <c r="J7" s="10">
        <v>0</v>
      </c>
      <c r="K7" s="10">
        <v>255172.4</v>
      </c>
      <c r="L7" s="10">
        <v>0</v>
      </c>
      <c r="M7" s="10">
        <v>0</v>
      </c>
      <c r="N7" s="4"/>
      <c r="O7" s="4"/>
      <c r="P7" s="4"/>
      <c r="Q7" s="4"/>
      <c r="R7" s="4"/>
      <c r="S7" s="3"/>
      <c r="T7" s="10" t="s">
        <v>33</v>
      </c>
      <c r="U7" s="4" t="s">
        <v>30</v>
      </c>
      <c r="V7" s="8"/>
      <c r="W7" s="8"/>
    </row>
    <row r="8" spans="1:23" x14ac:dyDescent="0.25">
      <c r="A8" s="3" t="s">
        <v>23</v>
      </c>
      <c r="B8" s="8">
        <v>0</v>
      </c>
      <c r="C8" s="11">
        <v>0</v>
      </c>
      <c r="D8" s="14" t="s">
        <v>30</v>
      </c>
      <c r="E8" s="11">
        <v>0</v>
      </c>
      <c r="F8" s="4" t="s">
        <v>33</v>
      </c>
      <c r="G8" s="11">
        <v>0</v>
      </c>
      <c r="H8" s="33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4"/>
      <c r="O8" s="4"/>
      <c r="P8" s="4"/>
      <c r="Q8" s="4"/>
      <c r="R8" s="4"/>
      <c r="S8" s="3"/>
      <c r="T8" s="10" t="s">
        <v>33</v>
      </c>
      <c r="U8" s="4" t="s">
        <v>30</v>
      </c>
      <c r="V8" s="8"/>
      <c r="W8" s="8"/>
    </row>
    <row r="9" spans="1:23" x14ac:dyDescent="0.25">
      <c r="A9" s="3" t="s">
        <v>24</v>
      </c>
      <c r="B9" s="8">
        <v>0</v>
      </c>
      <c r="C9" s="11">
        <v>0</v>
      </c>
      <c r="D9" s="14" t="s">
        <v>30</v>
      </c>
      <c r="E9" s="11">
        <v>0</v>
      </c>
      <c r="F9" s="4" t="s">
        <v>33</v>
      </c>
      <c r="G9" s="11">
        <v>0</v>
      </c>
      <c r="H9" s="33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4"/>
      <c r="O9" s="4"/>
      <c r="P9" s="4"/>
      <c r="Q9" s="4"/>
      <c r="R9" s="4"/>
      <c r="S9" s="3"/>
      <c r="T9" s="10" t="s">
        <v>33</v>
      </c>
      <c r="U9" s="4" t="s">
        <v>30</v>
      </c>
      <c r="V9" s="8"/>
      <c r="W9" s="8"/>
    </row>
    <row r="10" spans="1:23" x14ac:dyDescent="0.25">
      <c r="A10" s="3" t="s">
        <v>25</v>
      </c>
      <c r="B10" s="8">
        <v>26120000</v>
      </c>
      <c r="C10" s="11">
        <v>0</v>
      </c>
      <c r="D10" s="14" t="s">
        <v>30</v>
      </c>
      <c r="E10" s="11">
        <v>0</v>
      </c>
      <c r="F10" s="4" t="s">
        <v>33</v>
      </c>
      <c r="G10" s="11">
        <v>0</v>
      </c>
      <c r="H10" s="33">
        <v>0</v>
      </c>
      <c r="I10" s="10">
        <v>342654.02</v>
      </c>
      <c r="J10" s="10">
        <v>0</v>
      </c>
      <c r="K10" s="10">
        <v>0</v>
      </c>
      <c r="L10" s="10">
        <v>0</v>
      </c>
      <c r="M10" s="10">
        <v>0</v>
      </c>
      <c r="N10" s="4"/>
      <c r="O10" s="4"/>
      <c r="P10" s="4"/>
      <c r="Q10" s="4"/>
      <c r="R10" s="30"/>
      <c r="S10" s="3"/>
      <c r="T10" s="10" t="s">
        <v>33</v>
      </c>
      <c r="U10" s="4" t="s">
        <v>30</v>
      </c>
      <c r="V10" s="8"/>
      <c r="W10" s="8"/>
    </row>
    <row r="11" spans="1:23" x14ac:dyDescent="0.25">
      <c r="A11" s="3" t="s">
        <v>26</v>
      </c>
      <c r="B11" s="8">
        <v>5388000</v>
      </c>
      <c r="C11" s="11">
        <v>0</v>
      </c>
      <c r="D11" s="14" t="s">
        <v>30</v>
      </c>
      <c r="E11" s="11">
        <v>0</v>
      </c>
      <c r="F11" s="4" t="s">
        <v>33</v>
      </c>
      <c r="G11" s="11">
        <v>0</v>
      </c>
      <c r="H11" s="33">
        <v>0</v>
      </c>
      <c r="I11" s="10">
        <v>260683.7</v>
      </c>
      <c r="J11" s="10">
        <v>0</v>
      </c>
      <c r="K11" s="10">
        <v>0</v>
      </c>
      <c r="L11" s="10">
        <v>0</v>
      </c>
      <c r="M11" s="10">
        <v>0</v>
      </c>
      <c r="N11" s="4"/>
      <c r="O11" s="4"/>
      <c r="P11" s="4"/>
      <c r="Q11" s="4"/>
      <c r="R11" s="4"/>
      <c r="S11" s="3"/>
      <c r="T11" s="10" t="s">
        <v>33</v>
      </c>
      <c r="U11" s="4" t="s">
        <v>30</v>
      </c>
      <c r="V11" s="8">
        <v>755.92</v>
      </c>
      <c r="W11" s="8">
        <v>670555.75</v>
      </c>
    </row>
    <row r="12" spans="1:23" x14ac:dyDescent="0.25">
      <c r="A12" s="3" t="s">
        <v>27</v>
      </c>
      <c r="B12" s="8">
        <v>0</v>
      </c>
      <c r="C12" s="10">
        <v>0</v>
      </c>
      <c r="D12" s="4" t="s">
        <v>30</v>
      </c>
      <c r="E12" s="10">
        <v>0</v>
      </c>
      <c r="F12" s="4" t="s">
        <v>33</v>
      </c>
      <c r="G12" s="10">
        <v>0</v>
      </c>
      <c r="H12" s="10">
        <v>1143317.17</v>
      </c>
      <c r="I12" s="10">
        <v>167234.99</v>
      </c>
      <c r="J12" s="10">
        <v>0</v>
      </c>
      <c r="K12" s="10">
        <v>0</v>
      </c>
      <c r="L12" s="10">
        <v>0</v>
      </c>
      <c r="M12" s="10">
        <v>0</v>
      </c>
      <c r="N12" s="4"/>
      <c r="O12" s="4"/>
      <c r="P12" s="4"/>
      <c r="Q12" s="4"/>
      <c r="R12" s="4"/>
      <c r="S12" s="3"/>
      <c r="T12" s="10" t="s">
        <v>33</v>
      </c>
      <c r="U12" s="4" t="s">
        <v>30</v>
      </c>
      <c r="V12" s="8">
        <v>755.92</v>
      </c>
      <c r="W12" s="8">
        <v>349401.35</v>
      </c>
    </row>
    <row r="13" spans="1:23" s="15" customFormat="1" x14ac:dyDescent="0.25">
      <c r="A13" s="3" t="s">
        <v>28</v>
      </c>
      <c r="B13" s="13">
        <v>0</v>
      </c>
      <c r="C13" s="11">
        <v>0</v>
      </c>
      <c r="D13" s="14" t="s">
        <v>30</v>
      </c>
      <c r="E13" s="11">
        <v>0</v>
      </c>
      <c r="F13" s="4" t="s">
        <v>33</v>
      </c>
      <c r="G13" s="11">
        <v>41730905.810000002</v>
      </c>
      <c r="H13" s="11">
        <v>6882829.8200000003</v>
      </c>
      <c r="I13" s="13">
        <v>1286780.5900000001</v>
      </c>
      <c r="J13" s="10">
        <v>0</v>
      </c>
      <c r="K13" s="11">
        <v>0</v>
      </c>
      <c r="L13" s="10">
        <v>0</v>
      </c>
      <c r="M13" s="10">
        <v>670124</v>
      </c>
      <c r="N13" s="14"/>
      <c r="O13" s="14"/>
      <c r="P13" s="14"/>
      <c r="Q13" s="14"/>
      <c r="R13" s="14"/>
      <c r="S13" s="12"/>
      <c r="T13" s="10" t="s">
        <v>33</v>
      </c>
      <c r="U13" s="14" t="s">
        <v>30</v>
      </c>
      <c r="V13" s="13">
        <v>755.92</v>
      </c>
      <c r="W13" s="13">
        <v>873498.49</v>
      </c>
    </row>
    <row r="14" spans="1:23" s="39" customFormat="1" x14ac:dyDescent="0.25">
      <c r="A14" s="34" t="s">
        <v>34</v>
      </c>
      <c r="B14" s="35">
        <f>SUM(B2:B13)</f>
        <v>66399900</v>
      </c>
      <c r="C14" s="36"/>
      <c r="D14" s="37"/>
      <c r="E14" s="36"/>
      <c r="F14" s="37"/>
      <c r="G14" s="36"/>
      <c r="H14" s="36"/>
      <c r="I14" s="36">
        <f>SUM(I2:I13)</f>
        <v>2980476.79</v>
      </c>
      <c r="J14" s="36">
        <f>SUM(J2:J13)</f>
        <v>0</v>
      </c>
      <c r="K14" s="36">
        <f>SUM(K2:K13)</f>
        <v>265517.21999999997</v>
      </c>
      <c r="L14" s="36">
        <f>SUM(L2:L13)</f>
        <v>0</v>
      </c>
      <c r="M14" s="36">
        <f>SUM(M2:M13)</f>
        <v>670124</v>
      </c>
      <c r="N14" s="37"/>
      <c r="O14" s="37"/>
      <c r="P14" s="37"/>
      <c r="Q14" s="37"/>
      <c r="R14" s="37"/>
      <c r="S14" s="34"/>
      <c r="T14" s="38" t="s">
        <v>33</v>
      </c>
      <c r="U14" s="37"/>
      <c r="V14" s="35"/>
      <c r="W14" s="35"/>
    </row>
    <row r="15" spans="1:23" x14ac:dyDescent="0.25">
      <c r="T15" s="16"/>
    </row>
    <row r="18" spans="1:23" s="1" customFormat="1" ht="45" x14ac:dyDescent="0.25">
      <c r="A18" s="2" t="s">
        <v>71</v>
      </c>
      <c r="B18" s="2" t="s">
        <v>0</v>
      </c>
      <c r="C18" s="19" t="s">
        <v>3</v>
      </c>
      <c r="D18" s="2" t="s">
        <v>1</v>
      </c>
      <c r="E18" s="2" t="s">
        <v>4</v>
      </c>
      <c r="F18" s="2" t="s">
        <v>10</v>
      </c>
      <c r="G18" s="2" t="s">
        <v>2</v>
      </c>
      <c r="H18" s="2" t="s">
        <v>5</v>
      </c>
      <c r="I18" s="2" t="s">
        <v>6</v>
      </c>
      <c r="J18" s="2" t="s">
        <v>41</v>
      </c>
      <c r="K18" s="2" t="s">
        <v>42</v>
      </c>
      <c r="L18" s="2" t="s">
        <v>40</v>
      </c>
      <c r="M18" s="2" t="s">
        <v>43</v>
      </c>
      <c r="N18" s="2" t="s">
        <v>11</v>
      </c>
      <c r="O18" s="2" t="s">
        <v>12</v>
      </c>
      <c r="P18" s="2" t="s">
        <v>35</v>
      </c>
      <c r="Q18" s="2" t="s">
        <v>13</v>
      </c>
      <c r="R18" s="2" t="s">
        <v>14</v>
      </c>
      <c r="S18" s="2" t="s">
        <v>15</v>
      </c>
      <c r="T18" s="2" t="s">
        <v>16</v>
      </c>
      <c r="U18" s="2" t="s">
        <v>45</v>
      </c>
      <c r="V18" s="2" t="s">
        <v>58</v>
      </c>
      <c r="W18" s="2" t="s">
        <v>44</v>
      </c>
    </row>
    <row r="19" spans="1:23" x14ac:dyDescent="0.25">
      <c r="A19" s="3" t="s">
        <v>17</v>
      </c>
      <c r="B19" s="13">
        <v>156323025</v>
      </c>
      <c r="C19" s="10">
        <v>0</v>
      </c>
      <c r="D19" s="4" t="s">
        <v>30</v>
      </c>
      <c r="E19" s="10">
        <v>0</v>
      </c>
      <c r="F19" s="4" t="s">
        <v>30</v>
      </c>
      <c r="G19" s="11" t="s">
        <v>30</v>
      </c>
      <c r="H19" s="33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4"/>
      <c r="O19" s="4"/>
      <c r="P19" s="4"/>
      <c r="Q19" s="32"/>
      <c r="R19" s="4"/>
      <c r="S19" s="3"/>
      <c r="T19" s="10" t="s">
        <v>33</v>
      </c>
      <c r="U19" s="4" t="s">
        <v>30</v>
      </c>
      <c r="V19" s="8">
        <v>755.92</v>
      </c>
      <c r="W19" s="10">
        <v>912817.38</v>
      </c>
    </row>
    <row r="20" spans="1:23" x14ac:dyDescent="0.25">
      <c r="A20" s="3" t="s">
        <v>18</v>
      </c>
      <c r="B20" s="16">
        <v>0</v>
      </c>
      <c r="C20" s="11">
        <v>0</v>
      </c>
      <c r="D20" s="4" t="s">
        <v>30</v>
      </c>
      <c r="E20" s="10">
        <v>0</v>
      </c>
      <c r="F20" s="4" t="s">
        <v>30</v>
      </c>
      <c r="G20" s="11" t="s">
        <v>30</v>
      </c>
      <c r="H20" s="33">
        <v>0</v>
      </c>
      <c r="I20" s="10">
        <v>1743725.54</v>
      </c>
      <c r="J20" s="10">
        <v>0</v>
      </c>
      <c r="K20" s="10">
        <v>0</v>
      </c>
      <c r="L20" s="10">
        <v>0</v>
      </c>
      <c r="M20" s="10">
        <v>1563230.25</v>
      </c>
      <c r="N20" s="4"/>
      <c r="O20" s="4"/>
      <c r="P20" s="4"/>
      <c r="Q20" s="32"/>
      <c r="R20" s="4"/>
      <c r="S20" s="3"/>
      <c r="T20" s="10" t="s">
        <v>33</v>
      </c>
      <c r="U20" s="4" t="s">
        <v>30</v>
      </c>
      <c r="V20" s="8">
        <v>902402.42</v>
      </c>
      <c r="W20" s="8">
        <v>938646.89</v>
      </c>
    </row>
    <row r="21" spans="1:23" x14ac:dyDescent="0.25">
      <c r="A21" s="3" t="s">
        <v>19</v>
      </c>
      <c r="B21" s="8">
        <v>38000000</v>
      </c>
      <c r="C21" s="11">
        <v>0</v>
      </c>
      <c r="D21" s="14" t="s">
        <v>30</v>
      </c>
      <c r="E21" s="11">
        <v>0</v>
      </c>
      <c r="F21" s="4" t="s">
        <v>30</v>
      </c>
      <c r="G21" s="11" t="s">
        <v>30</v>
      </c>
      <c r="H21" s="33">
        <v>0</v>
      </c>
      <c r="I21" s="10">
        <v>1115618.33</v>
      </c>
      <c r="J21" s="10">
        <v>0</v>
      </c>
      <c r="K21" s="10">
        <v>0</v>
      </c>
      <c r="L21" s="10">
        <v>0</v>
      </c>
      <c r="M21" s="10">
        <v>397900</v>
      </c>
      <c r="N21" s="4"/>
      <c r="O21" s="4"/>
      <c r="P21" s="4"/>
      <c r="Q21" s="4"/>
      <c r="R21" s="4"/>
      <c r="S21" s="3"/>
      <c r="T21" s="10" t="s">
        <v>33</v>
      </c>
      <c r="U21" s="4" t="s">
        <v>30</v>
      </c>
      <c r="V21" s="8">
        <v>882731.72</v>
      </c>
      <c r="W21" s="8">
        <v>195186.2</v>
      </c>
    </row>
    <row r="22" spans="1:23" x14ac:dyDescent="0.25">
      <c r="A22" s="3" t="s">
        <v>20</v>
      </c>
      <c r="B22" s="8">
        <v>656081019</v>
      </c>
      <c r="C22" s="11">
        <v>0</v>
      </c>
      <c r="D22" s="14" t="s">
        <v>30</v>
      </c>
      <c r="E22" s="11">
        <v>0</v>
      </c>
      <c r="F22" s="4" t="s">
        <v>30</v>
      </c>
      <c r="G22" s="11" t="s">
        <v>30</v>
      </c>
      <c r="H22" s="33">
        <v>0</v>
      </c>
      <c r="I22" s="51"/>
      <c r="J22" s="10">
        <v>0</v>
      </c>
      <c r="K22" s="10">
        <v>0</v>
      </c>
      <c r="L22" s="10">
        <v>0</v>
      </c>
      <c r="M22" s="10">
        <v>0</v>
      </c>
      <c r="N22" s="4"/>
      <c r="O22" s="4"/>
      <c r="P22" s="4"/>
      <c r="Q22" s="4"/>
      <c r="R22" s="4"/>
      <c r="S22" s="3"/>
      <c r="T22" s="10" t="s">
        <v>33</v>
      </c>
      <c r="U22" s="4" t="s">
        <v>30</v>
      </c>
      <c r="V22" s="8">
        <v>959618.04</v>
      </c>
      <c r="W22" s="8">
        <v>2809372.11</v>
      </c>
    </row>
    <row r="23" spans="1:23" x14ac:dyDescent="0.25">
      <c r="A23" s="3" t="s">
        <v>21</v>
      </c>
      <c r="B23" s="8">
        <v>1072293251</v>
      </c>
      <c r="C23" s="11">
        <v>0</v>
      </c>
      <c r="D23" s="14" t="s">
        <v>30</v>
      </c>
      <c r="E23" s="11">
        <v>0</v>
      </c>
      <c r="F23" s="4" t="s">
        <v>30</v>
      </c>
      <c r="G23" s="11" t="s">
        <v>30</v>
      </c>
      <c r="H23" s="33">
        <v>0</v>
      </c>
      <c r="I23" s="10">
        <v>1470623.17</v>
      </c>
      <c r="J23" s="10">
        <v>0</v>
      </c>
      <c r="K23" s="10">
        <v>0</v>
      </c>
      <c r="L23" s="10">
        <v>0</v>
      </c>
      <c r="M23" s="10">
        <v>8263225.1900000004</v>
      </c>
      <c r="N23" s="4"/>
      <c r="O23" s="4"/>
      <c r="P23" s="4"/>
      <c r="Q23" s="4"/>
      <c r="R23" s="4"/>
      <c r="S23" s="3"/>
      <c r="T23" s="10" t="s">
        <v>33</v>
      </c>
      <c r="U23" s="4" t="s">
        <v>30</v>
      </c>
      <c r="V23" s="8">
        <v>12107.31</v>
      </c>
      <c r="W23" s="8">
        <v>4457685.79</v>
      </c>
    </row>
    <row r="24" spans="1:23" x14ac:dyDescent="0.25">
      <c r="A24" s="3" t="s">
        <v>22</v>
      </c>
      <c r="B24" s="8">
        <v>0</v>
      </c>
      <c r="C24" s="11">
        <v>0</v>
      </c>
      <c r="D24" s="14" t="s">
        <v>30</v>
      </c>
      <c r="E24" s="11">
        <v>0</v>
      </c>
      <c r="F24" s="4" t="s">
        <v>30</v>
      </c>
      <c r="G24" s="11" t="s">
        <v>30</v>
      </c>
      <c r="H24" s="33">
        <v>9970452.9000000004</v>
      </c>
      <c r="I24" s="10">
        <v>1819459.88</v>
      </c>
      <c r="J24" s="10">
        <v>0</v>
      </c>
      <c r="K24" s="10">
        <v>0</v>
      </c>
      <c r="L24" s="10">
        <v>0</v>
      </c>
      <c r="M24" s="10">
        <v>9020517.5099999998</v>
      </c>
      <c r="N24" s="4"/>
      <c r="O24" s="4"/>
      <c r="P24" s="4"/>
      <c r="Q24" s="4"/>
      <c r="R24" s="4"/>
      <c r="S24" s="3"/>
      <c r="T24" s="10" t="s">
        <v>33</v>
      </c>
      <c r="U24" s="4" t="s">
        <v>30</v>
      </c>
      <c r="V24" s="8">
        <v>136615.57</v>
      </c>
      <c r="W24" s="8">
        <v>3528874.41</v>
      </c>
    </row>
    <row r="25" spans="1:23" x14ac:dyDescent="0.25">
      <c r="A25" s="3" t="s">
        <v>23</v>
      </c>
      <c r="B25" s="8">
        <v>195515100.80000001</v>
      </c>
      <c r="C25" s="11">
        <v>0</v>
      </c>
      <c r="D25" s="14" t="s">
        <v>30</v>
      </c>
      <c r="E25" s="11">
        <v>0</v>
      </c>
      <c r="F25" s="4" t="s">
        <v>30</v>
      </c>
      <c r="G25" s="11" t="s">
        <v>30</v>
      </c>
      <c r="H25" s="33">
        <v>10853286.109999999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4"/>
      <c r="O25" s="4"/>
      <c r="P25" s="4"/>
      <c r="Q25" s="4"/>
      <c r="R25" s="4"/>
      <c r="S25" s="3"/>
      <c r="T25" s="10" t="s">
        <v>33</v>
      </c>
      <c r="U25" s="4" t="s">
        <v>30</v>
      </c>
      <c r="V25" s="8">
        <v>10334.26</v>
      </c>
      <c r="W25" s="8">
        <v>14768806.99</v>
      </c>
    </row>
    <row r="26" spans="1:23" x14ac:dyDescent="0.25">
      <c r="A26" s="3" t="s">
        <v>24</v>
      </c>
      <c r="B26" s="8">
        <v>0</v>
      </c>
      <c r="C26" s="11">
        <v>0</v>
      </c>
      <c r="D26" s="14" t="s">
        <v>30</v>
      </c>
      <c r="E26" s="11">
        <v>0</v>
      </c>
      <c r="F26" s="4" t="s">
        <v>30</v>
      </c>
      <c r="G26" s="11" t="s">
        <v>30</v>
      </c>
      <c r="H26" s="33">
        <v>0</v>
      </c>
      <c r="I26" s="10">
        <v>0</v>
      </c>
      <c r="J26" s="10">
        <v>0</v>
      </c>
      <c r="K26" s="10">
        <v>0</v>
      </c>
      <c r="L26" s="10">
        <v>0</v>
      </c>
      <c r="M26" s="10">
        <v>1955151</v>
      </c>
      <c r="N26" s="4"/>
      <c r="O26" s="4"/>
      <c r="P26" s="4"/>
      <c r="Q26" s="4"/>
      <c r="R26" s="4"/>
      <c r="S26" s="3"/>
      <c r="T26" s="10" t="s">
        <v>33</v>
      </c>
      <c r="U26" s="4" t="s">
        <v>30</v>
      </c>
      <c r="V26" s="8">
        <v>10334.26</v>
      </c>
      <c r="W26" s="8">
        <v>7793925.9000000004</v>
      </c>
    </row>
    <row r="27" spans="1:23" x14ac:dyDescent="0.25">
      <c r="A27" s="3" t="s">
        <v>25</v>
      </c>
      <c r="B27" s="8">
        <v>40486130</v>
      </c>
      <c r="C27" s="11">
        <v>0</v>
      </c>
      <c r="D27" s="14" t="s">
        <v>30</v>
      </c>
      <c r="E27" s="11">
        <v>0</v>
      </c>
      <c r="F27" s="4" t="s">
        <v>30</v>
      </c>
      <c r="G27" s="11" t="s">
        <v>30</v>
      </c>
      <c r="H27" s="33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4"/>
      <c r="O27" s="4"/>
      <c r="P27" s="4"/>
      <c r="Q27" s="4"/>
      <c r="R27" s="30"/>
      <c r="S27" s="3"/>
      <c r="T27" s="10" t="s">
        <v>33</v>
      </c>
      <c r="U27" s="4" t="s">
        <v>30</v>
      </c>
      <c r="V27" s="8">
        <v>10334.26</v>
      </c>
      <c r="W27" s="8">
        <v>1395311.2</v>
      </c>
    </row>
    <row r="28" spans="1:23" s="67" customFormat="1" x14ac:dyDescent="0.25">
      <c r="A28" s="61" t="s">
        <v>776</v>
      </c>
      <c r="B28" s="62">
        <f>SUM(B19:B27)</f>
        <v>2158698525.8000002</v>
      </c>
      <c r="C28" s="63"/>
      <c r="D28" s="64"/>
      <c r="E28" s="63"/>
      <c r="F28" s="64"/>
      <c r="G28" s="63"/>
      <c r="H28" s="65"/>
      <c r="I28" s="63"/>
      <c r="J28" s="63"/>
      <c r="K28" s="63"/>
      <c r="L28" s="63"/>
      <c r="M28" s="63"/>
      <c r="N28" s="64"/>
      <c r="O28" s="64"/>
      <c r="P28" s="64"/>
      <c r="Q28" s="64"/>
      <c r="R28" s="66"/>
      <c r="S28" s="61"/>
      <c r="T28" s="63"/>
      <c r="U28" s="64"/>
      <c r="V28" s="62"/>
      <c r="W28" s="62"/>
    </row>
    <row r="29" spans="1:23" s="67" customFormat="1" x14ac:dyDescent="0.25">
      <c r="A29" s="61" t="s">
        <v>777</v>
      </c>
      <c r="B29" s="62">
        <f>+B28/1000000</f>
        <v>2158.6985258</v>
      </c>
      <c r="C29" s="63"/>
      <c r="D29" s="64"/>
      <c r="E29" s="63"/>
      <c r="F29" s="64"/>
      <c r="G29" s="63"/>
      <c r="H29" s="65"/>
      <c r="I29" s="63"/>
      <c r="J29" s="63"/>
      <c r="K29" s="63"/>
      <c r="L29" s="63"/>
      <c r="M29" s="63"/>
      <c r="N29" s="64"/>
      <c r="O29" s="64"/>
      <c r="P29" s="64"/>
      <c r="Q29" s="64"/>
      <c r="R29" s="66"/>
      <c r="S29" s="61"/>
      <c r="T29" s="63"/>
      <c r="U29" s="64"/>
      <c r="V29" s="62"/>
      <c r="W29" s="62"/>
    </row>
    <row r="30" spans="1:23" x14ac:dyDescent="0.25">
      <c r="A30" s="3" t="s">
        <v>26</v>
      </c>
      <c r="B30" s="8">
        <v>193.05</v>
      </c>
      <c r="C30" s="11">
        <v>0</v>
      </c>
      <c r="D30" s="14" t="s">
        <v>30</v>
      </c>
      <c r="E30" s="11">
        <v>0</v>
      </c>
      <c r="F30" s="4"/>
      <c r="G30" s="11"/>
      <c r="H30" s="33"/>
      <c r="I30" s="10"/>
      <c r="J30" s="10">
        <v>0</v>
      </c>
      <c r="K30" s="10"/>
      <c r="L30" s="10">
        <v>0</v>
      </c>
      <c r="M30" s="10"/>
      <c r="N30" s="4"/>
      <c r="O30" s="4"/>
      <c r="P30" s="4"/>
      <c r="Q30" s="4"/>
      <c r="R30" s="4"/>
      <c r="S30" s="3"/>
      <c r="T30" s="10" t="s">
        <v>33</v>
      </c>
      <c r="U30" s="4"/>
      <c r="V30" s="8"/>
      <c r="W30" s="8"/>
    </row>
    <row r="31" spans="1:23" x14ac:dyDescent="0.25">
      <c r="A31" s="3" t="s">
        <v>27</v>
      </c>
      <c r="B31" s="8">
        <f>356+193.99</f>
        <v>549.99</v>
      </c>
      <c r="C31" s="10">
        <v>0</v>
      </c>
      <c r="D31" s="4" t="s">
        <v>30</v>
      </c>
      <c r="E31" s="10">
        <v>0</v>
      </c>
      <c r="F31" s="4"/>
      <c r="G31" s="10"/>
      <c r="H31" s="10"/>
      <c r="I31" s="10"/>
      <c r="J31" s="10">
        <v>0</v>
      </c>
      <c r="K31" s="10"/>
      <c r="L31" s="10">
        <v>0</v>
      </c>
      <c r="M31" s="10"/>
      <c r="N31" s="4"/>
      <c r="O31" s="4"/>
      <c r="P31" s="4"/>
      <c r="Q31" s="4"/>
      <c r="R31" s="4"/>
      <c r="S31" s="3"/>
      <c r="T31" s="10" t="s">
        <v>33</v>
      </c>
      <c r="U31" s="4"/>
      <c r="V31" s="8"/>
      <c r="W31" s="8"/>
    </row>
    <row r="32" spans="1:23" s="15" customFormat="1" x14ac:dyDescent="0.25">
      <c r="A32" s="3" t="s">
        <v>28</v>
      </c>
      <c r="B32" s="13">
        <v>739</v>
      </c>
      <c r="C32" s="11">
        <v>0</v>
      </c>
      <c r="D32" s="14" t="s">
        <v>30</v>
      </c>
      <c r="E32" s="11">
        <v>0</v>
      </c>
      <c r="F32" s="4"/>
      <c r="G32" s="11"/>
      <c r="H32" s="11"/>
      <c r="I32" s="13"/>
      <c r="J32" s="10">
        <v>0</v>
      </c>
      <c r="K32" s="11"/>
      <c r="L32" s="10">
        <v>0</v>
      </c>
      <c r="M32" s="10"/>
      <c r="N32" s="14"/>
      <c r="O32" s="14"/>
      <c r="P32" s="14"/>
      <c r="Q32" s="14"/>
      <c r="R32" s="14"/>
      <c r="S32" s="12"/>
      <c r="T32" s="10" t="s">
        <v>33</v>
      </c>
      <c r="U32" s="14"/>
      <c r="V32" s="13"/>
      <c r="W32" s="13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opLeftCell="A16" workbookViewId="0">
      <pane xSplit="1" topLeftCell="B1" activePane="topRight" state="frozen"/>
      <selection pane="topRight" activeCell="N25" sqref="N25"/>
    </sheetView>
  </sheetViews>
  <sheetFormatPr baseColWidth="10" defaultRowHeight="15" x14ac:dyDescent="0.25"/>
  <cols>
    <col min="1" max="1" width="14" bestFit="1" customWidth="1"/>
    <col min="2" max="2" width="17.42578125" bestFit="1" customWidth="1"/>
    <col min="3" max="3" width="12.7109375" style="16" bestFit="1" customWidth="1"/>
    <col min="4" max="4" width="10" bestFit="1" customWidth="1"/>
    <col min="5" max="5" width="13.7109375" bestFit="1" customWidth="1"/>
    <col min="7" max="7" width="13.5703125" customWidth="1"/>
    <col min="8" max="8" width="15.85546875" bestFit="1" customWidth="1"/>
    <col min="9" max="9" width="12.7109375" bestFit="1" customWidth="1"/>
    <col min="10" max="10" width="13.7109375" bestFit="1" customWidth="1"/>
    <col min="11" max="12" width="15.28515625" bestFit="1" customWidth="1"/>
    <col min="19" max="19" width="12.85546875" bestFit="1" customWidth="1"/>
  </cols>
  <sheetData>
    <row r="1" spans="1:20" s="1" customFormat="1" ht="45" x14ac:dyDescent="0.25">
      <c r="A1" s="2" t="s">
        <v>29</v>
      </c>
      <c r="B1" s="2" t="s">
        <v>0</v>
      </c>
      <c r="C1" s="19" t="s">
        <v>3</v>
      </c>
      <c r="D1" s="2" t="s">
        <v>1</v>
      </c>
      <c r="E1" s="2" t="s">
        <v>4</v>
      </c>
      <c r="F1" s="2" t="s">
        <v>10</v>
      </c>
      <c r="G1" s="2" t="s">
        <v>2</v>
      </c>
      <c r="H1" s="2" t="s">
        <v>5</v>
      </c>
      <c r="I1" s="2" t="s">
        <v>6</v>
      </c>
      <c r="J1" s="2" t="s">
        <v>42</v>
      </c>
      <c r="K1" s="2" t="s">
        <v>40</v>
      </c>
      <c r="L1" s="2" t="s">
        <v>43</v>
      </c>
      <c r="M1" s="2" t="s">
        <v>11</v>
      </c>
      <c r="N1" s="2" t="s">
        <v>12</v>
      </c>
      <c r="O1" s="2" t="s">
        <v>35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45</v>
      </c>
    </row>
    <row r="2" spans="1:20" x14ac:dyDescent="0.25">
      <c r="A2" s="3" t="s">
        <v>17</v>
      </c>
      <c r="B2" s="13">
        <v>128364012</v>
      </c>
      <c r="C2" s="10">
        <v>0</v>
      </c>
      <c r="D2" s="4">
        <v>0</v>
      </c>
      <c r="E2" s="10">
        <v>0</v>
      </c>
      <c r="F2" s="4" t="s">
        <v>30</v>
      </c>
      <c r="G2" s="11" t="s">
        <v>30</v>
      </c>
      <c r="H2" s="33" t="s">
        <v>33</v>
      </c>
      <c r="I2" s="10" t="s">
        <v>33</v>
      </c>
      <c r="J2" s="20"/>
      <c r="K2" s="10"/>
      <c r="L2" s="10"/>
      <c r="M2" s="4"/>
      <c r="N2" s="4"/>
      <c r="O2" s="4"/>
      <c r="P2" s="32"/>
      <c r="Q2" s="4"/>
      <c r="R2" s="3"/>
      <c r="S2" s="10"/>
      <c r="T2" s="4"/>
    </row>
    <row r="3" spans="1:20" x14ac:dyDescent="0.25">
      <c r="A3" s="3" t="s">
        <v>18</v>
      </c>
      <c r="B3" s="16">
        <v>203064912.96000001</v>
      </c>
      <c r="C3" s="11">
        <v>0</v>
      </c>
      <c r="D3" s="4">
        <v>0</v>
      </c>
      <c r="E3" s="10">
        <v>0</v>
      </c>
      <c r="F3" s="4" t="s">
        <v>30</v>
      </c>
      <c r="G3" s="11" t="s">
        <v>30</v>
      </c>
      <c r="H3" s="33" t="s">
        <v>33</v>
      </c>
      <c r="I3" s="10" t="s">
        <v>33</v>
      </c>
      <c r="J3" s="11"/>
      <c r="K3" s="10"/>
      <c r="L3" s="10"/>
      <c r="M3" s="4"/>
      <c r="N3" s="4"/>
      <c r="O3" s="4"/>
      <c r="P3" s="32"/>
      <c r="Q3" s="4"/>
      <c r="R3" s="3"/>
      <c r="S3" s="10"/>
      <c r="T3" s="4" t="s">
        <v>30</v>
      </c>
    </row>
    <row r="4" spans="1:20" x14ac:dyDescent="0.25">
      <c r="A4" s="3" t="s">
        <v>19</v>
      </c>
      <c r="B4" s="8">
        <v>363612359.07999998</v>
      </c>
      <c r="C4" s="11">
        <v>0</v>
      </c>
      <c r="D4" s="14">
        <v>0</v>
      </c>
      <c r="E4" s="11">
        <v>0</v>
      </c>
      <c r="F4" s="4" t="s">
        <v>30</v>
      </c>
      <c r="G4" s="11" t="s">
        <v>30</v>
      </c>
      <c r="H4" s="33" t="s">
        <v>33</v>
      </c>
      <c r="I4" s="10" t="s">
        <v>33</v>
      </c>
      <c r="J4" s="11"/>
      <c r="K4" s="10"/>
      <c r="L4" s="10"/>
      <c r="M4" s="4"/>
      <c r="N4" s="4"/>
      <c r="O4" s="4"/>
      <c r="P4" s="4"/>
      <c r="Q4" s="4"/>
      <c r="R4" s="3"/>
      <c r="S4" s="10"/>
      <c r="T4" s="4"/>
    </row>
    <row r="5" spans="1:20" x14ac:dyDescent="0.25">
      <c r="A5" s="3" t="s">
        <v>20</v>
      </c>
      <c r="B5" s="8">
        <v>0</v>
      </c>
      <c r="C5" s="11">
        <v>0</v>
      </c>
      <c r="D5" s="14">
        <v>0</v>
      </c>
      <c r="E5" s="11">
        <v>0</v>
      </c>
      <c r="F5" s="4" t="s">
        <v>30</v>
      </c>
      <c r="G5" s="11" t="s">
        <v>30</v>
      </c>
      <c r="H5" s="33" t="s">
        <v>33</v>
      </c>
      <c r="I5" s="10" t="s">
        <v>33</v>
      </c>
      <c r="J5" s="11"/>
      <c r="K5" s="10"/>
      <c r="L5" s="10"/>
      <c r="M5" s="4"/>
      <c r="N5" s="4"/>
      <c r="O5" s="4"/>
      <c r="P5" s="4"/>
      <c r="Q5" s="4"/>
      <c r="R5" s="3"/>
      <c r="S5" s="10"/>
      <c r="T5" s="4"/>
    </row>
    <row r="6" spans="1:20" x14ac:dyDescent="0.25">
      <c r="A6" s="3" t="s">
        <v>21</v>
      </c>
      <c r="B6" s="8">
        <v>0</v>
      </c>
      <c r="C6" s="11">
        <v>0</v>
      </c>
      <c r="D6" s="14">
        <v>0</v>
      </c>
      <c r="E6" s="11">
        <v>0</v>
      </c>
      <c r="F6" s="4" t="s">
        <v>30</v>
      </c>
      <c r="G6" s="11" t="s">
        <v>30</v>
      </c>
      <c r="H6" s="33" t="s">
        <v>33</v>
      </c>
      <c r="I6" s="10" t="s">
        <v>33</v>
      </c>
      <c r="J6" s="11"/>
      <c r="K6" s="10"/>
      <c r="L6" s="10"/>
      <c r="M6" s="4"/>
      <c r="N6" s="4"/>
      <c r="O6" s="4"/>
      <c r="P6" s="4"/>
      <c r="Q6" s="4"/>
      <c r="R6" s="3"/>
      <c r="S6" s="10"/>
      <c r="T6" s="4" t="s">
        <v>30</v>
      </c>
    </row>
    <row r="7" spans="1:20" x14ac:dyDescent="0.25">
      <c r="A7" s="3" t="s">
        <v>22</v>
      </c>
      <c r="B7" s="8">
        <v>854690841.89999998</v>
      </c>
      <c r="C7" s="11">
        <v>0</v>
      </c>
      <c r="D7" s="14">
        <v>0</v>
      </c>
      <c r="E7" s="11">
        <v>0</v>
      </c>
      <c r="F7" s="4" t="s">
        <v>30</v>
      </c>
      <c r="G7" s="11" t="s">
        <v>30</v>
      </c>
      <c r="H7" s="33" t="s">
        <v>33</v>
      </c>
      <c r="I7" s="10" t="s">
        <v>33</v>
      </c>
      <c r="J7" s="11"/>
      <c r="K7" s="10"/>
      <c r="L7" s="10"/>
      <c r="M7" s="4"/>
      <c r="N7" s="4"/>
      <c r="O7" s="4"/>
      <c r="P7" s="4"/>
      <c r="Q7" s="4"/>
      <c r="R7" s="3"/>
      <c r="S7" s="10"/>
      <c r="T7" s="4"/>
    </row>
    <row r="8" spans="1:20" x14ac:dyDescent="0.25">
      <c r="A8" s="3" t="s">
        <v>23</v>
      </c>
      <c r="B8" s="8">
        <v>844741273.75</v>
      </c>
      <c r="C8" s="11">
        <v>0</v>
      </c>
      <c r="D8" s="14">
        <v>0</v>
      </c>
      <c r="E8" s="11">
        <v>0</v>
      </c>
      <c r="F8" s="4" t="s">
        <v>30</v>
      </c>
      <c r="G8" s="11" t="s">
        <v>30</v>
      </c>
      <c r="H8" s="33" t="s">
        <v>33</v>
      </c>
      <c r="I8" s="10" t="s">
        <v>33</v>
      </c>
      <c r="J8" s="11"/>
      <c r="K8" s="10"/>
      <c r="L8" s="10"/>
      <c r="M8" s="4"/>
      <c r="N8" s="4"/>
      <c r="O8" s="4"/>
      <c r="P8" s="4"/>
      <c r="Q8" s="4"/>
      <c r="R8" s="3"/>
      <c r="S8" s="10"/>
      <c r="T8" s="4"/>
    </row>
    <row r="9" spans="1:20" x14ac:dyDescent="0.25">
      <c r="A9" s="3" t="s">
        <v>24</v>
      </c>
      <c r="B9" s="8">
        <v>1807955039.95</v>
      </c>
      <c r="C9" s="11">
        <v>0</v>
      </c>
      <c r="D9" s="14">
        <v>0</v>
      </c>
      <c r="E9" s="11">
        <v>0</v>
      </c>
      <c r="F9" s="4" t="s">
        <v>30</v>
      </c>
      <c r="G9" s="11" t="s">
        <v>30</v>
      </c>
      <c r="H9" s="33" t="s">
        <v>33</v>
      </c>
      <c r="I9" s="10" t="s">
        <v>33</v>
      </c>
      <c r="J9" s="10"/>
      <c r="K9" s="10"/>
      <c r="L9" s="10"/>
      <c r="M9" s="4"/>
      <c r="N9" s="4"/>
      <c r="O9" s="4"/>
      <c r="P9" s="4"/>
      <c r="Q9" s="4"/>
      <c r="R9" s="3"/>
      <c r="S9" s="10"/>
      <c r="T9" s="4"/>
    </row>
    <row r="10" spans="1:20" x14ac:dyDescent="0.25">
      <c r="A10" s="3" t="s">
        <v>25</v>
      </c>
      <c r="B10" s="8">
        <v>0</v>
      </c>
      <c r="C10" s="11">
        <v>0</v>
      </c>
      <c r="D10" s="14">
        <v>0</v>
      </c>
      <c r="E10" s="11">
        <v>0</v>
      </c>
      <c r="F10" s="4" t="s">
        <v>30</v>
      </c>
      <c r="G10" s="11" t="s">
        <v>30</v>
      </c>
      <c r="H10" s="33" t="s">
        <v>33</v>
      </c>
      <c r="I10" s="10" t="s">
        <v>33</v>
      </c>
      <c r="J10" s="10"/>
      <c r="K10" s="10"/>
      <c r="L10" s="10"/>
      <c r="M10" s="4"/>
      <c r="N10" s="4"/>
      <c r="O10" s="4"/>
      <c r="P10" s="4"/>
      <c r="Q10" s="30"/>
      <c r="R10" s="3"/>
      <c r="S10" s="10"/>
      <c r="T10" s="4"/>
    </row>
    <row r="11" spans="1:20" x14ac:dyDescent="0.25">
      <c r="A11" s="3" t="s">
        <v>26</v>
      </c>
      <c r="B11" s="8">
        <v>3449917379.96</v>
      </c>
      <c r="C11" s="11">
        <v>0</v>
      </c>
      <c r="D11" s="14">
        <v>0</v>
      </c>
      <c r="E11" s="11">
        <v>0</v>
      </c>
      <c r="F11" s="4" t="s">
        <v>30</v>
      </c>
      <c r="G11" s="11" t="s">
        <v>30</v>
      </c>
      <c r="H11" s="33" t="s">
        <v>33</v>
      </c>
      <c r="I11" s="10" t="s">
        <v>33</v>
      </c>
      <c r="J11" s="10"/>
      <c r="K11" s="10"/>
      <c r="L11" s="10"/>
      <c r="M11" s="4"/>
      <c r="N11" s="4"/>
      <c r="O11" s="4"/>
      <c r="P11" s="4"/>
      <c r="Q11" s="4"/>
      <c r="R11" s="3"/>
      <c r="S11" s="10"/>
      <c r="T11" s="4"/>
    </row>
    <row r="12" spans="1:20" x14ac:dyDescent="0.25">
      <c r="A12" s="3" t="s">
        <v>27</v>
      </c>
      <c r="B12" s="8"/>
      <c r="C12" s="10"/>
      <c r="D12" s="4"/>
      <c r="E12" s="10"/>
      <c r="F12" s="4"/>
      <c r="G12" s="8"/>
      <c r="H12" s="10"/>
      <c r="I12" s="10"/>
      <c r="J12" s="10"/>
      <c r="K12" s="10"/>
      <c r="L12" s="10"/>
      <c r="M12" s="4"/>
      <c r="N12" s="4"/>
      <c r="O12" s="4"/>
      <c r="P12" s="4"/>
      <c r="Q12" s="4"/>
      <c r="R12" s="3"/>
      <c r="S12" s="10"/>
      <c r="T12" s="4"/>
    </row>
    <row r="13" spans="1:20" s="15" customFormat="1" x14ac:dyDescent="0.25">
      <c r="A13" s="3" t="s">
        <v>28</v>
      </c>
      <c r="B13" s="13"/>
      <c r="C13" s="13"/>
      <c r="D13" s="12"/>
      <c r="E13" s="13"/>
      <c r="F13" s="12"/>
      <c r="G13" s="13"/>
      <c r="H13" s="13"/>
      <c r="I13" s="13"/>
      <c r="J13" s="13"/>
      <c r="K13" s="13"/>
      <c r="L13" s="13"/>
      <c r="M13" s="14"/>
      <c r="N13" s="14"/>
      <c r="O13" s="14"/>
      <c r="P13" s="14"/>
      <c r="Q13" s="14"/>
      <c r="R13" s="12"/>
      <c r="S13" s="11"/>
      <c r="T13" s="14"/>
    </row>
    <row r="14" spans="1:20" s="25" customFormat="1" x14ac:dyDescent="0.25">
      <c r="A14" s="21" t="s">
        <v>34</v>
      </c>
      <c r="B14" s="22">
        <f>SUM(B2:B13)</f>
        <v>7652345819.6000004</v>
      </c>
      <c r="C14" s="23"/>
      <c r="D14" s="24"/>
      <c r="E14" s="23"/>
      <c r="F14" s="24"/>
      <c r="G14" s="22"/>
      <c r="H14" s="23"/>
      <c r="I14" s="23">
        <f>SUM(I2:I13)</f>
        <v>0</v>
      </c>
      <c r="J14" s="23">
        <f>SUM(J2:J13)</f>
        <v>0</v>
      </c>
      <c r="K14" s="23"/>
      <c r="L14" s="23">
        <f>SUM(L2:L13)</f>
        <v>0</v>
      </c>
      <c r="M14" s="24"/>
      <c r="N14" s="24"/>
      <c r="O14" s="24"/>
      <c r="P14" s="24"/>
      <c r="Q14" s="24"/>
      <c r="R14" s="21"/>
      <c r="S14" s="23"/>
      <c r="T14" s="24"/>
    </row>
    <row r="15" spans="1:20" x14ac:dyDescent="0.25">
      <c r="S15" s="16"/>
    </row>
    <row r="18" spans="1:20" s="1" customFormat="1" ht="45" x14ac:dyDescent="0.25">
      <c r="A18" s="2" t="s">
        <v>71</v>
      </c>
      <c r="B18" s="2" t="s">
        <v>0</v>
      </c>
      <c r="C18" s="19" t="s">
        <v>3</v>
      </c>
      <c r="D18" s="2" t="s">
        <v>1</v>
      </c>
      <c r="E18" s="2" t="s">
        <v>4</v>
      </c>
      <c r="F18" s="2" t="s">
        <v>10</v>
      </c>
      <c r="G18" s="2" t="s">
        <v>2</v>
      </c>
      <c r="H18" s="2" t="s">
        <v>5</v>
      </c>
      <c r="I18" s="2" t="s">
        <v>6</v>
      </c>
      <c r="J18" s="2" t="s">
        <v>42</v>
      </c>
      <c r="K18" s="2" t="s">
        <v>40</v>
      </c>
      <c r="L18" s="2" t="s">
        <v>43</v>
      </c>
      <c r="M18" s="2" t="s">
        <v>11</v>
      </c>
      <c r="N18" s="2" t="s">
        <v>12</v>
      </c>
      <c r="O18" s="2" t="s">
        <v>35</v>
      </c>
      <c r="P18" s="2" t="s">
        <v>13</v>
      </c>
      <c r="Q18" s="2" t="s">
        <v>14</v>
      </c>
      <c r="R18" s="2" t="s">
        <v>15</v>
      </c>
      <c r="S18" s="2" t="s">
        <v>16</v>
      </c>
      <c r="T18" s="2" t="s">
        <v>45</v>
      </c>
    </row>
    <row r="19" spans="1:20" x14ac:dyDescent="0.25">
      <c r="A19" s="3" t="s">
        <v>17</v>
      </c>
      <c r="B19" s="13">
        <v>5186961880.1199999</v>
      </c>
      <c r="C19" s="10">
        <v>0</v>
      </c>
      <c r="D19" s="4">
        <v>0</v>
      </c>
      <c r="E19" s="10">
        <v>0</v>
      </c>
      <c r="F19" s="4" t="s">
        <v>30</v>
      </c>
      <c r="G19" s="11" t="s">
        <v>30</v>
      </c>
      <c r="H19" s="33" t="s">
        <v>33</v>
      </c>
      <c r="I19" s="10" t="s">
        <v>33</v>
      </c>
      <c r="J19" s="20"/>
      <c r="K19" s="10">
        <v>51869618.799999997</v>
      </c>
      <c r="L19" s="10"/>
      <c r="M19" s="4"/>
      <c r="N19" s="4"/>
      <c r="O19" s="4"/>
      <c r="P19" s="32"/>
      <c r="Q19" s="4"/>
      <c r="R19" s="3"/>
      <c r="S19" s="10"/>
      <c r="T19" s="4"/>
    </row>
    <row r="20" spans="1:20" x14ac:dyDescent="0.25">
      <c r="A20" s="3" t="s">
        <v>18</v>
      </c>
      <c r="B20" s="16">
        <v>9094822083.5200005</v>
      </c>
      <c r="C20" s="11">
        <v>0</v>
      </c>
      <c r="D20" s="4">
        <v>0</v>
      </c>
      <c r="E20" s="10">
        <v>0</v>
      </c>
      <c r="F20" s="4" t="s">
        <v>30</v>
      </c>
      <c r="G20" s="11" t="s">
        <v>30</v>
      </c>
      <c r="H20" s="33" t="s">
        <v>33</v>
      </c>
      <c r="I20" s="10" t="s">
        <v>33</v>
      </c>
      <c r="J20" s="11"/>
      <c r="K20" s="10">
        <f>+B20*1%</f>
        <v>90948220.835200012</v>
      </c>
      <c r="L20" s="10"/>
      <c r="M20" s="4"/>
      <c r="N20" s="4"/>
      <c r="O20" s="4"/>
      <c r="P20" s="32"/>
      <c r="Q20" s="4"/>
      <c r="R20" s="3"/>
      <c r="S20" s="10"/>
      <c r="T20" s="4"/>
    </row>
    <row r="21" spans="1:20" x14ac:dyDescent="0.25">
      <c r="A21" s="3" t="s">
        <v>19</v>
      </c>
      <c r="B21" s="8">
        <v>33020960373.150002</v>
      </c>
      <c r="C21" s="11">
        <v>0</v>
      </c>
      <c r="D21" s="14">
        <v>0</v>
      </c>
      <c r="E21" s="11">
        <v>0</v>
      </c>
      <c r="F21" s="4" t="s">
        <v>30</v>
      </c>
      <c r="G21" s="11" t="s">
        <v>30</v>
      </c>
      <c r="H21" s="33" t="s">
        <v>33</v>
      </c>
      <c r="I21" s="10" t="s">
        <v>33</v>
      </c>
      <c r="J21" s="11"/>
      <c r="K21" s="10">
        <f t="shared" ref="K21:K28" si="0">+B21*1%</f>
        <v>330209603.73150003</v>
      </c>
      <c r="L21" s="10"/>
      <c r="M21" s="4"/>
      <c r="N21" s="4"/>
      <c r="O21" s="4"/>
      <c r="P21" s="4"/>
      <c r="Q21" s="4"/>
      <c r="R21" s="3"/>
      <c r="S21" s="10"/>
      <c r="T21" s="4"/>
    </row>
    <row r="22" spans="1:20" x14ac:dyDescent="0.25">
      <c r="A22" s="3" t="s">
        <v>20</v>
      </c>
      <c r="B22" s="8">
        <v>0</v>
      </c>
      <c r="C22" s="11">
        <v>0</v>
      </c>
      <c r="D22" s="14">
        <v>0</v>
      </c>
      <c r="E22" s="11">
        <v>0</v>
      </c>
      <c r="F22" s="4" t="s">
        <v>30</v>
      </c>
      <c r="G22" s="11" t="s">
        <v>30</v>
      </c>
      <c r="H22" s="33" t="s">
        <v>33</v>
      </c>
      <c r="I22" s="10" t="s">
        <v>33</v>
      </c>
      <c r="J22" s="11"/>
      <c r="K22" s="10">
        <f t="shared" si="0"/>
        <v>0</v>
      </c>
      <c r="L22" s="10"/>
      <c r="M22" s="4"/>
      <c r="N22" s="4"/>
      <c r="O22" s="4"/>
      <c r="P22" s="4"/>
      <c r="Q22" s="4"/>
      <c r="R22" s="3"/>
      <c r="S22" s="10"/>
      <c r="T22" s="4"/>
    </row>
    <row r="23" spans="1:20" x14ac:dyDescent="0.25">
      <c r="A23" s="3" t="s">
        <v>21</v>
      </c>
      <c r="B23" s="8">
        <v>16625201200</v>
      </c>
      <c r="C23" s="11">
        <v>0</v>
      </c>
      <c r="D23" s="14">
        <v>0</v>
      </c>
      <c r="E23" s="11">
        <v>0</v>
      </c>
      <c r="F23" s="4" t="s">
        <v>30</v>
      </c>
      <c r="G23" s="11" t="s">
        <v>30</v>
      </c>
      <c r="H23" s="33" t="s">
        <v>33</v>
      </c>
      <c r="I23" s="10" t="s">
        <v>33</v>
      </c>
      <c r="J23" s="11"/>
      <c r="K23" s="10">
        <f t="shared" si="0"/>
        <v>166252012</v>
      </c>
      <c r="L23" s="10"/>
      <c r="M23" s="4"/>
      <c r="N23" s="4"/>
      <c r="O23" s="4"/>
      <c r="P23" s="4"/>
      <c r="Q23" s="4"/>
      <c r="R23" s="3"/>
      <c r="S23" s="10"/>
      <c r="T23" s="4"/>
    </row>
    <row r="24" spans="1:20" x14ac:dyDescent="0.25">
      <c r="A24" s="3" t="s">
        <v>22</v>
      </c>
      <c r="B24" s="8">
        <v>0</v>
      </c>
      <c r="C24" s="11">
        <v>0</v>
      </c>
      <c r="D24" s="14">
        <v>0</v>
      </c>
      <c r="E24" s="11">
        <v>0</v>
      </c>
      <c r="F24" s="4" t="s">
        <v>30</v>
      </c>
      <c r="G24" s="11" t="s">
        <v>30</v>
      </c>
      <c r="H24" s="33" t="s">
        <v>33</v>
      </c>
      <c r="I24" s="10" t="s">
        <v>33</v>
      </c>
      <c r="J24" s="11"/>
      <c r="K24" s="10">
        <f t="shared" si="0"/>
        <v>0</v>
      </c>
      <c r="L24" s="10"/>
      <c r="M24" s="4"/>
      <c r="N24" s="4"/>
      <c r="O24" s="4"/>
      <c r="P24" s="4"/>
      <c r="Q24" s="4"/>
      <c r="R24" s="3"/>
      <c r="S24" s="10"/>
      <c r="T24" s="4"/>
    </row>
    <row r="25" spans="1:20" x14ac:dyDescent="0.25">
      <c r="A25" s="3" t="s">
        <v>23</v>
      </c>
      <c r="B25" s="8">
        <v>19164842600</v>
      </c>
      <c r="C25" s="11">
        <v>0</v>
      </c>
      <c r="D25" s="14">
        <v>0</v>
      </c>
      <c r="E25" s="11">
        <v>0</v>
      </c>
      <c r="F25" s="4" t="s">
        <v>30</v>
      </c>
      <c r="G25" s="11" t="s">
        <v>30</v>
      </c>
      <c r="H25" s="33" t="s">
        <v>33</v>
      </c>
      <c r="I25" s="10" t="s">
        <v>33</v>
      </c>
      <c r="J25" s="11"/>
      <c r="K25" s="10">
        <f t="shared" si="0"/>
        <v>191648426</v>
      </c>
      <c r="L25" s="10"/>
      <c r="M25" s="4"/>
      <c r="N25" s="4"/>
      <c r="O25" s="4"/>
      <c r="P25" s="4"/>
      <c r="Q25" s="4"/>
      <c r="R25" s="3"/>
      <c r="S25" s="10"/>
      <c r="T25" s="4"/>
    </row>
    <row r="26" spans="1:20" x14ac:dyDescent="0.25">
      <c r="A26" s="3" t="s">
        <v>24</v>
      </c>
      <c r="B26" s="8">
        <v>53977538800</v>
      </c>
      <c r="C26" s="11">
        <v>0</v>
      </c>
      <c r="D26" s="14">
        <v>0</v>
      </c>
      <c r="E26" s="11">
        <v>0</v>
      </c>
      <c r="F26" s="4" t="s">
        <v>30</v>
      </c>
      <c r="G26" s="11" t="s">
        <v>30</v>
      </c>
      <c r="H26" s="33" t="s">
        <v>33</v>
      </c>
      <c r="I26" s="10" t="s">
        <v>33</v>
      </c>
      <c r="J26" s="10"/>
      <c r="K26" s="10">
        <f t="shared" si="0"/>
        <v>539775388</v>
      </c>
      <c r="L26" s="10"/>
      <c r="M26" s="4"/>
      <c r="N26" s="4"/>
      <c r="O26" s="4"/>
      <c r="P26" s="4"/>
      <c r="Q26" s="4"/>
      <c r="R26" s="3"/>
      <c r="S26" s="10"/>
      <c r="T26" s="4"/>
    </row>
    <row r="27" spans="1:20" x14ac:dyDescent="0.25">
      <c r="A27" s="3" t="s">
        <v>25</v>
      </c>
      <c r="B27" s="8">
        <v>0</v>
      </c>
      <c r="C27" s="11">
        <v>0</v>
      </c>
      <c r="D27" s="14">
        <v>0</v>
      </c>
      <c r="E27" s="11">
        <v>0</v>
      </c>
      <c r="F27" s="4" t="s">
        <v>30</v>
      </c>
      <c r="G27" s="11" t="s">
        <v>30</v>
      </c>
      <c r="H27" s="33" t="s">
        <v>33</v>
      </c>
      <c r="I27" s="10" t="s">
        <v>33</v>
      </c>
      <c r="J27" s="10"/>
      <c r="K27" s="10">
        <f t="shared" si="0"/>
        <v>0</v>
      </c>
      <c r="L27" s="10"/>
      <c r="M27" s="4"/>
      <c r="N27" s="4"/>
      <c r="O27" s="4"/>
      <c r="P27" s="4"/>
      <c r="Q27" s="30"/>
      <c r="R27" s="3"/>
      <c r="S27" s="10"/>
      <c r="T27" s="4"/>
    </row>
    <row r="28" spans="1:20" x14ac:dyDescent="0.25">
      <c r="A28" s="3" t="s">
        <v>773</v>
      </c>
      <c r="B28" s="8">
        <f>SUM(B19:B27)</f>
        <v>137070326936.79001</v>
      </c>
      <c r="C28" s="11">
        <v>0</v>
      </c>
      <c r="D28" s="14">
        <v>0</v>
      </c>
      <c r="E28" s="11">
        <v>0</v>
      </c>
      <c r="F28" s="4" t="s">
        <v>30</v>
      </c>
      <c r="G28" s="11" t="s">
        <v>30</v>
      </c>
      <c r="H28" s="33" t="s">
        <v>33</v>
      </c>
      <c r="I28" s="10" t="s">
        <v>33</v>
      </c>
      <c r="J28" s="10"/>
      <c r="K28" s="10">
        <f t="shared" si="0"/>
        <v>1370703269.3679001</v>
      </c>
      <c r="L28" s="10"/>
      <c r="M28" s="4"/>
      <c r="N28" s="4"/>
      <c r="O28" s="4"/>
      <c r="P28" s="4"/>
      <c r="Q28" s="30"/>
      <c r="R28" s="3"/>
      <c r="S28" s="10"/>
      <c r="T28" s="4"/>
    </row>
    <row r="29" spans="1:20" x14ac:dyDescent="0.25">
      <c r="A29" s="3" t="s">
        <v>774</v>
      </c>
      <c r="B29" s="8">
        <f>+B28/1000000</f>
        <v>137070.32693679002</v>
      </c>
      <c r="C29" s="11">
        <v>0</v>
      </c>
      <c r="D29" s="14">
        <v>0</v>
      </c>
      <c r="E29" s="11">
        <v>0</v>
      </c>
      <c r="F29" s="4" t="s">
        <v>30</v>
      </c>
      <c r="G29" s="11" t="s">
        <v>30</v>
      </c>
      <c r="H29" s="33" t="s">
        <v>33</v>
      </c>
      <c r="I29" s="10" t="s">
        <v>33</v>
      </c>
      <c r="J29" s="10"/>
      <c r="K29" s="10">
        <f>+K28/1000000</f>
        <v>1370.7032693679</v>
      </c>
      <c r="L29" s="10"/>
      <c r="M29" s="4"/>
      <c r="N29" s="4"/>
      <c r="O29" s="4"/>
      <c r="P29" s="4"/>
      <c r="Q29" s="30"/>
      <c r="R29" s="3"/>
      <c r="S29" s="10"/>
      <c r="T29" s="4"/>
    </row>
    <row r="30" spans="1:20" x14ac:dyDescent="0.25">
      <c r="A30" s="3" t="s">
        <v>26</v>
      </c>
      <c r="B30" s="8">
        <v>0</v>
      </c>
      <c r="C30" s="11">
        <v>0</v>
      </c>
      <c r="D30" s="14">
        <v>0</v>
      </c>
      <c r="E30" s="11">
        <v>0</v>
      </c>
      <c r="F30" s="4" t="s">
        <v>30</v>
      </c>
      <c r="G30" s="11" t="s">
        <v>30</v>
      </c>
      <c r="H30" s="33" t="s">
        <v>33</v>
      </c>
      <c r="I30" s="10" t="s">
        <v>33</v>
      </c>
      <c r="J30" s="10"/>
      <c r="K30" s="10">
        <v>0</v>
      </c>
      <c r="L30" s="10"/>
      <c r="M30" s="4"/>
      <c r="N30" s="4"/>
      <c r="O30" s="4"/>
      <c r="P30" s="4"/>
      <c r="Q30" s="4"/>
      <c r="R30" s="3"/>
      <c r="S30" s="10"/>
      <c r="T30" s="4"/>
    </row>
    <row r="31" spans="1:20" x14ac:dyDescent="0.25">
      <c r="A31" s="3" t="s">
        <v>27</v>
      </c>
      <c r="B31" s="8">
        <v>116263.96</v>
      </c>
      <c r="C31" s="11">
        <v>0</v>
      </c>
      <c r="D31" s="14">
        <v>0</v>
      </c>
      <c r="E31" s="11">
        <v>0</v>
      </c>
      <c r="F31" s="4" t="s">
        <v>30</v>
      </c>
      <c r="G31" s="11" t="s">
        <v>30</v>
      </c>
      <c r="H31" s="33" t="s">
        <v>33</v>
      </c>
      <c r="I31" s="10" t="s">
        <v>33</v>
      </c>
      <c r="J31" s="10"/>
      <c r="K31" s="10">
        <f>+B31*1%</f>
        <v>1162.6396000000002</v>
      </c>
      <c r="L31" s="10"/>
      <c r="M31" s="4"/>
      <c r="N31" s="4"/>
      <c r="O31" s="4"/>
      <c r="P31" s="4"/>
      <c r="Q31" s="4"/>
      <c r="R31" s="3"/>
      <c r="S31" s="10"/>
      <c r="T31" s="4"/>
    </row>
    <row r="32" spans="1:20" s="15" customFormat="1" x14ac:dyDescent="0.25">
      <c r="A32" s="3" t="s">
        <v>28</v>
      </c>
      <c r="B32" s="13">
        <v>0</v>
      </c>
      <c r="C32" s="11">
        <v>0</v>
      </c>
      <c r="D32" s="14">
        <v>0</v>
      </c>
      <c r="E32" s="11">
        <v>0</v>
      </c>
      <c r="F32" s="4" t="s">
        <v>30</v>
      </c>
      <c r="G32" s="11" t="s">
        <v>30</v>
      </c>
      <c r="H32" s="33" t="s">
        <v>33</v>
      </c>
      <c r="I32" s="10" t="s">
        <v>33</v>
      </c>
      <c r="J32" s="13"/>
      <c r="K32" s="10">
        <f>+B32*1%</f>
        <v>0</v>
      </c>
      <c r="L32" s="13"/>
      <c r="M32" s="14"/>
      <c r="N32" s="14"/>
      <c r="O32" s="14"/>
      <c r="P32" s="14"/>
      <c r="Q32" s="14"/>
      <c r="R32" s="12"/>
      <c r="S32" s="11"/>
      <c r="T32" s="14"/>
    </row>
    <row r="33" spans="1:20" s="25" customFormat="1" x14ac:dyDescent="0.25">
      <c r="A33" s="21" t="s">
        <v>34</v>
      </c>
      <c r="B33" s="22">
        <f>SUM(B29:B32)</f>
        <v>253334.28693679004</v>
      </c>
      <c r="C33" s="23"/>
      <c r="D33" s="24"/>
      <c r="E33" s="23"/>
      <c r="F33" s="24"/>
      <c r="G33" s="22"/>
      <c r="H33" s="23"/>
      <c r="I33" s="23">
        <f>SUM(I19:I32)</f>
        <v>0</v>
      </c>
      <c r="J33" s="23">
        <f>SUM(J19:J32)</f>
        <v>0</v>
      </c>
      <c r="K33" s="23">
        <f>SUM(K29:K32)</f>
        <v>2533.3428693679002</v>
      </c>
      <c r="L33" s="23">
        <f>SUM(L19:L32)</f>
        <v>0</v>
      </c>
      <c r="M33" s="24"/>
      <c r="N33" s="24"/>
      <c r="O33" s="24"/>
      <c r="P33" s="24"/>
      <c r="Q33" s="24"/>
      <c r="R33" s="21"/>
      <c r="S33" s="23"/>
      <c r="T33" s="24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3"/>
  <sheetViews>
    <sheetView tabSelected="1" topLeftCell="A13" workbookViewId="0">
      <pane xSplit="1" topLeftCell="B1" activePane="topRight" state="frozen"/>
      <selection pane="topRight" activeCell="B32" sqref="B32"/>
    </sheetView>
  </sheetViews>
  <sheetFormatPr baseColWidth="10" defaultRowHeight="15" x14ac:dyDescent="0.25"/>
  <cols>
    <col min="1" max="1" width="12.42578125" customWidth="1"/>
    <col min="2" max="2" width="17.42578125" bestFit="1" customWidth="1"/>
    <col min="3" max="3" width="13.7109375" style="16" bestFit="1" customWidth="1"/>
    <col min="4" max="4" width="10" bestFit="1" customWidth="1"/>
    <col min="5" max="5" width="13.7109375" bestFit="1" customWidth="1"/>
    <col min="7" max="7" width="15.28515625" bestFit="1" customWidth="1"/>
    <col min="8" max="8" width="15.85546875" bestFit="1" customWidth="1"/>
    <col min="9" max="9" width="12.7109375" bestFit="1" customWidth="1"/>
    <col min="10" max="10" width="11.5703125" bestFit="1" customWidth="1"/>
    <col min="11" max="11" width="13.7109375" bestFit="1" customWidth="1"/>
    <col min="12" max="12" width="15.28515625" bestFit="1" customWidth="1"/>
    <col min="13" max="13" width="15.28515625" customWidth="1"/>
    <col min="20" max="20" width="15.28515625" bestFit="1" customWidth="1"/>
    <col min="22" max="22" width="11.7109375" bestFit="1" customWidth="1"/>
    <col min="23" max="24" width="13.7109375" bestFit="1" customWidth="1"/>
  </cols>
  <sheetData>
    <row r="1" spans="1:24" s="1" customFormat="1" ht="45" x14ac:dyDescent="0.25">
      <c r="A1" s="2" t="s">
        <v>29</v>
      </c>
      <c r="B1" s="2" t="s">
        <v>0</v>
      </c>
      <c r="C1" s="19" t="s">
        <v>3</v>
      </c>
      <c r="D1" s="2" t="s">
        <v>1</v>
      </c>
      <c r="E1" s="2" t="s">
        <v>4</v>
      </c>
      <c r="F1" s="2" t="s">
        <v>10</v>
      </c>
      <c r="G1" s="2" t="s">
        <v>2</v>
      </c>
      <c r="H1" s="2" t="s">
        <v>5</v>
      </c>
      <c r="I1" s="2" t="s">
        <v>6</v>
      </c>
      <c r="J1" s="2" t="s">
        <v>41</v>
      </c>
      <c r="K1" s="2" t="s">
        <v>42</v>
      </c>
      <c r="L1" s="2" t="s">
        <v>70</v>
      </c>
      <c r="M1" s="2"/>
      <c r="N1" s="2" t="s">
        <v>11</v>
      </c>
      <c r="O1" s="2" t="s">
        <v>12</v>
      </c>
      <c r="P1" s="2" t="s">
        <v>35</v>
      </c>
      <c r="Q1" s="2" t="s">
        <v>13</v>
      </c>
      <c r="R1" s="2" t="s">
        <v>14</v>
      </c>
      <c r="S1" s="2" t="s">
        <v>15</v>
      </c>
      <c r="T1" s="2" t="s">
        <v>54</v>
      </c>
      <c r="U1" s="2" t="s">
        <v>45</v>
      </c>
      <c r="V1" s="2" t="s">
        <v>58</v>
      </c>
      <c r="W1" s="2" t="s">
        <v>31</v>
      </c>
      <c r="X1" s="2" t="s">
        <v>44</v>
      </c>
    </row>
    <row r="2" spans="1:24" x14ac:dyDescent="0.25">
      <c r="A2" s="3" t="s">
        <v>22</v>
      </c>
      <c r="B2" s="8">
        <v>1287749911.95</v>
      </c>
      <c r="C2" s="10">
        <f>1962535.55+3743917.19</f>
        <v>5706452.7400000002</v>
      </c>
      <c r="D2" s="4" t="s">
        <v>30</v>
      </c>
      <c r="E2" s="10">
        <v>0</v>
      </c>
      <c r="F2" s="4" t="s">
        <v>30</v>
      </c>
      <c r="G2" s="11"/>
      <c r="H2" s="33">
        <v>1188604.56</v>
      </c>
      <c r="I2" s="10">
        <v>116250</v>
      </c>
      <c r="J2" s="10"/>
      <c r="K2" s="20">
        <v>727567</v>
      </c>
      <c r="L2" s="10">
        <v>15413837.609999999</v>
      </c>
      <c r="M2" s="10"/>
      <c r="N2" s="4" t="s">
        <v>30</v>
      </c>
      <c r="O2" s="4" t="s">
        <v>30</v>
      </c>
      <c r="P2" s="4" t="s">
        <v>30</v>
      </c>
      <c r="Q2" s="4" t="s">
        <v>30</v>
      </c>
      <c r="R2" s="4" t="s">
        <v>30</v>
      </c>
      <c r="S2" s="3"/>
      <c r="T2" s="10">
        <v>0</v>
      </c>
      <c r="U2" s="4"/>
      <c r="V2" s="10"/>
      <c r="W2" s="10"/>
      <c r="X2" s="10"/>
    </row>
    <row r="3" spans="1:24" x14ac:dyDescent="0.25">
      <c r="A3" s="3" t="s">
        <v>23</v>
      </c>
      <c r="B3" s="8">
        <v>1356674707.8499999</v>
      </c>
      <c r="C3" s="11">
        <v>0</v>
      </c>
      <c r="D3" s="4" t="s">
        <v>30</v>
      </c>
      <c r="E3" s="10">
        <v>6187615.1600000001</v>
      </c>
      <c r="F3" s="4" t="s">
        <v>30</v>
      </c>
      <c r="G3" s="11"/>
      <c r="H3" s="33">
        <v>2632042.67</v>
      </c>
      <c r="I3" s="10">
        <v>134850</v>
      </c>
      <c r="J3" s="10"/>
      <c r="K3" s="11">
        <v>235934.25</v>
      </c>
      <c r="L3" s="10">
        <v>12314299.77</v>
      </c>
      <c r="M3" s="10"/>
      <c r="N3" s="4" t="s">
        <v>30</v>
      </c>
      <c r="O3" s="4" t="s">
        <v>30</v>
      </c>
      <c r="P3" s="4" t="s">
        <v>30</v>
      </c>
      <c r="Q3" s="4" t="s">
        <v>30</v>
      </c>
      <c r="R3" s="4" t="s">
        <v>30</v>
      </c>
      <c r="S3" s="3"/>
      <c r="T3" s="10">
        <v>17824128.59</v>
      </c>
      <c r="U3" s="4"/>
      <c r="V3" s="10"/>
      <c r="W3" s="8"/>
      <c r="X3" s="8"/>
    </row>
    <row r="4" spans="1:24" x14ac:dyDescent="0.25">
      <c r="A4" s="3" t="s">
        <v>24</v>
      </c>
      <c r="B4" s="8">
        <v>2140112841.77</v>
      </c>
      <c r="C4" s="11">
        <v>0</v>
      </c>
      <c r="D4" s="14" t="s">
        <v>30</v>
      </c>
      <c r="E4" s="11">
        <v>7949769.5800000001</v>
      </c>
      <c r="F4" s="14" t="s">
        <v>30</v>
      </c>
      <c r="G4" s="11"/>
      <c r="H4" s="33">
        <v>19009757.489999998</v>
      </c>
      <c r="I4" s="11">
        <v>176250</v>
      </c>
      <c r="J4" s="11"/>
      <c r="K4" s="11">
        <v>652830.85</v>
      </c>
      <c r="L4" s="10">
        <v>20336514.859999999</v>
      </c>
      <c r="M4" s="10"/>
      <c r="N4" s="4" t="s">
        <v>30</v>
      </c>
      <c r="O4" s="4" t="s">
        <v>30</v>
      </c>
      <c r="P4" s="4" t="s">
        <v>30</v>
      </c>
      <c r="Q4" s="4" t="s">
        <v>30</v>
      </c>
      <c r="R4" s="4" t="s">
        <v>30</v>
      </c>
      <c r="S4" s="3"/>
      <c r="T4" s="10">
        <v>17606080.629999999</v>
      </c>
      <c r="U4" s="4"/>
      <c r="V4" s="10"/>
      <c r="W4" s="8"/>
      <c r="X4" s="8"/>
    </row>
    <row r="5" spans="1:24" x14ac:dyDescent="0.25">
      <c r="A5" s="3" t="s">
        <v>25</v>
      </c>
      <c r="B5" s="8">
        <v>2727218442.73</v>
      </c>
      <c r="C5" s="11">
        <v>13226868.640000001</v>
      </c>
      <c r="D5" s="14" t="s">
        <v>30</v>
      </c>
      <c r="E5" s="11">
        <v>0</v>
      </c>
      <c r="F5" s="14" t="s">
        <v>30</v>
      </c>
      <c r="G5" s="11"/>
      <c r="H5" s="33">
        <v>20121494.690000001</v>
      </c>
      <c r="I5" s="11">
        <v>212558.61</v>
      </c>
      <c r="J5" s="11"/>
      <c r="K5" s="11">
        <v>796548.27</v>
      </c>
      <c r="L5" s="11">
        <v>18708949.030000001</v>
      </c>
      <c r="M5" s="11"/>
      <c r="N5" s="4" t="s">
        <v>30</v>
      </c>
      <c r="O5" s="4" t="s">
        <v>30</v>
      </c>
      <c r="P5" s="4" t="s">
        <v>30</v>
      </c>
      <c r="Q5" s="4" t="s">
        <v>30</v>
      </c>
      <c r="R5" s="4" t="s">
        <v>30</v>
      </c>
      <c r="S5" s="3"/>
      <c r="T5" s="10">
        <v>26271258.100000001</v>
      </c>
      <c r="U5" s="4"/>
      <c r="V5" s="10">
        <v>439757</v>
      </c>
      <c r="W5" s="8">
        <v>23622915.129999999</v>
      </c>
      <c r="X5" s="8">
        <v>65595687.329999998</v>
      </c>
    </row>
    <row r="6" spans="1:24" x14ac:dyDescent="0.25">
      <c r="A6" s="3" t="s">
        <v>26</v>
      </c>
      <c r="B6" s="8">
        <f>1544866940.81+1585365894.14</f>
        <v>3130232834.9499998</v>
      </c>
      <c r="C6" s="11">
        <v>0</v>
      </c>
      <c r="D6" s="14" t="s">
        <v>30</v>
      </c>
      <c r="E6" s="11">
        <v>11462843.85</v>
      </c>
      <c r="F6" s="14" t="s">
        <v>30</v>
      </c>
      <c r="G6" s="11"/>
      <c r="H6" s="33">
        <v>22198657</v>
      </c>
      <c r="I6" s="11">
        <v>393769.56</v>
      </c>
      <c r="J6" s="11"/>
      <c r="K6" s="11">
        <v>1866601.86</v>
      </c>
      <c r="L6" s="10">
        <v>29162448.989999998</v>
      </c>
      <c r="M6" s="10"/>
      <c r="N6" s="4" t="s">
        <v>30</v>
      </c>
      <c r="O6" s="4" t="s">
        <v>30</v>
      </c>
      <c r="P6" s="4" t="s">
        <v>30</v>
      </c>
      <c r="Q6" s="4" t="s">
        <v>30</v>
      </c>
      <c r="R6" s="4" t="s">
        <v>30</v>
      </c>
      <c r="S6" s="3"/>
      <c r="T6" s="10">
        <v>26454871.09</v>
      </c>
      <c r="U6" s="4"/>
      <c r="V6" s="10">
        <v>2800748.58</v>
      </c>
      <c r="W6" s="8">
        <v>44942110.479999997</v>
      </c>
      <c r="X6" s="8">
        <v>46257822.600000001</v>
      </c>
    </row>
    <row r="7" spans="1:24" x14ac:dyDescent="0.25">
      <c r="A7" s="3" t="s">
        <v>27</v>
      </c>
      <c r="B7" s="16">
        <f>1624099080.42+2590098234.47</f>
        <v>4214197314.8899999</v>
      </c>
      <c r="C7" s="11">
        <v>42076376.899999999</v>
      </c>
      <c r="D7" s="14" t="s">
        <v>30</v>
      </c>
      <c r="E7" s="11">
        <v>0</v>
      </c>
      <c r="F7" s="14" t="s">
        <v>30</v>
      </c>
      <c r="G7" s="11"/>
      <c r="H7" s="33">
        <v>22510942.379999999</v>
      </c>
      <c r="I7" s="11">
        <v>0</v>
      </c>
      <c r="J7" s="11"/>
      <c r="K7" s="11">
        <v>1071712.19</v>
      </c>
      <c r="L7" s="10">
        <v>32094649.75</v>
      </c>
      <c r="M7" s="10"/>
      <c r="N7" s="4" t="s">
        <v>30</v>
      </c>
      <c r="O7" s="4" t="s">
        <v>30</v>
      </c>
      <c r="P7" s="4" t="s">
        <v>30</v>
      </c>
      <c r="Q7" s="4" t="s">
        <v>30</v>
      </c>
      <c r="R7" s="4" t="s">
        <v>30</v>
      </c>
      <c r="S7" s="3"/>
      <c r="T7" s="10">
        <v>35656731.390000001</v>
      </c>
      <c r="U7" s="4"/>
      <c r="V7" s="10"/>
      <c r="W7" s="8"/>
      <c r="X7" s="8"/>
    </row>
    <row r="8" spans="1:24" x14ac:dyDescent="0.25">
      <c r="A8" s="3" t="s">
        <v>28</v>
      </c>
      <c r="B8" s="8">
        <f>3983975957.68+3740228350.79</f>
        <v>7724204308.4699993</v>
      </c>
      <c r="C8" s="11">
        <v>0</v>
      </c>
      <c r="D8" s="14" t="s">
        <v>30</v>
      </c>
      <c r="E8" s="11">
        <v>5012136.09</v>
      </c>
      <c r="F8" s="14" t="s">
        <v>30</v>
      </c>
      <c r="G8" s="11"/>
      <c r="H8" s="11">
        <v>47341787.299999997</v>
      </c>
      <c r="I8" s="11">
        <v>1261719.45</v>
      </c>
      <c r="J8" s="11"/>
      <c r="K8" s="11">
        <v>4255727.91</v>
      </c>
      <c r="L8" s="10">
        <v>65740741.920000002</v>
      </c>
      <c r="M8" s="10"/>
      <c r="N8" s="4" t="s">
        <v>30</v>
      </c>
      <c r="O8" s="4" t="s">
        <v>30</v>
      </c>
      <c r="P8" s="4" t="s">
        <v>30</v>
      </c>
      <c r="Q8" s="4" t="s">
        <v>30</v>
      </c>
      <c r="R8" s="4" t="s">
        <v>30</v>
      </c>
      <c r="S8" s="3"/>
      <c r="T8" s="10">
        <v>61860456</v>
      </c>
      <c r="U8" s="4"/>
      <c r="V8" s="10"/>
      <c r="W8" s="8"/>
      <c r="X8" s="8"/>
    </row>
    <row r="9" spans="1:24" x14ac:dyDescent="0.25">
      <c r="A9" s="3" t="s">
        <v>17</v>
      </c>
      <c r="B9" s="8">
        <f>3461704243.16+4025695727.1</f>
        <v>7487399970.2600002</v>
      </c>
      <c r="C9" s="10">
        <v>0</v>
      </c>
      <c r="D9" s="4" t="s">
        <v>30</v>
      </c>
      <c r="E9" s="10">
        <v>40243161.869999997</v>
      </c>
      <c r="F9" s="4" t="s">
        <v>30</v>
      </c>
      <c r="G9" s="10"/>
      <c r="H9" s="10">
        <v>131447545.34999999</v>
      </c>
      <c r="I9" s="10">
        <v>1342260.81</v>
      </c>
      <c r="J9" s="10"/>
      <c r="K9" s="10">
        <v>2827006.78</v>
      </c>
      <c r="L9" s="10">
        <v>72019325.939999998</v>
      </c>
      <c r="M9" s="10"/>
      <c r="N9" s="4" t="s">
        <v>30</v>
      </c>
      <c r="O9" s="4" t="s">
        <v>30</v>
      </c>
      <c r="P9" s="4" t="s">
        <v>30</v>
      </c>
      <c r="Q9" s="4" t="s">
        <v>30</v>
      </c>
      <c r="R9" s="4" t="s">
        <v>30</v>
      </c>
      <c r="S9" s="3"/>
      <c r="T9" s="10">
        <v>94403294.010000005</v>
      </c>
      <c r="U9" s="4"/>
      <c r="V9" s="10"/>
      <c r="W9" s="8"/>
      <c r="X9" s="8"/>
    </row>
    <row r="10" spans="1:24" x14ac:dyDescent="0.25">
      <c r="A10" s="3" t="s">
        <v>18</v>
      </c>
      <c r="B10" s="8">
        <f>3964999985.46+4135762275.44</f>
        <v>8100762260.8999996</v>
      </c>
      <c r="C10" s="10">
        <v>0</v>
      </c>
      <c r="D10" s="4" t="s">
        <v>30</v>
      </c>
      <c r="E10" s="10">
        <v>41472090.409999996</v>
      </c>
      <c r="F10" s="4" t="s">
        <v>30</v>
      </c>
      <c r="G10" s="8"/>
      <c r="H10" s="10">
        <v>102057349.27</v>
      </c>
      <c r="I10" s="10">
        <v>1619684.96</v>
      </c>
      <c r="J10" s="10"/>
      <c r="K10" s="10">
        <v>1515424.94</v>
      </c>
      <c r="L10" s="10">
        <v>79906957.129999995</v>
      </c>
      <c r="M10" s="10"/>
      <c r="N10" s="4" t="s">
        <v>30</v>
      </c>
      <c r="O10" s="4" t="s">
        <v>30</v>
      </c>
      <c r="P10" s="4" t="s">
        <v>30</v>
      </c>
      <c r="Q10" s="4" t="s">
        <v>30</v>
      </c>
      <c r="R10" s="4" t="s">
        <v>30</v>
      </c>
      <c r="S10" s="3"/>
      <c r="T10" s="10">
        <v>113048393.34999999</v>
      </c>
      <c r="U10" s="4"/>
      <c r="V10" s="10"/>
      <c r="W10" s="8"/>
      <c r="X10" s="8"/>
    </row>
    <row r="11" spans="1:24" x14ac:dyDescent="0.25">
      <c r="A11" s="3" t="s">
        <v>19</v>
      </c>
      <c r="B11" s="8">
        <f>7276023906.59+9344902595.29</f>
        <v>16620926501.880001</v>
      </c>
      <c r="C11" s="10">
        <v>0</v>
      </c>
      <c r="D11" s="4" t="s">
        <v>30</v>
      </c>
      <c r="E11" s="10">
        <v>20839122.73</v>
      </c>
      <c r="F11" s="4" t="s">
        <v>30</v>
      </c>
      <c r="G11" s="8"/>
      <c r="H11" s="10">
        <v>107847257</v>
      </c>
      <c r="I11" s="10">
        <v>1695482.25</v>
      </c>
      <c r="J11" s="10"/>
      <c r="K11" s="10">
        <v>7724602.2199999997</v>
      </c>
      <c r="L11" s="10">
        <v>114117861.81999999</v>
      </c>
      <c r="M11" s="10"/>
      <c r="N11" s="4" t="s">
        <v>30</v>
      </c>
      <c r="O11" s="4" t="s">
        <v>30</v>
      </c>
      <c r="P11" s="4" t="s">
        <v>30</v>
      </c>
      <c r="Q11" s="4" t="s">
        <v>30</v>
      </c>
      <c r="R11" s="4" t="s">
        <v>30</v>
      </c>
      <c r="S11" s="3"/>
      <c r="T11" s="10">
        <v>116545985.65000001</v>
      </c>
      <c r="U11" s="4"/>
      <c r="V11" s="10"/>
      <c r="W11" s="8"/>
      <c r="X11" s="8"/>
    </row>
    <row r="12" spans="1:24" x14ac:dyDescent="0.25">
      <c r="A12" s="3" t="s">
        <v>20</v>
      </c>
      <c r="B12" s="8">
        <f>9426466237.57+10112171998</f>
        <v>19538638235.57</v>
      </c>
      <c r="C12" s="10">
        <v>0</v>
      </c>
      <c r="D12" s="4" t="s">
        <v>30</v>
      </c>
      <c r="E12" s="10">
        <v>127728997.8</v>
      </c>
      <c r="F12" s="4" t="s">
        <v>30</v>
      </c>
      <c r="G12" s="8"/>
      <c r="H12" s="10">
        <v>209552435.47</v>
      </c>
      <c r="I12" s="10">
        <v>1962241.39</v>
      </c>
      <c r="J12" s="10"/>
      <c r="K12" s="10">
        <v>4905071.1100000003</v>
      </c>
      <c r="L12" s="10">
        <v>187713688.33000001</v>
      </c>
      <c r="M12" s="10"/>
      <c r="N12" s="4" t="s">
        <v>30</v>
      </c>
      <c r="O12" s="4" t="s">
        <v>30</v>
      </c>
      <c r="P12" s="4" t="s">
        <v>30</v>
      </c>
      <c r="Q12" s="4" t="s">
        <v>30</v>
      </c>
      <c r="R12" s="4" t="s">
        <v>30</v>
      </c>
      <c r="S12" s="3"/>
      <c r="T12" s="10">
        <v>205268442.28999999</v>
      </c>
      <c r="U12" s="4"/>
      <c r="V12" s="10"/>
      <c r="W12" s="8"/>
      <c r="X12" s="8"/>
    </row>
    <row r="13" spans="1:24" s="15" customFormat="1" x14ac:dyDescent="0.25">
      <c r="A13" s="3" t="s">
        <v>21</v>
      </c>
      <c r="B13" s="13">
        <f>11824302576.5+15529140553.59</f>
        <v>27353443130.09</v>
      </c>
      <c r="C13" s="13">
        <v>200998920.84999999</v>
      </c>
      <c r="D13" s="14" t="s">
        <v>30</v>
      </c>
      <c r="E13" s="11">
        <v>0</v>
      </c>
      <c r="F13" s="14" t="s">
        <v>30</v>
      </c>
      <c r="G13" s="13"/>
      <c r="H13" s="11">
        <v>123294189.63</v>
      </c>
      <c r="I13" s="13">
        <v>2492391.81</v>
      </c>
      <c r="J13" s="13"/>
      <c r="K13" s="13">
        <v>4863537.58</v>
      </c>
      <c r="L13" s="13">
        <v>219364745.75</v>
      </c>
      <c r="M13" s="13"/>
      <c r="N13" s="4" t="s">
        <v>30</v>
      </c>
      <c r="O13" s="4" t="s">
        <v>30</v>
      </c>
      <c r="P13" s="4" t="s">
        <v>30</v>
      </c>
      <c r="Q13" s="4" t="s">
        <v>30</v>
      </c>
      <c r="R13" s="4" t="s">
        <v>30</v>
      </c>
      <c r="S13" s="12"/>
      <c r="T13" s="11">
        <v>241302182.21000001</v>
      </c>
      <c r="U13" s="14"/>
      <c r="V13" s="11"/>
      <c r="W13" s="13"/>
      <c r="X13" s="13"/>
    </row>
    <row r="14" spans="1:24" s="25" customFormat="1" x14ac:dyDescent="0.25">
      <c r="A14" s="21" t="s">
        <v>34</v>
      </c>
      <c r="B14" s="41">
        <f>SUM(B2:B13)</f>
        <v>101681560461.31</v>
      </c>
      <c r="C14" s="44">
        <v>200998920.84999999</v>
      </c>
      <c r="D14" s="24" t="s">
        <v>30</v>
      </c>
      <c r="E14" s="44">
        <v>0</v>
      </c>
      <c r="F14" s="24" t="s">
        <v>30</v>
      </c>
      <c r="G14" s="22"/>
      <c r="H14" s="44">
        <v>123294189.63</v>
      </c>
      <c r="I14" s="44">
        <v>2492391.81</v>
      </c>
      <c r="J14" s="23"/>
      <c r="K14" s="44">
        <f>SUM(K2:K13)</f>
        <v>31442564.960000001</v>
      </c>
      <c r="L14" s="44">
        <f>SUM(L2:L13)</f>
        <v>866894020.89999998</v>
      </c>
      <c r="M14" s="44"/>
      <c r="N14" s="24"/>
      <c r="O14" s="24"/>
      <c r="P14" s="24"/>
      <c r="Q14" s="24"/>
      <c r="R14" s="24"/>
      <c r="S14" s="21"/>
      <c r="T14" s="23">
        <f>SUM(T2:T13)</f>
        <v>956241823.30999994</v>
      </c>
      <c r="U14" s="24"/>
      <c r="V14" s="23"/>
      <c r="W14" s="22"/>
      <c r="X14" s="22"/>
    </row>
    <row r="18" spans="1:24" s="1" customFormat="1" ht="45" x14ac:dyDescent="0.25">
      <c r="A18" s="2" t="s">
        <v>71</v>
      </c>
      <c r="B18" s="2" t="s">
        <v>0</v>
      </c>
      <c r="C18" s="19" t="s">
        <v>3</v>
      </c>
      <c r="D18" s="2" t="s">
        <v>1</v>
      </c>
      <c r="E18" s="2" t="s">
        <v>4</v>
      </c>
      <c r="F18" s="2" t="s">
        <v>10</v>
      </c>
      <c r="G18" s="2" t="s">
        <v>2</v>
      </c>
      <c r="H18" s="2" t="s">
        <v>5</v>
      </c>
      <c r="I18" s="2" t="s">
        <v>6</v>
      </c>
      <c r="J18" s="2" t="s">
        <v>41</v>
      </c>
      <c r="K18" s="101" t="s">
        <v>42</v>
      </c>
      <c r="L18" s="101" t="s">
        <v>70</v>
      </c>
      <c r="M18" s="101" t="s">
        <v>818</v>
      </c>
      <c r="N18" s="2" t="s">
        <v>11</v>
      </c>
      <c r="O18" s="2" t="s">
        <v>12</v>
      </c>
      <c r="P18" s="2" t="s">
        <v>35</v>
      </c>
      <c r="Q18" s="2" t="s">
        <v>13</v>
      </c>
      <c r="R18" s="2" t="s">
        <v>14</v>
      </c>
      <c r="S18" s="2" t="s">
        <v>15</v>
      </c>
      <c r="T18" s="2" t="s">
        <v>54</v>
      </c>
      <c r="U18" s="2" t="s">
        <v>45</v>
      </c>
      <c r="V18" s="2" t="s">
        <v>58</v>
      </c>
      <c r="W18" s="2" t="s">
        <v>31</v>
      </c>
      <c r="X18" s="2" t="s">
        <v>44</v>
      </c>
    </row>
    <row r="19" spans="1:24" x14ac:dyDescent="0.25">
      <c r="A19" s="3" t="s">
        <v>22</v>
      </c>
      <c r="B19" s="8">
        <f>14070256105.72+13430727937.46</f>
        <v>27500984043.18</v>
      </c>
      <c r="C19" s="10">
        <v>161476596.25999999</v>
      </c>
      <c r="D19" s="4" t="s">
        <v>30</v>
      </c>
      <c r="E19" s="10">
        <v>0</v>
      </c>
      <c r="F19" s="4" t="s">
        <v>30</v>
      </c>
      <c r="G19" s="11"/>
      <c r="H19" s="33">
        <v>245671655.91</v>
      </c>
      <c r="I19" s="10">
        <v>2744531.09</v>
      </c>
      <c r="J19" s="10">
        <v>0</v>
      </c>
      <c r="K19" s="20">
        <v>9261365.0199999996</v>
      </c>
      <c r="L19" s="10">
        <f>155291405.53+140702561.05</f>
        <v>295993966.58000004</v>
      </c>
      <c r="M19" s="10">
        <v>0</v>
      </c>
      <c r="N19" s="4"/>
      <c r="O19" s="4"/>
      <c r="P19" s="4"/>
      <c r="Q19" s="4"/>
      <c r="R19" s="4"/>
      <c r="S19" s="3"/>
      <c r="T19" s="10">
        <v>337815022.66000003</v>
      </c>
      <c r="U19" s="4"/>
      <c r="V19" s="10"/>
      <c r="W19" s="10"/>
      <c r="X19" s="10"/>
    </row>
    <row r="20" spans="1:24" x14ac:dyDescent="0.25">
      <c r="A20" s="3" t="s">
        <v>23</v>
      </c>
      <c r="B20" s="8">
        <f>15282988087.49+19525978990.1</f>
        <v>34808967077.589996</v>
      </c>
      <c r="C20" s="11">
        <v>308744244.60000002</v>
      </c>
      <c r="D20" s="4" t="s">
        <v>30</v>
      </c>
      <c r="E20" s="10">
        <v>0</v>
      </c>
      <c r="F20" s="4" t="s">
        <v>30</v>
      </c>
      <c r="G20" s="11"/>
      <c r="H20" s="33">
        <v>352022467.83999997</v>
      </c>
      <c r="I20" s="10">
        <v>2911975.44</v>
      </c>
      <c r="J20" s="10">
        <v>0</v>
      </c>
      <c r="K20" s="11">
        <v>5460247.75</v>
      </c>
      <c r="L20" s="10">
        <f>134307279.37+152829880.87</f>
        <v>287137160.24000001</v>
      </c>
      <c r="M20" s="10">
        <v>0</v>
      </c>
      <c r="N20" s="4"/>
      <c r="O20" s="4"/>
      <c r="P20" s="4"/>
      <c r="Q20" s="4"/>
      <c r="R20" s="4"/>
      <c r="S20" s="3"/>
      <c r="T20" s="10">
        <v>342902894.79000002</v>
      </c>
      <c r="U20" s="4"/>
      <c r="V20" s="10"/>
      <c r="W20" s="8"/>
      <c r="X20" s="8"/>
    </row>
    <row r="21" spans="1:24" x14ac:dyDescent="0.25">
      <c r="A21" s="3" t="s">
        <v>24</v>
      </c>
      <c r="B21" s="8">
        <f>18182440559.2+22828432143.68</f>
        <v>41010872702.880005</v>
      </c>
      <c r="C21" s="11">
        <v>256208530.59</v>
      </c>
      <c r="D21" s="14" t="s">
        <v>30</v>
      </c>
      <c r="E21" s="11">
        <v>0</v>
      </c>
      <c r="F21" s="14" t="s">
        <v>30</v>
      </c>
      <c r="G21" s="11"/>
      <c r="H21" s="33">
        <v>402358693.87</v>
      </c>
      <c r="I21" s="11">
        <v>3627317.12</v>
      </c>
      <c r="J21" s="10">
        <v>0</v>
      </c>
      <c r="K21" s="11">
        <v>2271505.92</v>
      </c>
      <c r="L21" s="10">
        <f>195259789.9+181824405.59</f>
        <v>377084195.49000001</v>
      </c>
      <c r="M21" s="10">
        <v>0</v>
      </c>
      <c r="N21" s="4"/>
      <c r="O21" s="4"/>
      <c r="P21" s="4"/>
      <c r="Q21" s="4"/>
      <c r="R21" s="4"/>
      <c r="S21" s="3"/>
      <c r="T21" s="10">
        <v>434024308.25</v>
      </c>
      <c r="U21" s="4"/>
      <c r="V21" s="10"/>
      <c r="W21" s="8"/>
      <c r="X21" s="8"/>
    </row>
    <row r="22" spans="1:24" x14ac:dyDescent="0.25">
      <c r="A22" s="3" t="s">
        <v>25</v>
      </c>
      <c r="B22" s="8">
        <f>23552437891.36+21422666591.59</f>
        <v>44975104482.949997</v>
      </c>
      <c r="C22" s="11">
        <v>0</v>
      </c>
      <c r="D22" s="14" t="s">
        <v>30</v>
      </c>
      <c r="E22" s="11">
        <v>141511485.25999999</v>
      </c>
      <c r="F22" s="14" t="s">
        <v>30</v>
      </c>
      <c r="G22" s="11"/>
      <c r="H22" s="33">
        <v>456466865.51999998</v>
      </c>
      <c r="I22" s="11">
        <v>3614679.59</v>
      </c>
      <c r="J22" s="10">
        <v>0</v>
      </c>
      <c r="K22" s="11">
        <v>14710000</v>
      </c>
      <c r="L22" s="11">
        <f>228284321.43+235524378.91</f>
        <v>463808700.34000003</v>
      </c>
      <c r="M22" s="11">
        <v>0</v>
      </c>
      <c r="N22" s="4"/>
      <c r="O22" s="4"/>
      <c r="P22" s="4"/>
      <c r="Q22" s="4"/>
      <c r="R22" s="4"/>
      <c r="S22" s="3"/>
      <c r="T22" s="10">
        <v>511354319.00999999</v>
      </c>
      <c r="U22" s="4"/>
      <c r="V22" s="10"/>
      <c r="W22" s="8"/>
      <c r="X22" s="8"/>
    </row>
    <row r="23" spans="1:24" x14ac:dyDescent="0.25">
      <c r="A23" s="3" t="s">
        <v>810</v>
      </c>
      <c r="B23" s="8">
        <f>SUM(B19:B22)</f>
        <v>148295928306.59998</v>
      </c>
      <c r="C23" s="11">
        <v>0</v>
      </c>
      <c r="D23" s="14" t="s">
        <v>30</v>
      </c>
      <c r="E23" s="11">
        <f>+E22</f>
        <v>141511485.25999999</v>
      </c>
      <c r="F23" s="14" t="s">
        <v>30</v>
      </c>
      <c r="G23" s="11"/>
      <c r="H23" s="33">
        <v>456466865.51999998</v>
      </c>
      <c r="I23" s="11">
        <f>+I22</f>
        <v>3614679.59</v>
      </c>
      <c r="J23" s="10">
        <v>0</v>
      </c>
      <c r="K23" s="11">
        <f>SUM(K19:K22)</f>
        <v>31703118.689999998</v>
      </c>
      <c r="L23" s="11">
        <f>SUM(L19:L22)</f>
        <v>1424024022.6500001</v>
      </c>
      <c r="M23" s="11">
        <v>0</v>
      </c>
      <c r="N23" s="4"/>
      <c r="O23" s="4"/>
      <c r="P23" s="4"/>
      <c r="Q23" s="4"/>
      <c r="R23" s="4"/>
      <c r="S23" s="3"/>
      <c r="T23" s="10">
        <f>SUM(T19:T22)</f>
        <v>1626096544.71</v>
      </c>
      <c r="U23" s="4"/>
      <c r="V23" s="10"/>
      <c r="W23" s="8"/>
      <c r="X23" s="8"/>
    </row>
    <row r="24" spans="1:24" x14ac:dyDescent="0.25">
      <c r="A24" s="3" t="s">
        <v>811</v>
      </c>
      <c r="B24" s="8">
        <f>+B23/1000000</f>
        <v>148295.92830659996</v>
      </c>
      <c r="C24" s="11">
        <v>0</v>
      </c>
      <c r="D24" s="14" t="s">
        <v>30</v>
      </c>
      <c r="E24" s="11">
        <f>+E23/1000000</f>
        <v>141.51148526</v>
      </c>
      <c r="F24" s="14" t="s">
        <v>30</v>
      </c>
      <c r="G24" s="11"/>
      <c r="H24" s="33">
        <f>+H23/1000000</f>
        <v>456.46686552</v>
      </c>
      <c r="I24" s="11">
        <f>+I23/1000000</f>
        <v>3.6146795899999997</v>
      </c>
      <c r="J24" s="10">
        <v>0</v>
      </c>
      <c r="K24" s="11">
        <f>+K23/1000000</f>
        <v>31.703118689999997</v>
      </c>
      <c r="L24" s="11">
        <f>+L23/1000000</f>
        <v>1424.02402265</v>
      </c>
      <c r="M24" s="11">
        <v>0</v>
      </c>
      <c r="N24" s="4"/>
      <c r="O24" s="4"/>
      <c r="P24" s="4"/>
      <c r="Q24" s="4"/>
      <c r="R24" s="4"/>
      <c r="S24" s="3"/>
      <c r="T24" s="10">
        <f>+T23/1000000</f>
        <v>1626.09654471</v>
      </c>
      <c r="U24" s="4"/>
      <c r="V24" s="10"/>
      <c r="W24" s="8"/>
      <c r="X24" s="8"/>
    </row>
    <row r="25" spans="1:24" x14ac:dyDescent="0.25">
      <c r="A25" s="3" t="s">
        <v>26</v>
      </c>
      <c r="B25" s="8">
        <f>22609.22+19845.96</f>
        <v>42455.18</v>
      </c>
      <c r="C25" s="11">
        <v>412.47</v>
      </c>
      <c r="D25" s="14" t="s">
        <v>30</v>
      </c>
      <c r="E25" s="11">
        <v>0</v>
      </c>
      <c r="F25" s="14" t="s">
        <v>30</v>
      </c>
      <c r="G25" s="11"/>
      <c r="H25" s="33">
        <v>459.05</v>
      </c>
      <c r="I25" s="11">
        <v>4.95</v>
      </c>
      <c r="J25" s="10">
        <v>0</v>
      </c>
      <c r="K25" s="11">
        <v>7.39</v>
      </c>
      <c r="L25" s="10">
        <f>214.22+226.09</f>
        <v>440.31</v>
      </c>
      <c r="M25" s="10">
        <v>0</v>
      </c>
      <c r="N25" s="4"/>
      <c r="O25" s="4"/>
      <c r="P25" s="4"/>
      <c r="Q25" s="4"/>
      <c r="R25" s="4"/>
      <c r="S25" s="3"/>
      <c r="T25" s="10">
        <v>560.79</v>
      </c>
      <c r="U25" s="4"/>
      <c r="V25" s="10"/>
      <c r="W25" s="8"/>
      <c r="X25" s="8"/>
    </row>
    <row r="26" spans="1:24" x14ac:dyDescent="0.25">
      <c r="A26" s="3" t="s">
        <v>27</v>
      </c>
      <c r="B26" s="16">
        <f>23059.9+24746.42</f>
        <v>47806.32</v>
      </c>
      <c r="C26" s="11">
        <v>0</v>
      </c>
      <c r="D26" s="14" t="s">
        <v>30</v>
      </c>
      <c r="E26" s="11">
        <v>274.68</v>
      </c>
      <c r="F26" s="14" t="s">
        <v>30</v>
      </c>
      <c r="G26" s="11"/>
      <c r="H26" s="33">
        <v>998.09</v>
      </c>
      <c r="I26" s="11">
        <v>5.33</v>
      </c>
      <c r="J26" s="10">
        <v>0</v>
      </c>
      <c r="K26" s="11">
        <v>4.59</v>
      </c>
      <c r="L26" s="10">
        <f>198.45+230.59</f>
        <v>429.03999999999996</v>
      </c>
      <c r="M26" s="10">
        <v>0</v>
      </c>
      <c r="N26" s="4"/>
      <c r="O26" s="4"/>
      <c r="P26" s="4"/>
      <c r="Q26" s="4"/>
      <c r="R26" s="4"/>
      <c r="S26" s="3"/>
      <c r="T26" s="10">
        <v>529.37</v>
      </c>
      <c r="U26" s="4"/>
      <c r="V26" s="10"/>
      <c r="W26" s="8"/>
      <c r="X26" s="8"/>
    </row>
    <row r="27" spans="1:24" x14ac:dyDescent="0.25">
      <c r="A27" s="3" t="s">
        <v>28</v>
      </c>
      <c r="B27" s="8">
        <f>21834.43+20035.96</f>
        <v>41870.39</v>
      </c>
      <c r="C27" s="11">
        <v>151.57</v>
      </c>
      <c r="D27" s="14" t="s">
        <v>30</v>
      </c>
      <c r="E27" s="11">
        <v>0</v>
      </c>
      <c r="F27" s="14" t="s">
        <v>30</v>
      </c>
      <c r="G27" s="11"/>
      <c r="H27" s="11">
        <v>522.54999999999995</v>
      </c>
      <c r="I27" s="11">
        <v>5.43</v>
      </c>
      <c r="J27" s="10">
        <v>0</v>
      </c>
      <c r="K27" s="11">
        <v>6.44</v>
      </c>
      <c r="L27" s="10">
        <f>247.46+218.34</f>
        <v>465.8</v>
      </c>
      <c r="M27" s="10">
        <v>0</v>
      </c>
      <c r="N27" s="4"/>
      <c r="O27" s="4"/>
      <c r="P27" s="4"/>
      <c r="Q27" s="4"/>
      <c r="R27" s="4"/>
      <c r="S27" s="3"/>
      <c r="T27" s="10">
        <v>596.09</v>
      </c>
      <c r="U27" s="4"/>
      <c r="V27" s="10"/>
      <c r="W27" s="8"/>
      <c r="X27" s="8"/>
    </row>
    <row r="28" spans="1:24" x14ac:dyDescent="0.25">
      <c r="A28" s="3" t="s">
        <v>17</v>
      </c>
      <c r="B28" s="8">
        <f>22913.97+26350.35</f>
        <v>49264.32</v>
      </c>
      <c r="C28" s="10">
        <v>259.16000000000003</v>
      </c>
      <c r="D28" s="4" t="s">
        <v>30</v>
      </c>
      <c r="E28" s="10">
        <v>0</v>
      </c>
      <c r="F28" s="4" t="s">
        <v>30</v>
      </c>
      <c r="G28" s="10"/>
      <c r="H28" s="10">
        <v>450.98</v>
      </c>
      <c r="I28" s="10">
        <v>0</v>
      </c>
      <c r="J28" s="10">
        <v>0</v>
      </c>
      <c r="K28" s="10">
        <v>10.119999999999999</v>
      </c>
      <c r="L28" s="10">
        <f>200.35+229.13</f>
        <v>429.48</v>
      </c>
      <c r="M28" s="10">
        <v>0</v>
      </c>
      <c r="N28" s="4"/>
      <c r="O28" s="4"/>
      <c r="P28" s="4"/>
      <c r="Q28" s="4"/>
      <c r="R28" s="4"/>
      <c r="S28" s="3"/>
      <c r="T28" s="10">
        <v>522.07000000000005</v>
      </c>
      <c r="U28" s="4"/>
      <c r="V28" s="10"/>
      <c r="W28" s="8"/>
      <c r="X28" s="8"/>
    </row>
    <row r="29" spans="1:24" x14ac:dyDescent="0.25">
      <c r="A29" s="3" t="s">
        <v>18</v>
      </c>
      <c r="B29" s="8">
        <f>27044.32+19031.69</f>
        <v>46076.009999999995</v>
      </c>
      <c r="C29" s="10">
        <v>326.83999999999997</v>
      </c>
      <c r="D29" s="4" t="s">
        <v>30</v>
      </c>
      <c r="E29" s="10">
        <v>0</v>
      </c>
      <c r="F29" s="4" t="s">
        <v>30</v>
      </c>
      <c r="G29" s="8"/>
      <c r="H29" s="10">
        <v>347.72</v>
      </c>
      <c r="I29" s="10">
        <v>11.99</v>
      </c>
      <c r="J29" s="10">
        <v>0</v>
      </c>
      <c r="K29" s="10">
        <v>3.83</v>
      </c>
      <c r="L29" s="10">
        <f>263.5+270.44</f>
        <v>533.94000000000005</v>
      </c>
      <c r="M29" s="10">
        <v>0</v>
      </c>
      <c r="N29" s="4"/>
      <c r="O29" s="4"/>
      <c r="P29" s="4"/>
      <c r="Q29" s="4"/>
      <c r="R29" s="4"/>
      <c r="S29" s="3"/>
      <c r="T29" s="10">
        <v>646.59</v>
      </c>
      <c r="U29" s="4"/>
      <c r="V29" s="10"/>
      <c r="W29" s="8"/>
      <c r="X29" s="8"/>
    </row>
    <row r="30" spans="1:24" x14ac:dyDescent="0.25">
      <c r="A30" s="3" t="s">
        <v>19</v>
      </c>
      <c r="B30" s="8">
        <f>22887.74+30808.81</f>
        <v>53696.55</v>
      </c>
      <c r="C30" s="10">
        <v>729.62</v>
      </c>
      <c r="D30" s="4" t="s">
        <v>30</v>
      </c>
      <c r="E30" s="10">
        <v>0</v>
      </c>
      <c r="F30" s="4" t="s">
        <v>30</v>
      </c>
      <c r="G30" s="8"/>
      <c r="H30" s="10">
        <v>295.12</v>
      </c>
      <c r="I30" s="10">
        <v>6.44</v>
      </c>
      <c r="J30" s="10">
        <v>0</v>
      </c>
      <c r="K30" s="10">
        <v>7.51</v>
      </c>
      <c r="L30" s="10">
        <f>190.31+228.87</f>
        <v>419.18</v>
      </c>
      <c r="M30" s="10">
        <v>0</v>
      </c>
      <c r="N30" s="4"/>
      <c r="O30" s="4"/>
      <c r="P30" s="4"/>
      <c r="Q30" s="4"/>
      <c r="R30" s="4"/>
      <c r="S30" s="3"/>
      <c r="T30" s="10">
        <v>574.51</v>
      </c>
      <c r="U30" s="4"/>
      <c r="V30" s="10"/>
      <c r="W30" s="8"/>
      <c r="X30" s="8"/>
    </row>
    <row r="31" spans="1:24" x14ac:dyDescent="0.25">
      <c r="A31" s="3" t="s">
        <v>20</v>
      </c>
      <c r="B31" s="8">
        <f>13570.58+27106.24</f>
        <v>40676.82</v>
      </c>
      <c r="C31" s="10">
        <v>759.04</v>
      </c>
      <c r="D31" s="4" t="s">
        <v>30</v>
      </c>
      <c r="E31" s="10">
        <v>0</v>
      </c>
      <c r="F31" s="4" t="s">
        <v>30</v>
      </c>
      <c r="G31" s="8"/>
      <c r="H31" s="10">
        <v>239.89</v>
      </c>
      <c r="I31" s="10">
        <v>5.66</v>
      </c>
      <c r="J31" s="10">
        <v>0</v>
      </c>
      <c r="K31" s="10">
        <v>19.510000000000002</v>
      </c>
      <c r="L31" s="10">
        <f>308.08+135.7</f>
        <v>443.78</v>
      </c>
      <c r="M31" s="10">
        <v>0</v>
      </c>
      <c r="N31" s="4"/>
      <c r="O31" s="4"/>
      <c r="P31" s="4"/>
      <c r="Q31" s="4"/>
      <c r="R31" s="4"/>
      <c r="S31" s="3"/>
      <c r="T31" s="10">
        <v>754.2</v>
      </c>
      <c r="U31" s="4"/>
      <c r="V31" s="10"/>
      <c r="W31" s="8"/>
      <c r="X31" s="8"/>
    </row>
    <row r="32" spans="1:24" s="15" customFormat="1" x14ac:dyDescent="0.25">
      <c r="A32" s="3" t="s">
        <v>21</v>
      </c>
      <c r="B32" s="13">
        <f>23106.57+29417.52</f>
        <v>52524.09</v>
      </c>
      <c r="C32" s="11">
        <v>0</v>
      </c>
      <c r="D32" s="14" t="s">
        <v>30</v>
      </c>
      <c r="E32" s="11">
        <v>121.25</v>
      </c>
      <c r="F32" s="14" t="s">
        <v>30</v>
      </c>
      <c r="G32" s="13"/>
      <c r="H32" s="11">
        <v>1005.86</v>
      </c>
      <c r="I32" s="11">
        <v>5.87</v>
      </c>
      <c r="J32" s="10">
        <v>0</v>
      </c>
      <c r="K32" s="11">
        <v>30.39</v>
      </c>
      <c r="L32" s="11">
        <f>271.06+231.06</f>
        <v>502.12</v>
      </c>
      <c r="M32" s="11">
        <v>159</v>
      </c>
      <c r="N32" s="4"/>
      <c r="O32" s="4"/>
      <c r="P32" s="4"/>
      <c r="Q32" s="4"/>
      <c r="R32" s="4"/>
      <c r="S32" s="12"/>
      <c r="T32" s="11">
        <v>652.86</v>
      </c>
      <c r="U32" s="14"/>
      <c r="V32" s="11"/>
      <c r="W32" s="13"/>
      <c r="X32" s="13"/>
    </row>
    <row r="33" spans="1:24" s="25" customFormat="1" x14ac:dyDescent="0.25">
      <c r="A33" s="21" t="s">
        <v>34</v>
      </c>
      <c r="B33" s="41">
        <f>SUM(B24:B32)</f>
        <v>522665.60830660001</v>
      </c>
      <c r="C33" s="44">
        <v>0</v>
      </c>
      <c r="D33" s="24" t="s">
        <v>30</v>
      </c>
      <c r="E33" s="44">
        <v>0</v>
      </c>
      <c r="F33" s="24" t="s">
        <v>30</v>
      </c>
      <c r="G33" s="22"/>
      <c r="H33" s="44">
        <v>0</v>
      </c>
      <c r="I33" s="44">
        <v>0</v>
      </c>
      <c r="J33" s="44">
        <f>SUM(J19:J32)</f>
        <v>0</v>
      </c>
      <c r="K33" s="44">
        <f>SUM(K24:K32)</f>
        <v>121.48311869000001</v>
      </c>
      <c r="L33" s="44">
        <f>SUM(L24:L32)</f>
        <v>5087.6740226499996</v>
      </c>
      <c r="M33" s="44">
        <v>159</v>
      </c>
      <c r="N33" s="24"/>
      <c r="O33" s="24"/>
      <c r="P33" s="24"/>
      <c r="Q33" s="24"/>
      <c r="R33" s="24"/>
      <c r="S33" s="21"/>
      <c r="T33" s="23">
        <f>SUM(T24:T32)</f>
        <v>6462.5765447099993</v>
      </c>
      <c r="U33" s="24"/>
      <c r="V33" s="23"/>
      <c r="W33" s="22"/>
      <c r="X33" s="22"/>
    </row>
  </sheetData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TERRA FERTIL</vt:lpstr>
      <vt:lpstr>MOTOTRACTOR</vt:lpstr>
      <vt:lpstr>EVORA</vt:lpstr>
      <vt:lpstr>PROMO Y VALORES</vt:lpstr>
      <vt:lpstr>CANTOLAGO</vt:lpstr>
      <vt:lpstr>STOP</vt:lpstr>
      <vt:lpstr>SAUDE</vt:lpstr>
      <vt:lpstr>HITO</vt:lpstr>
      <vt:lpstr>METROFARMA</vt:lpstr>
      <vt:lpstr>ROMA</vt:lpstr>
      <vt:lpstr>DIARIO AVANCE</vt:lpstr>
      <vt:lpstr>AMERICAN OIL</vt:lpstr>
      <vt:lpstr>EXPRESS 2707</vt:lpstr>
      <vt:lpstr>Hoja4</vt:lpstr>
      <vt:lpstr>CARRIZAL</vt:lpstr>
      <vt:lpstr>Hoja2</vt:lpstr>
      <vt:lpstr>RESERVAS</vt:lpstr>
      <vt:lpstr>Hoja1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CONTABILIDAD-01</cp:lastModifiedBy>
  <cp:lastPrinted>2021-09-28T15:19:01Z</cp:lastPrinted>
  <dcterms:created xsi:type="dcterms:W3CDTF">2020-07-22T14:04:18Z</dcterms:created>
  <dcterms:modified xsi:type="dcterms:W3CDTF">2022-08-22T20:05:06Z</dcterms:modified>
</cp:coreProperties>
</file>