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CALDIA\"/>
    </mc:Choice>
  </mc:AlternateContent>
  <bookViews>
    <workbookView xWindow="0" yWindow="0" windowWidth="20490" windowHeight="7665"/>
  </bookViews>
  <sheets>
    <sheet name="RELACION DE ING MES 11-2021 " sheetId="36" r:id="rId1"/>
    <sheet name="RELACION DE ING MES 10-2021" sheetId="35" r:id="rId2"/>
    <sheet name="RELACION DE ING MES 09-2021" sheetId="34" r:id="rId3"/>
    <sheet name="RELACION DE ING MES 08-2021" sheetId="32" r:id="rId4"/>
    <sheet name="RELACION DE ING MES 07-2021 " sheetId="33" r:id="rId5"/>
    <sheet name="RELACION DE ING MES 06-2021" sheetId="31" r:id="rId6"/>
    <sheet name="RELACION DE ING MES 05-2021" sheetId="30" r:id="rId7"/>
    <sheet name="RELACION DE ING MES 04-2021" sheetId="29" r:id="rId8"/>
    <sheet name="RELACION DE ING MES 03-2021" sheetId="28" r:id="rId9"/>
    <sheet name="RELACION DE ING MES 02-2021" sheetId="27" r:id="rId10"/>
    <sheet name="RELACION DE ING MES 01-2021" sheetId="26" r:id="rId11"/>
    <sheet name="RELACION DE ING MES 12-2020 " sheetId="25" r:id="rId12"/>
    <sheet name="RELACION DE ING MES 11-2020" sheetId="24" r:id="rId13"/>
    <sheet name="RELACION DE ING TRIM 01-2020" sheetId="23" r:id="rId14"/>
    <sheet name="RELACION DE ING TRIM 04-2019" sheetId="22" r:id="rId15"/>
    <sheet name="RELACION DE ING TRIM 03-2019" sheetId="21" r:id="rId16"/>
    <sheet name="RELACION DE ING TRIM 02-2019" sheetId="20" r:id="rId17"/>
    <sheet name="RELACION DE ING TRIM 01-2019" sheetId="19" r:id="rId18"/>
    <sheet name="% TRIM 01-2019" sheetId="18" r:id="rId19"/>
    <sheet name="RELACION DE ING TRIM 04-2018" sheetId="17" r:id="rId20"/>
    <sheet name="% TRIM 04-2018 " sheetId="16" r:id="rId21"/>
    <sheet name="RELACION DE ING TRIM 03-2018" sheetId="15" r:id="rId22"/>
    <sheet name="% TRIM 03-2018 " sheetId="14" r:id="rId23"/>
    <sheet name="RELACION DE ING TRIM 02-2018" sheetId="13" r:id="rId24"/>
    <sheet name="% TRIM 02-2018" sheetId="12" r:id="rId25"/>
    <sheet name="RELACION DE ING TRIM 01-2018" sheetId="11" r:id="rId26"/>
    <sheet name="% TRIM 01-2018" sheetId="10" r:id="rId27"/>
    <sheet name="RELACION DE ING 2017" sheetId="8" r:id="rId28"/>
    <sheet name="%2017" sheetId="9" r:id="rId29"/>
    <sheet name="RELACION DE ING 2016" sheetId="6" r:id="rId30"/>
    <sheet name="%2016" sheetId="7" r:id="rId31"/>
  </sheets>
  <externalReferences>
    <externalReference r:id="rId32"/>
    <externalReference r:id="rId33"/>
    <externalReference r:id="rId34"/>
  </externalReferences>
  <calcPr calcId="162913"/>
</workbook>
</file>

<file path=xl/calcChain.xml><?xml version="1.0" encoding="utf-8"?>
<calcChain xmlns="http://schemas.openxmlformats.org/spreadsheetml/2006/main">
  <c r="F24" i="36" l="1"/>
  <c r="B24" i="36"/>
  <c r="L19" i="36"/>
  <c r="L22" i="36" s="1"/>
  <c r="L24" i="36" s="1"/>
  <c r="H19" i="36"/>
  <c r="H22" i="36" s="1"/>
  <c r="H24" i="36" s="1"/>
  <c r="F19" i="36"/>
  <c r="B19" i="36"/>
  <c r="Q18" i="36"/>
  <c r="O18" i="36"/>
  <c r="O19" i="36" s="1"/>
  <c r="O22" i="36" s="1"/>
  <c r="O24" i="36" s="1"/>
  <c r="N18" i="36"/>
  <c r="N19" i="36" s="1"/>
  <c r="N22" i="36" s="1"/>
  <c r="N24" i="36" s="1"/>
  <c r="M18" i="36"/>
  <c r="M19" i="36" s="1"/>
  <c r="M22" i="36" s="1"/>
  <c r="M24" i="36" s="1"/>
  <c r="L18" i="36"/>
  <c r="K18" i="36"/>
  <c r="K19" i="36" s="1"/>
  <c r="K22" i="36" s="1"/>
  <c r="K24" i="36" s="1"/>
  <c r="J18" i="36"/>
  <c r="J19" i="36" s="1"/>
  <c r="J22" i="36" s="1"/>
  <c r="J24" i="36" s="1"/>
  <c r="I18" i="36"/>
  <c r="I19" i="36" s="1"/>
  <c r="I22" i="36" s="1"/>
  <c r="I24" i="36" s="1"/>
  <c r="H18" i="36"/>
  <c r="G18" i="36"/>
  <c r="G19" i="36" s="1"/>
  <c r="G22" i="36" s="1"/>
  <c r="G24" i="36" s="1"/>
  <c r="E18" i="36"/>
  <c r="E19" i="36" s="1"/>
  <c r="E22" i="36" s="1"/>
  <c r="E24" i="36" s="1"/>
  <c r="D18" i="36"/>
  <c r="D19" i="36" s="1"/>
  <c r="D22" i="36" s="1"/>
  <c r="D24" i="36" s="1"/>
  <c r="C18" i="36"/>
  <c r="C19" i="36" s="1"/>
  <c r="C22" i="36" s="1"/>
  <c r="P15" i="36"/>
  <c r="C24" i="36" l="1"/>
  <c r="P24" i="36" s="1"/>
  <c r="P22" i="36"/>
  <c r="P19" i="36"/>
  <c r="F24" i="35"/>
  <c r="B24" i="35"/>
  <c r="F19" i="35"/>
  <c r="B19" i="35"/>
  <c r="Q18" i="35"/>
  <c r="O18" i="35"/>
  <c r="O19" i="35" s="1"/>
  <c r="O22" i="35" s="1"/>
  <c r="O24" i="35" s="1"/>
  <c r="N18" i="35"/>
  <c r="N19" i="35" s="1"/>
  <c r="N22" i="35" s="1"/>
  <c r="N24" i="35" s="1"/>
  <c r="M18" i="35"/>
  <c r="M19" i="35" s="1"/>
  <c r="M22" i="35" s="1"/>
  <c r="M24" i="35" s="1"/>
  <c r="L18" i="35"/>
  <c r="L19" i="35" s="1"/>
  <c r="L22" i="35" s="1"/>
  <c r="L24" i="35" s="1"/>
  <c r="K18" i="35"/>
  <c r="K19" i="35" s="1"/>
  <c r="K22" i="35" s="1"/>
  <c r="K24" i="35" s="1"/>
  <c r="J18" i="35"/>
  <c r="J19" i="35" s="1"/>
  <c r="J22" i="35" s="1"/>
  <c r="J24" i="35" s="1"/>
  <c r="I18" i="35"/>
  <c r="I19" i="35" s="1"/>
  <c r="I22" i="35" s="1"/>
  <c r="I24" i="35" s="1"/>
  <c r="H18" i="35"/>
  <c r="H19" i="35" s="1"/>
  <c r="H22" i="35" s="1"/>
  <c r="H24" i="35" s="1"/>
  <c r="G18" i="35"/>
  <c r="G19" i="35" s="1"/>
  <c r="G22" i="35" s="1"/>
  <c r="G24" i="35" s="1"/>
  <c r="E18" i="35"/>
  <c r="E19" i="35" s="1"/>
  <c r="E22" i="35" s="1"/>
  <c r="E24" i="35" s="1"/>
  <c r="D18" i="35"/>
  <c r="D19" i="35" s="1"/>
  <c r="D22" i="35" s="1"/>
  <c r="D24" i="35" s="1"/>
  <c r="C18" i="35"/>
  <c r="C19" i="35" s="1"/>
  <c r="C22" i="35" s="1"/>
  <c r="P15" i="35"/>
  <c r="P26" i="36" l="1"/>
  <c r="P28" i="36" s="1"/>
  <c r="C24" i="35"/>
  <c r="P22" i="35"/>
  <c r="P24" i="35"/>
  <c r="P19" i="35"/>
  <c r="P26" i="35" l="1"/>
  <c r="P28" i="35" s="1"/>
  <c r="F24" i="34" l="1"/>
  <c r="B24" i="34"/>
  <c r="F19" i="34"/>
  <c r="B19" i="34"/>
  <c r="Q18" i="34"/>
  <c r="O18" i="34"/>
  <c r="O19" i="34" s="1"/>
  <c r="O22" i="34" s="1"/>
  <c r="O24" i="34" s="1"/>
  <c r="N18" i="34"/>
  <c r="N19" i="34" s="1"/>
  <c r="N22" i="34" s="1"/>
  <c r="N24" i="34" s="1"/>
  <c r="M18" i="34"/>
  <c r="M19" i="34" s="1"/>
  <c r="M22" i="34" s="1"/>
  <c r="M24" i="34" s="1"/>
  <c r="L18" i="34"/>
  <c r="L19" i="34" s="1"/>
  <c r="L22" i="34" s="1"/>
  <c r="L24" i="34" s="1"/>
  <c r="K18" i="34"/>
  <c r="K19" i="34" s="1"/>
  <c r="K22" i="34" s="1"/>
  <c r="K24" i="34" s="1"/>
  <c r="J18" i="34"/>
  <c r="J19" i="34" s="1"/>
  <c r="J22" i="34" s="1"/>
  <c r="J24" i="34" s="1"/>
  <c r="I18" i="34"/>
  <c r="I19" i="34" s="1"/>
  <c r="I22" i="34" s="1"/>
  <c r="I24" i="34" s="1"/>
  <c r="H18" i="34"/>
  <c r="H19" i="34" s="1"/>
  <c r="H22" i="34" s="1"/>
  <c r="H24" i="34" s="1"/>
  <c r="G18" i="34"/>
  <c r="G19" i="34" s="1"/>
  <c r="G22" i="34" s="1"/>
  <c r="G24" i="34" s="1"/>
  <c r="E18" i="34"/>
  <c r="E19" i="34" s="1"/>
  <c r="E22" i="34" s="1"/>
  <c r="E24" i="34" s="1"/>
  <c r="D18" i="34"/>
  <c r="D19" i="34" s="1"/>
  <c r="D22" i="34" s="1"/>
  <c r="D24" i="34" s="1"/>
  <c r="C18" i="34"/>
  <c r="C19" i="34" s="1"/>
  <c r="C22" i="34" s="1"/>
  <c r="P15" i="34"/>
  <c r="P19" i="34" l="1"/>
  <c r="C24" i="34"/>
  <c r="P24" i="34" s="1"/>
  <c r="P22" i="34"/>
  <c r="P18" i="32"/>
  <c r="F24" i="33"/>
  <c r="B24" i="33"/>
  <c r="F19" i="33"/>
  <c r="B19" i="33"/>
  <c r="Q18" i="33"/>
  <c r="P18" i="33"/>
  <c r="O18" i="33"/>
  <c r="O19" i="33" s="1"/>
  <c r="O22" i="33" s="1"/>
  <c r="O24" i="33" s="1"/>
  <c r="N18" i="33"/>
  <c r="N19" i="33" s="1"/>
  <c r="N22" i="33" s="1"/>
  <c r="N24" i="33" s="1"/>
  <c r="M18" i="33"/>
  <c r="M19" i="33" s="1"/>
  <c r="M22" i="33" s="1"/>
  <c r="M24" i="33" s="1"/>
  <c r="L18" i="33"/>
  <c r="L19" i="33" s="1"/>
  <c r="L22" i="33" s="1"/>
  <c r="L24" i="33" s="1"/>
  <c r="K18" i="33"/>
  <c r="K19" i="33" s="1"/>
  <c r="K22" i="33" s="1"/>
  <c r="K24" i="33" s="1"/>
  <c r="J18" i="33"/>
  <c r="J19" i="33" s="1"/>
  <c r="J22" i="33" s="1"/>
  <c r="J24" i="33" s="1"/>
  <c r="I18" i="33"/>
  <c r="I19" i="33" s="1"/>
  <c r="I22" i="33" s="1"/>
  <c r="I24" i="33" s="1"/>
  <c r="H18" i="33"/>
  <c r="H19" i="33" s="1"/>
  <c r="H22" i="33" s="1"/>
  <c r="H24" i="33" s="1"/>
  <c r="G18" i="33"/>
  <c r="G19" i="33" s="1"/>
  <c r="G22" i="33" s="1"/>
  <c r="G24" i="33" s="1"/>
  <c r="E18" i="33"/>
  <c r="E19" i="33" s="1"/>
  <c r="E22" i="33" s="1"/>
  <c r="E24" i="33" s="1"/>
  <c r="D18" i="33"/>
  <c r="D19" i="33" s="1"/>
  <c r="D22" i="33" s="1"/>
  <c r="D24" i="33" s="1"/>
  <c r="C18" i="33"/>
  <c r="C19" i="33" s="1"/>
  <c r="C22" i="33" s="1"/>
  <c r="P15" i="33"/>
  <c r="P26" i="34" l="1"/>
  <c r="P28" i="34" s="1"/>
  <c r="C24" i="33"/>
  <c r="P22" i="33"/>
  <c r="P19" i="33"/>
  <c r="P24" i="33"/>
  <c r="J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J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J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E41" i="6"/>
  <c r="H41" i="6" s="1"/>
  <c r="E39" i="6"/>
  <c r="H39" i="6" s="1"/>
  <c r="E37" i="6"/>
  <c r="H37" i="6" s="1"/>
  <c r="E35" i="6"/>
  <c r="H35" i="6" s="1"/>
  <c r="E33" i="6"/>
  <c r="H33" i="6" s="1"/>
  <c r="E31" i="6"/>
  <c r="H31" i="6" s="1"/>
  <c r="E29" i="6"/>
  <c r="H29" i="6" s="1"/>
  <c r="H43" i="6" s="1"/>
  <c r="O27" i="6"/>
  <c r="E42" i="6" s="1"/>
  <c r="H42" i="6" s="1"/>
  <c r="N27" i="6"/>
  <c r="M27" i="6"/>
  <c r="E40" i="6" s="1"/>
  <c r="H40" i="6" s="1"/>
  <c r="L27" i="6"/>
  <c r="K27" i="6"/>
  <c r="E38" i="6" s="1"/>
  <c r="H38" i="6" s="1"/>
  <c r="J27" i="6"/>
  <c r="I27" i="6"/>
  <c r="E36" i="6" s="1"/>
  <c r="H36" i="6" s="1"/>
  <c r="H27" i="6"/>
  <c r="G27" i="6"/>
  <c r="E34" i="6" s="1"/>
  <c r="H34" i="6" s="1"/>
  <c r="F27" i="6"/>
  <c r="E27" i="6"/>
  <c r="E32" i="6" s="1"/>
  <c r="H32" i="6" s="1"/>
  <c r="D27" i="6"/>
  <c r="C27" i="6"/>
  <c r="E30" i="6" s="1"/>
  <c r="H30" i="6" s="1"/>
  <c r="B27" i="6"/>
  <c r="P27" i="6" s="1"/>
  <c r="P26" i="6"/>
  <c r="P25" i="6"/>
  <c r="P24" i="6"/>
  <c r="J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J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J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J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J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J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J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J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J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J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J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J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H48" i="8"/>
  <c r="H44" i="8"/>
  <c r="H40" i="8"/>
  <c r="H36" i="8"/>
  <c r="L27" i="8"/>
  <c r="E45" i="8" s="1"/>
  <c r="H45" i="8" s="1"/>
  <c r="H27" i="8"/>
  <c r="E41" i="8" s="1"/>
  <c r="H41" i="8" s="1"/>
  <c r="D27" i="8"/>
  <c r="E37" i="8" s="1"/>
  <c r="H37" i="8" s="1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O15" i="8"/>
  <c r="O27" i="8" s="1"/>
  <c r="E48" i="8" s="1"/>
  <c r="N15" i="8"/>
  <c r="N27" i="8" s="1"/>
  <c r="E47" i="8" s="1"/>
  <c r="H47" i="8" s="1"/>
  <c r="M15" i="8"/>
  <c r="M27" i="8" s="1"/>
  <c r="E46" i="8" s="1"/>
  <c r="H46" i="8" s="1"/>
  <c r="L15" i="8"/>
  <c r="K15" i="8"/>
  <c r="K27" i="8" s="1"/>
  <c r="E44" i="8" s="1"/>
  <c r="J15" i="8"/>
  <c r="J27" i="8" s="1"/>
  <c r="E43" i="8" s="1"/>
  <c r="H43" i="8" s="1"/>
  <c r="I15" i="8"/>
  <c r="I27" i="8" s="1"/>
  <c r="E42" i="8" s="1"/>
  <c r="H42" i="8" s="1"/>
  <c r="H15" i="8"/>
  <c r="G15" i="8"/>
  <c r="G27" i="8" s="1"/>
  <c r="E40" i="8" s="1"/>
  <c r="F15" i="8"/>
  <c r="F27" i="8" s="1"/>
  <c r="E39" i="8" s="1"/>
  <c r="H39" i="8" s="1"/>
  <c r="E15" i="8"/>
  <c r="E27" i="8" s="1"/>
  <c r="E38" i="8" s="1"/>
  <c r="H38" i="8" s="1"/>
  <c r="D15" i="8"/>
  <c r="C15" i="8"/>
  <c r="C27" i="8" s="1"/>
  <c r="E36" i="8" s="1"/>
  <c r="B15" i="8"/>
  <c r="B27" i="8" s="1"/>
  <c r="J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J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J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J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J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J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J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J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J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J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J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J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L27" i="11"/>
  <c r="E45" i="11" s="1"/>
  <c r="H45" i="11" s="1"/>
  <c r="H27" i="11"/>
  <c r="E41" i="11" s="1"/>
  <c r="H41" i="11" s="1"/>
  <c r="D27" i="11"/>
  <c r="E37" i="11" s="1"/>
  <c r="H37" i="11" s="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O15" i="11"/>
  <c r="O27" i="11" s="1"/>
  <c r="E48" i="11" s="1"/>
  <c r="H48" i="11" s="1"/>
  <c r="N15" i="11"/>
  <c r="N27" i="11" s="1"/>
  <c r="E47" i="11" s="1"/>
  <c r="H47" i="11" s="1"/>
  <c r="M15" i="11"/>
  <c r="M27" i="11" s="1"/>
  <c r="E46" i="11" s="1"/>
  <c r="H46" i="11" s="1"/>
  <c r="L15" i="11"/>
  <c r="K15" i="11"/>
  <c r="K27" i="11" s="1"/>
  <c r="E44" i="11" s="1"/>
  <c r="H44" i="11" s="1"/>
  <c r="J15" i="11"/>
  <c r="J27" i="11" s="1"/>
  <c r="E43" i="11" s="1"/>
  <c r="H43" i="11" s="1"/>
  <c r="I15" i="11"/>
  <c r="I27" i="11" s="1"/>
  <c r="E42" i="11" s="1"/>
  <c r="H42" i="11" s="1"/>
  <c r="H15" i="11"/>
  <c r="G15" i="11"/>
  <c r="G27" i="11" s="1"/>
  <c r="E40" i="11" s="1"/>
  <c r="H40" i="11" s="1"/>
  <c r="F15" i="11"/>
  <c r="F27" i="11" s="1"/>
  <c r="E39" i="11" s="1"/>
  <c r="H39" i="11" s="1"/>
  <c r="E15" i="11"/>
  <c r="E27" i="11" s="1"/>
  <c r="E38" i="11" s="1"/>
  <c r="H38" i="11" s="1"/>
  <c r="D15" i="11"/>
  <c r="C15" i="11"/>
  <c r="C27" i="11" s="1"/>
  <c r="E36" i="11" s="1"/>
  <c r="H36" i="11" s="1"/>
  <c r="B15" i="11"/>
  <c r="B27" i="11" s="1"/>
  <c r="E35" i="11" s="1"/>
  <c r="H35" i="11" s="1"/>
  <c r="J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J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J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J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J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J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J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J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J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J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J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J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H48" i="13"/>
  <c r="H44" i="13"/>
  <c r="H40" i="13"/>
  <c r="H36" i="13"/>
  <c r="L27" i="13"/>
  <c r="E45" i="13" s="1"/>
  <c r="H45" i="13" s="1"/>
  <c r="H27" i="13"/>
  <c r="E41" i="13" s="1"/>
  <c r="H41" i="13" s="1"/>
  <c r="D27" i="13"/>
  <c r="E37" i="13" s="1"/>
  <c r="H37" i="13" s="1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O15" i="13"/>
  <c r="O27" i="13" s="1"/>
  <c r="E48" i="13" s="1"/>
  <c r="N15" i="13"/>
  <c r="N27" i="13" s="1"/>
  <c r="E47" i="13" s="1"/>
  <c r="H47" i="13" s="1"/>
  <c r="M15" i="13"/>
  <c r="M27" i="13" s="1"/>
  <c r="E46" i="13" s="1"/>
  <c r="H46" i="13" s="1"/>
  <c r="L15" i="13"/>
  <c r="K15" i="13"/>
  <c r="K27" i="13" s="1"/>
  <c r="E44" i="13" s="1"/>
  <c r="J15" i="13"/>
  <c r="J27" i="13" s="1"/>
  <c r="E43" i="13" s="1"/>
  <c r="H43" i="13" s="1"/>
  <c r="I15" i="13"/>
  <c r="I27" i="13" s="1"/>
  <c r="E42" i="13" s="1"/>
  <c r="H42" i="13" s="1"/>
  <c r="H15" i="13"/>
  <c r="G15" i="13"/>
  <c r="G27" i="13" s="1"/>
  <c r="E40" i="13" s="1"/>
  <c r="F15" i="13"/>
  <c r="F27" i="13" s="1"/>
  <c r="E39" i="13" s="1"/>
  <c r="H39" i="13" s="1"/>
  <c r="E15" i="13"/>
  <c r="E27" i="13" s="1"/>
  <c r="E38" i="13" s="1"/>
  <c r="H38" i="13" s="1"/>
  <c r="D15" i="13"/>
  <c r="C15" i="13"/>
  <c r="C27" i="13" s="1"/>
  <c r="E36" i="13" s="1"/>
  <c r="B15" i="13"/>
  <c r="B27" i="13" s="1"/>
  <c r="J204" i="14"/>
  <c r="K203" i="14"/>
  <c r="K202" i="14"/>
  <c r="K201" i="14"/>
  <c r="K200" i="14"/>
  <c r="K199" i="14"/>
  <c r="K198" i="14"/>
  <c r="K197" i="14"/>
  <c r="K196" i="14"/>
  <c r="K195" i="14"/>
  <c r="K194" i="14"/>
  <c r="K193" i="14"/>
  <c r="K192" i="14"/>
  <c r="K191" i="14"/>
  <c r="K190" i="14"/>
  <c r="J187" i="14"/>
  <c r="K186" i="14"/>
  <c r="K185" i="14"/>
  <c r="K184" i="14"/>
  <c r="K183" i="14"/>
  <c r="K182" i="14"/>
  <c r="K181" i="14"/>
  <c r="K180" i="14"/>
  <c r="K179" i="14"/>
  <c r="K178" i="14"/>
  <c r="K177" i="14"/>
  <c r="K176" i="14"/>
  <c r="K175" i="14"/>
  <c r="K174" i="14"/>
  <c r="K173" i="14"/>
  <c r="J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J153" i="14"/>
  <c r="K136" i="14"/>
  <c r="J136" i="14"/>
  <c r="K135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19" i="14"/>
  <c r="J119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J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J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J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J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J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J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H48" i="15"/>
  <c r="H46" i="15"/>
  <c r="H44" i="15"/>
  <c r="H42" i="15"/>
  <c r="H40" i="15"/>
  <c r="H38" i="15"/>
  <c r="H36" i="15"/>
  <c r="L27" i="15"/>
  <c r="E45" i="15" s="1"/>
  <c r="H45" i="15" s="1"/>
  <c r="H27" i="15"/>
  <c r="E41" i="15" s="1"/>
  <c r="H41" i="15" s="1"/>
  <c r="D27" i="15"/>
  <c r="E37" i="15" s="1"/>
  <c r="H37" i="15" s="1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O24" i="15"/>
  <c r="N24" i="15"/>
  <c r="N27" i="15" s="1"/>
  <c r="E47" i="15" s="1"/>
  <c r="H47" i="15" s="1"/>
  <c r="M24" i="15"/>
  <c r="L24" i="15"/>
  <c r="K24" i="15"/>
  <c r="J24" i="15"/>
  <c r="J27" i="15" s="1"/>
  <c r="E43" i="15" s="1"/>
  <c r="H43" i="15" s="1"/>
  <c r="I24" i="15"/>
  <c r="H24" i="15"/>
  <c r="G24" i="15"/>
  <c r="F24" i="15"/>
  <c r="F27" i="15" s="1"/>
  <c r="E39" i="15" s="1"/>
  <c r="H39" i="15" s="1"/>
  <c r="E24" i="15"/>
  <c r="D24" i="15"/>
  <c r="C24" i="15"/>
  <c r="B24" i="15"/>
  <c r="B27" i="15" s="1"/>
  <c r="E35" i="15" s="1"/>
  <c r="H35" i="15" s="1"/>
  <c r="P23" i="15"/>
  <c r="K153" i="14" s="1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O15" i="15"/>
  <c r="O27" i="15" s="1"/>
  <c r="E48" i="15" s="1"/>
  <c r="N15" i="15"/>
  <c r="M15" i="15"/>
  <c r="M27" i="15" s="1"/>
  <c r="E46" i="15" s="1"/>
  <c r="L15" i="15"/>
  <c r="K15" i="15"/>
  <c r="K27" i="15" s="1"/>
  <c r="E44" i="15" s="1"/>
  <c r="J15" i="15"/>
  <c r="I15" i="15"/>
  <c r="I27" i="15" s="1"/>
  <c r="E42" i="15" s="1"/>
  <c r="H15" i="15"/>
  <c r="G15" i="15"/>
  <c r="G27" i="15" s="1"/>
  <c r="E40" i="15" s="1"/>
  <c r="F15" i="15"/>
  <c r="E15" i="15"/>
  <c r="E27" i="15" s="1"/>
  <c r="E38" i="15" s="1"/>
  <c r="D15" i="15"/>
  <c r="C15" i="15"/>
  <c r="C27" i="15" s="1"/>
  <c r="E36" i="15" s="1"/>
  <c r="B15" i="15"/>
  <c r="J204" i="16"/>
  <c r="K203" i="16"/>
  <c r="K202" i="16"/>
  <c r="K201" i="16"/>
  <c r="K200" i="16"/>
  <c r="K199" i="16"/>
  <c r="K198" i="16"/>
  <c r="K197" i="16"/>
  <c r="K196" i="16"/>
  <c r="K195" i="16"/>
  <c r="K194" i="16"/>
  <c r="K193" i="16"/>
  <c r="K192" i="16"/>
  <c r="K191" i="16"/>
  <c r="K190" i="16"/>
  <c r="J187" i="16"/>
  <c r="K186" i="16"/>
  <c r="K185" i="16"/>
  <c r="K184" i="16"/>
  <c r="K183" i="16"/>
  <c r="K182" i="16"/>
  <c r="K181" i="16"/>
  <c r="K180" i="16"/>
  <c r="K179" i="16"/>
  <c r="K178" i="16"/>
  <c r="K177" i="16"/>
  <c r="K176" i="16"/>
  <c r="K175" i="16"/>
  <c r="K174" i="16"/>
  <c r="K173" i="16"/>
  <c r="J170" i="16"/>
  <c r="K169" i="16"/>
  <c r="K168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K153" i="16"/>
  <c r="J153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40" i="16"/>
  <c r="K139" i="16"/>
  <c r="K136" i="16"/>
  <c r="J136" i="16"/>
  <c r="K135" i="16"/>
  <c r="K134" i="16"/>
  <c r="K133" i="16"/>
  <c r="K132" i="16"/>
  <c r="K131" i="16"/>
  <c r="K130" i="16"/>
  <c r="K129" i="16"/>
  <c r="K128" i="16"/>
  <c r="K127" i="16"/>
  <c r="K126" i="16"/>
  <c r="K125" i="16"/>
  <c r="K124" i="16"/>
  <c r="K123" i="16"/>
  <c r="K122" i="16"/>
  <c r="K119" i="16"/>
  <c r="J119" i="16"/>
  <c r="K118" i="16"/>
  <c r="K117" i="16"/>
  <c r="K116" i="16"/>
  <c r="K115" i="16"/>
  <c r="K114" i="16"/>
  <c r="K113" i="16"/>
  <c r="K112" i="16"/>
  <c r="K111" i="16"/>
  <c r="K110" i="16"/>
  <c r="K109" i="16"/>
  <c r="K108" i="16"/>
  <c r="K107" i="16"/>
  <c r="K106" i="16"/>
  <c r="K105" i="16"/>
  <c r="J102" i="16"/>
  <c r="K101" i="16"/>
  <c r="K100" i="16"/>
  <c r="K99" i="16"/>
  <c r="K98" i="16"/>
  <c r="K97" i="16"/>
  <c r="K96" i="16"/>
  <c r="K95" i="16"/>
  <c r="K94" i="16"/>
  <c r="K93" i="16"/>
  <c r="K92" i="16"/>
  <c r="K91" i="16"/>
  <c r="K90" i="16"/>
  <c r="K89" i="16"/>
  <c r="K88" i="16"/>
  <c r="J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J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J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J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J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H48" i="17"/>
  <c r="H44" i="17"/>
  <c r="H40" i="17"/>
  <c r="H36" i="17"/>
  <c r="L27" i="17"/>
  <c r="E45" i="17" s="1"/>
  <c r="H45" i="17" s="1"/>
  <c r="H27" i="17"/>
  <c r="E41" i="17" s="1"/>
  <c r="H41" i="17" s="1"/>
  <c r="D27" i="17"/>
  <c r="E37" i="17" s="1"/>
  <c r="H37" i="17" s="1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O15" i="17"/>
  <c r="O27" i="17" s="1"/>
  <c r="E48" i="17" s="1"/>
  <c r="N15" i="17"/>
  <c r="N27" i="17" s="1"/>
  <c r="E47" i="17" s="1"/>
  <c r="H47" i="17" s="1"/>
  <c r="M15" i="17"/>
  <c r="M27" i="17" s="1"/>
  <c r="E46" i="17" s="1"/>
  <c r="H46" i="17" s="1"/>
  <c r="L15" i="17"/>
  <c r="K15" i="17"/>
  <c r="K27" i="17" s="1"/>
  <c r="E44" i="17" s="1"/>
  <c r="J15" i="17"/>
  <c r="J27" i="17" s="1"/>
  <c r="E43" i="17" s="1"/>
  <c r="H43" i="17" s="1"/>
  <c r="I15" i="17"/>
  <c r="I27" i="17" s="1"/>
  <c r="E42" i="17" s="1"/>
  <c r="H42" i="17" s="1"/>
  <c r="H15" i="17"/>
  <c r="G15" i="17"/>
  <c r="G27" i="17" s="1"/>
  <c r="E40" i="17" s="1"/>
  <c r="F15" i="17"/>
  <c r="F27" i="17" s="1"/>
  <c r="E39" i="17" s="1"/>
  <c r="H39" i="17" s="1"/>
  <c r="E15" i="17"/>
  <c r="E27" i="17" s="1"/>
  <c r="E38" i="17" s="1"/>
  <c r="H38" i="17" s="1"/>
  <c r="D15" i="17"/>
  <c r="C15" i="17"/>
  <c r="C27" i="17" s="1"/>
  <c r="E36" i="17" s="1"/>
  <c r="B15" i="17"/>
  <c r="B27" i="17" s="1"/>
  <c r="E35" i="17" s="1"/>
  <c r="H35" i="17" s="1"/>
  <c r="J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J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J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E42" i="19"/>
  <c r="H42" i="19" s="1"/>
  <c r="E34" i="19"/>
  <c r="H34" i="19" s="1"/>
  <c r="O21" i="19"/>
  <c r="K21" i="19"/>
  <c r="E38" i="19" s="1"/>
  <c r="H38" i="19" s="1"/>
  <c r="G21" i="19"/>
  <c r="C21" i="19"/>
  <c r="E30" i="19" s="1"/>
  <c r="H30" i="19" s="1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O18" i="19"/>
  <c r="N18" i="19"/>
  <c r="N21" i="19" s="1"/>
  <c r="E41" i="19" s="1"/>
  <c r="H41" i="19" s="1"/>
  <c r="M18" i="19"/>
  <c r="M21" i="19" s="1"/>
  <c r="E40" i="19" s="1"/>
  <c r="H40" i="19" s="1"/>
  <c r="L18" i="19"/>
  <c r="L21" i="19" s="1"/>
  <c r="E39" i="19" s="1"/>
  <c r="H39" i="19" s="1"/>
  <c r="K18" i="19"/>
  <c r="J18" i="19"/>
  <c r="J21" i="19" s="1"/>
  <c r="E37" i="19" s="1"/>
  <c r="H37" i="19" s="1"/>
  <c r="I18" i="19"/>
  <c r="I21" i="19" s="1"/>
  <c r="E36" i="19" s="1"/>
  <c r="H36" i="19" s="1"/>
  <c r="H18" i="19"/>
  <c r="H21" i="19" s="1"/>
  <c r="E35" i="19" s="1"/>
  <c r="H35" i="19" s="1"/>
  <c r="G18" i="19"/>
  <c r="F18" i="19"/>
  <c r="F21" i="19" s="1"/>
  <c r="E33" i="19" s="1"/>
  <c r="H33" i="19" s="1"/>
  <c r="E18" i="19"/>
  <c r="E21" i="19" s="1"/>
  <c r="E32" i="19" s="1"/>
  <c r="H32" i="19" s="1"/>
  <c r="D18" i="19"/>
  <c r="D21" i="19" s="1"/>
  <c r="E31" i="19" s="1"/>
  <c r="H31" i="19" s="1"/>
  <c r="C18" i="19"/>
  <c r="B18" i="19"/>
  <c r="B21" i="19" s="1"/>
  <c r="O21" i="20"/>
  <c r="E42" i="20" s="1"/>
  <c r="H42" i="20" s="1"/>
  <c r="K21" i="20"/>
  <c r="E38" i="20" s="1"/>
  <c r="H38" i="20" s="1"/>
  <c r="G21" i="20"/>
  <c r="E34" i="20" s="1"/>
  <c r="H34" i="20" s="1"/>
  <c r="C21" i="20"/>
  <c r="E30" i="20" s="1"/>
  <c r="H30" i="20" s="1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20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O18" i="20"/>
  <c r="N18" i="20"/>
  <c r="N21" i="20" s="1"/>
  <c r="E41" i="20" s="1"/>
  <c r="H41" i="20" s="1"/>
  <c r="M18" i="20"/>
  <c r="M21" i="20" s="1"/>
  <c r="E40" i="20" s="1"/>
  <c r="H40" i="20" s="1"/>
  <c r="L18" i="20"/>
  <c r="L21" i="20" s="1"/>
  <c r="E39" i="20" s="1"/>
  <c r="H39" i="20" s="1"/>
  <c r="K18" i="20"/>
  <c r="J18" i="20"/>
  <c r="J21" i="20" s="1"/>
  <c r="E37" i="20" s="1"/>
  <c r="H37" i="20" s="1"/>
  <c r="I18" i="20"/>
  <c r="I21" i="20" s="1"/>
  <c r="E36" i="20" s="1"/>
  <c r="H36" i="20" s="1"/>
  <c r="H18" i="20"/>
  <c r="H21" i="20" s="1"/>
  <c r="E35" i="20" s="1"/>
  <c r="H35" i="20" s="1"/>
  <c r="G18" i="20"/>
  <c r="F18" i="20"/>
  <c r="F21" i="20" s="1"/>
  <c r="E33" i="20" s="1"/>
  <c r="H33" i="20" s="1"/>
  <c r="E18" i="20"/>
  <c r="E21" i="20" s="1"/>
  <c r="E32" i="20" s="1"/>
  <c r="H32" i="20" s="1"/>
  <c r="D18" i="20"/>
  <c r="D21" i="20" s="1"/>
  <c r="E31" i="20" s="1"/>
  <c r="H31" i="20" s="1"/>
  <c r="C18" i="20"/>
  <c r="B18" i="20"/>
  <c r="B21" i="20" s="1"/>
  <c r="E42" i="21"/>
  <c r="H42" i="21" s="1"/>
  <c r="E34" i="21"/>
  <c r="H34" i="21" s="1"/>
  <c r="O21" i="21"/>
  <c r="K21" i="21"/>
  <c r="E38" i="21" s="1"/>
  <c r="H38" i="21" s="1"/>
  <c r="G21" i="21"/>
  <c r="C21" i="21"/>
  <c r="E30" i="21" s="1"/>
  <c r="H30" i="21" s="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O18" i="21"/>
  <c r="N18" i="21"/>
  <c r="N21" i="21" s="1"/>
  <c r="E41" i="21" s="1"/>
  <c r="H41" i="21" s="1"/>
  <c r="M18" i="21"/>
  <c r="M21" i="21" s="1"/>
  <c r="E40" i="21" s="1"/>
  <c r="H40" i="21" s="1"/>
  <c r="L18" i="21"/>
  <c r="L21" i="21" s="1"/>
  <c r="E39" i="21" s="1"/>
  <c r="H39" i="21" s="1"/>
  <c r="K18" i="21"/>
  <c r="J18" i="21"/>
  <c r="J21" i="21" s="1"/>
  <c r="E37" i="21" s="1"/>
  <c r="H37" i="21" s="1"/>
  <c r="I18" i="21"/>
  <c r="I21" i="21" s="1"/>
  <c r="E36" i="21" s="1"/>
  <c r="H36" i="21" s="1"/>
  <c r="H18" i="21"/>
  <c r="H21" i="21" s="1"/>
  <c r="E35" i="21" s="1"/>
  <c r="H35" i="21" s="1"/>
  <c r="G18" i="21"/>
  <c r="F18" i="21"/>
  <c r="F21" i="21" s="1"/>
  <c r="E33" i="21" s="1"/>
  <c r="H33" i="21" s="1"/>
  <c r="E18" i="21"/>
  <c r="E21" i="21" s="1"/>
  <c r="E32" i="21" s="1"/>
  <c r="H32" i="21" s="1"/>
  <c r="D18" i="21"/>
  <c r="D21" i="21" s="1"/>
  <c r="E31" i="21" s="1"/>
  <c r="H31" i="21" s="1"/>
  <c r="C18" i="21"/>
  <c r="B18" i="21"/>
  <c r="B21" i="21" s="1"/>
  <c r="L21" i="22"/>
  <c r="E39" i="22" s="1"/>
  <c r="H39" i="22" s="1"/>
  <c r="H21" i="22"/>
  <c r="E35" i="22" s="1"/>
  <c r="H35" i="22" s="1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O18" i="22"/>
  <c r="O21" i="22" s="1"/>
  <c r="E42" i="22" s="1"/>
  <c r="H42" i="22" s="1"/>
  <c r="N18" i="22"/>
  <c r="N21" i="22" s="1"/>
  <c r="E41" i="22" s="1"/>
  <c r="H41" i="22" s="1"/>
  <c r="M18" i="22"/>
  <c r="M21" i="22" s="1"/>
  <c r="E40" i="22" s="1"/>
  <c r="H40" i="22" s="1"/>
  <c r="L18" i="22"/>
  <c r="K18" i="22"/>
  <c r="K21" i="22" s="1"/>
  <c r="E38" i="22" s="1"/>
  <c r="H38" i="22" s="1"/>
  <c r="J18" i="22"/>
  <c r="J21" i="22" s="1"/>
  <c r="E37" i="22" s="1"/>
  <c r="H37" i="22" s="1"/>
  <c r="I18" i="22"/>
  <c r="I21" i="22" s="1"/>
  <c r="E36" i="22" s="1"/>
  <c r="H36" i="22" s="1"/>
  <c r="H18" i="22"/>
  <c r="G18" i="22"/>
  <c r="G21" i="22" s="1"/>
  <c r="E34" i="22" s="1"/>
  <c r="H34" i="22" s="1"/>
  <c r="F18" i="22"/>
  <c r="F21" i="22" s="1"/>
  <c r="E33" i="22" s="1"/>
  <c r="H33" i="22" s="1"/>
  <c r="E18" i="22"/>
  <c r="E21" i="22" s="1"/>
  <c r="E32" i="22" s="1"/>
  <c r="H32" i="22" s="1"/>
  <c r="D18" i="22"/>
  <c r="D21" i="22" s="1"/>
  <c r="E31" i="22" s="1"/>
  <c r="H31" i="22" s="1"/>
  <c r="C18" i="22"/>
  <c r="C21" i="22" s="1"/>
  <c r="E30" i="22" s="1"/>
  <c r="H30" i="22" s="1"/>
  <c r="B18" i="22"/>
  <c r="B21" i="22" s="1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O18" i="23"/>
  <c r="O21" i="23" s="1"/>
  <c r="E42" i="23" s="1"/>
  <c r="H42" i="23" s="1"/>
  <c r="N18" i="23"/>
  <c r="N21" i="23" s="1"/>
  <c r="E41" i="23" s="1"/>
  <c r="H41" i="23" s="1"/>
  <c r="M18" i="23"/>
  <c r="M21" i="23" s="1"/>
  <c r="E40" i="23" s="1"/>
  <c r="H40" i="23" s="1"/>
  <c r="L18" i="23"/>
  <c r="L21" i="23" s="1"/>
  <c r="E39" i="23" s="1"/>
  <c r="H39" i="23" s="1"/>
  <c r="K18" i="23"/>
  <c r="K21" i="23" s="1"/>
  <c r="E38" i="23" s="1"/>
  <c r="H38" i="23" s="1"/>
  <c r="J18" i="23"/>
  <c r="J21" i="23" s="1"/>
  <c r="E37" i="23" s="1"/>
  <c r="H37" i="23" s="1"/>
  <c r="I18" i="23"/>
  <c r="I21" i="23" s="1"/>
  <c r="E36" i="23" s="1"/>
  <c r="H36" i="23" s="1"/>
  <c r="H18" i="23"/>
  <c r="H21" i="23" s="1"/>
  <c r="E35" i="23" s="1"/>
  <c r="H35" i="23" s="1"/>
  <c r="G18" i="23"/>
  <c r="G21" i="23" s="1"/>
  <c r="E34" i="23" s="1"/>
  <c r="H34" i="23" s="1"/>
  <c r="F18" i="23"/>
  <c r="F21" i="23" s="1"/>
  <c r="E33" i="23" s="1"/>
  <c r="H33" i="23" s="1"/>
  <c r="E18" i="23"/>
  <c r="E21" i="23" s="1"/>
  <c r="E32" i="23" s="1"/>
  <c r="H32" i="23" s="1"/>
  <c r="D18" i="23"/>
  <c r="D21" i="23" s="1"/>
  <c r="E31" i="23" s="1"/>
  <c r="H31" i="23" s="1"/>
  <c r="C18" i="23"/>
  <c r="C21" i="23" s="1"/>
  <c r="E30" i="23" s="1"/>
  <c r="H30" i="23" s="1"/>
  <c r="B18" i="23"/>
  <c r="B21" i="23" s="1"/>
  <c r="F24" i="24"/>
  <c r="B24" i="24"/>
  <c r="L22" i="24"/>
  <c r="L24" i="24" s="1"/>
  <c r="J22" i="24"/>
  <c r="J24" i="24" s="1"/>
  <c r="H22" i="24"/>
  <c r="H24" i="24" s="1"/>
  <c r="O19" i="24"/>
  <c r="O22" i="24" s="1"/>
  <c r="O24" i="24" s="1"/>
  <c r="M19" i="24"/>
  <c r="M22" i="24" s="1"/>
  <c r="M24" i="24" s="1"/>
  <c r="L19" i="24"/>
  <c r="K19" i="24"/>
  <c r="K22" i="24" s="1"/>
  <c r="K24" i="24" s="1"/>
  <c r="J19" i="24"/>
  <c r="I19" i="24"/>
  <c r="I22" i="24" s="1"/>
  <c r="I24" i="24" s="1"/>
  <c r="H19" i="24"/>
  <c r="G19" i="24"/>
  <c r="G22" i="24" s="1"/>
  <c r="G24" i="24" s="1"/>
  <c r="F19" i="24"/>
  <c r="E19" i="24"/>
  <c r="E22" i="24" s="1"/>
  <c r="E24" i="24" s="1"/>
  <c r="D19" i="24"/>
  <c r="D22" i="24" s="1"/>
  <c r="D24" i="24" s="1"/>
  <c r="C19" i="24"/>
  <c r="C22" i="24" s="1"/>
  <c r="B19" i="24"/>
  <c r="Q18" i="24"/>
  <c r="N18" i="24"/>
  <c r="N19" i="24" s="1"/>
  <c r="N22" i="24" s="1"/>
  <c r="N24" i="24" s="1"/>
  <c r="F24" i="25"/>
  <c r="B24" i="25"/>
  <c r="G19" i="25"/>
  <c r="G22" i="25" s="1"/>
  <c r="G24" i="25" s="1"/>
  <c r="F19" i="25"/>
  <c r="B19" i="25"/>
  <c r="Q18" i="25"/>
  <c r="O18" i="25"/>
  <c r="O19" i="25" s="1"/>
  <c r="O22" i="25" s="1"/>
  <c r="O24" i="25" s="1"/>
  <c r="N18" i="25"/>
  <c r="N19" i="25" s="1"/>
  <c r="N22" i="25" s="1"/>
  <c r="N24" i="25" s="1"/>
  <c r="M18" i="25"/>
  <c r="M19" i="25" s="1"/>
  <c r="M22" i="25" s="1"/>
  <c r="M24" i="25" s="1"/>
  <c r="L18" i="25"/>
  <c r="L19" i="25" s="1"/>
  <c r="L22" i="25" s="1"/>
  <c r="L24" i="25" s="1"/>
  <c r="K18" i="25"/>
  <c r="K19" i="25" s="1"/>
  <c r="K22" i="25" s="1"/>
  <c r="K24" i="25" s="1"/>
  <c r="J18" i="25"/>
  <c r="J19" i="25" s="1"/>
  <c r="J22" i="25" s="1"/>
  <c r="J24" i="25" s="1"/>
  <c r="I18" i="25"/>
  <c r="I19" i="25" s="1"/>
  <c r="I22" i="25" s="1"/>
  <c r="I24" i="25" s="1"/>
  <c r="H18" i="25"/>
  <c r="H19" i="25" s="1"/>
  <c r="H22" i="25" s="1"/>
  <c r="H24" i="25" s="1"/>
  <c r="E18" i="25"/>
  <c r="E19" i="25" s="1"/>
  <c r="E22" i="25" s="1"/>
  <c r="E24" i="25" s="1"/>
  <c r="D18" i="25"/>
  <c r="D19" i="25" s="1"/>
  <c r="D22" i="25" s="1"/>
  <c r="D24" i="25" s="1"/>
  <c r="C18" i="25"/>
  <c r="P18" i="25" s="1"/>
  <c r="P11" i="25" s="1"/>
  <c r="F24" i="26"/>
  <c r="B24" i="26"/>
  <c r="G22" i="26"/>
  <c r="G24" i="26" s="1"/>
  <c r="L19" i="26"/>
  <c r="L22" i="26" s="1"/>
  <c r="L24" i="26" s="1"/>
  <c r="J19" i="26"/>
  <c r="J22" i="26" s="1"/>
  <c r="J24" i="26" s="1"/>
  <c r="H19" i="26"/>
  <c r="H22" i="26" s="1"/>
  <c r="H24" i="26" s="1"/>
  <c r="G19" i="26"/>
  <c r="F19" i="26"/>
  <c r="B19" i="26"/>
  <c r="Q18" i="26"/>
  <c r="O18" i="26"/>
  <c r="O19" i="26" s="1"/>
  <c r="O22" i="26" s="1"/>
  <c r="O24" i="26" s="1"/>
  <c r="N18" i="26"/>
  <c r="N19" i="26" s="1"/>
  <c r="N22" i="26" s="1"/>
  <c r="N24" i="26" s="1"/>
  <c r="M18" i="26"/>
  <c r="M19" i="26" s="1"/>
  <c r="M22" i="26" s="1"/>
  <c r="M24" i="26" s="1"/>
  <c r="K18" i="26"/>
  <c r="K19" i="26" s="1"/>
  <c r="K22" i="26" s="1"/>
  <c r="K24" i="26" s="1"/>
  <c r="J18" i="26"/>
  <c r="I18" i="26"/>
  <c r="I19" i="26" s="1"/>
  <c r="I22" i="26" s="1"/>
  <c r="I24" i="26" s="1"/>
  <c r="E18" i="26"/>
  <c r="E19" i="26" s="1"/>
  <c r="E22" i="26" s="1"/>
  <c r="E24" i="26" s="1"/>
  <c r="D18" i="26"/>
  <c r="D19" i="26" s="1"/>
  <c r="D22" i="26" s="1"/>
  <c r="D24" i="26" s="1"/>
  <c r="C18" i="26"/>
  <c r="C19" i="26" s="1"/>
  <c r="C22" i="26" s="1"/>
  <c r="F24" i="27"/>
  <c r="B24" i="27"/>
  <c r="N19" i="27"/>
  <c r="N22" i="27" s="1"/>
  <c r="N24" i="27" s="1"/>
  <c r="L19" i="27"/>
  <c r="L22" i="27" s="1"/>
  <c r="L24" i="27" s="1"/>
  <c r="J19" i="27"/>
  <c r="J22" i="27" s="1"/>
  <c r="J24" i="27" s="1"/>
  <c r="H19" i="27"/>
  <c r="H22" i="27" s="1"/>
  <c r="H24" i="27" s="1"/>
  <c r="F19" i="27"/>
  <c r="B19" i="27"/>
  <c r="Q18" i="27"/>
  <c r="O18" i="27"/>
  <c r="O19" i="27" s="1"/>
  <c r="O22" i="27" s="1"/>
  <c r="O24" i="27" s="1"/>
  <c r="N18" i="27"/>
  <c r="M18" i="27"/>
  <c r="M19" i="27" s="1"/>
  <c r="M22" i="27" s="1"/>
  <c r="M24" i="27" s="1"/>
  <c r="L18" i="27"/>
  <c r="K18" i="27"/>
  <c r="K19" i="27" s="1"/>
  <c r="K22" i="27" s="1"/>
  <c r="K24" i="27" s="1"/>
  <c r="J18" i="27"/>
  <c r="I18" i="27"/>
  <c r="I19" i="27" s="1"/>
  <c r="I22" i="27" s="1"/>
  <c r="I24" i="27" s="1"/>
  <c r="H18" i="27"/>
  <c r="G18" i="27"/>
  <c r="G19" i="27" s="1"/>
  <c r="G22" i="27" s="1"/>
  <c r="G24" i="27" s="1"/>
  <c r="E18" i="27"/>
  <c r="E19" i="27" s="1"/>
  <c r="E22" i="27" s="1"/>
  <c r="E24" i="27" s="1"/>
  <c r="D18" i="27"/>
  <c r="D19" i="27" s="1"/>
  <c r="D22" i="27" s="1"/>
  <c r="D24" i="27" s="1"/>
  <c r="C18" i="27"/>
  <c r="C19" i="27" s="1"/>
  <c r="C22" i="27" s="1"/>
  <c r="P15" i="27"/>
  <c r="F24" i="28"/>
  <c r="B24" i="28"/>
  <c r="F19" i="28"/>
  <c r="E19" i="28"/>
  <c r="E22" i="28" s="1"/>
  <c r="E24" i="28" s="1"/>
  <c r="C19" i="28"/>
  <c r="C22" i="28" s="1"/>
  <c r="B19" i="28"/>
  <c r="Q18" i="28"/>
  <c r="P18" i="28"/>
  <c r="O18" i="28"/>
  <c r="O19" i="28" s="1"/>
  <c r="O22" i="28" s="1"/>
  <c r="O24" i="28" s="1"/>
  <c r="N18" i="28"/>
  <c r="N19" i="28" s="1"/>
  <c r="N22" i="28" s="1"/>
  <c r="N24" i="28" s="1"/>
  <c r="M18" i="28"/>
  <c r="M19" i="28" s="1"/>
  <c r="M22" i="28" s="1"/>
  <c r="M24" i="28" s="1"/>
  <c r="L18" i="28"/>
  <c r="L19" i="28" s="1"/>
  <c r="L22" i="28" s="1"/>
  <c r="L24" i="28" s="1"/>
  <c r="K18" i="28"/>
  <c r="K19" i="28" s="1"/>
  <c r="K22" i="28" s="1"/>
  <c r="K24" i="28" s="1"/>
  <c r="J18" i="28"/>
  <c r="J19" i="28" s="1"/>
  <c r="J22" i="28" s="1"/>
  <c r="J24" i="28" s="1"/>
  <c r="I18" i="28"/>
  <c r="I19" i="28" s="1"/>
  <c r="I22" i="28" s="1"/>
  <c r="I24" i="28" s="1"/>
  <c r="H18" i="28"/>
  <c r="H19" i="28" s="1"/>
  <c r="H22" i="28" s="1"/>
  <c r="H24" i="28" s="1"/>
  <c r="G18" i="28"/>
  <c r="G19" i="28" s="1"/>
  <c r="G22" i="28" s="1"/>
  <c r="G24" i="28" s="1"/>
  <c r="E18" i="28"/>
  <c r="D18" i="28"/>
  <c r="D19" i="28" s="1"/>
  <c r="D22" i="28" s="1"/>
  <c r="D24" i="28" s="1"/>
  <c r="C18" i="28"/>
  <c r="P15" i="28"/>
  <c r="F24" i="29"/>
  <c r="B24" i="29"/>
  <c r="L22" i="29"/>
  <c r="L24" i="29" s="1"/>
  <c r="H22" i="29"/>
  <c r="H24" i="29" s="1"/>
  <c r="F19" i="29"/>
  <c r="E19" i="29"/>
  <c r="E22" i="29" s="1"/>
  <c r="E24" i="29" s="1"/>
  <c r="C19" i="29"/>
  <c r="C22" i="29" s="1"/>
  <c r="B19" i="29"/>
  <c r="Q18" i="29"/>
  <c r="P18" i="29"/>
  <c r="O18" i="29"/>
  <c r="O19" i="29" s="1"/>
  <c r="O22" i="29" s="1"/>
  <c r="O24" i="29" s="1"/>
  <c r="N18" i="29"/>
  <c r="N19" i="29" s="1"/>
  <c r="N22" i="29" s="1"/>
  <c r="N24" i="29" s="1"/>
  <c r="M18" i="29"/>
  <c r="M19" i="29" s="1"/>
  <c r="M22" i="29" s="1"/>
  <c r="M24" i="29" s="1"/>
  <c r="L18" i="29"/>
  <c r="L19" i="29" s="1"/>
  <c r="K18" i="29"/>
  <c r="K19" i="29" s="1"/>
  <c r="K22" i="29" s="1"/>
  <c r="K24" i="29" s="1"/>
  <c r="J18" i="29"/>
  <c r="J19" i="29" s="1"/>
  <c r="J22" i="29" s="1"/>
  <c r="J24" i="29" s="1"/>
  <c r="I18" i="29"/>
  <c r="I19" i="29" s="1"/>
  <c r="I22" i="29" s="1"/>
  <c r="I24" i="29" s="1"/>
  <c r="H18" i="29"/>
  <c r="H19" i="29" s="1"/>
  <c r="G18" i="29"/>
  <c r="G19" i="29" s="1"/>
  <c r="G22" i="29" s="1"/>
  <c r="G24" i="29" s="1"/>
  <c r="E18" i="29"/>
  <c r="D18" i="29"/>
  <c r="D19" i="29" s="1"/>
  <c r="D22" i="29" s="1"/>
  <c r="D24" i="29" s="1"/>
  <c r="C18" i="29"/>
  <c r="P15" i="29"/>
  <c r="F24" i="30"/>
  <c r="B24" i="30"/>
  <c r="O19" i="30"/>
  <c r="O22" i="30" s="1"/>
  <c r="O24" i="30" s="1"/>
  <c r="K19" i="30"/>
  <c r="K22" i="30" s="1"/>
  <c r="K24" i="30" s="1"/>
  <c r="G19" i="30"/>
  <c r="G22" i="30" s="1"/>
  <c r="G24" i="30" s="1"/>
  <c r="F19" i="30"/>
  <c r="E19" i="30"/>
  <c r="E22" i="30" s="1"/>
  <c r="E24" i="30" s="1"/>
  <c r="C19" i="30"/>
  <c r="C22" i="30" s="1"/>
  <c r="B19" i="30"/>
  <c r="Q18" i="30"/>
  <c r="P18" i="30"/>
  <c r="O18" i="30"/>
  <c r="N18" i="30"/>
  <c r="N19" i="30" s="1"/>
  <c r="N22" i="30" s="1"/>
  <c r="N24" i="30" s="1"/>
  <c r="M18" i="30"/>
  <c r="M19" i="30" s="1"/>
  <c r="M22" i="30" s="1"/>
  <c r="M24" i="30" s="1"/>
  <c r="L18" i="30"/>
  <c r="L19" i="30" s="1"/>
  <c r="L22" i="30" s="1"/>
  <c r="L24" i="30" s="1"/>
  <c r="K18" i="30"/>
  <c r="J18" i="30"/>
  <c r="J19" i="30" s="1"/>
  <c r="J22" i="30" s="1"/>
  <c r="J24" i="30" s="1"/>
  <c r="I18" i="30"/>
  <c r="I19" i="30" s="1"/>
  <c r="I22" i="30" s="1"/>
  <c r="I24" i="30" s="1"/>
  <c r="H18" i="30"/>
  <c r="H19" i="30" s="1"/>
  <c r="H22" i="30" s="1"/>
  <c r="H24" i="30" s="1"/>
  <c r="G18" i="30"/>
  <c r="E18" i="30"/>
  <c r="D18" i="30"/>
  <c r="D19" i="30" s="1"/>
  <c r="D22" i="30" s="1"/>
  <c r="D24" i="30" s="1"/>
  <c r="C18" i="30"/>
  <c r="P15" i="30"/>
  <c r="F24" i="31"/>
  <c r="B24" i="31"/>
  <c r="L22" i="31"/>
  <c r="L24" i="31" s="1"/>
  <c r="H22" i="31"/>
  <c r="H24" i="31" s="1"/>
  <c r="F19" i="31"/>
  <c r="E19" i="31"/>
  <c r="E22" i="31" s="1"/>
  <c r="E24" i="31" s="1"/>
  <c r="C19" i="31"/>
  <c r="C22" i="31" s="1"/>
  <c r="B19" i="31"/>
  <c r="Q18" i="31"/>
  <c r="P18" i="31"/>
  <c r="O18" i="31"/>
  <c r="O19" i="31" s="1"/>
  <c r="O22" i="31" s="1"/>
  <c r="O24" i="31" s="1"/>
  <c r="N18" i="31"/>
  <c r="N19" i="31" s="1"/>
  <c r="N22" i="31" s="1"/>
  <c r="N24" i="31" s="1"/>
  <c r="M18" i="31"/>
  <c r="M19" i="31" s="1"/>
  <c r="M22" i="31" s="1"/>
  <c r="M24" i="31" s="1"/>
  <c r="L18" i="31"/>
  <c r="L19" i="31" s="1"/>
  <c r="K18" i="31"/>
  <c r="K19" i="31" s="1"/>
  <c r="K22" i="31" s="1"/>
  <c r="K24" i="31" s="1"/>
  <c r="J18" i="31"/>
  <c r="J19" i="31" s="1"/>
  <c r="J22" i="31" s="1"/>
  <c r="J24" i="31" s="1"/>
  <c r="I18" i="31"/>
  <c r="I19" i="31" s="1"/>
  <c r="I22" i="31" s="1"/>
  <c r="I24" i="31" s="1"/>
  <c r="H18" i="31"/>
  <c r="H19" i="31" s="1"/>
  <c r="G18" i="31"/>
  <c r="G19" i="31" s="1"/>
  <c r="G22" i="31" s="1"/>
  <c r="G24" i="31" s="1"/>
  <c r="E18" i="31"/>
  <c r="D18" i="31"/>
  <c r="D19" i="31" s="1"/>
  <c r="D22" i="31" s="1"/>
  <c r="D24" i="31" s="1"/>
  <c r="C18" i="31"/>
  <c r="P15" i="31"/>
  <c r="F24" i="32"/>
  <c r="B24" i="32"/>
  <c r="F19" i="32"/>
  <c r="B19" i="32"/>
  <c r="Q18" i="32"/>
  <c r="O18" i="32"/>
  <c r="O19" i="32" s="1"/>
  <c r="O22" i="32" s="1"/>
  <c r="O24" i="32" s="1"/>
  <c r="N18" i="32"/>
  <c r="N19" i="32" s="1"/>
  <c r="N22" i="32" s="1"/>
  <c r="N24" i="32" s="1"/>
  <c r="M18" i="32"/>
  <c r="M19" i="32" s="1"/>
  <c r="M22" i="32" s="1"/>
  <c r="M24" i="32" s="1"/>
  <c r="L18" i="32"/>
  <c r="L19" i="32" s="1"/>
  <c r="L22" i="32" s="1"/>
  <c r="L24" i="32" s="1"/>
  <c r="K18" i="32"/>
  <c r="K19" i="32" s="1"/>
  <c r="K22" i="32" s="1"/>
  <c r="K24" i="32" s="1"/>
  <c r="J18" i="32"/>
  <c r="J19" i="32" s="1"/>
  <c r="J22" i="32" s="1"/>
  <c r="J24" i="32" s="1"/>
  <c r="I18" i="32"/>
  <c r="I19" i="32" s="1"/>
  <c r="I22" i="32" s="1"/>
  <c r="I24" i="32" s="1"/>
  <c r="H18" i="32"/>
  <c r="H19" i="32" s="1"/>
  <c r="H22" i="32" s="1"/>
  <c r="H24" i="32" s="1"/>
  <c r="G18" i="32"/>
  <c r="G19" i="32" s="1"/>
  <c r="G22" i="32" s="1"/>
  <c r="G24" i="32" s="1"/>
  <c r="E18" i="32"/>
  <c r="E19" i="32" s="1"/>
  <c r="E22" i="32" s="1"/>
  <c r="E24" i="32" s="1"/>
  <c r="D18" i="32"/>
  <c r="D19" i="32" s="1"/>
  <c r="D22" i="32" s="1"/>
  <c r="D24" i="32" s="1"/>
  <c r="C18" i="32"/>
  <c r="C19" i="32" s="1"/>
  <c r="P15" i="32"/>
  <c r="C24" i="30" l="1"/>
  <c r="P22" i="30"/>
  <c r="C24" i="29"/>
  <c r="P22" i="29"/>
  <c r="C24" i="31"/>
  <c r="P22" i="31"/>
  <c r="P19" i="30"/>
  <c r="P24" i="30"/>
  <c r="C24" i="28"/>
  <c r="P22" i="28"/>
  <c r="C24" i="27"/>
  <c r="P22" i="27"/>
  <c r="C24" i="24"/>
  <c r="P22" i="24"/>
  <c r="P19" i="31"/>
  <c r="P24" i="31"/>
  <c r="P19" i="29"/>
  <c r="P24" i="29"/>
  <c r="P19" i="28"/>
  <c r="P24" i="28"/>
  <c r="P19" i="27"/>
  <c r="P24" i="27"/>
  <c r="C24" i="26"/>
  <c r="P24" i="26" s="1"/>
  <c r="P22" i="26"/>
  <c r="P19" i="26"/>
  <c r="P19" i="24"/>
  <c r="P34" i="24" s="1"/>
  <c r="P24" i="24"/>
  <c r="P21" i="23"/>
  <c r="E29" i="23"/>
  <c r="H29" i="23" s="1"/>
  <c r="H43" i="23" s="1"/>
  <c r="E29" i="22"/>
  <c r="H29" i="22" s="1"/>
  <c r="H43" i="22" s="1"/>
  <c r="P21" i="22"/>
  <c r="P18" i="26"/>
  <c r="P11" i="26" s="1"/>
  <c r="P13" i="26" s="1"/>
  <c r="C19" i="25"/>
  <c r="C22" i="25" s="1"/>
  <c r="P21" i="21"/>
  <c r="E29" i="21"/>
  <c r="H29" i="21" s="1"/>
  <c r="H43" i="21" s="1"/>
  <c r="P21" i="19"/>
  <c r="E29" i="19"/>
  <c r="H29" i="19" s="1"/>
  <c r="H43" i="19" s="1"/>
  <c r="H49" i="17"/>
  <c r="K151" i="14"/>
  <c r="K149" i="14"/>
  <c r="K147" i="14"/>
  <c r="K145" i="14"/>
  <c r="K152" i="14"/>
  <c r="K148" i="14"/>
  <c r="K144" i="14"/>
  <c r="K142" i="14"/>
  <c r="K140" i="14"/>
  <c r="K150" i="14"/>
  <c r="K143" i="14"/>
  <c r="K139" i="14"/>
  <c r="P27" i="15"/>
  <c r="K141" i="14"/>
  <c r="E35" i="13"/>
  <c r="H35" i="13" s="1"/>
  <c r="H49" i="13" s="1"/>
  <c r="P27" i="13"/>
  <c r="P27" i="11"/>
  <c r="E35" i="8"/>
  <c r="H35" i="8" s="1"/>
  <c r="H49" i="8" s="1"/>
  <c r="P27" i="8"/>
  <c r="P18" i="24"/>
  <c r="P21" i="20"/>
  <c r="E29" i="20"/>
  <c r="H29" i="20" s="1"/>
  <c r="H43" i="20" s="1"/>
  <c r="P27" i="17"/>
  <c r="H49" i="15"/>
  <c r="K146" i="14"/>
  <c r="H49" i="11"/>
  <c r="C22" i="32"/>
  <c r="P19" i="32"/>
  <c r="P26" i="33"/>
  <c r="P28" i="33" s="1"/>
  <c r="P26" i="26" l="1"/>
  <c r="P28" i="26"/>
  <c r="C24" i="25"/>
  <c r="P24" i="25" s="1"/>
  <c r="P22" i="25"/>
  <c r="P26" i="24"/>
  <c r="P28" i="24" s="1"/>
  <c r="P26" i="27"/>
  <c r="P28" i="27"/>
  <c r="P26" i="28"/>
  <c r="P28" i="28" s="1"/>
  <c r="P26" i="29"/>
  <c r="P28" i="29" s="1"/>
  <c r="P26" i="31"/>
  <c r="P28" i="31" s="1"/>
  <c r="P19" i="25"/>
  <c r="P28" i="30"/>
  <c r="P26" i="30"/>
  <c r="C24" i="32"/>
  <c r="P24" i="32" s="1"/>
  <c r="P22" i="32"/>
  <c r="P26" i="25" l="1"/>
  <c r="P28" i="25" s="1"/>
  <c r="P26" i="32"/>
  <c r="P28" i="32" s="1"/>
</calcChain>
</file>

<file path=xl/sharedStrings.xml><?xml version="1.0" encoding="utf-8"?>
<sst xmlns="http://schemas.openxmlformats.org/spreadsheetml/2006/main" count="2385" uniqueCount="86">
  <si>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</si>
  <si>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</si>
  <si>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</si>
  <si>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</si>
  <si>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</si>
  <si>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</si>
  <si>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</si>
  <si>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</si>
  <si>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</si>
  <si>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</si>
  <si>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</si>
  <si>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</si>
  <si>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RELACION DE INGRESOS BRUTOS</t>
  </si>
  <si>
    <t>CODIGO</t>
  </si>
  <si>
    <t>DESCRIPCION</t>
  </si>
  <si>
    <t>MES</t>
  </si>
  <si>
    <t>DESDE 1 DE ENERO HASTA 31 DE DICIEMBRE 2016</t>
  </si>
  <si>
    <t>TOTALES</t>
  </si>
  <si>
    <t>X</t>
  </si>
  <si>
    <t>MAYOR DE BEBIDAS ALCOHOLICAS, LICORERIAS Y SIMILARES</t>
  </si>
  <si>
    <t>SUPERMERCADOS Y AUTOMERCADOS</t>
  </si>
  <si>
    <t>DETAL DE FRUTAS, VERDURAS Y HORTALIZAS</t>
  </si>
  <si>
    <t>DETAL DE CARNES Y AVES DE CORRAL (CARNICERIAS)</t>
  </si>
  <si>
    <t>DETAL DE PESCADO Y MARISCOS (PESCADERIA)</t>
  </si>
  <si>
    <t>DETAL DE BEBIDAS ALCOHOLICAS EN ENVASES ORIGINALES ( LICORERIAS, SUPERMERCADOS Y SIMILARES)</t>
  </si>
  <si>
    <t>DETAL DE BEBIDAS NO ALCOHOLICAS Y PASTEURIZADAS</t>
  </si>
  <si>
    <t>DETAL DE HIELO Y AGUA MINERAL</t>
  </si>
  <si>
    <t>DETAL DE ALIMENTOS, ACCESORIOS PARA ANIMALES Y SIMILARES</t>
  </si>
  <si>
    <t>PERFUMERIAS, COSMETICOS, ART DE LIMPIEZA Y PREPARADOS AFINES</t>
  </si>
  <si>
    <t>DETAL DE MUEBLES, ARTEFACTOS ELECTRICOS Y NO ELECTRICOS DE USO DOMESTICO</t>
  </si>
  <si>
    <t>DETAL DE HELADOS, REFRESQUERIA, CAFETERIA, CONFITERIA Y SIMILARES (LONCHERIA)</t>
  </si>
  <si>
    <t>VENTA DE ARTICULOS Y PRODUCTOS PLASTICOS, DE ALUMINIO Y/O CARTON QUINCALLERIA EN GENERAL</t>
  </si>
  <si>
    <t>REST, CAFÉ Y FUENTE DE SODA CON EXPENDIO DE CERVEZAS, VINOS Y LICORES</t>
  </si>
  <si>
    <t>totales</t>
  </si>
  <si>
    <t>TOTAL</t>
  </si>
  <si>
    <t>E</t>
  </si>
  <si>
    <t>S</t>
  </si>
  <si>
    <t>T</t>
  </si>
  <si>
    <t>I</t>
  </si>
  <si>
    <t>M</t>
  </si>
  <si>
    <t>A</t>
  </si>
  <si>
    <t>D</t>
  </si>
  <si>
    <t>AUTOMERCADO EXPRESS 2707, C.A.</t>
  </si>
  <si>
    <t>J-40670082-7</t>
  </si>
  <si>
    <t>DESDE 1 DE ENERO HASTA 31 DE DICIEMBRE 2017</t>
  </si>
  <si>
    <t>DESDE 1 DE ENERO HASTA 31 DE MARZO 2018</t>
  </si>
  <si>
    <t>DESDE 1 DE ABRIL HASTA 31 DE JUNIO 2018</t>
  </si>
  <si>
    <t>DESDE 1 DE JUNIO HASTA 30 DE SEPTIEMBRE 2018</t>
  </si>
  <si>
    <t>DESDE 1 DE OCTUBRE HASTA 31 DE DICIEMBRE 2018</t>
  </si>
  <si>
    <t>DESDE 1 DE ENERO HASTA 31 DE MARZO 2019</t>
  </si>
  <si>
    <t>DESDE 1 DE ABRIL HASTA 30 DE JUNIO 2019</t>
  </si>
  <si>
    <t>DESDE 1 DE JULIO HASTA 30 DE SEPTIEMBRE 2019</t>
  </si>
  <si>
    <t>DESDE 1 DE OCTUBRE HASTA 31 DE DICIEMBRE 2019</t>
  </si>
  <si>
    <t>DESDE 1 DE ENERO HASTA 31 DE MARZO 2020</t>
  </si>
  <si>
    <t>DESDE 1 DE NOVIEMBRE HASTA 30 DE NOVIEMBRE 2020</t>
  </si>
  <si>
    <t>menos 20 %</t>
  </si>
  <si>
    <t>total a pagar</t>
  </si>
  <si>
    <t>LICENCIA 204-2016</t>
  </si>
  <si>
    <t>DESDE 1 DE DICIEMBRE HASTA 31 DE DICIEMBRE 2020</t>
  </si>
  <si>
    <t>menos 5 %</t>
  </si>
  <si>
    <t>DESDE 1 DE ENERO HASTA 31 DE ENERO 2021</t>
  </si>
  <si>
    <t>DESDE 1 DE FEBRERO HASTA 28 DE FEBRERO 2021</t>
  </si>
  <si>
    <t>DESDE 1 DE MARZO HASTA 31 DE MARZO 2021</t>
  </si>
  <si>
    <t>AUTOMERCADO EXPRESS 2707, C.A.  CASA MATRIZ</t>
  </si>
  <si>
    <t>DESDE 1 DE ABRIL HASTA 30 DE ABRIL 2021</t>
  </si>
  <si>
    <t>DESDE 1 DE MAYO HASTA 31 DE MAYO 2021</t>
  </si>
  <si>
    <t>1302-01</t>
  </si>
  <si>
    <t>1204-05</t>
  </si>
  <si>
    <t>1201-13</t>
  </si>
  <si>
    <t>1206-03</t>
  </si>
  <si>
    <t>1206-02</t>
  </si>
  <si>
    <t>1203-03</t>
  </si>
  <si>
    <t>1202-04</t>
  </si>
  <si>
    <t>1206-01</t>
  </si>
  <si>
    <t>1208-01</t>
  </si>
  <si>
    <t>1202-03</t>
  </si>
  <si>
    <t>1202-02</t>
  </si>
  <si>
    <t>1201-01</t>
  </si>
  <si>
    <t>1205-04</t>
  </si>
  <si>
    <t>1106-01</t>
  </si>
  <si>
    <t>DESDE 1 DE JUNIO HASTA 30 DE JUNIO 2021</t>
  </si>
  <si>
    <t>DESDE 1 DE JULIO HASTA 31 DE JULIO 2021</t>
  </si>
  <si>
    <t>DESDE 1 DE AGOSTO HASTA 31 DE AGOSTO 2021</t>
  </si>
  <si>
    <t>DESDE 1 DE SEPTIEMBRE HASTA 30 DE SEPTIEMBRE 2021</t>
  </si>
  <si>
    <t>DESDE 1 DE OCTUBRE HASTA 31 DE OCTUBRE 2021</t>
  </si>
  <si>
    <t>DESDE 1 DE NOVIEMBRE HASTA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</si>
</sst>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Fill="1" applyAlignment="1"/>
    <xf numFmtId="4" fontId="1" fillId="0" borderId="0" xfId="0" applyNumberFormat="1" applyFont="1" applyFill="1" applyAlignment="1"/>
    <xf numFmtId="4" fontId="1" fillId="0" borderId="0" xfId="0" applyNumberFormat="1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Alignment="1">
      <alignment horizontal="center"/>
    </xf>
    <xf numFmtId="9" fontId="0" fillId="2" borderId="0" xfId="0" applyNumberFormat="1" applyFill="1"/>
    <xf numFmtId="0" fontId="1" fillId="2" borderId="0" xfId="0" applyFont="1" applyFill="1" applyAlignment="1">
      <alignment horizontal="left"/>
    </xf>
    <xf numFmtId="4" fontId="0" fillId="2" borderId="0" xfId="0" applyNumberFormat="1" applyFill="1" applyAlignment="1">
      <alignment horizontal="center"/>
    </xf>
    <xf numFmtId="9" fontId="0" fillId="2" borderId="3" xfId="0" applyNumberFormat="1" applyFill="1" applyBorder="1"/>
    <xf numFmtId="4" fontId="0" fillId="2" borderId="3" xfId="0" applyNumberForma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4" fontId="1" fillId="3" borderId="0" xfId="0" applyNumberFormat="1" applyFont="1" applyFill="1" applyAlignment="1">
      <alignment horizontal="center"/>
    </xf>
    <xf numFmtId="9" fontId="0" fillId="3" borderId="0" xfId="0" applyNumberFormat="1" applyFill="1"/>
    <xf numFmtId="0" fontId="1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center"/>
    </xf>
    <xf numFmtId="9" fontId="0" fillId="3" borderId="3" xfId="0" applyNumberFormat="1" applyFill="1" applyBorder="1"/>
    <xf numFmtId="4" fontId="0" fillId="3" borderId="3" xfId="0" applyNumberFormat="1" applyFill="1" applyBorder="1"/>
    <xf numFmtId="0" fontId="0" fillId="4" borderId="0" xfId="0" applyFill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4" fontId="1" fillId="4" borderId="0" xfId="0" applyNumberFormat="1" applyFont="1" applyFill="1" applyAlignment="1">
      <alignment horizontal="center"/>
    </xf>
    <xf numFmtId="9" fontId="0" fillId="4" borderId="0" xfId="0" applyNumberFormat="1" applyFill="1"/>
    <xf numFmtId="0" fontId="1" fillId="4" borderId="0" xfId="0" applyFont="1" applyFill="1" applyAlignment="1">
      <alignment horizontal="left"/>
    </xf>
    <xf numFmtId="4" fontId="0" fillId="4" borderId="0" xfId="0" applyNumberFormat="1" applyFill="1" applyAlignment="1">
      <alignment horizontal="center"/>
    </xf>
    <xf numFmtId="9" fontId="0" fillId="4" borderId="3" xfId="0" applyNumberFormat="1" applyFill="1" applyBorder="1"/>
    <xf numFmtId="4" fontId="0" fillId="4" borderId="3" xfId="0" applyNumberFormat="1" applyFill="1" applyBorder="1"/>
    <xf numFmtId="9" fontId="0" fillId="0" borderId="0" xfId="0" applyNumberFormat="1" applyFill="1"/>
    <xf numFmtId="4" fontId="0" fillId="0" borderId="0" xfId="0" applyNumberFormat="1" applyFill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1" fillId="0" borderId="3" xfId="0" applyNumberFormat="1" applyFont="1" applyBorder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4" fontId="0" fillId="5" borderId="0" xfId="0" applyNumberForma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/>
    <xf numFmtId="4" fontId="1" fillId="5" borderId="0" xfId="0" applyNumberFormat="1" applyFont="1" applyFill="1" applyAlignment="1">
      <alignment horizontal="center"/>
    </xf>
    <xf numFmtId="9" fontId="0" fillId="5" borderId="0" xfId="0" applyNumberFormat="1" applyFill="1"/>
    <xf numFmtId="0" fontId="1" fillId="5" borderId="0" xfId="0" applyFont="1" applyFill="1" applyAlignment="1">
      <alignment horizontal="left"/>
    </xf>
    <xf numFmtId="4" fontId="0" fillId="5" borderId="0" xfId="0" applyNumberFormat="1" applyFill="1" applyAlignment="1">
      <alignment horizontal="center"/>
    </xf>
    <xf numFmtId="9" fontId="0" fillId="5" borderId="3" xfId="0" applyNumberFormat="1" applyFill="1" applyBorder="1"/>
    <xf numFmtId="4" fontId="0" fillId="5" borderId="3" xfId="0" applyNumberFormat="1" applyFill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1" fillId="0" borderId="3" xfId="0" applyNumberFormat="1" applyFont="1" applyFill="1" applyBorder="1" applyAlignment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4" fontId="0" fillId="6" borderId="0" xfId="0" applyNumberFormat="1" applyFill="1" applyAlignment="1">
      <alignment horizontal="right"/>
    </xf>
    <xf numFmtId="4" fontId="0" fillId="6" borderId="0" xfId="0" applyNumberFormat="1" applyFill="1"/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6" fillId="0" borderId="0" xfId="0" applyNumberFormat="1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4" fontId="7" fillId="0" borderId="0" xfId="0" applyNumberFormat="1" applyFont="1" applyFill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6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uria/AppData/Roaming/Microsoft/Excel/INGRESOS%20SEGUN%20DECLARACION%20IVA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INGRESOS%20SEGUN%20DECLARACION%20I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3">
          <cell r="H143">
            <v>447462886063.80994</v>
          </cell>
        </row>
        <row r="144">
          <cell r="H144">
            <v>452406206572.26996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1">
          <cell r="H141">
            <v>339007684790.63</v>
          </cell>
        </row>
        <row r="142">
          <cell r="H142">
            <v>452380183678.63989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5">
          <cell r="G135">
            <v>303328142710.05005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topLeftCell="A4" workbookViewId="0">
      <selection activeCell="L29" sqref="L29"/>
    </sheetView>
  </sheetViews>
  <sheetFormatPr baseColWidth="10" defaultRowHeight="15" x14ac:dyDescent="0.25"/>
  <cols>
    <col min="1" max="1" width="10.28515625" style="11" bestFit="1" customWidth="1"/>
    <col min="2" max="16" width="15.28515625" style="11" customWidth="1"/>
    <col min="17" max="16384" width="11.42578125" style="11"/>
  </cols>
  <sheetData>
    <row r="1" spans="1:16" ht="15.75" x14ac:dyDescent="0.25">
      <c r="A1" s="147" t="s">
        <v>63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85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6" t="s">
        <v>13</v>
      </c>
      <c r="B5" s="147" t="s">
        <v>14</v>
      </c>
      <c r="C5" s="147"/>
      <c r="D5" s="10"/>
      <c r="E5" s="10"/>
      <c r="F5" s="10"/>
      <c r="G5" s="10"/>
      <c r="H5" s="10"/>
      <c r="I5" s="146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9</v>
      </c>
      <c r="B18" s="119">
        <v>0</v>
      </c>
      <c r="C18" s="119">
        <f>+P18*23%</f>
        <v>214303.08650000003</v>
      </c>
      <c r="D18" s="119">
        <f>+P18*22%</f>
        <v>204985.56100000002</v>
      </c>
      <c r="E18" s="119">
        <f>+P18*14.5%</f>
        <v>135104.11974999998</v>
      </c>
      <c r="F18" s="119">
        <v>0</v>
      </c>
      <c r="G18" s="119">
        <f>+P18*3%</f>
        <v>27952.576499999999</v>
      </c>
      <c r="H18" s="119">
        <f>+P18*5%</f>
        <v>46587.627500000002</v>
      </c>
      <c r="I18" s="119">
        <f>+P18*8%</f>
        <v>74540.204000000012</v>
      </c>
      <c r="J18" s="119">
        <f>+P18*7%</f>
        <v>65222.678500000009</v>
      </c>
      <c r="K18" s="119">
        <f>+P18*1.5%</f>
        <v>13976.28825</v>
      </c>
      <c r="L18" s="119">
        <f>+P18*2%</f>
        <v>18635.051000000003</v>
      </c>
      <c r="M18" s="119">
        <f>+P18*10%</f>
        <v>93175.255000000005</v>
      </c>
      <c r="N18" s="119">
        <f>+P18*3.5%</f>
        <v>32611.339250000005</v>
      </c>
      <c r="O18" s="119">
        <f>+P18*0.5%</f>
        <v>4658.7627500000008</v>
      </c>
      <c r="P18" s="120">
        <v>931752.55</v>
      </c>
      <c r="Q18" s="11" t="str">
        <f>+A18</f>
        <v>NOVIEMBRE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214303.08650000003</v>
      </c>
      <c r="D19" s="121">
        <f t="shared" si="0"/>
        <v>204985.56100000002</v>
      </c>
      <c r="E19" s="121">
        <f t="shared" si="0"/>
        <v>135104.11974999998</v>
      </c>
      <c r="F19" s="121">
        <f t="shared" si="0"/>
        <v>0</v>
      </c>
      <c r="G19" s="121">
        <f t="shared" si="0"/>
        <v>27952.576499999999</v>
      </c>
      <c r="H19" s="121">
        <f t="shared" si="0"/>
        <v>46587.627500000002</v>
      </c>
      <c r="I19" s="121">
        <f t="shared" si="0"/>
        <v>74540.204000000012</v>
      </c>
      <c r="J19" s="121">
        <f t="shared" si="0"/>
        <v>65222.678500000009</v>
      </c>
      <c r="K19" s="121">
        <f t="shared" si="0"/>
        <v>13976.28825</v>
      </c>
      <c r="L19" s="121">
        <f t="shared" si="0"/>
        <v>18635.051000000003</v>
      </c>
      <c r="M19" s="121">
        <f t="shared" si="0"/>
        <v>93175.255000000005</v>
      </c>
      <c r="N19" s="121">
        <f t="shared" si="0"/>
        <v>32611.339250000005</v>
      </c>
      <c r="O19" s="121">
        <f t="shared" si="0"/>
        <v>4658.7627500000008</v>
      </c>
      <c r="P19" s="120">
        <f>SUM(B19:O19)</f>
        <v>931752.54999999993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144">
        <v>55.45</v>
      </c>
      <c r="C22" s="144">
        <f>C19*C16</f>
        <v>4286.0617300000004</v>
      </c>
      <c r="D22" s="144">
        <f>D19*D16</f>
        <v>2049.8556100000001</v>
      </c>
      <c r="E22" s="144">
        <f t="shared" ref="E22:O22" si="1">+E19*E16</f>
        <v>1553.6973771249998</v>
      </c>
      <c r="F22" s="144">
        <v>55.45</v>
      </c>
      <c r="G22" s="144">
        <f t="shared" si="1"/>
        <v>1677.1545899999999</v>
      </c>
      <c r="H22" s="144">
        <f t="shared" si="1"/>
        <v>1048.2216187500001</v>
      </c>
      <c r="I22" s="144">
        <f t="shared" si="1"/>
        <v>857.21234600000014</v>
      </c>
      <c r="J22" s="144">
        <f t="shared" si="1"/>
        <v>978.3401775000001</v>
      </c>
      <c r="K22" s="144">
        <f t="shared" si="1"/>
        <v>314.46648562499996</v>
      </c>
      <c r="L22" s="144">
        <f t="shared" si="1"/>
        <v>419.28864750000008</v>
      </c>
      <c r="M22" s="144">
        <f t="shared" si="1"/>
        <v>931.75255000000004</v>
      </c>
      <c r="N22" s="144">
        <f t="shared" si="1"/>
        <v>570.69843687500008</v>
      </c>
      <c r="O22" s="144">
        <f t="shared" si="1"/>
        <v>197.99741687500006</v>
      </c>
      <c r="P22" s="144">
        <f>SUM(B22:O22)</f>
        <v>14995.646986249998</v>
      </c>
    </row>
    <row r="23" spans="1:17" hidden="1" x14ac:dyDescent="0.25">
      <c r="F23" s="117"/>
    </row>
    <row r="24" spans="1:17" hidden="1" x14ac:dyDescent="0.25">
      <c r="B24" s="68">
        <f>+B22</f>
        <v>55.45</v>
      </c>
      <c r="C24" s="68">
        <f t="shared" ref="C24:O24" si="2">C22</f>
        <v>4286.0617300000004</v>
      </c>
      <c r="D24" s="68">
        <f t="shared" si="2"/>
        <v>2049.8556100000001</v>
      </c>
      <c r="E24" s="68">
        <f t="shared" si="2"/>
        <v>1553.6973771249998</v>
      </c>
      <c r="F24" s="68">
        <f>+F22</f>
        <v>55.45</v>
      </c>
      <c r="G24" s="68">
        <f t="shared" si="2"/>
        <v>1677.1545899999999</v>
      </c>
      <c r="H24" s="68">
        <f t="shared" si="2"/>
        <v>1048.2216187500001</v>
      </c>
      <c r="I24" s="68">
        <f t="shared" si="2"/>
        <v>857.21234600000014</v>
      </c>
      <c r="J24" s="68">
        <f t="shared" si="2"/>
        <v>978.3401775000001</v>
      </c>
      <c r="K24" s="68">
        <f>K22</f>
        <v>314.46648562499996</v>
      </c>
      <c r="L24" s="68">
        <f t="shared" si="2"/>
        <v>419.28864750000008</v>
      </c>
      <c r="M24" s="68">
        <f t="shared" si="2"/>
        <v>931.75255000000004</v>
      </c>
      <c r="N24" s="68">
        <f t="shared" si="2"/>
        <v>570.69843687500008</v>
      </c>
      <c r="O24" s="68">
        <f t="shared" si="2"/>
        <v>197.99741687500006</v>
      </c>
      <c r="P24" s="68">
        <f>SUM(B24:O24)</f>
        <v>14995.646986249998</v>
      </c>
    </row>
    <row r="25" spans="1:17" x14ac:dyDescent="0.25">
      <c r="F25" s="117"/>
      <c r="P25" s="144"/>
    </row>
    <row r="26" spans="1:17" x14ac:dyDescent="0.25">
      <c r="F26" s="117"/>
      <c r="O26" s="125" t="s">
        <v>59</v>
      </c>
      <c r="P26" s="145">
        <f>P24*5%</f>
        <v>749.78234931249995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  <c r="P27" s="117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144">
        <f>P24-P26</f>
        <v>14245.864636937498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A1:F1"/>
    <mergeCell ref="A2:F2"/>
    <mergeCell ref="A3:F3"/>
    <mergeCell ref="A4:F4"/>
    <mergeCell ref="B5:C5"/>
    <mergeCell ref="J5:K5"/>
  </mergeCells>
  <printOptions horizontalCentered="1"/>
  <pageMargins left="0.39370078740157483" right="0.39370078740157483" top="0.74803149606299213" bottom="0.74803149606299213" header="0.31496062992125984" footer="0.31496062992125984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E6" sqref="E6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7" t="s">
        <v>42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61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1" t="s">
        <v>13</v>
      </c>
      <c r="B5" s="147" t="s">
        <v>14</v>
      </c>
      <c r="C5" s="147"/>
      <c r="D5" s="10"/>
      <c r="E5" s="10"/>
      <c r="F5" s="10"/>
      <c r="G5" s="10"/>
      <c r="H5" s="10"/>
      <c r="I5" s="131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1</v>
      </c>
      <c r="B18" s="119">
        <v>0</v>
      </c>
      <c r="C18" s="119">
        <f>+P18*23%</f>
        <v>63986235259.578178</v>
      </c>
      <c r="D18" s="119">
        <f>+P18*22%</f>
        <v>61204225030.900864</v>
      </c>
      <c r="E18" s="119">
        <f>+P18*14.5%</f>
        <v>40339148315.821022</v>
      </c>
      <c r="F18" s="119">
        <v>0</v>
      </c>
      <c r="G18" s="119">
        <f>+P18*3%</f>
        <v>8346030686.0319357</v>
      </c>
      <c r="H18" s="119">
        <f>+P18*5%</f>
        <v>13910051143.38656</v>
      </c>
      <c r="I18" s="119">
        <f>+P18*8%</f>
        <v>22256081829.418495</v>
      </c>
      <c r="J18" s="119">
        <f>+P18*7%</f>
        <v>19474071600.741184</v>
      </c>
      <c r="K18" s="119">
        <f>+P18*1.5%</f>
        <v>4173015343.0159678</v>
      </c>
      <c r="L18" s="119">
        <f>+P18*2%</f>
        <v>5564020457.3546238</v>
      </c>
      <c r="M18" s="119">
        <f>+P18*10%</f>
        <v>27820102286.773121</v>
      </c>
      <c r="N18" s="119">
        <f>+P18*3.5%</f>
        <v>9737035800.3705921</v>
      </c>
      <c r="O18" s="119">
        <f>+P18*0.5%</f>
        <v>1391005114.3386559</v>
      </c>
      <c r="P18" s="120">
        <v>278201022867.7312</v>
      </c>
      <c r="Q18" s="11" t="str">
        <f>+A18</f>
        <v>FEBRERO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63986235259.578178</v>
      </c>
      <c r="D19" s="121">
        <f t="shared" si="0"/>
        <v>61204225030.900864</v>
      </c>
      <c r="E19" s="121">
        <f t="shared" si="0"/>
        <v>40339148315.821022</v>
      </c>
      <c r="F19" s="121">
        <f t="shared" si="0"/>
        <v>0</v>
      </c>
      <c r="G19" s="121">
        <f t="shared" si="0"/>
        <v>8346030686.0319357</v>
      </c>
      <c r="H19" s="121">
        <f t="shared" si="0"/>
        <v>13910051143.38656</v>
      </c>
      <c r="I19" s="121">
        <f t="shared" si="0"/>
        <v>22256081829.418495</v>
      </c>
      <c r="J19" s="121">
        <f t="shared" si="0"/>
        <v>19474071600.741184</v>
      </c>
      <c r="K19" s="121">
        <f t="shared" si="0"/>
        <v>4173015343.0159678</v>
      </c>
      <c r="L19" s="121">
        <f t="shared" si="0"/>
        <v>5564020457.3546238</v>
      </c>
      <c r="M19" s="121">
        <f t="shared" si="0"/>
        <v>27820102286.773121</v>
      </c>
      <c r="N19" s="121">
        <f t="shared" si="0"/>
        <v>9737035800.3705921</v>
      </c>
      <c r="O19" s="121">
        <f t="shared" si="0"/>
        <v>1391005114.3386559</v>
      </c>
      <c r="P19" s="120">
        <f>SUM(B19:O19)</f>
        <v>278201022867.7312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22456333.600000001</v>
      </c>
      <c r="C22" s="68">
        <f>C19*C16</f>
        <v>1279724705.1915636</v>
      </c>
      <c r="D22" s="68">
        <f>D19*D16</f>
        <v>612042250.3090086</v>
      </c>
      <c r="E22" s="68">
        <f t="shared" ref="E22:O22" si="1">+E19*E16</f>
        <v>463900205.63194174</v>
      </c>
      <c r="F22" s="68">
        <v>22456333.600000001</v>
      </c>
      <c r="G22" s="68">
        <f t="shared" si="1"/>
        <v>500761841.16191614</v>
      </c>
      <c r="H22" s="68">
        <f t="shared" si="1"/>
        <v>312976150.7261976</v>
      </c>
      <c r="I22" s="68">
        <f t="shared" si="1"/>
        <v>255944941.0383127</v>
      </c>
      <c r="J22" s="68">
        <f t="shared" si="1"/>
        <v>292111074.01111776</v>
      </c>
      <c r="K22" s="68">
        <f t="shared" si="1"/>
        <v>93892845.217859268</v>
      </c>
      <c r="L22" s="68">
        <f t="shared" si="1"/>
        <v>125190460.29047903</v>
      </c>
      <c r="M22" s="68">
        <f t="shared" si="1"/>
        <v>278201022.86773121</v>
      </c>
      <c r="N22" s="68">
        <f t="shared" si="1"/>
        <v>170398126.50648537</v>
      </c>
      <c r="O22" s="68">
        <f t="shared" si="1"/>
        <v>59117717.359392881</v>
      </c>
      <c r="P22" s="68">
        <f>SUM(B22:O22)</f>
        <v>4489174007.5120068</v>
      </c>
    </row>
    <row r="23" spans="1:17" hidden="1" x14ac:dyDescent="0.25">
      <c r="F23" s="117"/>
    </row>
    <row r="24" spans="1:17" hidden="1" x14ac:dyDescent="0.25">
      <c r="B24" s="68">
        <f>+B22</f>
        <v>22456333.600000001</v>
      </c>
      <c r="C24" s="68">
        <f t="shared" ref="C24:O24" si="2">C22</f>
        <v>1279724705.1915636</v>
      </c>
      <c r="D24" s="68">
        <f t="shared" si="2"/>
        <v>612042250.3090086</v>
      </c>
      <c r="E24" s="68">
        <f t="shared" si="2"/>
        <v>463900205.63194174</v>
      </c>
      <c r="F24" s="68">
        <f>+F22</f>
        <v>22456333.600000001</v>
      </c>
      <c r="G24" s="68">
        <f t="shared" si="2"/>
        <v>500761841.16191614</v>
      </c>
      <c r="H24" s="68">
        <f t="shared" si="2"/>
        <v>312976150.7261976</v>
      </c>
      <c r="I24" s="68">
        <f t="shared" si="2"/>
        <v>255944941.0383127</v>
      </c>
      <c r="J24" s="68">
        <f t="shared" si="2"/>
        <v>292111074.01111776</v>
      </c>
      <c r="K24" s="68">
        <f>K22</f>
        <v>93892845.217859268</v>
      </c>
      <c r="L24" s="68">
        <f t="shared" si="2"/>
        <v>125190460.29047903</v>
      </c>
      <c r="M24" s="68">
        <f t="shared" si="2"/>
        <v>278201022.86773121</v>
      </c>
      <c r="N24" s="68">
        <f t="shared" si="2"/>
        <v>170398126.50648537</v>
      </c>
      <c r="O24" s="68">
        <f t="shared" si="2"/>
        <v>59117717.359392881</v>
      </c>
      <c r="P24" s="68">
        <f>SUM(B24:O24)</f>
        <v>4489174007.5120068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224458700.37560034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4264715307.1364064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P28" sqref="A1:P28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4" width="15" style="11" customWidth="1"/>
    <col min="15" max="15" width="16.42578125" style="11" bestFit="1" customWidth="1"/>
    <col min="16" max="16" width="18.28515625" style="11" bestFit="1" customWidth="1"/>
    <col min="17" max="16384" width="11.42578125" style="11"/>
  </cols>
  <sheetData>
    <row r="1" spans="1:16" ht="15.75" x14ac:dyDescent="0.25">
      <c r="A1" s="147" t="s">
        <v>42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60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29" t="s">
        <v>13</v>
      </c>
      <c r="B5" s="147" t="s">
        <v>14</v>
      </c>
      <c r="C5" s="147"/>
      <c r="D5" s="10"/>
      <c r="E5" s="10"/>
      <c r="F5" s="10"/>
      <c r="G5" s="10"/>
      <c r="H5" s="10"/>
      <c r="I5" s="129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0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0">
        <v>217262690979.53</v>
      </c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0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0">
        <f>+P9-P18</f>
        <v>0</v>
      </c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0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0">
        <f>+P11/12</f>
        <v>0</v>
      </c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6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0</v>
      </c>
      <c r="B18" s="119">
        <v>0</v>
      </c>
      <c r="C18" s="119">
        <f>29060182210.8+10397222310+20672136799.61</f>
        <v>60129541320.410004</v>
      </c>
      <c r="D18" s="119">
        <f>7478103499.5+8802494947.44+8068953701.82</f>
        <v>24349552148.760002</v>
      </c>
      <c r="E18" s="119">
        <f>18112010345.85+8068953701</f>
        <v>26180964046.849998</v>
      </c>
      <c r="F18" s="119">
        <v>0</v>
      </c>
      <c r="G18" s="119">
        <v>2701255940</v>
      </c>
      <c r="H18" s="119">
        <v>3550686822.96</v>
      </c>
      <c r="I18" s="119">
        <f>1948537680+15965408934</f>
        <v>17913946614</v>
      </c>
      <c r="J18" s="119">
        <f>1530223500+7420903579.02+8724128084.92</f>
        <v>17675255163.940002</v>
      </c>
      <c r="K18" s="119">
        <f>1058449255+31375870+1051051914.64+15000000000</f>
        <v>17140877039.639999</v>
      </c>
      <c r="L18" s="119">
        <v>998602220</v>
      </c>
      <c r="M18" s="119">
        <f>1164464990+1973844010+72082700+8831488556.86+17000000000.09</f>
        <v>29041880256.950001</v>
      </c>
      <c r="N18" s="119">
        <f>1549473199.64+8095531177.12</f>
        <v>9645004376.7600002</v>
      </c>
      <c r="O18" s="119">
        <f>7302010029.26+633115000</f>
        <v>7935125029.2600002</v>
      </c>
      <c r="P18" s="120">
        <f>SUM(B18:O18)</f>
        <v>217262690979.53009</v>
      </c>
      <c r="Q18" s="11" t="str">
        <f>+A18</f>
        <v>ENERO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60129541320.410004</v>
      </c>
      <c r="D19" s="121">
        <f t="shared" si="0"/>
        <v>24349552148.760002</v>
      </c>
      <c r="E19" s="121">
        <f t="shared" si="0"/>
        <v>26180964046.849998</v>
      </c>
      <c r="F19" s="121">
        <f t="shared" si="0"/>
        <v>0</v>
      </c>
      <c r="G19" s="121">
        <f t="shared" si="0"/>
        <v>2701255940</v>
      </c>
      <c r="H19" s="121">
        <f t="shared" si="0"/>
        <v>3550686822.96</v>
      </c>
      <c r="I19" s="121">
        <f t="shared" si="0"/>
        <v>17913946614</v>
      </c>
      <c r="J19" s="121">
        <f t="shared" si="0"/>
        <v>17675255163.940002</v>
      </c>
      <c r="K19" s="121">
        <f t="shared" si="0"/>
        <v>17140877039.639999</v>
      </c>
      <c r="L19" s="121">
        <f t="shared" si="0"/>
        <v>998602220</v>
      </c>
      <c r="M19" s="121">
        <f t="shared" si="0"/>
        <v>29041880256.950001</v>
      </c>
      <c r="N19" s="121">
        <f t="shared" si="0"/>
        <v>9645004376.7600002</v>
      </c>
      <c r="O19" s="121">
        <f t="shared" si="0"/>
        <v>7935125029.2600002</v>
      </c>
      <c r="P19" s="120">
        <f>SUM(B19:O19)</f>
        <v>217262690979.53009</v>
      </c>
    </row>
    <row r="20" spans="1:17" x14ac:dyDescent="0.25">
      <c r="F20" s="117"/>
    </row>
    <row r="21" spans="1:17" x14ac:dyDescent="0.25">
      <c r="F21" s="117"/>
    </row>
    <row r="22" spans="1:17" hidden="1" x14ac:dyDescent="0.25">
      <c r="B22" s="68">
        <v>21883528</v>
      </c>
      <c r="C22" s="68">
        <f>C19*C16</f>
        <v>1202590826.4082</v>
      </c>
      <c r="D22" s="68">
        <f>D19*D16</f>
        <v>243495521.48760003</v>
      </c>
      <c r="E22" s="68">
        <f t="shared" ref="E22:O22" si="1">+E19*E16</f>
        <v>301081086.53877497</v>
      </c>
      <c r="F22" s="68">
        <v>21883528</v>
      </c>
      <c r="G22" s="68">
        <f t="shared" si="1"/>
        <v>162075356.40000001</v>
      </c>
      <c r="H22" s="68">
        <f t="shared" si="1"/>
        <v>79890453.516599998</v>
      </c>
      <c r="I22" s="68">
        <f t="shared" si="1"/>
        <v>206010386.06099999</v>
      </c>
      <c r="J22" s="68">
        <f t="shared" si="1"/>
        <v>265128827.45910004</v>
      </c>
      <c r="K22" s="68">
        <f t="shared" si="1"/>
        <v>385669733.39189994</v>
      </c>
      <c r="L22" s="68">
        <f t="shared" si="1"/>
        <v>22468549.949999999</v>
      </c>
      <c r="M22" s="68">
        <f t="shared" si="1"/>
        <v>290418802.56950003</v>
      </c>
      <c r="N22" s="68">
        <f t="shared" si="1"/>
        <v>168787576.59330001</v>
      </c>
      <c r="O22" s="68">
        <f t="shared" si="1"/>
        <v>337242813.74355006</v>
      </c>
      <c r="P22" s="68">
        <f>SUM(B22:O22)</f>
        <v>3708626990.119525</v>
      </c>
    </row>
    <row r="23" spans="1:17" hidden="1" x14ac:dyDescent="0.25">
      <c r="F23" s="117"/>
    </row>
    <row r="24" spans="1:17" x14ac:dyDescent="0.25">
      <c r="B24" s="68">
        <f>B22</f>
        <v>21883528</v>
      </c>
      <c r="C24" s="68">
        <f t="shared" ref="C24:O24" si="2">C22</f>
        <v>1202590826.4082</v>
      </c>
      <c r="D24" s="68">
        <f t="shared" si="2"/>
        <v>243495521.48760003</v>
      </c>
      <c r="E24" s="68">
        <f t="shared" si="2"/>
        <v>301081086.53877497</v>
      </c>
      <c r="F24" s="68">
        <f t="shared" si="2"/>
        <v>21883528</v>
      </c>
      <c r="G24" s="68">
        <f t="shared" si="2"/>
        <v>162075356.40000001</v>
      </c>
      <c r="H24" s="68">
        <f t="shared" si="2"/>
        <v>79890453.516599998</v>
      </c>
      <c r="I24" s="68">
        <f t="shared" si="2"/>
        <v>206010386.06099999</v>
      </c>
      <c r="J24" s="68">
        <f t="shared" si="2"/>
        <v>265128827.45910004</v>
      </c>
      <c r="K24" s="68">
        <f>K22</f>
        <v>385669733.39189994</v>
      </c>
      <c r="L24" s="68">
        <f t="shared" si="2"/>
        <v>22468549.949999999</v>
      </c>
      <c r="M24" s="68">
        <f t="shared" si="2"/>
        <v>290418802.56950003</v>
      </c>
      <c r="N24" s="68">
        <f t="shared" si="2"/>
        <v>168787576.59330001</v>
      </c>
      <c r="O24" s="68">
        <f t="shared" si="2"/>
        <v>337242813.74355006</v>
      </c>
      <c r="P24" s="68">
        <f>SUM(B24:O24)</f>
        <v>3708626990.119525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185431349.50597626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3523195640.6135488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B26" sqref="B26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5.7109375" style="11" customWidth="1"/>
    <col min="12" max="12" width="15.28515625" style="11" bestFit="1" customWidth="1"/>
    <col min="13" max="13" width="16.140625" style="11" customWidth="1"/>
    <col min="14" max="14" width="15" style="11" customWidth="1"/>
    <col min="15" max="15" width="16.42578125" style="11" bestFit="1" customWidth="1"/>
    <col min="16" max="16" width="18.28515625" style="11" bestFit="1" customWidth="1"/>
    <col min="17" max="16384" width="11.42578125" style="11"/>
  </cols>
  <sheetData>
    <row r="1" spans="1:16" ht="15.75" x14ac:dyDescent="0.25">
      <c r="A1" s="147" t="s">
        <v>42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</row>
    <row r="4" spans="1:16" ht="15.75" x14ac:dyDescent="0.25">
      <c r="A4" s="147" t="s">
        <v>58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</row>
    <row r="5" spans="1:16" ht="15.75" x14ac:dyDescent="0.25">
      <c r="A5" s="128" t="s">
        <v>13</v>
      </c>
      <c r="B5" s="147" t="s">
        <v>14</v>
      </c>
      <c r="C5" s="147"/>
      <c r="D5" s="10"/>
      <c r="E5" s="10"/>
      <c r="F5" s="10"/>
      <c r="G5" s="10"/>
      <c r="H5" s="10"/>
      <c r="I5" s="128" t="s">
        <v>13</v>
      </c>
      <c r="J5" s="147" t="s">
        <v>14</v>
      </c>
      <c r="K5" s="147"/>
      <c r="L5" s="10"/>
      <c r="M5" s="10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68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0">
        <v>164620489283.41</v>
      </c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0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0">
        <f>+P9-P18</f>
        <v>0</v>
      </c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0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0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6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10</v>
      </c>
      <c r="B18" s="119">
        <v>0</v>
      </c>
      <c r="C18" s="119">
        <f>41189010+7197953788.02+6526490493.48+5000000000+2482257208.76</f>
        <v>21247890500.260002</v>
      </c>
      <c r="D18" s="119">
        <f>13511161674.22+1985805767.01+4964514417.52</f>
        <v>20461481858.75</v>
      </c>
      <c r="E18" s="119">
        <f>17237806031.18+4964514417.52</f>
        <v>22202320448.700001</v>
      </c>
      <c r="F18" s="119">
        <v>0</v>
      </c>
      <c r="G18" s="119">
        <v>5906128911.3400002</v>
      </c>
      <c r="H18" s="119">
        <f>2329298128.51+7947954479.03</f>
        <v>10277252607.540001</v>
      </c>
      <c r="I18" s="119">
        <f>9292972475+7947954479.03</f>
        <v>17240926954.029999</v>
      </c>
      <c r="J18" s="119">
        <f>1795219820+7947954479.03+2482257208.76+2482257208.76</f>
        <v>14707688716.549999</v>
      </c>
      <c r="K18" s="119">
        <f>1361514733.36+7947954479.03</f>
        <v>9309469212.3899994</v>
      </c>
      <c r="L18" s="119">
        <f>642941540+7947954479.03</f>
        <v>8590896019.0299988</v>
      </c>
      <c r="M18" s="119">
        <f>623630245.01+1845074743.16+7947954479.03+4964514417.52</f>
        <v>15381173884.720001</v>
      </c>
      <c r="N18" s="119">
        <f>1919425352.04+7947954479.03</f>
        <v>9867379831.0699997</v>
      </c>
      <c r="O18" s="119">
        <f>3479925860+5947954479.03</f>
        <v>9427880339.0299988</v>
      </c>
      <c r="P18" s="120">
        <f>SUM(B18:O18)</f>
        <v>164620489283.41</v>
      </c>
      <c r="Q18" s="11" t="str">
        <f>+A18</f>
        <v>DICIEMBRE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21247890500.260002</v>
      </c>
      <c r="D19" s="121">
        <f t="shared" si="0"/>
        <v>20461481858.75</v>
      </c>
      <c r="E19" s="121">
        <f t="shared" si="0"/>
        <v>22202320448.700001</v>
      </c>
      <c r="F19" s="121">
        <f t="shared" si="0"/>
        <v>0</v>
      </c>
      <c r="G19" s="121">
        <f t="shared" si="0"/>
        <v>5906128911.3400002</v>
      </c>
      <c r="H19" s="121">
        <f t="shared" si="0"/>
        <v>10277252607.540001</v>
      </c>
      <c r="I19" s="121">
        <f t="shared" si="0"/>
        <v>17240926954.029999</v>
      </c>
      <c r="J19" s="121">
        <f t="shared" si="0"/>
        <v>14707688716.549999</v>
      </c>
      <c r="K19" s="121">
        <f t="shared" si="0"/>
        <v>9309469212.3899994</v>
      </c>
      <c r="L19" s="121">
        <f t="shared" si="0"/>
        <v>8590896019.0299988</v>
      </c>
      <c r="M19" s="121">
        <f t="shared" si="0"/>
        <v>15381173884.720001</v>
      </c>
      <c r="N19" s="121">
        <f t="shared" si="0"/>
        <v>9867379831.0699997</v>
      </c>
      <c r="O19" s="121">
        <f t="shared" si="0"/>
        <v>9427880339.0299988</v>
      </c>
      <c r="P19" s="120">
        <f>SUM(B19:O19)</f>
        <v>164620489283.41</v>
      </c>
    </row>
    <row r="20" spans="1:17" x14ac:dyDescent="0.25">
      <c r="F20" s="117"/>
    </row>
    <row r="21" spans="1:17" hidden="1" x14ac:dyDescent="0.25">
      <c r="F21" s="117"/>
    </row>
    <row r="22" spans="1:17" hidden="1" x14ac:dyDescent="0.25">
      <c r="B22" s="68">
        <v>13068696.84</v>
      </c>
      <c r="C22" s="68">
        <f>C19*C16</f>
        <v>424957810.00520003</v>
      </c>
      <c r="D22" s="68">
        <f>D19*D16</f>
        <v>204614818.58750001</v>
      </c>
      <c r="E22" s="68">
        <f t="shared" ref="E22:O22" si="1">+E19*E16</f>
        <v>255326685.16005</v>
      </c>
      <c r="F22" s="68">
        <v>13068696.84</v>
      </c>
      <c r="G22" s="68">
        <f t="shared" si="1"/>
        <v>354367734.68040001</v>
      </c>
      <c r="H22" s="68">
        <f t="shared" si="1"/>
        <v>231238183.66965002</v>
      </c>
      <c r="I22" s="68">
        <f t="shared" si="1"/>
        <v>198270659.97134498</v>
      </c>
      <c r="J22" s="68">
        <f t="shared" si="1"/>
        <v>220615330.74824998</v>
      </c>
      <c r="K22" s="68">
        <f t="shared" si="1"/>
        <v>209463057.27877498</v>
      </c>
      <c r="L22" s="68">
        <f t="shared" si="1"/>
        <v>193295160.42817497</v>
      </c>
      <c r="M22" s="68">
        <f t="shared" si="1"/>
        <v>153811738.84720001</v>
      </c>
      <c r="N22" s="68">
        <f t="shared" si="1"/>
        <v>172679147.04372501</v>
      </c>
      <c r="O22" s="68">
        <f t="shared" si="1"/>
        <v>400684914.40877497</v>
      </c>
      <c r="P22" s="68">
        <f>SUM(B22:O22)</f>
        <v>3045462634.5090446</v>
      </c>
    </row>
    <row r="23" spans="1:17" x14ac:dyDescent="0.25">
      <c r="F23" s="117"/>
    </row>
    <row r="24" spans="1:17" x14ac:dyDescent="0.25">
      <c r="B24" s="68">
        <f>B22</f>
        <v>13068696.84</v>
      </c>
      <c r="C24" s="68">
        <f t="shared" ref="C24:O24" si="2">C22</f>
        <v>424957810.00520003</v>
      </c>
      <c r="D24" s="68">
        <f t="shared" si="2"/>
        <v>204614818.58750001</v>
      </c>
      <c r="E24" s="68">
        <f t="shared" si="2"/>
        <v>255326685.16005</v>
      </c>
      <c r="F24" s="68">
        <f t="shared" si="2"/>
        <v>13068696.84</v>
      </c>
      <c r="G24" s="68">
        <f t="shared" si="2"/>
        <v>354367734.68040001</v>
      </c>
      <c r="H24" s="68">
        <f t="shared" si="2"/>
        <v>231238183.66965002</v>
      </c>
      <c r="I24" s="68">
        <f t="shared" si="2"/>
        <v>198270659.97134498</v>
      </c>
      <c r="J24" s="68">
        <f t="shared" si="2"/>
        <v>220615330.74824998</v>
      </c>
      <c r="K24" s="68">
        <f t="shared" si="2"/>
        <v>209463057.27877498</v>
      </c>
      <c r="L24" s="68">
        <f t="shared" si="2"/>
        <v>193295160.42817497</v>
      </c>
      <c r="M24" s="68">
        <f t="shared" si="2"/>
        <v>153811738.84720001</v>
      </c>
      <c r="N24" s="68">
        <f t="shared" si="2"/>
        <v>172679147.04372501</v>
      </c>
      <c r="O24" s="68">
        <f t="shared" si="2"/>
        <v>400684914.40877497</v>
      </c>
      <c r="P24" s="68">
        <f>SUM(B24:O24)</f>
        <v>3045462634.5090446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152273131.72545224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2893189502.7835922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C29" sqref="C29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5.42578125" style="11" customWidth="1"/>
    <col min="9" max="9" width="16" style="11" customWidth="1"/>
    <col min="10" max="10" width="16.7109375" style="11" customWidth="1"/>
    <col min="11" max="11" width="15.7109375" style="11" customWidth="1"/>
    <col min="12" max="12" width="13.7109375" style="11" bestFit="1" customWidth="1"/>
    <col min="13" max="13" width="16.140625" style="11" customWidth="1"/>
    <col min="14" max="14" width="15" style="11" customWidth="1"/>
    <col min="15" max="15" width="15.5703125" style="11" customWidth="1"/>
    <col min="16" max="16" width="18.28515625" style="11" bestFit="1" customWidth="1"/>
    <col min="17" max="16384" width="11.42578125" style="11"/>
  </cols>
  <sheetData>
    <row r="1" spans="1:15" ht="15.75" x14ac:dyDescent="0.25">
      <c r="A1" s="147" t="s">
        <v>42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5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5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</row>
    <row r="4" spans="1:15" ht="15.75" x14ac:dyDescent="0.25">
      <c r="A4" s="147" t="s">
        <v>54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</row>
    <row r="5" spans="1:15" ht="15.75" x14ac:dyDescent="0.25">
      <c r="A5" s="114" t="s">
        <v>13</v>
      </c>
      <c r="B5" s="147" t="s">
        <v>14</v>
      </c>
      <c r="C5" s="147"/>
      <c r="D5" s="10"/>
      <c r="E5" s="10"/>
      <c r="F5" s="10"/>
      <c r="G5" s="10"/>
      <c r="H5" s="10"/>
      <c r="I5" s="114" t="s">
        <v>13</v>
      </c>
      <c r="J5" s="147" t="s">
        <v>14</v>
      </c>
      <c r="K5" s="147"/>
      <c r="L5" s="10"/>
      <c r="M5" s="10"/>
    </row>
    <row r="6" spans="1:15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</row>
    <row r="8" spans="1:15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</row>
    <row r="9" spans="1:15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</row>
    <row r="10" spans="1:15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</row>
    <row r="11" spans="1:15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</row>
    <row r="12" spans="1:15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</row>
    <row r="13" spans="1:15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</row>
    <row r="14" spans="1:15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5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5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9</v>
      </c>
      <c r="B18" s="119">
        <v>0</v>
      </c>
      <c r="C18" s="119">
        <v>42486139447.900002</v>
      </c>
      <c r="D18" s="119">
        <v>11133617925.049999</v>
      </c>
      <c r="E18" s="119">
        <v>24181521715.900002</v>
      </c>
      <c r="F18" s="119">
        <v>0</v>
      </c>
      <c r="G18" s="119">
        <v>2574268956</v>
      </c>
      <c r="H18" s="119">
        <v>1659055468.79</v>
      </c>
      <c r="I18" s="119">
        <v>1190847650</v>
      </c>
      <c r="J18" s="119">
        <v>1115861784.3599999</v>
      </c>
      <c r="K18" s="119">
        <v>594642996</v>
      </c>
      <c r="L18" s="119">
        <v>553988421</v>
      </c>
      <c r="M18" s="119">
        <v>9488881297</v>
      </c>
      <c r="N18" s="119">
        <f>2385920302.4</f>
        <v>2385920302.4000001</v>
      </c>
      <c r="O18" s="119">
        <v>323976446.81</v>
      </c>
      <c r="P18" s="120">
        <f>SUM(B18:O18)</f>
        <v>97688722411.209991</v>
      </c>
      <c r="Q18" s="11" t="str">
        <f>+A18</f>
        <v>NOVIEMBRE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42486139447.900002</v>
      </c>
      <c r="D19" s="121">
        <f t="shared" si="0"/>
        <v>11133617925.049999</v>
      </c>
      <c r="E19" s="121">
        <f t="shared" si="0"/>
        <v>24181521715.900002</v>
      </c>
      <c r="F19" s="121">
        <f t="shared" si="0"/>
        <v>0</v>
      </c>
      <c r="G19" s="121">
        <f t="shared" si="0"/>
        <v>2574268956</v>
      </c>
      <c r="H19" s="121">
        <f t="shared" si="0"/>
        <v>1659055468.79</v>
      </c>
      <c r="I19" s="121">
        <f t="shared" si="0"/>
        <v>1190847650</v>
      </c>
      <c r="J19" s="121">
        <f t="shared" si="0"/>
        <v>1115861784.3599999</v>
      </c>
      <c r="K19" s="121">
        <f t="shared" si="0"/>
        <v>594642996</v>
      </c>
      <c r="L19" s="121">
        <f t="shared" si="0"/>
        <v>553988421</v>
      </c>
      <c r="M19" s="121">
        <f t="shared" si="0"/>
        <v>9488881297</v>
      </c>
      <c r="N19" s="121">
        <f t="shared" si="0"/>
        <v>2385920302.4000001</v>
      </c>
      <c r="O19" s="121">
        <f t="shared" si="0"/>
        <v>323976446.81</v>
      </c>
      <c r="P19" s="120">
        <f>SUM(B19:O19)</f>
        <v>97688722411.209991</v>
      </c>
    </row>
    <row r="20" spans="1:17" x14ac:dyDescent="0.25">
      <c r="F20" s="117"/>
    </row>
    <row r="21" spans="1:17" hidden="1" x14ac:dyDescent="0.25">
      <c r="F21" s="117"/>
    </row>
    <row r="22" spans="1:17" hidden="1" x14ac:dyDescent="0.25">
      <c r="B22" s="68">
        <v>12430644.4</v>
      </c>
      <c r="C22" s="68">
        <f>C19*C16</f>
        <v>849722788.95800006</v>
      </c>
      <c r="D22" s="68">
        <f>D19*D16</f>
        <v>111336179.25049999</v>
      </c>
      <c r="E22" s="68">
        <f t="shared" ref="E22:O22" si="1">+E19*E16</f>
        <v>278087499.73285002</v>
      </c>
      <c r="F22" s="68">
        <v>12430644.4</v>
      </c>
      <c r="G22" s="68">
        <f t="shared" si="1"/>
        <v>154456137.35999998</v>
      </c>
      <c r="H22" s="68">
        <f t="shared" si="1"/>
        <v>37328748.047775</v>
      </c>
      <c r="I22" s="68">
        <f t="shared" si="1"/>
        <v>13694747.975</v>
      </c>
      <c r="J22" s="68">
        <f t="shared" si="1"/>
        <v>16737926.765399998</v>
      </c>
      <c r="K22" s="68">
        <f t="shared" si="1"/>
        <v>13379467.41</v>
      </c>
      <c r="L22" s="68">
        <f t="shared" si="1"/>
        <v>12464739.4725</v>
      </c>
      <c r="M22" s="68">
        <f t="shared" si="1"/>
        <v>94888812.969999999</v>
      </c>
      <c r="N22" s="68">
        <f t="shared" si="1"/>
        <v>41753605.292000003</v>
      </c>
      <c r="O22" s="68">
        <f t="shared" si="1"/>
        <v>13768998.989425002</v>
      </c>
      <c r="P22" s="68">
        <f>SUM(B22:O22)</f>
        <v>1662480941.0234501</v>
      </c>
    </row>
    <row r="23" spans="1:17" x14ac:dyDescent="0.25">
      <c r="F23" s="117"/>
    </row>
    <row r="24" spans="1:17" x14ac:dyDescent="0.25">
      <c r="B24" s="68">
        <f>B22</f>
        <v>12430644.4</v>
      </c>
      <c r="C24" s="68">
        <f t="shared" ref="C24:O24" si="2">C22</f>
        <v>849722788.95800006</v>
      </c>
      <c r="D24" s="68">
        <f t="shared" si="2"/>
        <v>111336179.25049999</v>
      </c>
      <c r="E24" s="68">
        <f t="shared" si="2"/>
        <v>278087499.73285002</v>
      </c>
      <c r="F24" s="68">
        <f t="shared" si="2"/>
        <v>12430644.4</v>
      </c>
      <c r="G24" s="68">
        <f t="shared" si="2"/>
        <v>154456137.35999998</v>
      </c>
      <c r="H24" s="68">
        <f t="shared" si="2"/>
        <v>37328748.047775</v>
      </c>
      <c r="I24" s="68">
        <f t="shared" si="2"/>
        <v>13694747.975</v>
      </c>
      <c r="J24" s="68">
        <f t="shared" si="2"/>
        <v>16737926.765399998</v>
      </c>
      <c r="K24" s="68">
        <f t="shared" si="2"/>
        <v>13379467.41</v>
      </c>
      <c r="L24" s="68">
        <f t="shared" si="2"/>
        <v>12464739.4725</v>
      </c>
      <c r="M24" s="68">
        <f t="shared" si="2"/>
        <v>94888812.969999999</v>
      </c>
      <c r="N24" s="68">
        <f t="shared" si="2"/>
        <v>41753605.292000003</v>
      </c>
      <c r="O24" s="68">
        <f t="shared" si="2"/>
        <v>13768998.989425002</v>
      </c>
      <c r="P24" s="68">
        <f>SUM(B24:O24)</f>
        <v>1662480941.0234501</v>
      </c>
    </row>
    <row r="25" spans="1:17" x14ac:dyDescent="0.25">
      <c r="F25" s="117"/>
      <c r="P25" s="68"/>
    </row>
    <row r="26" spans="1:17" x14ac:dyDescent="0.25">
      <c r="F26" s="117"/>
      <c r="O26" s="125" t="s">
        <v>55</v>
      </c>
      <c r="P26" s="126">
        <f>P24*20%</f>
        <v>332496188.20469004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1329984752.8187602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>
        <v>97688722411.210007</v>
      </c>
    </row>
    <row r="34" spans="3:16" x14ac:dyDescent="0.25">
      <c r="C34" s="10"/>
      <c r="D34" s="10"/>
      <c r="E34" s="19"/>
      <c r="F34" s="10"/>
      <c r="G34" s="10"/>
      <c r="H34" s="19"/>
      <c r="P34" s="68">
        <f>+P19-P33</f>
        <v>0</v>
      </c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J22" sqref="J22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8.42578125" customWidth="1"/>
    <col min="7" max="7" width="16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8" t="s">
        <v>53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2" t="s">
        <v>13</v>
      </c>
      <c r="B5" s="148" t="s">
        <v>14</v>
      </c>
      <c r="C5" s="148"/>
      <c r="D5" s="25"/>
      <c r="E5" s="25"/>
      <c r="F5" s="25"/>
      <c r="G5" s="25"/>
      <c r="H5" s="25"/>
      <c r="I5" s="112" t="s">
        <v>13</v>
      </c>
      <c r="J5" s="148" t="s">
        <v>14</v>
      </c>
      <c r="K5" s="148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0</v>
      </c>
      <c r="B18" s="5">
        <f>P18*3%</f>
        <v>360247282.7148</v>
      </c>
      <c r="C18" s="5">
        <f>P18*10%</f>
        <v>1200824275.7160001</v>
      </c>
      <c r="D18" s="5">
        <f>P18*17%</f>
        <v>2041401268.7172</v>
      </c>
      <c r="E18" s="5">
        <f>P18*16%</f>
        <v>1921318841.1456001</v>
      </c>
      <c r="F18" s="5">
        <f>P18*0%</f>
        <v>0</v>
      </c>
      <c r="G18" s="5">
        <f>P18*4%</f>
        <v>480329710.28640002</v>
      </c>
      <c r="H18" s="5">
        <f>P18*7%</f>
        <v>840576993.00120008</v>
      </c>
      <c r="I18" s="5">
        <f>P18*13%</f>
        <v>1561071558.4308</v>
      </c>
      <c r="J18" s="5">
        <f>P18*12%</f>
        <v>1440989130.8592</v>
      </c>
      <c r="K18" s="5">
        <f>P18*4%</f>
        <v>480329710.28640002</v>
      </c>
      <c r="L18" s="5">
        <f>P18*0%</f>
        <v>0</v>
      </c>
      <c r="M18" s="5">
        <f>P18*11%</f>
        <v>1320906703.2876</v>
      </c>
      <c r="N18" s="5">
        <f>P18*2%</f>
        <v>240164855.14320001</v>
      </c>
      <c r="O18" s="5">
        <f>P18*1%</f>
        <v>120082427.57160001</v>
      </c>
      <c r="P18" s="17">
        <v>12008242757.16</v>
      </c>
      <c r="Q18" t="s">
        <v>0</v>
      </c>
    </row>
    <row r="19" spans="1:17" x14ac:dyDescent="0.25">
      <c r="A19" s="14" t="s">
        <v>1</v>
      </c>
      <c r="B19" s="5">
        <f>P19*3%</f>
        <v>271213670.03789997</v>
      </c>
      <c r="C19" s="5">
        <f>P19*10%</f>
        <v>904045566.7930001</v>
      </c>
      <c r="D19" s="5">
        <f>P19*17%</f>
        <v>1536877463.5481002</v>
      </c>
      <c r="E19" s="5">
        <f>P19*16%</f>
        <v>1446472906.8688002</v>
      </c>
      <c r="F19" s="5">
        <f>P19*0%</f>
        <v>0</v>
      </c>
      <c r="G19" s="5">
        <f>P19*4%</f>
        <v>361618226.71720004</v>
      </c>
      <c r="H19" s="5">
        <f>P19*7%</f>
        <v>632831896.75510013</v>
      </c>
      <c r="I19" s="5">
        <f>P19*13%</f>
        <v>1175259236.8309002</v>
      </c>
      <c r="J19" s="5">
        <f>P19*12%</f>
        <v>1084854680.1515999</v>
      </c>
      <c r="K19" s="5">
        <f>P19*4%</f>
        <v>361618226.71720004</v>
      </c>
      <c r="L19" s="5">
        <f>P19*0%</f>
        <v>0</v>
      </c>
      <c r="M19" s="5">
        <f>P19*11%</f>
        <v>994450123.47230005</v>
      </c>
      <c r="N19" s="5">
        <f>P19*2%</f>
        <v>180809113.35860002</v>
      </c>
      <c r="O19" s="5">
        <f>P19*1%</f>
        <v>90404556.67930001</v>
      </c>
      <c r="P19" s="17">
        <v>9040455667.9300003</v>
      </c>
      <c r="Q19" t="s">
        <v>1</v>
      </c>
    </row>
    <row r="20" spans="1:17" x14ac:dyDescent="0.25">
      <c r="A20" s="14" t="s">
        <v>2</v>
      </c>
      <c r="B20" s="5">
        <f>P20*3%</f>
        <v>419965851.34919995</v>
      </c>
      <c r="C20" s="5">
        <f>P20*10%</f>
        <v>1399886171.164</v>
      </c>
      <c r="D20" s="5">
        <f>P20*17%</f>
        <v>2379806490.9788003</v>
      </c>
      <c r="E20" s="5">
        <f>P20*16%</f>
        <v>2239817873.8624001</v>
      </c>
      <c r="F20" s="5">
        <f>P20*0%</f>
        <v>0</v>
      </c>
      <c r="G20" s="5">
        <f>P20*4%</f>
        <v>559954468.46560001</v>
      </c>
      <c r="H20" s="5">
        <f>P20*7%</f>
        <v>979920319.81480002</v>
      </c>
      <c r="I20" s="5">
        <f>P20*13%</f>
        <v>1819852022.5132</v>
      </c>
      <c r="J20" s="5">
        <f>P20*12%</f>
        <v>1679863405.3967998</v>
      </c>
      <c r="K20" s="5">
        <f>P20*4%</f>
        <v>559954468.46560001</v>
      </c>
      <c r="L20" s="5">
        <f>P20*0%</f>
        <v>0</v>
      </c>
      <c r="M20" s="5">
        <f>P20*11%</f>
        <v>1539874788.2804</v>
      </c>
      <c r="N20" s="5">
        <f>P20*2%</f>
        <v>279977234.23280001</v>
      </c>
      <c r="O20" s="5">
        <f>P20*1%</f>
        <v>139988617.1164</v>
      </c>
      <c r="P20" s="17">
        <v>13998861711.639999</v>
      </c>
      <c r="Q20" t="s">
        <v>2</v>
      </c>
    </row>
    <row r="21" spans="1:17" x14ac:dyDescent="0.25">
      <c r="A21" s="15" t="s">
        <v>17</v>
      </c>
      <c r="B21" s="16">
        <f t="shared" ref="B21:O21" si="0">SUM(B18:B20)</f>
        <v>1051426804.1018999</v>
      </c>
      <c r="C21" s="16">
        <f t="shared" si="0"/>
        <v>3504756013.6730003</v>
      </c>
      <c r="D21" s="16">
        <f t="shared" si="0"/>
        <v>5958085223.2441006</v>
      </c>
      <c r="E21" s="16">
        <f t="shared" si="0"/>
        <v>5607609621.8768005</v>
      </c>
      <c r="F21" s="16">
        <f t="shared" si="0"/>
        <v>0</v>
      </c>
      <c r="G21" s="16">
        <f t="shared" si="0"/>
        <v>1401902405.4692001</v>
      </c>
      <c r="H21" s="16">
        <f t="shared" si="0"/>
        <v>2453329209.5711002</v>
      </c>
      <c r="I21" s="16">
        <f t="shared" si="0"/>
        <v>4556182817.7749004</v>
      </c>
      <c r="J21" s="16">
        <f t="shared" si="0"/>
        <v>4205707216.4075994</v>
      </c>
      <c r="K21" s="16">
        <f t="shared" si="0"/>
        <v>1401902405.4692001</v>
      </c>
      <c r="L21" s="16">
        <f t="shared" si="0"/>
        <v>0</v>
      </c>
      <c r="M21" s="16">
        <f t="shared" si="0"/>
        <v>3855231615.0403004</v>
      </c>
      <c r="N21" s="16">
        <f t="shared" si="0"/>
        <v>700951202.73460007</v>
      </c>
      <c r="O21" s="16">
        <f t="shared" si="0"/>
        <v>350475601.36730003</v>
      </c>
      <c r="P21" s="17">
        <f>SUM(B21:O21)</f>
        <v>35047560136.730003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1051426804.1018999</v>
      </c>
      <c r="F29" s="10" t="s">
        <v>18</v>
      </c>
      <c r="G29" s="10">
        <v>1.65</v>
      </c>
      <c r="H29" s="19">
        <f>E29*G29</f>
        <v>1734854226.7681346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3504756013.6730003</v>
      </c>
      <c r="F30" s="25" t="s">
        <v>18</v>
      </c>
      <c r="G30" s="25">
        <v>1.65</v>
      </c>
      <c r="H30" s="20">
        <f>E30*G30</f>
        <v>5782847422.5604506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5958085223.2441006</v>
      </c>
      <c r="F31" s="25" t="s">
        <v>18</v>
      </c>
      <c r="G31" s="25">
        <v>1.65</v>
      </c>
      <c r="H31" s="20">
        <f>E31*G31</f>
        <v>9830840618.352766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5607609621.8768005</v>
      </c>
      <c r="F32" s="25" t="s">
        <v>18</v>
      </c>
      <c r="G32" s="25">
        <v>1.65</v>
      </c>
      <c r="H32" s="20">
        <f>E32*G32</f>
        <v>9252555876.0967197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1401902405.4692001</v>
      </c>
      <c r="F34" s="25" t="s">
        <v>18</v>
      </c>
      <c r="G34" s="25">
        <v>1.65</v>
      </c>
      <c r="H34" s="20">
        <f t="shared" ref="H34:H42" si="1">E34*G34</f>
        <v>2313138969.0241799</v>
      </c>
    </row>
    <row r="35" spans="1:14" x14ac:dyDescent="0.25">
      <c r="C35" s="25" t="s">
        <v>41</v>
      </c>
      <c r="D35" s="25">
        <v>2207</v>
      </c>
      <c r="E35" s="20">
        <f>H21</f>
        <v>2453329209.5711002</v>
      </c>
      <c r="F35" s="25" t="s">
        <v>18</v>
      </c>
      <c r="G35" s="25">
        <v>1.65</v>
      </c>
      <c r="H35" s="20">
        <f t="shared" si="1"/>
        <v>4047993195.792315</v>
      </c>
    </row>
    <row r="36" spans="1:14" x14ac:dyDescent="0.25">
      <c r="C36" s="25" t="s">
        <v>40</v>
      </c>
      <c r="D36" s="10">
        <v>2208</v>
      </c>
      <c r="E36" s="20">
        <f>I21</f>
        <v>4556182817.7749004</v>
      </c>
      <c r="F36" s="25" t="s">
        <v>18</v>
      </c>
      <c r="G36" s="25">
        <v>1.65</v>
      </c>
      <c r="H36" s="20">
        <f t="shared" si="1"/>
        <v>7517701649.3285856</v>
      </c>
    </row>
    <row r="37" spans="1:14" x14ac:dyDescent="0.25">
      <c r="D37" s="25">
        <v>2210</v>
      </c>
      <c r="E37" s="20">
        <f>J21</f>
        <v>4205707216.4075994</v>
      </c>
      <c r="F37" s="25" t="s">
        <v>18</v>
      </c>
      <c r="G37" s="25">
        <v>1.65</v>
      </c>
      <c r="H37" s="20">
        <f t="shared" si="1"/>
        <v>6939416907.0725384</v>
      </c>
    </row>
    <row r="38" spans="1:14" x14ac:dyDescent="0.25">
      <c r="D38" s="25">
        <v>2212</v>
      </c>
      <c r="E38" s="20">
        <f>K21</f>
        <v>1401902405.4692001</v>
      </c>
      <c r="F38" s="25" t="s">
        <v>18</v>
      </c>
      <c r="G38" s="25">
        <v>1.65</v>
      </c>
      <c r="H38" s="20">
        <f t="shared" si="1"/>
        <v>2313138969.0241799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3855231615.0403004</v>
      </c>
      <c r="F40" s="25" t="s">
        <v>18</v>
      </c>
      <c r="G40" s="25">
        <v>1.65</v>
      </c>
      <c r="H40" s="20">
        <f t="shared" si="1"/>
        <v>6361132164.8164949</v>
      </c>
    </row>
    <row r="41" spans="1:14" x14ac:dyDescent="0.25">
      <c r="D41" s="25">
        <v>2261</v>
      </c>
      <c r="E41" s="20">
        <f>N21</f>
        <v>700951202.73460007</v>
      </c>
      <c r="F41" s="25" t="s">
        <v>18</v>
      </c>
      <c r="G41" s="25">
        <v>1.65</v>
      </c>
      <c r="H41" s="20">
        <f t="shared" si="1"/>
        <v>1156569484.51209</v>
      </c>
    </row>
    <row r="42" spans="1:14" x14ac:dyDescent="0.25">
      <c r="D42" s="25">
        <v>2304</v>
      </c>
      <c r="E42" s="20">
        <f>O21</f>
        <v>350475601.36730003</v>
      </c>
      <c r="F42" s="25" t="s">
        <v>18</v>
      </c>
      <c r="G42" s="25">
        <v>1.65</v>
      </c>
      <c r="H42" s="72">
        <f t="shared" si="1"/>
        <v>578284742.25604498</v>
      </c>
    </row>
    <row r="43" spans="1:14" x14ac:dyDescent="0.25">
      <c r="G43" s="70" t="s">
        <v>34</v>
      </c>
      <c r="H43" s="71">
        <f>SUM(H29:H42)</f>
        <v>57828474225.6045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I1" workbookViewId="0">
      <selection activeCell="P18" sqref="P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8" t="s">
        <v>52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1" t="s">
        <v>13</v>
      </c>
      <c r="B5" s="148" t="s">
        <v>14</v>
      </c>
      <c r="C5" s="148"/>
      <c r="D5" s="25"/>
      <c r="E5" s="25"/>
      <c r="F5" s="25"/>
      <c r="G5" s="25"/>
      <c r="H5" s="25"/>
      <c r="I5" s="111" t="s">
        <v>13</v>
      </c>
      <c r="J5" s="148" t="s">
        <v>14</v>
      </c>
      <c r="K5" s="148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11</v>
      </c>
      <c r="B18" s="5">
        <f>P18*3%</f>
        <v>66828072.561599992</v>
      </c>
      <c r="C18" s="5">
        <f>P18*10%</f>
        <v>222760241.87199998</v>
      </c>
      <c r="D18" s="5">
        <f>P18*17%</f>
        <v>378692411.18239999</v>
      </c>
      <c r="E18" s="5">
        <f>P18*16%</f>
        <v>356416386.99519998</v>
      </c>
      <c r="F18" s="5">
        <f>P18*0%</f>
        <v>0</v>
      </c>
      <c r="G18" s="5">
        <f>P18*4%</f>
        <v>89104096.748799995</v>
      </c>
      <c r="H18" s="5">
        <f>P18*7%</f>
        <v>155932169.31040001</v>
      </c>
      <c r="I18" s="5">
        <f>P18*13%</f>
        <v>289588314.43360001</v>
      </c>
      <c r="J18" s="5">
        <f>P18*12%</f>
        <v>267312290.24639997</v>
      </c>
      <c r="K18" s="5">
        <f>P18*4%</f>
        <v>89104096.748799995</v>
      </c>
      <c r="L18" s="5">
        <f>P18*0%</f>
        <v>0</v>
      </c>
      <c r="M18" s="5">
        <f>P18*11%</f>
        <v>245036266.05919999</v>
      </c>
      <c r="N18" s="5">
        <f>P18*2%</f>
        <v>44552048.374399997</v>
      </c>
      <c r="O18" s="5">
        <f>P18*1%</f>
        <v>22276024.187199999</v>
      </c>
      <c r="P18" s="17">
        <v>2227602418.7199998</v>
      </c>
      <c r="Q18" t="s">
        <v>11</v>
      </c>
    </row>
    <row r="19" spans="1:17" x14ac:dyDescent="0.25">
      <c r="A19" s="14" t="s">
        <v>9</v>
      </c>
      <c r="B19" s="5">
        <f>P19*3%</f>
        <v>98719598.366699994</v>
      </c>
      <c r="C19" s="5">
        <f>P19*10%</f>
        <v>329065327.889</v>
      </c>
      <c r="D19" s="5">
        <f>P19*17%</f>
        <v>559411057.41130006</v>
      </c>
      <c r="E19" s="5">
        <f>P19*16%</f>
        <v>526504524.62239999</v>
      </c>
      <c r="F19" s="5">
        <f>P19*0%</f>
        <v>0</v>
      </c>
      <c r="G19" s="5">
        <f>P19*4%</f>
        <v>131626131.1556</v>
      </c>
      <c r="H19" s="5">
        <f>P19*7%</f>
        <v>230345729.5223</v>
      </c>
      <c r="I19" s="5">
        <f>P19*13%</f>
        <v>427784926.25569999</v>
      </c>
      <c r="J19" s="5">
        <f>P19*12%</f>
        <v>394878393.46679997</v>
      </c>
      <c r="K19" s="5">
        <f>P19*4%</f>
        <v>131626131.1556</v>
      </c>
      <c r="L19" s="5">
        <f>P19*0%</f>
        <v>0</v>
      </c>
      <c r="M19" s="5">
        <f>P19*11%</f>
        <v>361971860.67790002</v>
      </c>
      <c r="N19" s="5">
        <f>P19*2%</f>
        <v>65813065.577799998</v>
      </c>
      <c r="O19" s="5">
        <f>P19*1%</f>
        <v>32906532.788899999</v>
      </c>
      <c r="P19" s="17">
        <v>3290653278.8899999</v>
      </c>
      <c r="Q19" t="s">
        <v>9</v>
      </c>
    </row>
    <row r="20" spans="1:17" x14ac:dyDescent="0.25">
      <c r="A20" s="14" t="s">
        <v>10</v>
      </c>
      <c r="B20" s="5">
        <f>P20*3%</f>
        <v>284283176.83230001</v>
      </c>
      <c r="C20" s="5">
        <f>P20*10%</f>
        <v>947610589.44099998</v>
      </c>
      <c r="D20" s="5">
        <f>P20*17%</f>
        <v>1610938002.0497</v>
      </c>
      <c r="E20" s="5">
        <f>P20*16%</f>
        <v>1516176943.1056001</v>
      </c>
      <c r="F20" s="5">
        <f>P20*0%</f>
        <v>0</v>
      </c>
      <c r="G20" s="5">
        <f>P20*4%</f>
        <v>379044235.77640003</v>
      </c>
      <c r="H20" s="5">
        <f>P20*7%</f>
        <v>663327412.60870004</v>
      </c>
      <c r="I20" s="5">
        <f>P20*13%</f>
        <v>1231893766.2732999</v>
      </c>
      <c r="J20" s="5">
        <f>P20*12%</f>
        <v>1137132707.3292</v>
      </c>
      <c r="K20" s="5">
        <f>P20*4%</f>
        <v>379044235.77640003</v>
      </c>
      <c r="L20" s="5">
        <f>P20*0%</f>
        <v>0</v>
      </c>
      <c r="M20" s="5">
        <f>P20*11%</f>
        <v>1042371648.3851</v>
      </c>
      <c r="N20" s="5">
        <f>P20*2%</f>
        <v>189522117.88820001</v>
      </c>
      <c r="O20" s="5">
        <f>P20*1%</f>
        <v>94761058.944100007</v>
      </c>
      <c r="P20" s="17">
        <v>9476105894.4099998</v>
      </c>
      <c r="Q20" t="s">
        <v>10</v>
      </c>
    </row>
    <row r="21" spans="1:17" x14ac:dyDescent="0.25">
      <c r="A21" s="15" t="s">
        <v>17</v>
      </c>
      <c r="B21" s="16">
        <f t="shared" ref="B21:O21" si="0">SUM(B18:B20)</f>
        <v>449830847.76059997</v>
      </c>
      <c r="C21" s="16">
        <f t="shared" si="0"/>
        <v>1499436159.2019999</v>
      </c>
      <c r="D21" s="16">
        <f t="shared" si="0"/>
        <v>2549041470.6434002</v>
      </c>
      <c r="E21" s="16">
        <f t="shared" si="0"/>
        <v>2399097854.7231998</v>
      </c>
      <c r="F21" s="16">
        <f t="shared" si="0"/>
        <v>0</v>
      </c>
      <c r="G21" s="16">
        <f t="shared" si="0"/>
        <v>599774463.68079996</v>
      </c>
      <c r="H21" s="16">
        <f t="shared" si="0"/>
        <v>1049605311.4414001</v>
      </c>
      <c r="I21" s="16">
        <f t="shared" si="0"/>
        <v>1949267006.9626</v>
      </c>
      <c r="J21" s="16">
        <f t="shared" si="0"/>
        <v>1799323391.0423999</v>
      </c>
      <c r="K21" s="16">
        <f t="shared" si="0"/>
        <v>599774463.68079996</v>
      </c>
      <c r="L21" s="16">
        <f t="shared" si="0"/>
        <v>0</v>
      </c>
      <c r="M21" s="16">
        <f t="shared" si="0"/>
        <v>1649379775.1222</v>
      </c>
      <c r="N21" s="16">
        <f t="shared" si="0"/>
        <v>299887231.84039998</v>
      </c>
      <c r="O21" s="16">
        <f t="shared" si="0"/>
        <v>149943615.92019999</v>
      </c>
      <c r="P21" s="17">
        <f>SUM(B21:O21)</f>
        <v>14994361592.020002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449830847.76059997</v>
      </c>
      <c r="F29" s="10" t="s">
        <v>18</v>
      </c>
      <c r="G29" s="10">
        <v>1.65</v>
      </c>
      <c r="H29" s="19">
        <f>E29*G29</f>
        <v>742220898.80498993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1499436159.2019999</v>
      </c>
      <c r="F30" s="25" t="s">
        <v>18</v>
      </c>
      <c r="G30" s="25">
        <v>1.65</v>
      </c>
      <c r="H30" s="20">
        <f>E30*G30</f>
        <v>2474069662.6832995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2549041470.6434002</v>
      </c>
      <c r="F31" s="25" t="s">
        <v>18</v>
      </c>
      <c r="G31" s="25">
        <v>1.65</v>
      </c>
      <c r="H31" s="20">
        <f>E31*G31</f>
        <v>4205918426.5616102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2399097854.7231998</v>
      </c>
      <c r="F32" s="25" t="s">
        <v>18</v>
      </c>
      <c r="G32" s="25">
        <v>1.65</v>
      </c>
      <c r="H32" s="20">
        <f>E32*G32</f>
        <v>3958511460.2932796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599774463.68079996</v>
      </c>
      <c r="F34" s="25" t="s">
        <v>18</v>
      </c>
      <c r="G34" s="25">
        <v>1.65</v>
      </c>
      <c r="H34" s="20">
        <f t="shared" ref="H34:H42" si="1">E34*G34</f>
        <v>989627865.07331991</v>
      </c>
    </row>
    <row r="35" spans="1:14" x14ac:dyDescent="0.25">
      <c r="C35" s="25" t="s">
        <v>41</v>
      </c>
      <c r="D35" s="25">
        <v>2207</v>
      </c>
      <c r="E35" s="20">
        <f>H21</f>
        <v>1049605311.4414001</v>
      </c>
      <c r="F35" s="25" t="s">
        <v>18</v>
      </c>
      <c r="G35" s="25">
        <v>1.65</v>
      </c>
      <c r="H35" s="20">
        <f t="shared" si="1"/>
        <v>1731848763.87831</v>
      </c>
    </row>
    <row r="36" spans="1:14" x14ac:dyDescent="0.25">
      <c r="C36" s="25" t="s">
        <v>40</v>
      </c>
      <c r="D36" s="10">
        <v>2208</v>
      </c>
      <c r="E36" s="20">
        <f>I21</f>
        <v>1949267006.9626</v>
      </c>
      <c r="F36" s="25" t="s">
        <v>18</v>
      </c>
      <c r="G36" s="25">
        <v>1.65</v>
      </c>
      <c r="H36" s="20">
        <f t="shared" si="1"/>
        <v>3216290561.4882898</v>
      </c>
    </row>
    <row r="37" spans="1:14" x14ac:dyDescent="0.25">
      <c r="D37" s="25">
        <v>2210</v>
      </c>
      <c r="E37" s="20">
        <f>J21</f>
        <v>1799323391.0423999</v>
      </c>
      <c r="F37" s="25" t="s">
        <v>18</v>
      </c>
      <c r="G37" s="25">
        <v>1.65</v>
      </c>
      <c r="H37" s="20">
        <f t="shared" si="1"/>
        <v>2968883595.2199597</v>
      </c>
    </row>
    <row r="38" spans="1:14" x14ac:dyDescent="0.25">
      <c r="D38" s="25">
        <v>2212</v>
      </c>
      <c r="E38" s="20">
        <f>K21</f>
        <v>599774463.68079996</v>
      </c>
      <c r="F38" s="25" t="s">
        <v>18</v>
      </c>
      <c r="G38" s="25">
        <v>1.65</v>
      </c>
      <c r="H38" s="20">
        <f t="shared" si="1"/>
        <v>989627865.07331991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1649379775.1222</v>
      </c>
      <c r="F40" s="25" t="s">
        <v>18</v>
      </c>
      <c r="G40" s="25">
        <v>1.65</v>
      </c>
      <c r="H40" s="20">
        <f t="shared" si="1"/>
        <v>2721476628.9516296</v>
      </c>
    </row>
    <row r="41" spans="1:14" x14ac:dyDescent="0.25">
      <c r="D41" s="25">
        <v>2261</v>
      </c>
      <c r="E41" s="20">
        <f>N21</f>
        <v>299887231.84039998</v>
      </c>
      <c r="F41" s="25" t="s">
        <v>18</v>
      </c>
      <c r="G41" s="25">
        <v>1.65</v>
      </c>
      <c r="H41" s="20">
        <f t="shared" si="1"/>
        <v>494813932.53665996</v>
      </c>
    </row>
    <row r="42" spans="1:14" x14ac:dyDescent="0.25">
      <c r="D42" s="25">
        <v>2304</v>
      </c>
      <c r="E42" s="20">
        <f>O21</f>
        <v>149943615.92019999</v>
      </c>
      <c r="F42" s="25" t="s">
        <v>18</v>
      </c>
      <c r="G42" s="25">
        <v>1.65</v>
      </c>
      <c r="H42" s="72">
        <f t="shared" si="1"/>
        <v>247406966.26832998</v>
      </c>
    </row>
    <row r="43" spans="1:14" x14ac:dyDescent="0.25">
      <c r="G43" s="70" t="s">
        <v>34</v>
      </c>
      <c r="H43" s="71">
        <f>SUM(H29:H42)</f>
        <v>24740696626.832996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C18" sqref="C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8" t="s">
        <v>51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0" t="s">
        <v>13</v>
      </c>
      <c r="B5" s="148" t="s">
        <v>14</v>
      </c>
      <c r="C5" s="148"/>
      <c r="D5" s="25"/>
      <c r="E5" s="25"/>
      <c r="F5" s="25"/>
      <c r="G5" s="25"/>
      <c r="H5" s="25"/>
      <c r="I5" s="110" t="s">
        <v>13</v>
      </c>
      <c r="J5" s="148" t="s">
        <v>14</v>
      </c>
      <c r="K5" s="148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6</v>
      </c>
      <c r="B18" s="5">
        <f>P18*3%</f>
        <v>64890858.016199999</v>
      </c>
      <c r="C18" s="5">
        <f>P18*10%</f>
        <v>216302860.05400002</v>
      </c>
      <c r="D18" s="5">
        <f>P18*17%</f>
        <v>367714862.09180003</v>
      </c>
      <c r="E18" s="5">
        <f>P18*16%</f>
        <v>346084576.08639997</v>
      </c>
      <c r="F18" s="5">
        <f>P18*0%</f>
        <v>0</v>
      </c>
      <c r="G18" s="5">
        <f>P18*4%</f>
        <v>86521144.021599993</v>
      </c>
      <c r="H18" s="5">
        <f>P18*7%</f>
        <v>151412002.03780001</v>
      </c>
      <c r="I18" s="5">
        <f>P18*13%</f>
        <v>281193718.07020003</v>
      </c>
      <c r="J18" s="5">
        <f>P18*12%</f>
        <v>259563432.06479999</v>
      </c>
      <c r="K18" s="5">
        <f>P18*4%</f>
        <v>86521144.021599993</v>
      </c>
      <c r="L18" s="5">
        <f>P18*0%</f>
        <v>0</v>
      </c>
      <c r="M18" s="5">
        <f>P18*11%</f>
        <v>237933146.05939999</v>
      </c>
      <c r="N18" s="5">
        <f>P18*2%</f>
        <v>43260572.010799997</v>
      </c>
      <c r="O18" s="5">
        <f>P18*1%</f>
        <v>21630286.005399998</v>
      </c>
      <c r="P18" s="17">
        <v>2163028600.54</v>
      </c>
      <c r="Q18" t="s">
        <v>6</v>
      </c>
    </row>
    <row r="19" spans="1:17" x14ac:dyDescent="0.25">
      <c r="A19" s="14" t="s">
        <v>7</v>
      </c>
      <c r="B19" s="5">
        <f>P19*3%</f>
        <v>59320784.281199999</v>
      </c>
      <c r="C19" s="5">
        <f>P19*10%</f>
        <v>197735947.604</v>
      </c>
      <c r="D19" s="5">
        <f>P19*17%</f>
        <v>336151110.92680001</v>
      </c>
      <c r="E19" s="5">
        <f>P19*16%</f>
        <v>316377516.16640002</v>
      </c>
      <c r="F19" s="5">
        <f>P19*0%</f>
        <v>0</v>
      </c>
      <c r="G19" s="5">
        <f>P19*4%</f>
        <v>79094379.041600004</v>
      </c>
      <c r="H19" s="5">
        <f>P19*7%</f>
        <v>138415163.32280001</v>
      </c>
      <c r="I19" s="5">
        <f>P19*13%</f>
        <v>257056731.88519999</v>
      </c>
      <c r="J19" s="5">
        <f>P19*12%</f>
        <v>237283137.1248</v>
      </c>
      <c r="K19" s="5">
        <f>P19*4%</f>
        <v>79094379.041600004</v>
      </c>
      <c r="L19" s="5">
        <f>P19*0%</f>
        <v>0</v>
      </c>
      <c r="M19" s="5">
        <f>P19*11%</f>
        <v>217509542.3644</v>
      </c>
      <c r="N19" s="5">
        <f>P19*2%</f>
        <v>39547189.520800002</v>
      </c>
      <c r="O19" s="5">
        <f>P19*1%</f>
        <v>19773594.760400001</v>
      </c>
      <c r="P19" s="17">
        <v>1977359476.04</v>
      </c>
      <c r="Q19" t="s">
        <v>7</v>
      </c>
    </row>
    <row r="20" spans="1:17" x14ac:dyDescent="0.25">
      <c r="A20" s="14" t="s">
        <v>8</v>
      </c>
      <c r="B20" s="5">
        <f>P20*3%</f>
        <v>72266973.462299988</v>
      </c>
      <c r="C20" s="5">
        <f>P20*10%</f>
        <v>240889911.54100001</v>
      </c>
      <c r="D20" s="5">
        <f>P20*17%</f>
        <v>409512849.61970001</v>
      </c>
      <c r="E20" s="5">
        <f>P20*16%</f>
        <v>385423858.46559995</v>
      </c>
      <c r="F20" s="5">
        <f>P20*0%</f>
        <v>0</v>
      </c>
      <c r="G20" s="5">
        <f>P20*4%</f>
        <v>96355964.616399989</v>
      </c>
      <c r="H20" s="5">
        <f>P20*7%</f>
        <v>168622938.07870001</v>
      </c>
      <c r="I20" s="5">
        <f>P20*13%</f>
        <v>313156885.00330001</v>
      </c>
      <c r="J20" s="5">
        <f>P20*12%</f>
        <v>289067893.84919995</v>
      </c>
      <c r="K20" s="5">
        <f>P20*4%</f>
        <v>96355964.616399989</v>
      </c>
      <c r="L20" s="5">
        <f>P20*0%</f>
        <v>0</v>
      </c>
      <c r="M20" s="5">
        <f>P20*11%</f>
        <v>264978902.69509998</v>
      </c>
      <c r="N20" s="5">
        <f>P20*2%</f>
        <v>48177982.308199994</v>
      </c>
      <c r="O20" s="5">
        <f>P20*1%</f>
        <v>24088991.154099997</v>
      </c>
      <c r="P20" s="17">
        <v>2408899115.4099998</v>
      </c>
      <c r="Q20" t="s">
        <v>8</v>
      </c>
    </row>
    <row r="21" spans="1:17" x14ac:dyDescent="0.25">
      <c r="A21" s="15" t="s">
        <v>17</v>
      </c>
      <c r="B21" s="16">
        <f t="shared" ref="B21:O21" si="0">SUM(B18:B20)</f>
        <v>196478615.7597</v>
      </c>
      <c r="C21" s="16">
        <f t="shared" si="0"/>
        <v>654928719.199</v>
      </c>
      <c r="D21" s="16">
        <f t="shared" si="0"/>
        <v>1113378822.6382999</v>
      </c>
      <c r="E21" s="16">
        <f t="shared" si="0"/>
        <v>1047885950.7184</v>
      </c>
      <c r="F21" s="16">
        <f t="shared" si="0"/>
        <v>0</v>
      </c>
      <c r="G21" s="16">
        <f t="shared" si="0"/>
        <v>261971487.6796</v>
      </c>
      <c r="H21" s="16">
        <f t="shared" si="0"/>
        <v>458450103.4393</v>
      </c>
      <c r="I21" s="16">
        <f t="shared" si="0"/>
        <v>851407334.95869994</v>
      </c>
      <c r="J21" s="16">
        <f t="shared" si="0"/>
        <v>785914463.0388</v>
      </c>
      <c r="K21" s="16">
        <f t="shared" si="0"/>
        <v>261971487.6796</v>
      </c>
      <c r="L21" s="16">
        <f t="shared" si="0"/>
        <v>0</v>
      </c>
      <c r="M21" s="16">
        <f t="shared" si="0"/>
        <v>720421591.11889994</v>
      </c>
      <c r="N21" s="16">
        <f t="shared" si="0"/>
        <v>130985743.8398</v>
      </c>
      <c r="O21" s="16">
        <f t="shared" si="0"/>
        <v>65492871.9199</v>
      </c>
      <c r="P21" s="17">
        <f>SUM(B21:O21)</f>
        <v>6549287191.9899998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196478615.7597</v>
      </c>
      <c r="F29" s="10" t="s">
        <v>18</v>
      </c>
      <c r="G29" s="10">
        <v>1.65</v>
      </c>
      <c r="H29" s="19">
        <f>E29*G29</f>
        <v>324189716.00350499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654928719.199</v>
      </c>
      <c r="F30" s="25" t="s">
        <v>18</v>
      </c>
      <c r="G30" s="25">
        <v>1.65</v>
      </c>
      <c r="H30" s="20">
        <f>E30*G30</f>
        <v>1080632386.67835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1113378822.6382999</v>
      </c>
      <c r="F31" s="25" t="s">
        <v>18</v>
      </c>
      <c r="G31" s="25">
        <v>1.65</v>
      </c>
      <c r="H31" s="20">
        <f>E31*G31</f>
        <v>1837075057.3531947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1047885950.7184</v>
      </c>
      <c r="F32" s="25" t="s">
        <v>18</v>
      </c>
      <c r="G32" s="25">
        <v>1.65</v>
      </c>
      <c r="H32" s="20">
        <f>E32*G32</f>
        <v>1729011818.68536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261971487.6796</v>
      </c>
      <c r="F34" s="25" t="s">
        <v>18</v>
      </c>
      <c r="G34" s="25">
        <v>1.65</v>
      </c>
      <c r="H34" s="20">
        <f t="shared" ref="H34:H42" si="1">E34*G34</f>
        <v>432252954.67133999</v>
      </c>
    </row>
    <row r="35" spans="1:14" x14ac:dyDescent="0.25">
      <c r="C35" s="25" t="s">
        <v>41</v>
      </c>
      <c r="D35" s="25">
        <v>2207</v>
      </c>
      <c r="E35" s="20">
        <f>H21</f>
        <v>458450103.4393</v>
      </c>
      <c r="F35" s="25" t="s">
        <v>18</v>
      </c>
      <c r="G35" s="25">
        <v>1.65</v>
      </c>
      <c r="H35" s="20">
        <f t="shared" si="1"/>
        <v>756442670.67484498</v>
      </c>
    </row>
    <row r="36" spans="1:14" x14ac:dyDescent="0.25">
      <c r="C36" s="25" t="s">
        <v>40</v>
      </c>
      <c r="D36" s="10">
        <v>2208</v>
      </c>
      <c r="E36" s="20">
        <f>I21</f>
        <v>851407334.95869994</v>
      </c>
      <c r="F36" s="25" t="s">
        <v>18</v>
      </c>
      <c r="G36" s="25">
        <v>1.65</v>
      </c>
      <c r="H36" s="20">
        <f t="shared" si="1"/>
        <v>1404822102.6818547</v>
      </c>
    </row>
    <row r="37" spans="1:14" x14ac:dyDescent="0.25">
      <c r="D37" s="25">
        <v>2210</v>
      </c>
      <c r="E37" s="20">
        <f>J21</f>
        <v>785914463.0388</v>
      </c>
      <c r="F37" s="25" t="s">
        <v>18</v>
      </c>
      <c r="G37" s="25">
        <v>1.65</v>
      </c>
      <c r="H37" s="20">
        <f t="shared" si="1"/>
        <v>1296758864.01402</v>
      </c>
    </row>
    <row r="38" spans="1:14" x14ac:dyDescent="0.25">
      <c r="D38" s="25">
        <v>2212</v>
      </c>
      <c r="E38" s="20">
        <f>K21</f>
        <v>261971487.6796</v>
      </c>
      <c r="F38" s="25" t="s">
        <v>18</v>
      </c>
      <c r="G38" s="25">
        <v>1.65</v>
      </c>
      <c r="H38" s="20">
        <f t="shared" si="1"/>
        <v>432252954.67133999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720421591.11889994</v>
      </c>
      <c r="F40" s="25" t="s">
        <v>18</v>
      </c>
      <c r="G40" s="25">
        <v>1.65</v>
      </c>
      <c r="H40" s="20">
        <f t="shared" si="1"/>
        <v>1188695625.3461847</v>
      </c>
    </row>
    <row r="41" spans="1:14" x14ac:dyDescent="0.25">
      <c r="D41" s="25">
        <v>2261</v>
      </c>
      <c r="E41" s="20">
        <f>N21</f>
        <v>130985743.8398</v>
      </c>
      <c r="F41" s="25" t="s">
        <v>18</v>
      </c>
      <c r="G41" s="25">
        <v>1.65</v>
      </c>
      <c r="H41" s="20">
        <f t="shared" si="1"/>
        <v>216126477.33566999</v>
      </c>
    </row>
    <row r="42" spans="1:14" x14ac:dyDescent="0.25">
      <c r="D42" s="25">
        <v>2304</v>
      </c>
      <c r="E42" s="20">
        <f>O21</f>
        <v>65492871.9199</v>
      </c>
      <c r="F42" s="25" t="s">
        <v>18</v>
      </c>
      <c r="G42" s="25">
        <v>1.65</v>
      </c>
      <c r="H42" s="72">
        <f t="shared" si="1"/>
        <v>108063238.667835</v>
      </c>
    </row>
    <row r="43" spans="1:14" x14ac:dyDescent="0.25">
      <c r="G43" s="70" t="s">
        <v>34</v>
      </c>
      <c r="H43" s="71">
        <f>SUM(H29:H42)</f>
        <v>10806323866.783501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J1" workbookViewId="0">
      <selection activeCell="P18" sqref="P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8" t="s">
        <v>50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09" t="s">
        <v>13</v>
      </c>
      <c r="B5" s="148" t="s">
        <v>14</v>
      </c>
      <c r="C5" s="148"/>
      <c r="D5" s="25"/>
      <c r="E5" s="25"/>
      <c r="F5" s="25"/>
      <c r="G5" s="25"/>
      <c r="H5" s="25"/>
      <c r="I5" s="109" t="s">
        <v>13</v>
      </c>
      <c r="J5" s="148" t="s">
        <v>14</v>
      </c>
      <c r="K5" s="148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3</v>
      </c>
      <c r="B18" s="5">
        <f>P18*3%</f>
        <v>32625699.872099996</v>
      </c>
      <c r="C18" s="5">
        <f>P18*10%</f>
        <v>108752332.90700001</v>
      </c>
      <c r="D18" s="5">
        <f>P18*17%</f>
        <v>184878965.94190001</v>
      </c>
      <c r="E18" s="5">
        <f>P18*16%</f>
        <v>174003732.6512</v>
      </c>
      <c r="F18" s="5">
        <f>P18*0%</f>
        <v>0</v>
      </c>
      <c r="G18" s="5">
        <f>P18*4%</f>
        <v>43500933.162799999</v>
      </c>
      <c r="H18" s="5">
        <f>P18*7%</f>
        <v>76126633.03490001</v>
      </c>
      <c r="I18" s="5">
        <f>P18*13%</f>
        <v>141378032.7791</v>
      </c>
      <c r="J18" s="5">
        <f>P18*12%</f>
        <v>130502799.48839998</v>
      </c>
      <c r="K18" s="5">
        <f>P18*4%</f>
        <v>43500933.162799999</v>
      </c>
      <c r="L18" s="5">
        <f>P18*0%</f>
        <v>0</v>
      </c>
      <c r="M18" s="5">
        <f>P18*11%</f>
        <v>119627566.19769999</v>
      </c>
      <c r="N18" s="5">
        <f>P18*2%</f>
        <v>21750466.5814</v>
      </c>
      <c r="O18" s="5">
        <f>P18*1%</f>
        <v>10875233.2907</v>
      </c>
      <c r="P18" s="17">
        <v>1087523329.0699999</v>
      </c>
      <c r="Q18" t="s">
        <v>3</v>
      </c>
    </row>
    <row r="19" spans="1:17" x14ac:dyDescent="0.25">
      <c r="A19" s="14" t="s">
        <v>4</v>
      </c>
      <c r="B19" s="5">
        <f>P19*3%</f>
        <v>37396822.255799994</v>
      </c>
      <c r="C19" s="5">
        <f>P19*10%</f>
        <v>124656074.18599999</v>
      </c>
      <c r="D19" s="5">
        <f>P19*17%</f>
        <v>211915326.1162</v>
      </c>
      <c r="E19" s="5">
        <f>P19*16%</f>
        <v>199449718.69759998</v>
      </c>
      <c r="F19" s="5">
        <f>P19*0%</f>
        <v>0</v>
      </c>
      <c r="G19" s="5">
        <f>P19*4%</f>
        <v>49862429.674399994</v>
      </c>
      <c r="H19" s="5">
        <f>P19*7%</f>
        <v>87259251.930199996</v>
      </c>
      <c r="I19" s="5">
        <f>P19*13%</f>
        <v>162052896.4418</v>
      </c>
      <c r="J19" s="5">
        <f>P19*12%</f>
        <v>149587289.02319998</v>
      </c>
      <c r="K19" s="5">
        <f>P19*4%</f>
        <v>49862429.674399994</v>
      </c>
      <c r="L19" s="5">
        <f>P19*0%</f>
        <v>0</v>
      </c>
      <c r="M19" s="5">
        <f>P19*11%</f>
        <v>137121681.60459998</v>
      </c>
      <c r="N19" s="5">
        <f>P19*2%</f>
        <v>24931214.837199997</v>
      </c>
      <c r="O19" s="5">
        <f>P19*1%</f>
        <v>12465607.418599999</v>
      </c>
      <c r="P19" s="17">
        <v>1246560741.8599999</v>
      </c>
      <c r="Q19" t="s">
        <v>4</v>
      </c>
    </row>
    <row r="20" spans="1:17" x14ac:dyDescent="0.25">
      <c r="A20" s="14" t="s">
        <v>5</v>
      </c>
      <c r="B20" s="5">
        <f>P20*3%</f>
        <v>43648680.809999995</v>
      </c>
      <c r="C20" s="5">
        <f>P20*10%</f>
        <v>145495602.70000002</v>
      </c>
      <c r="D20" s="5">
        <f>P20*17%</f>
        <v>247342524.59</v>
      </c>
      <c r="E20" s="5">
        <f>P20*16%</f>
        <v>232792964.31999999</v>
      </c>
      <c r="F20" s="5">
        <f>P20*0%</f>
        <v>0</v>
      </c>
      <c r="G20" s="5">
        <f>P20*4%</f>
        <v>58198241.079999998</v>
      </c>
      <c r="H20" s="5">
        <f>P20*7%</f>
        <v>101846921.89000002</v>
      </c>
      <c r="I20" s="5">
        <f>P20*13%</f>
        <v>189144283.51000002</v>
      </c>
      <c r="J20" s="5">
        <f>P20*12%</f>
        <v>174594723.23999998</v>
      </c>
      <c r="K20" s="5">
        <f>P20*4%</f>
        <v>58198241.079999998</v>
      </c>
      <c r="L20" s="5">
        <f>P20*0%</f>
        <v>0</v>
      </c>
      <c r="M20" s="5">
        <f>P20*11%</f>
        <v>160045162.97</v>
      </c>
      <c r="N20" s="5">
        <f>P20*2%</f>
        <v>29099120.539999999</v>
      </c>
      <c r="O20" s="5">
        <f>P20*1%</f>
        <v>14549560.27</v>
      </c>
      <c r="P20" s="17">
        <v>1454956027</v>
      </c>
      <c r="Q20" t="s">
        <v>5</v>
      </c>
    </row>
    <row r="21" spans="1:17" x14ac:dyDescent="0.25">
      <c r="A21" s="15" t="s">
        <v>17</v>
      </c>
      <c r="B21" s="16">
        <f t="shared" ref="B21:O21" si="0">SUM(B18:B20)</f>
        <v>113671202.93789998</v>
      </c>
      <c r="C21" s="16">
        <f t="shared" si="0"/>
        <v>378904009.79299998</v>
      </c>
      <c r="D21" s="16">
        <f t="shared" si="0"/>
        <v>644136816.64810002</v>
      </c>
      <c r="E21" s="16">
        <f t="shared" si="0"/>
        <v>606246415.66879988</v>
      </c>
      <c r="F21" s="16">
        <f t="shared" si="0"/>
        <v>0</v>
      </c>
      <c r="G21" s="16">
        <f t="shared" si="0"/>
        <v>151561603.91719997</v>
      </c>
      <c r="H21" s="16">
        <f t="shared" si="0"/>
        <v>265232806.85510001</v>
      </c>
      <c r="I21" s="16">
        <f t="shared" si="0"/>
        <v>492575212.73090005</v>
      </c>
      <c r="J21" s="16">
        <f t="shared" si="0"/>
        <v>454684811.75159991</v>
      </c>
      <c r="K21" s="16">
        <f t="shared" si="0"/>
        <v>151561603.91719997</v>
      </c>
      <c r="L21" s="16">
        <f t="shared" si="0"/>
        <v>0</v>
      </c>
      <c r="M21" s="16">
        <f t="shared" si="0"/>
        <v>416794410.7723</v>
      </c>
      <c r="N21" s="16">
        <f t="shared" si="0"/>
        <v>75780801.958599985</v>
      </c>
      <c r="O21" s="16">
        <f t="shared" si="0"/>
        <v>37890400.979299992</v>
      </c>
      <c r="P21" s="17">
        <f>SUM(B21:O21)</f>
        <v>3789040097.9299998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113671202.93789998</v>
      </c>
      <c r="F29" s="10" t="s">
        <v>18</v>
      </c>
      <c r="G29" s="10">
        <v>1.65</v>
      </c>
      <c r="H29" s="19">
        <f>E29*G29</f>
        <v>187557484.84753495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378904009.79299998</v>
      </c>
      <c r="F30" s="25" t="s">
        <v>18</v>
      </c>
      <c r="G30" s="25">
        <v>1.65</v>
      </c>
      <c r="H30" s="20">
        <f>E30*G30</f>
        <v>625191616.15844989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644136816.64810002</v>
      </c>
      <c r="F31" s="25" t="s">
        <v>18</v>
      </c>
      <c r="G31" s="25">
        <v>1.65</v>
      </c>
      <c r="H31" s="20">
        <f>E31*G31</f>
        <v>1062825747.469365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606246415.66879988</v>
      </c>
      <c r="F32" s="25" t="s">
        <v>18</v>
      </c>
      <c r="G32" s="25">
        <v>1.65</v>
      </c>
      <c r="H32" s="20">
        <f>E32*G32</f>
        <v>1000306585.8535198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151561603.91719997</v>
      </c>
      <c r="F34" s="25" t="s">
        <v>18</v>
      </c>
      <c r="G34" s="25">
        <v>1.65</v>
      </c>
      <c r="H34" s="20">
        <f t="shared" ref="H34:H42" si="1">E34*G34</f>
        <v>250076646.46337995</v>
      </c>
    </row>
    <row r="35" spans="1:14" x14ac:dyDescent="0.25">
      <c r="C35" s="25" t="s">
        <v>41</v>
      </c>
      <c r="D35" s="25">
        <v>2207</v>
      </c>
      <c r="E35" s="20">
        <f>H21</f>
        <v>265232806.85510001</v>
      </c>
      <c r="F35" s="25" t="s">
        <v>18</v>
      </c>
      <c r="G35" s="25">
        <v>1.65</v>
      </c>
      <c r="H35" s="20">
        <f t="shared" si="1"/>
        <v>437634131.31091499</v>
      </c>
    </row>
    <row r="36" spans="1:14" x14ac:dyDescent="0.25">
      <c r="C36" s="25" t="s">
        <v>40</v>
      </c>
      <c r="D36" s="10">
        <v>2208</v>
      </c>
      <c r="E36" s="20">
        <f>I21</f>
        <v>492575212.73090005</v>
      </c>
      <c r="F36" s="25" t="s">
        <v>18</v>
      </c>
      <c r="G36" s="25">
        <v>1.65</v>
      </c>
      <c r="H36" s="20">
        <f t="shared" si="1"/>
        <v>812749101.00598502</v>
      </c>
    </row>
    <row r="37" spans="1:14" x14ac:dyDescent="0.25">
      <c r="D37" s="25">
        <v>2210</v>
      </c>
      <c r="E37" s="20">
        <f>J21</f>
        <v>454684811.75159991</v>
      </c>
      <c r="F37" s="25" t="s">
        <v>18</v>
      </c>
      <c r="G37" s="25">
        <v>1.65</v>
      </c>
      <c r="H37" s="20">
        <f t="shared" si="1"/>
        <v>750229939.39013982</v>
      </c>
    </row>
    <row r="38" spans="1:14" x14ac:dyDescent="0.25">
      <c r="D38" s="25">
        <v>2212</v>
      </c>
      <c r="E38" s="20">
        <f>K21</f>
        <v>151561603.91719997</v>
      </c>
      <c r="F38" s="25" t="s">
        <v>18</v>
      </c>
      <c r="G38" s="25">
        <v>1.65</v>
      </c>
      <c r="H38" s="20">
        <f t="shared" si="1"/>
        <v>250076646.46337995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416794410.7723</v>
      </c>
      <c r="F40" s="25" t="s">
        <v>18</v>
      </c>
      <c r="G40" s="25">
        <v>1.65</v>
      </c>
      <c r="H40" s="20">
        <f t="shared" si="1"/>
        <v>687710777.77429497</v>
      </c>
    </row>
    <row r="41" spans="1:14" x14ac:dyDescent="0.25">
      <c r="D41" s="25">
        <v>2261</v>
      </c>
      <c r="E41" s="20">
        <f>N21</f>
        <v>75780801.958599985</v>
      </c>
      <c r="F41" s="25" t="s">
        <v>18</v>
      </c>
      <c r="G41" s="25">
        <v>1.65</v>
      </c>
      <c r="H41" s="20">
        <f t="shared" si="1"/>
        <v>125038323.23168997</v>
      </c>
    </row>
    <row r="42" spans="1:14" x14ac:dyDescent="0.25">
      <c r="D42" s="25">
        <v>2304</v>
      </c>
      <c r="E42" s="20">
        <f>O21</f>
        <v>37890400.979299992</v>
      </c>
      <c r="F42" s="25" t="s">
        <v>18</v>
      </c>
      <c r="G42" s="25">
        <v>1.65</v>
      </c>
      <c r="H42" s="72">
        <f t="shared" si="1"/>
        <v>62519161.615844987</v>
      </c>
    </row>
    <row r="43" spans="1:14" x14ac:dyDescent="0.25">
      <c r="G43" s="70" t="s">
        <v>34</v>
      </c>
      <c r="H43" s="71">
        <f>SUM(H29:H42)</f>
        <v>6251916161.5844994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C18" sqref="C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8" t="s">
        <v>49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06" t="s">
        <v>13</v>
      </c>
      <c r="B5" s="148" t="s">
        <v>14</v>
      </c>
      <c r="C5" s="148"/>
      <c r="D5" s="25"/>
      <c r="E5" s="25"/>
      <c r="F5" s="25"/>
      <c r="G5" s="25"/>
      <c r="H5" s="25"/>
      <c r="I5" s="106" t="s">
        <v>13</v>
      </c>
      <c r="J5" s="148" t="s">
        <v>14</v>
      </c>
      <c r="K5" s="148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0</v>
      </c>
      <c r="B18" s="5">
        <f>P18*3%</f>
        <v>5663514.3947999999</v>
      </c>
      <c r="C18" s="5">
        <f>P18*10%</f>
        <v>18878381.316</v>
      </c>
      <c r="D18" s="5">
        <f>P18*17%</f>
        <v>32093248.237200003</v>
      </c>
      <c r="E18" s="5">
        <f>P18*16%</f>
        <v>30205410.105599999</v>
      </c>
      <c r="F18" s="5">
        <f>P18*0%</f>
        <v>0</v>
      </c>
      <c r="G18" s="5">
        <f>P18*4%</f>
        <v>7551352.5263999999</v>
      </c>
      <c r="H18" s="5">
        <f>P18*7%</f>
        <v>13214866.921200002</v>
      </c>
      <c r="I18" s="5">
        <f>P18*13%</f>
        <v>24541895.7108</v>
      </c>
      <c r="J18" s="5">
        <f>P18*12%</f>
        <v>22654057.5792</v>
      </c>
      <c r="K18" s="5">
        <f>P18*4%</f>
        <v>7551352.5263999999</v>
      </c>
      <c r="L18" s="5">
        <f>P18*0%</f>
        <v>0</v>
      </c>
      <c r="M18" s="5">
        <f>P18*11%</f>
        <v>20766219.4476</v>
      </c>
      <c r="N18" s="5">
        <f>P18*2%</f>
        <v>3775676.2631999999</v>
      </c>
      <c r="O18" s="5">
        <f>P18*1%</f>
        <v>1887838.1316</v>
      </c>
      <c r="P18" s="17">
        <v>188783813.16</v>
      </c>
      <c r="Q18" t="s">
        <v>0</v>
      </c>
    </row>
    <row r="19" spans="1:17" x14ac:dyDescent="0.25">
      <c r="A19" s="14" t="s">
        <v>1</v>
      </c>
      <c r="B19" s="5">
        <f>P19*3%</f>
        <v>8178318.7212000005</v>
      </c>
      <c r="C19" s="5">
        <f>P19*10%</f>
        <v>27261062.404000003</v>
      </c>
      <c r="D19" s="5">
        <f>P19*17%</f>
        <v>46343806.086800009</v>
      </c>
      <c r="E19" s="5">
        <f>P19*16%</f>
        <v>43617699.846400008</v>
      </c>
      <c r="F19" s="5">
        <f>P19*0%</f>
        <v>0</v>
      </c>
      <c r="G19" s="5">
        <f>P19*4%</f>
        <v>10904424.961600002</v>
      </c>
      <c r="H19" s="5">
        <f>P19*7%</f>
        <v>19082743.682800002</v>
      </c>
      <c r="I19" s="5">
        <f>P19*13%</f>
        <v>35439381.125200003</v>
      </c>
      <c r="J19" s="5">
        <f>P19*12%</f>
        <v>32713274.884800002</v>
      </c>
      <c r="K19" s="5">
        <f>P19*4%</f>
        <v>10904424.961600002</v>
      </c>
      <c r="L19" s="5">
        <f>P19*0%</f>
        <v>0</v>
      </c>
      <c r="M19" s="5">
        <f>P19*11%</f>
        <v>29987168.644400004</v>
      </c>
      <c r="N19" s="5">
        <f>P19*2%</f>
        <v>5452212.480800001</v>
      </c>
      <c r="O19" s="5">
        <f>P19*1%</f>
        <v>2726106.2404000005</v>
      </c>
      <c r="P19" s="17">
        <v>272610624.04000002</v>
      </c>
      <c r="Q19" t="s">
        <v>1</v>
      </c>
    </row>
    <row r="20" spans="1:17" x14ac:dyDescent="0.25">
      <c r="A20" s="14" t="s">
        <v>2</v>
      </c>
      <c r="B20" s="5">
        <f>P20*3%</f>
        <v>16370053.661699999</v>
      </c>
      <c r="C20" s="5">
        <f>P20*10%</f>
        <v>54566845.539000005</v>
      </c>
      <c r="D20" s="5">
        <f>P20*17%</f>
        <v>92763637.416299999</v>
      </c>
      <c r="E20" s="5">
        <f>P20*16%</f>
        <v>87306952.862399995</v>
      </c>
      <c r="F20" s="5">
        <f>P20*0%</f>
        <v>0</v>
      </c>
      <c r="G20" s="5">
        <f>P20*4%</f>
        <v>21826738.215599999</v>
      </c>
      <c r="H20" s="5">
        <f>P20*7%</f>
        <v>38196791.877300002</v>
      </c>
      <c r="I20" s="5">
        <f>P20*13%</f>
        <v>70936899.2007</v>
      </c>
      <c r="J20" s="5">
        <f>P20*12%</f>
        <v>65480214.646799996</v>
      </c>
      <c r="K20" s="5">
        <f>P20*4%</f>
        <v>21826738.215599999</v>
      </c>
      <c r="L20" s="5">
        <f>P20*0%</f>
        <v>0</v>
      </c>
      <c r="M20" s="5">
        <f>P20*11%</f>
        <v>60023530.092900001</v>
      </c>
      <c r="N20" s="5">
        <f>P20*2%</f>
        <v>10913369.107799999</v>
      </c>
      <c r="O20" s="5">
        <f>P20*1%</f>
        <v>5456684.5538999997</v>
      </c>
      <c r="P20" s="17">
        <v>545668455.38999999</v>
      </c>
      <c r="Q20" t="s">
        <v>2</v>
      </c>
    </row>
    <row r="21" spans="1:17" x14ac:dyDescent="0.25">
      <c r="A21" s="15" t="s">
        <v>17</v>
      </c>
      <c r="B21" s="16">
        <f t="shared" ref="B21:O21" si="0">SUM(B18:B20)</f>
        <v>30211886.7777</v>
      </c>
      <c r="C21" s="16">
        <f t="shared" si="0"/>
        <v>100706289.259</v>
      </c>
      <c r="D21" s="16">
        <f t="shared" si="0"/>
        <v>171200691.7403</v>
      </c>
      <c r="E21" s="16">
        <f t="shared" si="0"/>
        <v>161130062.81440002</v>
      </c>
      <c r="F21" s="16">
        <f t="shared" si="0"/>
        <v>0</v>
      </c>
      <c r="G21" s="16">
        <f t="shared" si="0"/>
        <v>40282515.703600004</v>
      </c>
      <c r="H21" s="16">
        <f t="shared" si="0"/>
        <v>70494402.481299996</v>
      </c>
      <c r="I21" s="16">
        <f t="shared" si="0"/>
        <v>130918176.03670001</v>
      </c>
      <c r="J21" s="16">
        <f t="shared" si="0"/>
        <v>120847547.1108</v>
      </c>
      <c r="K21" s="16">
        <f t="shared" si="0"/>
        <v>40282515.703600004</v>
      </c>
      <c r="L21" s="16">
        <f t="shared" si="0"/>
        <v>0</v>
      </c>
      <c r="M21" s="16">
        <f t="shared" si="0"/>
        <v>110776918.18490002</v>
      </c>
      <c r="N21" s="16">
        <f t="shared" si="0"/>
        <v>20141257.851800002</v>
      </c>
      <c r="O21" s="16">
        <f t="shared" si="0"/>
        <v>10070628.925900001</v>
      </c>
      <c r="P21" s="17">
        <f>SUM(B21:O21)</f>
        <v>1007062892.59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30211886.7777</v>
      </c>
      <c r="F29" s="10" t="s">
        <v>18</v>
      </c>
      <c r="G29" s="10">
        <v>1.65</v>
      </c>
      <c r="H29" s="19">
        <f>E29*G29</f>
        <v>49849613.183204994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100706289.259</v>
      </c>
      <c r="F30" s="25" t="s">
        <v>18</v>
      </c>
      <c r="G30" s="25">
        <v>1.65</v>
      </c>
      <c r="H30" s="20">
        <f>E30*G30</f>
        <v>166165377.27735001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171200691.7403</v>
      </c>
      <c r="F31" s="25" t="s">
        <v>18</v>
      </c>
      <c r="G31" s="25">
        <v>1.65</v>
      </c>
      <c r="H31" s="20">
        <f>E31*G31</f>
        <v>282481141.37149501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161130062.81440002</v>
      </c>
      <c r="F32" s="25" t="s">
        <v>18</v>
      </c>
      <c r="G32" s="25">
        <v>1.65</v>
      </c>
      <c r="H32" s="20">
        <f>E32*G32</f>
        <v>265864603.64376003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40282515.703600004</v>
      </c>
      <c r="F34" s="25" t="s">
        <v>18</v>
      </c>
      <c r="G34" s="25">
        <v>1.65</v>
      </c>
      <c r="H34" s="20">
        <f t="shared" ref="H34:H42" si="1">E34*G34</f>
        <v>66466150.910940006</v>
      </c>
    </row>
    <row r="35" spans="1:14" x14ac:dyDescent="0.25">
      <c r="C35" s="25" t="s">
        <v>41</v>
      </c>
      <c r="D35" s="25">
        <v>2207</v>
      </c>
      <c r="E35" s="20">
        <f>H21</f>
        <v>70494402.481299996</v>
      </c>
      <c r="F35" s="25" t="s">
        <v>18</v>
      </c>
      <c r="G35" s="25">
        <v>1.65</v>
      </c>
      <c r="H35" s="20">
        <f t="shared" si="1"/>
        <v>116315764.09414499</v>
      </c>
    </row>
    <row r="36" spans="1:14" x14ac:dyDescent="0.25">
      <c r="C36" s="25" t="s">
        <v>40</v>
      </c>
      <c r="D36" s="10">
        <v>2208</v>
      </c>
      <c r="E36" s="20">
        <f>I21</f>
        <v>130918176.03670001</v>
      </c>
      <c r="F36" s="25" t="s">
        <v>18</v>
      </c>
      <c r="G36" s="25">
        <v>1.65</v>
      </c>
      <c r="H36" s="20">
        <f t="shared" si="1"/>
        <v>216014990.46055502</v>
      </c>
    </row>
    <row r="37" spans="1:14" x14ac:dyDescent="0.25">
      <c r="D37" s="25">
        <v>2210</v>
      </c>
      <c r="E37" s="20">
        <f>J21</f>
        <v>120847547.1108</v>
      </c>
      <c r="F37" s="25" t="s">
        <v>18</v>
      </c>
      <c r="G37" s="25">
        <v>1.65</v>
      </c>
      <c r="H37" s="20">
        <f t="shared" si="1"/>
        <v>199398452.73281997</v>
      </c>
    </row>
    <row r="38" spans="1:14" x14ac:dyDescent="0.25">
      <c r="D38" s="25">
        <v>2212</v>
      </c>
      <c r="E38" s="20">
        <f>K21</f>
        <v>40282515.703600004</v>
      </c>
      <c r="F38" s="25" t="s">
        <v>18</v>
      </c>
      <c r="G38" s="25">
        <v>1.65</v>
      </c>
      <c r="H38" s="20">
        <f t="shared" si="1"/>
        <v>66466150.910940006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110776918.18490002</v>
      </c>
      <c r="F40" s="25" t="s">
        <v>18</v>
      </c>
      <c r="G40" s="25">
        <v>1.65</v>
      </c>
      <c r="H40" s="20">
        <f t="shared" si="1"/>
        <v>182781915.00508502</v>
      </c>
    </row>
    <row r="41" spans="1:14" x14ac:dyDescent="0.25">
      <c r="D41" s="25">
        <v>2261</v>
      </c>
      <c r="E41" s="20">
        <f>N21</f>
        <v>20141257.851800002</v>
      </c>
      <c r="F41" s="25" t="s">
        <v>18</v>
      </c>
      <c r="G41" s="25">
        <v>1.65</v>
      </c>
      <c r="H41" s="20">
        <f t="shared" si="1"/>
        <v>33233075.455470003</v>
      </c>
    </row>
    <row r="42" spans="1:14" x14ac:dyDescent="0.25">
      <c r="D42" s="25">
        <v>2304</v>
      </c>
      <c r="E42" s="20">
        <f>O21</f>
        <v>10070628.925900001</v>
      </c>
      <c r="F42" s="25" t="s">
        <v>18</v>
      </c>
      <c r="G42" s="25">
        <v>1.65</v>
      </c>
      <c r="H42" s="72">
        <f t="shared" si="1"/>
        <v>16616537.727735002</v>
      </c>
    </row>
    <row r="43" spans="1:14" x14ac:dyDescent="0.25">
      <c r="G43" s="70" t="s">
        <v>34</v>
      </c>
      <c r="H43" s="71">
        <f>SUM(H29:H42)</f>
        <v>1661653772.7735002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K3" sqref="K3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56" customFormat="1" x14ac:dyDescent="0.25">
      <c r="A1" s="55" t="s">
        <v>0</v>
      </c>
      <c r="K1" s="57"/>
    </row>
    <row r="2" spans="1:11" s="56" customFormat="1" ht="15.75" x14ac:dyDescent="0.25">
      <c r="A2" s="107" t="s">
        <v>13</v>
      </c>
      <c r="B2" s="149" t="s">
        <v>14</v>
      </c>
      <c r="C2" s="149"/>
      <c r="D2" s="59"/>
      <c r="E2" s="59"/>
      <c r="F2" s="59"/>
      <c r="G2" s="59"/>
      <c r="H2" s="59"/>
      <c r="I2" s="59"/>
      <c r="K2" s="57"/>
    </row>
    <row r="3" spans="1:11" s="56" customFormat="1" x14ac:dyDescent="0.25">
      <c r="A3" s="59">
        <v>2141</v>
      </c>
      <c r="B3" s="60" t="s">
        <v>19</v>
      </c>
      <c r="C3" s="60"/>
      <c r="D3" s="60"/>
      <c r="E3" s="60"/>
      <c r="F3" s="60"/>
      <c r="G3" s="60"/>
      <c r="H3" s="60"/>
      <c r="I3" s="61">
        <v>0.9</v>
      </c>
      <c r="J3" s="62">
        <v>0.03</v>
      </c>
      <c r="K3" s="57">
        <f>K17*J3</f>
        <v>5663514.3947999999</v>
      </c>
    </row>
    <row r="4" spans="1:11" s="56" customFormat="1" x14ac:dyDescent="0.25">
      <c r="A4" s="59">
        <v>2202</v>
      </c>
      <c r="B4" s="60" t="s">
        <v>20</v>
      </c>
      <c r="C4" s="60"/>
      <c r="D4" s="60"/>
      <c r="E4" s="60"/>
      <c r="F4" s="60"/>
      <c r="G4" s="60"/>
      <c r="H4" s="60"/>
      <c r="I4" s="61">
        <v>2</v>
      </c>
      <c r="J4" s="62">
        <v>0.1</v>
      </c>
      <c r="K4" s="57">
        <f>K17*J4</f>
        <v>18878381.316</v>
      </c>
    </row>
    <row r="5" spans="1:11" s="56" customFormat="1" x14ac:dyDescent="0.25">
      <c r="A5" s="59">
        <v>2203</v>
      </c>
      <c r="B5" s="60" t="s">
        <v>21</v>
      </c>
      <c r="C5" s="60"/>
      <c r="D5" s="60"/>
      <c r="E5" s="60"/>
      <c r="F5" s="60"/>
      <c r="G5" s="60"/>
      <c r="H5" s="60"/>
      <c r="I5" s="61">
        <v>0.4</v>
      </c>
      <c r="J5" s="62">
        <v>0.17</v>
      </c>
      <c r="K5" s="57">
        <f>K17*J5</f>
        <v>32093248.237200003</v>
      </c>
    </row>
    <row r="6" spans="1:11" s="56" customFormat="1" x14ac:dyDescent="0.25">
      <c r="A6" s="59">
        <v>2204</v>
      </c>
      <c r="B6" s="60" t="s">
        <v>22</v>
      </c>
      <c r="C6" s="60"/>
      <c r="D6" s="60"/>
      <c r="E6" s="60"/>
      <c r="F6" s="60"/>
      <c r="G6" s="60"/>
      <c r="H6" s="60"/>
      <c r="I6" s="61">
        <v>0.75</v>
      </c>
      <c r="J6" s="62">
        <v>0.14000000000000001</v>
      </c>
      <c r="K6" s="57">
        <f>K17*J6</f>
        <v>26429733.842400003</v>
      </c>
    </row>
    <row r="7" spans="1:11" s="56" customFormat="1" x14ac:dyDescent="0.25">
      <c r="A7" s="59">
        <v>2205</v>
      </c>
      <c r="B7" s="63" t="s">
        <v>23</v>
      </c>
      <c r="C7" s="63"/>
      <c r="D7" s="63"/>
      <c r="E7" s="63"/>
      <c r="F7" s="63"/>
      <c r="G7" s="63"/>
      <c r="H7" s="63"/>
      <c r="I7" s="61">
        <v>0.75</v>
      </c>
      <c r="J7" s="62">
        <v>0.1</v>
      </c>
      <c r="K7" s="57">
        <f>K17*J7</f>
        <v>18878381.316</v>
      </c>
    </row>
    <row r="8" spans="1:11" s="56" customFormat="1" x14ac:dyDescent="0.25">
      <c r="A8" s="59">
        <v>2206</v>
      </c>
      <c r="B8" s="63" t="s">
        <v>24</v>
      </c>
      <c r="C8" s="63"/>
      <c r="D8" s="63"/>
      <c r="E8" s="63"/>
      <c r="F8" s="63"/>
      <c r="G8" s="63"/>
      <c r="H8" s="63"/>
      <c r="I8" s="61">
        <v>8</v>
      </c>
      <c r="J8" s="62">
        <v>0.04</v>
      </c>
      <c r="K8" s="57">
        <f>K17*J8</f>
        <v>7551352.5263999999</v>
      </c>
    </row>
    <row r="9" spans="1:11" s="56" customFormat="1" x14ac:dyDescent="0.25">
      <c r="A9" s="59">
        <v>2207</v>
      </c>
      <c r="B9" s="63" t="s">
        <v>25</v>
      </c>
      <c r="C9" s="63"/>
      <c r="D9" s="63"/>
      <c r="E9" s="63"/>
      <c r="F9" s="63"/>
      <c r="G9" s="63"/>
      <c r="H9" s="63"/>
      <c r="I9" s="61">
        <v>1.1499999999999999</v>
      </c>
      <c r="J9" s="62">
        <v>7.0000000000000007E-2</v>
      </c>
      <c r="K9" s="57">
        <f>K17*J9</f>
        <v>13214866.921200002</v>
      </c>
    </row>
    <row r="10" spans="1:11" s="56" customFormat="1" x14ac:dyDescent="0.25">
      <c r="A10" s="59">
        <v>2208</v>
      </c>
      <c r="B10" s="60" t="s">
        <v>26</v>
      </c>
      <c r="C10" s="60"/>
      <c r="D10" s="60"/>
      <c r="E10" s="60"/>
      <c r="F10" s="60"/>
      <c r="I10" s="64">
        <v>0.75</v>
      </c>
      <c r="J10" s="62">
        <v>0.11</v>
      </c>
      <c r="K10" s="57">
        <f>K17*J10</f>
        <v>20766219.4476</v>
      </c>
    </row>
    <row r="11" spans="1:11" s="56" customFormat="1" x14ac:dyDescent="0.25">
      <c r="A11" s="59">
        <v>2210</v>
      </c>
      <c r="B11" s="60" t="s">
        <v>27</v>
      </c>
      <c r="C11" s="60"/>
      <c r="D11" s="60"/>
      <c r="E11" s="60"/>
      <c r="F11" s="60"/>
      <c r="I11" s="64">
        <v>0.75</v>
      </c>
      <c r="J11" s="62">
        <v>7.0000000000000007E-2</v>
      </c>
      <c r="K11" s="57">
        <f>K17*J11</f>
        <v>13214866.921200002</v>
      </c>
    </row>
    <row r="12" spans="1:11" s="56" customFormat="1" x14ac:dyDescent="0.25">
      <c r="A12" s="59">
        <v>2212</v>
      </c>
      <c r="B12" s="60" t="s">
        <v>28</v>
      </c>
      <c r="C12" s="60"/>
      <c r="D12" s="60"/>
      <c r="E12" s="60"/>
      <c r="F12" s="60"/>
      <c r="I12" s="64">
        <v>1.25</v>
      </c>
      <c r="J12" s="62">
        <v>0.04</v>
      </c>
      <c r="K12" s="57">
        <f>K17*J12</f>
        <v>7551352.5263999999</v>
      </c>
    </row>
    <row r="13" spans="1:11" s="56" customFormat="1" x14ac:dyDescent="0.25">
      <c r="A13" s="59">
        <v>2216</v>
      </c>
      <c r="B13" s="60" t="s">
        <v>29</v>
      </c>
      <c r="C13" s="60"/>
      <c r="D13" s="60"/>
      <c r="E13" s="60"/>
      <c r="F13" s="60"/>
      <c r="I13" s="64">
        <v>1.35</v>
      </c>
      <c r="J13" s="62">
        <v>0.01</v>
      </c>
      <c r="K13" s="57">
        <f>K17*J13</f>
        <v>1887838.1316</v>
      </c>
    </row>
    <row r="14" spans="1:11" s="56" customFormat="1" x14ac:dyDescent="0.25">
      <c r="A14" s="59">
        <v>2247</v>
      </c>
      <c r="B14" s="63" t="s">
        <v>30</v>
      </c>
      <c r="C14" s="63"/>
      <c r="D14" s="63"/>
      <c r="E14" s="63"/>
      <c r="F14" s="63"/>
      <c r="I14" s="64">
        <v>0.9</v>
      </c>
      <c r="J14" s="62">
        <v>0.09</v>
      </c>
      <c r="K14" s="57">
        <f>K17*J14</f>
        <v>16990543.1844</v>
      </c>
    </row>
    <row r="15" spans="1:11" s="56" customFormat="1" x14ac:dyDescent="0.25">
      <c r="A15" s="59">
        <v>2261</v>
      </c>
      <c r="B15" s="63" t="s">
        <v>31</v>
      </c>
      <c r="C15" s="63"/>
      <c r="D15" s="63"/>
      <c r="E15" s="63"/>
      <c r="F15" s="63"/>
      <c r="I15" s="64">
        <v>1.35</v>
      </c>
      <c r="J15" s="62">
        <v>0.02</v>
      </c>
      <c r="K15" s="57">
        <f>K17*J15</f>
        <v>3775676.2631999999</v>
      </c>
    </row>
    <row r="16" spans="1:11" s="56" customFormat="1" x14ac:dyDescent="0.25">
      <c r="A16" s="59">
        <v>2304</v>
      </c>
      <c r="B16" s="63" t="s">
        <v>32</v>
      </c>
      <c r="C16" s="63"/>
      <c r="D16" s="63"/>
      <c r="E16" s="63"/>
      <c r="F16" s="63"/>
      <c r="I16" s="64">
        <v>3</v>
      </c>
      <c r="J16" s="65">
        <v>0.01</v>
      </c>
      <c r="K16" s="66">
        <f>K17*J16</f>
        <v>1887838.1316</v>
      </c>
    </row>
    <row r="17" spans="1:11" s="56" customFormat="1" x14ac:dyDescent="0.25">
      <c r="J17" s="62">
        <f>SUM(J3:J16)</f>
        <v>1</v>
      </c>
      <c r="K17" s="57">
        <v>188783813.16</v>
      </c>
    </row>
    <row r="18" spans="1:11" s="32" customFormat="1" x14ac:dyDescent="0.25">
      <c r="A18" s="31" t="s">
        <v>1</v>
      </c>
      <c r="K18" s="33"/>
    </row>
    <row r="19" spans="1:11" s="32" customFormat="1" ht="15.75" x14ac:dyDescent="0.25">
      <c r="A19" s="108" t="s">
        <v>13</v>
      </c>
      <c r="B19" s="150" t="s">
        <v>14</v>
      </c>
      <c r="C19" s="150"/>
      <c r="D19" s="35"/>
      <c r="E19" s="35"/>
      <c r="F19" s="35"/>
      <c r="G19" s="35"/>
      <c r="H19" s="35"/>
      <c r="I19" s="35"/>
      <c r="K19" s="33"/>
    </row>
    <row r="20" spans="1:11" s="32" customFormat="1" x14ac:dyDescent="0.25">
      <c r="A20" s="35">
        <v>2141</v>
      </c>
      <c r="B20" s="36" t="s">
        <v>19</v>
      </c>
      <c r="C20" s="36"/>
      <c r="D20" s="36"/>
      <c r="E20" s="36"/>
      <c r="F20" s="36"/>
      <c r="G20" s="36"/>
      <c r="H20" s="36"/>
      <c r="I20" s="37">
        <v>0.9</v>
      </c>
      <c r="J20" s="38">
        <v>0.03</v>
      </c>
      <c r="K20" s="33">
        <f>K34*J20</f>
        <v>8178318.7212000005</v>
      </c>
    </row>
    <row r="21" spans="1:11" s="32" customFormat="1" x14ac:dyDescent="0.25">
      <c r="A21" s="35">
        <v>2202</v>
      </c>
      <c r="B21" s="36" t="s">
        <v>20</v>
      </c>
      <c r="C21" s="36"/>
      <c r="D21" s="36"/>
      <c r="E21" s="36"/>
      <c r="F21" s="36"/>
      <c r="G21" s="36"/>
      <c r="H21" s="36"/>
      <c r="I21" s="37">
        <v>2</v>
      </c>
      <c r="J21" s="38">
        <v>0.1</v>
      </c>
      <c r="K21" s="33">
        <f>K34*J21</f>
        <v>27261062.404000003</v>
      </c>
    </row>
    <row r="22" spans="1:11" s="32" customFormat="1" x14ac:dyDescent="0.25">
      <c r="A22" s="35">
        <v>2203</v>
      </c>
      <c r="B22" s="36" t="s">
        <v>21</v>
      </c>
      <c r="C22" s="36"/>
      <c r="D22" s="36"/>
      <c r="E22" s="36"/>
      <c r="F22" s="36"/>
      <c r="G22" s="36"/>
      <c r="H22" s="36"/>
      <c r="I22" s="37">
        <v>0.4</v>
      </c>
      <c r="J22" s="38">
        <v>0.17</v>
      </c>
      <c r="K22" s="33">
        <f>K34*J22</f>
        <v>46343806.086800009</v>
      </c>
    </row>
    <row r="23" spans="1:11" s="32" customFormat="1" x14ac:dyDescent="0.25">
      <c r="A23" s="35">
        <v>2204</v>
      </c>
      <c r="B23" s="36" t="s">
        <v>22</v>
      </c>
      <c r="C23" s="36"/>
      <c r="D23" s="36"/>
      <c r="E23" s="36"/>
      <c r="F23" s="36"/>
      <c r="G23" s="36"/>
      <c r="H23" s="36"/>
      <c r="I23" s="37">
        <v>0.75</v>
      </c>
      <c r="J23" s="38">
        <v>0.14000000000000001</v>
      </c>
      <c r="K23" s="33">
        <f>K34*J23</f>
        <v>38165487.365600005</v>
      </c>
    </row>
    <row r="24" spans="1:11" s="32" customFormat="1" x14ac:dyDescent="0.25">
      <c r="A24" s="35">
        <v>2205</v>
      </c>
      <c r="B24" s="39" t="s">
        <v>23</v>
      </c>
      <c r="C24" s="39"/>
      <c r="D24" s="39"/>
      <c r="E24" s="39"/>
      <c r="F24" s="39"/>
      <c r="G24" s="39"/>
      <c r="H24" s="39"/>
      <c r="I24" s="37">
        <v>0.75</v>
      </c>
      <c r="J24" s="38">
        <v>0.1</v>
      </c>
      <c r="K24" s="33">
        <f>K34*J24</f>
        <v>27261062.404000003</v>
      </c>
    </row>
    <row r="25" spans="1:11" s="32" customFormat="1" x14ac:dyDescent="0.25">
      <c r="A25" s="35">
        <v>2206</v>
      </c>
      <c r="B25" s="39" t="s">
        <v>24</v>
      </c>
      <c r="C25" s="39"/>
      <c r="D25" s="39"/>
      <c r="E25" s="39"/>
      <c r="F25" s="39"/>
      <c r="G25" s="39"/>
      <c r="H25" s="39"/>
      <c r="I25" s="37">
        <v>8</v>
      </c>
      <c r="J25" s="38">
        <v>0.04</v>
      </c>
      <c r="K25" s="33">
        <f>K34*J25</f>
        <v>10904424.961600002</v>
      </c>
    </row>
    <row r="26" spans="1:11" s="32" customFormat="1" x14ac:dyDescent="0.25">
      <c r="A26" s="35">
        <v>2207</v>
      </c>
      <c r="B26" s="39" t="s">
        <v>25</v>
      </c>
      <c r="C26" s="39"/>
      <c r="D26" s="39"/>
      <c r="E26" s="39"/>
      <c r="F26" s="39"/>
      <c r="G26" s="39"/>
      <c r="H26" s="39"/>
      <c r="I26" s="37">
        <v>1.1499999999999999</v>
      </c>
      <c r="J26" s="38">
        <v>7.0000000000000007E-2</v>
      </c>
      <c r="K26" s="33">
        <f>K34*J26</f>
        <v>19082743.682800002</v>
      </c>
    </row>
    <row r="27" spans="1:11" s="32" customFormat="1" x14ac:dyDescent="0.25">
      <c r="A27" s="35">
        <v>2208</v>
      </c>
      <c r="B27" s="36" t="s">
        <v>26</v>
      </c>
      <c r="C27" s="36"/>
      <c r="D27" s="36"/>
      <c r="E27" s="36"/>
      <c r="F27" s="36"/>
      <c r="I27" s="40">
        <v>0.75</v>
      </c>
      <c r="J27" s="38">
        <v>0.11</v>
      </c>
      <c r="K27" s="33">
        <f>K34*J27</f>
        <v>29987168.644400004</v>
      </c>
    </row>
    <row r="28" spans="1:11" s="32" customFormat="1" x14ac:dyDescent="0.25">
      <c r="A28" s="35">
        <v>2210</v>
      </c>
      <c r="B28" s="36" t="s">
        <v>27</v>
      </c>
      <c r="C28" s="36"/>
      <c r="D28" s="36"/>
      <c r="E28" s="36"/>
      <c r="F28" s="36"/>
      <c r="I28" s="40">
        <v>0.75</v>
      </c>
      <c r="J28" s="38">
        <v>7.0000000000000007E-2</v>
      </c>
      <c r="K28" s="33">
        <f>K34*J28</f>
        <v>19082743.682800002</v>
      </c>
    </row>
    <row r="29" spans="1:11" s="32" customFormat="1" x14ac:dyDescent="0.25">
      <c r="A29" s="35">
        <v>2212</v>
      </c>
      <c r="B29" s="36" t="s">
        <v>28</v>
      </c>
      <c r="C29" s="36"/>
      <c r="D29" s="36"/>
      <c r="E29" s="36"/>
      <c r="F29" s="36"/>
      <c r="I29" s="40">
        <v>1.25</v>
      </c>
      <c r="J29" s="38">
        <v>0.04</v>
      </c>
      <c r="K29" s="33">
        <f>K34*J29</f>
        <v>10904424.961600002</v>
      </c>
    </row>
    <row r="30" spans="1:11" s="32" customFormat="1" x14ac:dyDescent="0.25">
      <c r="A30" s="35">
        <v>2216</v>
      </c>
      <c r="B30" s="36" t="s">
        <v>29</v>
      </c>
      <c r="C30" s="36"/>
      <c r="D30" s="36"/>
      <c r="E30" s="36"/>
      <c r="F30" s="36"/>
      <c r="I30" s="40">
        <v>1.35</v>
      </c>
      <c r="J30" s="38">
        <v>0.01</v>
      </c>
      <c r="K30" s="33">
        <f>K34*J30</f>
        <v>2726106.2404000005</v>
      </c>
    </row>
    <row r="31" spans="1:11" s="32" customFormat="1" x14ac:dyDescent="0.25">
      <c r="A31" s="35">
        <v>2247</v>
      </c>
      <c r="B31" s="39" t="s">
        <v>30</v>
      </c>
      <c r="C31" s="39"/>
      <c r="D31" s="39"/>
      <c r="E31" s="39"/>
      <c r="F31" s="39"/>
      <c r="I31" s="40">
        <v>0.9</v>
      </c>
      <c r="J31" s="38">
        <v>0.09</v>
      </c>
      <c r="K31" s="33">
        <f>K34*J31</f>
        <v>24534956.163600001</v>
      </c>
    </row>
    <row r="32" spans="1:11" s="32" customFormat="1" x14ac:dyDescent="0.25">
      <c r="A32" s="35">
        <v>2261</v>
      </c>
      <c r="B32" s="39" t="s">
        <v>31</v>
      </c>
      <c r="C32" s="39"/>
      <c r="D32" s="39"/>
      <c r="E32" s="39"/>
      <c r="F32" s="39"/>
      <c r="I32" s="40">
        <v>1.35</v>
      </c>
      <c r="J32" s="38">
        <v>0.02</v>
      </c>
      <c r="K32" s="33">
        <f>K34*J32</f>
        <v>5452212.480800001</v>
      </c>
    </row>
    <row r="33" spans="1:11" s="32" customFormat="1" x14ac:dyDescent="0.25">
      <c r="A33" s="35">
        <v>2304</v>
      </c>
      <c r="B33" s="39" t="s">
        <v>32</v>
      </c>
      <c r="C33" s="39"/>
      <c r="D33" s="39"/>
      <c r="E33" s="39"/>
      <c r="F33" s="39"/>
      <c r="I33" s="40">
        <v>3</v>
      </c>
      <c r="J33" s="41">
        <v>0.01</v>
      </c>
      <c r="K33" s="42">
        <f>K34*J33</f>
        <v>2726106.2404000005</v>
      </c>
    </row>
    <row r="34" spans="1:11" s="32" customFormat="1" x14ac:dyDescent="0.25">
      <c r="J34" s="38">
        <f>SUM(J20:J33)</f>
        <v>1</v>
      </c>
      <c r="K34" s="33">
        <v>272610624.04000002</v>
      </c>
    </row>
    <row r="35" spans="1:11" s="56" customFormat="1" x14ac:dyDescent="0.25">
      <c r="A35" s="55" t="s">
        <v>2</v>
      </c>
      <c r="K35" s="57"/>
    </row>
    <row r="36" spans="1:11" s="56" customFormat="1" ht="15.75" x14ac:dyDescent="0.25">
      <c r="A36" s="107" t="s">
        <v>13</v>
      </c>
      <c r="B36" s="149" t="s">
        <v>14</v>
      </c>
      <c r="C36" s="149"/>
      <c r="D36" s="59"/>
      <c r="E36" s="59"/>
      <c r="F36" s="59"/>
      <c r="G36" s="59"/>
      <c r="H36" s="59"/>
      <c r="I36" s="59"/>
      <c r="K36" s="57"/>
    </row>
    <row r="37" spans="1:11" s="56" customFormat="1" x14ac:dyDescent="0.25">
      <c r="A37" s="59">
        <v>2141</v>
      </c>
      <c r="B37" s="60" t="s">
        <v>19</v>
      </c>
      <c r="C37" s="60"/>
      <c r="D37" s="60"/>
      <c r="E37" s="60"/>
      <c r="F37" s="60"/>
      <c r="G37" s="60"/>
      <c r="H37" s="60"/>
      <c r="I37" s="61">
        <v>0.9</v>
      </c>
      <c r="J37" s="62">
        <v>0.03</v>
      </c>
      <c r="K37" s="57">
        <f>K51*J37</f>
        <v>16370053.661699999</v>
      </c>
    </row>
    <row r="38" spans="1:11" s="56" customFormat="1" x14ac:dyDescent="0.25">
      <c r="A38" s="59">
        <v>2202</v>
      </c>
      <c r="B38" s="60" t="s">
        <v>20</v>
      </c>
      <c r="C38" s="60"/>
      <c r="D38" s="60"/>
      <c r="E38" s="60"/>
      <c r="F38" s="60"/>
      <c r="G38" s="60"/>
      <c r="H38" s="60"/>
      <c r="I38" s="61">
        <v>2</v>
      </c>
      <c r="J38" s="62">
        <v>0.1</v>
      </c>
      <c r="K38" s="57">
        <f>K51*J38</f>
        <v>54566845.539000005</v>
      </c>
    </row>
    <row r="39" spans="1:11" s="56" customFormat="1" x14ac:dyDescent="0.25">
      <c r="A39" s="59">
        <v>2203</v>
      </c>
      <c r="B39" s="60" t="s">
        <v>21</v>
      </c>
      <c r="C39" s="60"/>
      <c r="D39" s="60"/>
      <c r="E39" s="60"/>
      <c r="F39" s="60"/>
      <c r="G39" s="60"/>
      <c r="H39" s="60"/>
      <c r="I39" s="61">
        <v>0.4</v>
      </c>
      <c r="J39" s="62">
        <v>0.17</v>
      </c>
      <c r="K39" s="57">
        <f>K51*J39</f>
        <v>92763637.416299999</v>
      </c>
    </row>
    <row r="40" spans="1:11" s="56" customFormat="1" x14ac:dyDescent="0.25">
      <c r="A40" s="59">
        <v>2204</v>
      </c>
      <c r="B40" s="60" t="s">
        <v>22</v>
      </c>
      <c r="C40" s="60"/>
      <c r="D40" s="60"/>
      <c r="E40" s="60"/>
      <c r="F40" s="60"/>
      <c r="G40" s="60"/>
      <c r="H40" s="60"/>
      <c r="I40" s="61">
        <v>0.75</v>
      </c>
      <c r="J40" s="62">
        <v>0.14000000000000001</v>
      </c>
      <c r="K40" s="57">
        <f>K51*J40</f>
        <v>76393583.754600003</v>
      </c>
    </row>
    <row r="41" spans="1:11" s="56" customFormat="1" x14ac:dyDescent="0.25">
      <c r="A41" s="59">
        <v>2205</v>
      </c>
      <c r="B41" s="63" t="s">
        <v>23</v>
      </c>
      <c r="C41" s="63"/>
      <c r="D41" s="63"/>
      <c r="E41" s="63"/>
      <c r="F41" s="63"/>
      <c r="G41" s="63"/>
      <c r="H41" s="63"/>
      <c r="I41" s="61">
        <v>0.75</v>
      </c>
      <c r="J41" s="62">
        <v>0.1</v>
      </c>
      <c r="K41" s="57">
        <f>K51*J41</f>
        <v>54566845.539000005</v>
      </c>
    </row>
    <row r="42" spans="1:11" s="56" customFormat="1" x14ac:dyDescent="0.25">
      <c r="A42" s="59">
        <v>2206</v>
      </c>
      <c r="B42" s="63" t="s">
        <v>24</v>
      </c>
      <c r="C42" s="63"/>
      <c r="D42" s="63"/>
      <c r="E42" s="63"/>
      <c r="F42" s="63"/>
      <c r="G42" s="63"/>
      <c r="H42" s="63"/>
      <c r="I42" s="61">
        <v>8</v>
      </c>
      <c r="J42" s="62">
        <v>0.04</v>
      </c>
      <c r="K42" s="57">
        <f>K51*J42</f>
        <v>21826738.215599999</v>
      </c>
    </row>
    <row r="43" spans="1:11" s="56" customFormat="1" x14ac:dyDescent="0.25">
      <c r="A43" s="59">
        <v>2207</v>
      </c>
      <c r="B43" s="63" t="s">
        <v>25</v>
      </c>
      <c r="C43" s="63"/>
      <c r="D43" s="63"/>
      <c r="E43" s="63"/>
      <c r="F43" s="63"/>
      <c r="G43" s="63"/>
      <c r="H43" s="63"/>
      <c r="I43" s="61">
        <v>1.1499999999999999</v>
      </c>
      <c r="J43" s="62">
        <v>7.0000000000000007E-2</v>
      </c>
      <c r="K43" s="57">
        <f>K51*J43</f>
        <v>38196791.877300002</v>
      </c>
    </row>
    <row r="44" spans="1:11" s="56" customFormat="1" x14ac:dyDescent="0.25">
      <c r="A44" s="59">
        <v>2208</v>
      </c>
      <c r="B44" s="60" t="s">
        <v>26</v>
      </c>
      <c r="C44" s="60"/>
      <c r="D44" s="60"/>
      <c r="E44" s="60"/>
      <c r="F44" s="60"/>
      <c r="I44" s="64">
        <v>0.75</v>
      </c>
      <c r="J44" s="62">
        <v>0.11</v>
      </c>
      <c r="K44" s="57">
        <f>K51*J44</f>
        <v>60023530.092900001</v>
      </c>
    </row>
    <row r="45" spans="1:11" s="56" customFormat="1" x14ac:dyDescent="0.25">
      <c r="A45" s="59">
        <v>2210</v>
      </c>
      <c r="B45" s="60" t="s">
        <v>27</v>
      </c>
      <c r="C45" s="60"/>
      <c r="D45" s="60"/>
      <c r="E45" s="60"/>
      <c r="F45" s="60"/>
      <c r="I45" s="64">
        <v>0.75</v>
      </c>
      <c r="J45" s="62">
        <v>7.0000000000000007E-2</v>
      </c>
      <c r="K45" s="57">
        <f>K51*J45</f>
        <v>38196791.877300002</v>
      </c>
    </row>
    <row r="46" spans="1:11" s="56" customFormat="1" x14ac:dyDescent="0.25">
      <c r="A46" s="59">
        <v>2212</v>
      </c>
      <c r="B46" s="60" t="s">
        <v>28</v>
      </c>
      <c r="C46" s="60"/>
      <c r="D46" s="60"/>
      <c r="E46" s="60"/>
      <c r="F46" s="60"/>
      <c r="I46" s="64">
        <v>1.25</v>
      </c>
      <c r="J46" s="62">
        <v>0.04</v>
      </c>
      <c r="K46" s="57">
        <f>K51*J46</f>
        <v>21826738.215599999</v>
      </c>
    </row>
    <row r="47" spans="1:11" s="56" customFormat="1" x14ac:dyDescent="0.25">
      <c r="A47" s="59">
        <v>2216</v>
      </c>
      <c r="B47" s="60" t="s">
        <v>29</v>
      </c>
      <c r="C47" s="60"/>
      <c r="D47" s="60"/>
      <c r="E47" s="60"/>
      <c r="F47" s="60"/>
      <c r="I47" s="64">
        <v>1.35</v>
      </c>
      <c r="J47" s="62">
        <v>0.01</v>
      </c>
      <c r="K47" s="57">
        <f>K51*J47</f>
        <v>5456684.5538999997</v>
      </c>
    </row>
    <row r="48" spans="1:11" s="56" customFormat="1" x14ac:dyDescent="0.25">
      <c r="A48" s="59">
        <v>2247</v>
      </c>
      <c r="B48" s="63" t="s">
        <v>30</v>
      </c>
      <c r="C48" s="63"/>
      <c r="D48" s="63"/>
      <c r="E48" s="63"/>
      <c r="F48" s="63"/>
      <c r="I48" s="64">
        <v>0.9</v>
      </c>
      <c r="J48" s="62">
        <v>0.09</v>
      </c>
      <c r="K48" s="57">
        <f>K51*J48</f>
        <v>49110160.985099994</v>
      </c>
    </row>
    <row r="49" spans="1:11" s="56" customFormat="1" x14ac:dyDescent="0.25">
      <c r="A49" s="59">
        <v>2261</v>
      </c>
      <c r="B49" s="63" t="s">
        <v>31</v>
      </c>
      <c r="C49" s="63"/>
      <c r="D49" s="63"/>
      <c r="E49" s="63"/>
      <c r="F49" s="63"/>
      <c r="I49" s="64">
        <v>1.35</v>
      </c>
      <c r="J49" s="62">
        <v>0.02</v>
      </c>
      <c r="K49" s="57">
        <f>K51*J49</f>
        <v>10913369.107799999</v>
      </c>
    </row>
    <row r="50" spans="1:11" s="56" customFormat="1" x14ac:dyDescent="0.25">
      <c r="A50" s="59">
        <v>2304</v>
      </c>
      <c r="B50" s="63" t="s">
        <v>32</v>
      </c>
      <c r="C50" s="63"/>
      <c r="D50" s="63"/>
      <c r="E50" s="63"/>
      <c r="F50" s="63"/>
      <c r="I50" s="64">
        <v>3</v>
      </c>
      <c r="J50" s="65">
        <v>0.01</v>
      </c>
      <c r="K50" s="66">
        <f>K51*J50</f>
        <v>5456684.5538999997</v>
      </c>
    </row>
    <row r="51" spans="1:11" s="56" customFormat="1" x14ac:dyDescent="0.25">
      <c r="J51" s="62">
        <f>SUM(J37:J50)</f>
        <v>1</v>
      </c>
      <c r="K51" s="57">
        <v>545668455.38999999</v>
      </c>
    </row>
  </sheetData>
  <mergeCells count="3">
    <mergeCell ref="B2:C2"/>
    <mergeCell ref="B19:C19"/>
    <mergeCell ref="B36:C3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selection activeCell="G8" sqref="G8"/>
    </sheetView>
  </sheetViews>
  <sheetFormatPr baseColWidth="10" defaultRowHeight="15" x14ac:dyDescent="0.25"/>
  <cols>
    <col min="1" max="1" width="10.28515625" style="11" bestFit="1" customWidth="1"/>
    <col min="2" max="16" width="15.28515625" style="11" customWidth="1"/>
    <col min="17" max="16384" width="11.42578125" style="11"/>
  </cols>
  <sheetData>
    <row r="1" spans="1:16" ht="15.75" x14ac:dyDescent="0.25">
      <c r="A1" s="147" t="s">
        <v>63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84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3" t="s">
        <v>13</v>
      </c>
      <c r="B5" s="147" t="s">
        <v>14</v>
      </c>
      <c r="C5" s="147"/>
      <c r="D5" s="10"/>
      <c r="E5" s="10"/>
      <c r="F5" s="10"/>
      <c r="G5" s="10"/>
      <c r="H5" s="10"/>
      <c r="I5" s="143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11</v>
      </c>
      <c r="B18" s="119">
        <v>0</v>
      </c>
      <c r="C18" s="119">
        <f>+P18*23%</f>
        <v>200460.2996</v>
      </c>
      <c r="D18" s="119">
        <f>+P18*22%</f>
        <v>191744.63440000001</v>
      </c>
      <c r="E18" s="119">
        <f>+P18*14.5%</f>
        <v>126377.14539999999</v>
      </c>
      <c r="F18" s="119">
        <v>0</v>
      </c>
      <c r="G18" s="119">
        <f>+P18*3%</f>
        <v>26146.995599999998</v>
      </c>
      <c r="H18" s="119">
        <f>+P18*5%</f>
        <v>43578.326000000001</v>
      </c>
      <c r="I18" s="119">
        <f>+P18*8%</f>
        <v>69725.321599999996</v>
      </c>
      <c r="J18" s="119">
        <f>+P18*7%</f>
        <v>61009.656400000007</v>
      </c>
      <c r="K18" s="119">
        <f>+P18*1.5%</f>
        <v>13073.497799999999</v>
      </c>
      <c r="L18" s="119">
        <f>+P18*2%</f>
        <v>17431.330399999999</v>
      </c>
      <c r="M18" s="119">
        <f>+P18*10%</f>
        <v>87156.652000000002</v>
      </c>
      <c r="N18" s="119">
        <f>+P18*3.5%</f>
        <v>30504.828200000004</v>
      </c>
      <c r="O18" s="119">
        <f>+P18*0.5%</f>
        <v>4357.8325999999997</v>
      </c>
      <c r="P18" s="120">
        <v>871566.52</v>
      </c>
      <c r="Q18" s="11" t="str">
        <f>+A18</f>
        <v>OCTUBRE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200460.2996</v>
      </c>
      <c r="D19" s="121">
        <f t="shared" si="0"/>
        <v>191744.63440000001</v>
      </c>
      <c r="E19" s="121">
        <f t="shared" si="0"/>
        <v>126377.14539999999</v>
      </c>
      <c r="F19" s="121">
        <f t="shared" si="0"/>
        <v>0</v>
      </c>
      <c r="G19" s="121">
        <f t="shared" si="0"/>
        <v>26146.995599999998</v>
      </c>
      <c r="H19" s="121">
        <f t="shared" si="0"/>
        <v>43578.326000000001</v>
      </c>
      <c r="I19" s="121">
        <f t="shared" si="0"/>
        <v>69725.321599999996</v>
      </c>
      <c r="J19" s="121">
        <f t="shared" si="0"/>
        <v>61009.656400000007</v>
      </c>
      <c r="K19" s="121">
        <f t="shared" si="0"/>
        <v>13073.497799999999</v>
      </c>
      <c r="L19" s="121">
        <f t="shared" si="0"/>
        <v>17431.330399999999</v>
      </c>
      <c r="M19" s="121">
        <f t="shared" si="0"/>
        <v>87156.652000000002</v>
      </c>
      <c r="N19" s="121">
        <f t="shared" si="0"/>
        <v>30504.828200000004</v>
      </c>
      <c r="O19" s="121">
        <f t="shared" si="0"/>
        <v>4357.8325999999997</v>
      </c>
      <c r="P19" s="120">
        <f>SUM(B19:O19)</f>
        <v>871566.5199999999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144">
        <v>52.53</v>
      </c>
      <c r="C22" s="144">
        <f>C19*C16</f>
        <v>4009.2059920000002</v>
      </c>
      <c r="D22" s="144">
        <f>D19*D16</f>
        <v>1917.4463440000002</v>
      </c>
      <c r="E22" s="144">
        <f t="shared" ref="E22:O22" si="1">+E19*E16</f>
        <v>1453.3371720999999</v>
      </c>
      <c r="F22" s="144">
        <v>52.53</v>
      </c>
      <c r="G22" s="144">
        <f t="shared" si="1"/>
        <v>1568.8197359999999</v>
      </c>
      <c r="H22" s="144">
        <f t="shared" si="1"/>
        <v>980.51233500000001</v>
      </c>
      <c r="I22" s="144">
        <f t="shared" si="1"/>
        <v>801.84119839999994</v>
      </c>
      <c r="J22" s="144">
        <f t="shared" si="1"/>
        <v>915.14484600000003</v>
      </c>
      <c r="K22" s="144">
        <f t="shared" si="1"/>
        <v>294.15370049999996</v>
      </c>
      <c r="L22" s="144">
        <f t="shared" si="1"/>
        <v>392.20493399999998</v>
      </c>
      <c r="M22" s="144">
        <f t="shared" si="1"/>
        <v>871.56652000000008</v>
      </c>
      <c r="N22" s="144">
        <f t="shared" si="1"/>
        <v>533.83449350000012</v>
      </c>
      <c r="O22" s="144">
        <f t="shared" si="1"/>
        <v>185.2078855</v>
      </c>
      <c r="P22" s="144">
        <f>SUM(B22:O22)</f>
        <v>14028.335156999998</v>
      </c>
    </row>
    <row r="23" spans="1:17" hidden="1" x14ac:dyDescent="0.25">
      <c r="F23" s="117"/>
    </row>
    <row r="24" spans="1:17" hidden="1" x14ac:dyDescent="0.25">
      <c r="B24" s="68">
        <f>+B22</f>
        <v>52.53</v>
      </c>
      <c r="C24" s="68">
        <f t="shared" ref="C24:O24" si="2">C22</f>
        <v>4009.2059920000002</v>
      </c>
      <c r="D24" s="68">
        <f t="shared" si="2"/>
        <v>1917.4463440000002</v>
      </c>
      <c r="E24" s="68">
        <f t="shared" si="2"/>
        <v>1453.3371720999999</v>
      </c>
      <c r="F24" s="68">
        <f>+F22</f>
        <v>52.53</v>
      </c>
      <c r="G24" s="68">
        <f t="shared" si="2"/>
        <v>1568.8197359999999</v>
      </c>
      <c r="H24" s="68">
        <f t="shared" si="2"/>
        <v>980.51233500000001</v>
      </c>
      <c r="I24" s="68">
        <f t="shared" si="2"/>
        <v>801.84119839999994</v>
      </c>
      <c r="J24" s="68">
        <f t="shared" si="2"/>
        <v>915.14484600000003</v>
      </c>
      <c r="K24" s="68">
        <f>K22</f>
        <v>294.15370049999996</v>
      </c>
      <c r="L24" s="68">
        <f t="shared" si="2"/>
        <v>392.20493399999998</v>
      </c>
      <c r="M24" s="68">
        <f t="shared" si="2"/>
        <v>871.56652000000008</v>
      </c>
      <c r="N24" s="68">
        <f t="shared" si="2"/>
        <v>533.83449350000012</v>
      </c>
      <c r="O24" s="68">
        <f t="shared" si="2"/>
        <v>185.2078855</v>
      </c>
      <c r="P24" s="68">
        <f>SUM(B24:O24)</f>
        <v>14028.335156999998</v>
      </c>
    </row>
    <row r="25" spans="1:17" x14ac:dyDescent="0.25">
      <c r="F25" s="117"/>
      <c r="P25" s="144"/>
    </row>
    <row r="26" spans="1:17" x14ac:dyDescent="0.25">
      <c r="F26" s="117"/>
      <c r="O26" s="125" t="s">
        <v>59</v>
      </c>
      <c r="P26" s="145">
        <f>P24*5%</f>
        <v>701.41675784999995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  <c r="P27" s="117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144">
        <f>P24-P26</f>
        <v>13326.918399149998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2" workbookViewId="0">
      <selection activeCell="P15" sqref="P15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8" t="s">
        <v>48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102" t="s">
        <v>13</v>
      </c>
      <c r="B5" s="148" t="s">
        <v>14</v>
      </c>
      <c r="C5" s="148"/>
      <c r="D5" s="25"/>
      <c r="E5" s="25"/>
      <c r="F5" s="25"/>
      <c r="G5" s="25"/>
      <c r="H5" s="25"/>
      <c r="I5" s="102" t="s">
        <v>13</v>
      </c>
      <c r="J5" s="148" t="s">
        <v>14</v>
      </c>
      <c r="K5" s="148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7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2141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>P17*14%</f>
        <v>0</v>
      </c>
      <c r="F17" s="5">
        <f>P17*10%</f>
        <v>0</v>
      </c>
      <c r="G17" s="5">
        <f t="shared" ref="G17:G26" si="3">P17*4%</f>
        <v>0</v>
      </c>
      <c r="H17" s="5">
        <f t="shared" ref="H17:H26" si="4">P17*7%</f>
        <v>0</v>
      </c>
      <c r="I17" s="5">
        <f>P17*11%</f>
        <v>0</v>
      </c>
      <c r="J17" s="5">
        <f>P17*7%</f>
        <v>0</v>
      </c>
      <c r="K17" s="5">
        <f t="shared" ref="K17:K26" si="5">P17*4%</f>
        <v>0</v>
      </c>
      <c r="L17" s="5">
        <f>P17*1%</f>
        <v>0</v>
      </c>
      <c r="M17" s="5">
        <f>P17*9%</f>
        <v>0</v>
      </c>
      <c r="N17" s="5">
        <f t="shared" ref="N17:N26" si="6">P17*2%</f>
        <v>0</v>
      </c>
      <c r="O17" s="5">
        <f t="shared" ref="O17:O26" si="7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>P18*14%</f>
        <v>0</v>
      </c>
      <c r="F18" s="5">
        <f>P18*10%</f>
        <v>0</v>
      </c>
      <c r="G18" s="5">
        <f t="shared" si="3"/>
        <v>0</v>
      </c>
      <c r="H18" s="5">
        <f t="shared" si="4"/>
        <v>0</v>
      </c>
      <c r="I18" s="5">
        <f>P18*11%</f>
        <v>0</v>
      </c>
      <c r="J18" s="5">
        <f>P18*7%</f>
        <v>0</v>
      </c>
      <c r="K18" s="5">
        <f t="shared" si="5"/>
        <v>0</v>
      </c>
      <c r="L18" s="5">
        <f>P18*1%</f>
        <v>0</v>
      </c>
      <c r="M18" s="5">
        <f>P18*9%</f>
        <v>0</v>
      </c>
      <c r="N18" s="5">
        <f t="shared" si="6"/>
        <v>0</v>
      </c>
      <c r="O18" s="5">
        <f t="shared" si="7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>P19*14%</f>
        <v>0</v>
      </c>
      <c r="F19" s="5">
        <f>P19*10%</f>
        <v>0</v>
      </c>
      <c r="G19" s="5">
        <f t="shared" si="3"/>
        <v>0</v>
      </c>
      <c r="H19" s="5">
        <f t="shared" si="4"/>
        <v>0</v>
      </c>
      <c r="I19" s="5">
        <f>P19*11%</f>
        <v>0</v>
      </c>
      <c r="J19" s="5">
        <f>P19*7%</f>
        <v>0</v>
      </c>
      <c r="K19" s="5">
        <f t="shared" si="5"/>
        <v>0</v>
      </c>
      <c r="L19" s="5">
        <f>P19*1%</f>
        <v>0</v>
      </c>
      <c r="M19" s="5">
        <f>P19*9%</f>
        <v>0</v>
      </c>
      <c r="N19" s="5">
        <f t="shared" si="6"/>
        <v>0</v>
      </c>
      <c r="O19" s="5">
        <f t="shared" si="7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>P20*14%</f>
        <v>0</v>
      </c>
      <c r="F20" s="5">
        <f>P20*10%</f>
        <v>0</v>
      </c>
      <c r="G20" s="5">
        <f t="shared" si="3"/>
        <v>0</v>
      </c>
      <c r="H20" s="5">
        <f t="shared" si="4"/>
        <v>0</v>
      </c>
      <c r="I20" s="5">
        <f>P20*11%</f>
        <v>0</v>
      </c>
      <c r="J20" s="5">
        <f>P20*7%</f>
        <v>0</v>
      </c>
      <c r="K20" s="5">
        <f t="shared" si="5"/>
        <v>0</v>
      </c>
      <c r="L20" s="5">
        <f>P20*1%</f>
        <v>0</v>
      </c>
      <c r="M20" s="5">
        <f>P20*9%</f>
        <v>0</v>
      </c>
      <c r="N20" s="5">
        <f t="shared" si="6"/>
        <v>0</v>
      </c>
      <c r="O20" s="5">
        <f t="shared" si="7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ref="E21:E26" si="8">P21*16%</f>
        <v>0</v>
      </c>
      <c r="F21" s="5">
        <f t="shared" ref="F21:F26" si="9">P21*0%</f>
        <v>0</v>
      </c>
      <c r="G21" s="5">
        <f t="shared" si="3"/>
        <v>0</v>
      </c>
      <c r="H21" s="5">
        <f t="shared" si="4"/>
        <v>0</v>
      </c>
      <c r="I21" s="5">
        <f t="shared" ref="I21:I26" si="10">P21*13%</f>
        <v>0</v>
      </c>
      <c r="J21" s="5">
        <f t="shared" ref="J21:J26" si="11">P21*12%</f>
        <v>0</v>
      </c>
      <c r="K21" s="5">
        <f t="shared" si="5"/>
        <v>0</v>
      </c>
      <c r="L21" s="5">
        <f t="shared" ref="L21:L26" si="12">P21*0%</f>
        <v>0</v>
      </c>
      <c r="M21" s="5">
        <f t="shared" ref="M21:M26" si="13">P21*11%</f>
        <v>0</v>
      </c>
      <c r="N21" s="5">
        <f t="shared" si="6"/>
        <v>0</v>
      </c>
      <c r="O21" s="5">
        <f t="shared" si="7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8"/>
        <v>0</v>
      </c>
      <c r="F22" s="5">
        <f t="shared" si="9"/>
        <v>0</v>
      </c>
      <c r="G22" s="5">
        <f t="shared" si="3"/>
        <v>0</v>
      </c>
      <c r="H22" s="5">
        <f t="shared" si="4"/>
        <v>0</v>
      </c>
      <c r="I22" s="5">
        <f t="shared" si="10"/>
        <v>0</v>
      </c>
      <c r="J22" s="5">
        <f t="shared" si="11"/>
        <v>0</v>
      </c>
      <c r="K22" s="5">
        <f t="shared" si="5"/>
        <v>0</v>
      </c>
      <c r="L22" s="5">
        <f t="shared" si="12"/>
        <v>0</v>
      </c>
      <c r="M22" s="5">
        <f t="shared" si="13"/>
        <v>0</v>
      </c>
      <c r="N22" s="5">
        <f t="shared" si="6"/>
        <v>0</v>
      </c>
      <c r="O22" s="5">
        <f t="shared" si="7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8"/>
        <v>0</v>
      </c>
      <c r="F23" s="5">
        <f t="shared" si="9"/>
        <v>0</v>
      </c>
      <c r="G23" s="5">
        <f t="shared" si="3"/>
        <v>0</v>
      </c>
      <c r="H23" s="5">
        <f t="shared" si="4"/>
        <v>0</v>
      </c>
      <c r="I23" s="5">
        <f t="shared" si="10"/>
        <v>0</v>
      </c>
      <c r="J23" s="5">
        <f t="shared" si="11"/>
        <v>0</v>
      </c>
      <c r="K23" s="5">
        <f t="shared" si="5"/>
        <v>0</v>
      </c>
      <c r="L23" s="5">
        <f t="shared" si="12"/>
        <v>0</v>
      </c>
      <c r="M23" s="5">
        <f t="shared" si="13"/>
        <v>0</v>
      </c>
      <c r="N23" s="5">
        <f t="shared" si="6"/>
        <v>0</v>
      </c>
      <c r="O23" s="5">
        <f t="shared" si="7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698586.36989999993</v>
      </c>
      <c r="C24" s="5">
        <f t="shared" si="1"/>
        <v>2328621.233</v>
      </c>
      <c r="D24" s="5">
        <f t="shared" si="2"/>
        <v>3958656.0961000002</v>
      </c>
      <c r="E24" s="5">
        <f t="shared" si="8"/>
        <v>3725793.9727999996</v>
      </c>
      <c r="F24" s="5">
        <f t="shared" si="9"/>
        <v>0</v>
      </c>
      <c r="G24" s="5">
        <f t="shared" si="3"/>
        <v>931448.49319999991</v>
      </c>
      <c r="H24" s="5">
        <f t="shared" si="4"/>
        <v>1630034.8631</v>
      </c>
      <c r="I24" s="5">
        <f t="shared" si="10"/>
        <v>3027207.6028999998</v>
      </c>
      <c r="J24" s="5">
        <f t="shared" si="11"/>
        <v>2794345.4795999997</v>
      </c>
      <c r="K24" s="5">
        <f t="shared" si="5"/>
        <v>931448.49319999991</v>
      </c>
      <c r="L24" s="5">
        <f t="shared" si="12"/>
        <v>0</v>
      </c>
      <c r="M24" s="5">
        <f t="shared" si="13"/>
        <v>2561483.3562999996</v>
      </c>
      <c r="N24" s="5">
        <f t="shared" si="6"/>
        <v>465724.24659999995</v>
      </c>
      <c r="O24" s="5">
        <f t="shared" si="7"/>
        <v>232862.12329999998</v>
      </c>
      <c r="P24" s="17">
        <v>23286212.329999998</v>
      </c>
      <c r="Q24" t="s">
        <v>11</v>
      </c>
    </row>
    <row r="25" spans="1:17" x14ac:dyDescent="0.25">
      <c r="A25" s="14" t="s">
        <v>9</v>
      </c>
      <c r="B25" s="5">
        <f t="shared" si="0"/>
        <v>983121.59340000001</v>
      </c>
      <c r="C25" s="5">
        <f t="shared" si="1"/>
        <v>3277071.9780000001</v>
      </c>
      <c r="D25" s="5">
        <f t="shared" si="2"/>
        <v>5571022.3626000006</v>
      </c>
      <c r="E25" s="5">
        <f t="shared" si="8"/>
        <v>5243315.1648000004</v>
      </c>
      <c r="F25" s="5">
        <f t="shared" si="9"/>
        <v>0</v>
      </c>
      <c r="G25" s="5">
        <f t="shared" si="3"/>
        <v>1310828.7912000001</v>
      </c>
      <c r="H25" s="5">
        <f t="shared" si="4"/>
        <v>2293950.3846000005</v>
      </c>
      <c r="I25" s="5">
        <f t="shared" si="10"/>
        <v>4260193.5714000007</v>
      </c>
      <c r="J25" s="5">
        <f t="shared" si="11"/>
        <v>3932486.3736</v>
      </c>
      <c r="K25" s="5">
        <f t="shared" si="5"/>
        <v>1310828.7912000001</v>
      </c>
      <c r="L25" s="5">
        <f t="shared" si="12"/>
        <v>0</v>
      </c>
      <c r="M25" s="5">
        <f t="shared" si="13"/>
        <v>3604779.1758000003</v>
      </c>
      <c r="N25" s="5">
        <f t="shared" si="6"/>
        <v>655414.39560000005</v>
      </c>
      <c r="O25" s="5">
        <f t="shared" si="7"/>
        <v>327707.19780000002</v>
      </c>
      <c r="P25" s="17">
        <v>32770719.780000001</v>
      </c>
      <c r="Q25" t="s">
        <v>9</v>
      </c>
    </row>
    <row r="26" spans="1:17" x14ac:dyDescent="0.25">
      <c r="A26" s="14" t="s">
        <v>10</v>
      </c>
      <c r="B26" s="5">
        <f t="shared" si="0"/>
        <v>2419249.932</v>
      </c>
      <c r="C26" s="5">
        <f t="shared" si="1"/>
        <v>8064166.4400000013</v>
      </c>
      <c r="D26" s="5">
        <f t="shared" si="2"/>
        <v>13709082.948000003</v>
      </c>
      <c r="E26" s="5">
        <f t="shared" si="8"/>
        <v>12902666.304000001</v>
      </c>
      <c r="F26" s="5">
        <f t="shared" si="9"/>
        <v>0</v>
      </c>
      <c r="G26" s="5">
        <f t="shared" si="3"/>
        <v>3225666.5760000004</v>
      </c>
      <c r="H26" s="5">
        <f t="shared" si="4"/>
        <v>5644916.5080000013</v>
      </c>
      <c r="I26" s="5">
        <f t="shared" si="10"/>
        <v>10483416.372000001</v>
      </c>
      <c r="J26" s="5">
        <f t="shared" si="11"/>
        <v>9676999.7280000001</v>
      </c>
      <c r="K26" s="5">
        <f t="shared" si="5"/>
        <v>3225666.5760000004</v>
      </c>
      <c r="L26" s="5">
        <f t="shared" si="12"/>
        <v>0</v>
      </c>
      <c r="M26" s="5">
        <f t="shared" si="13"/>
        <v>8870583.0840000007</v>
      </c>
      <c r="N26" s="5">
        <f t="shared" si="6"/>
        <v>1612833.2880000002</v>
      </c>
      <c r="O26" s="5">
        <f t="shared" si="7"/>
        <v>806416.64400000009</v>
      </c>
      <c r="P26" s="17">
        <v>80641664.400000006</v>
      </c>
      <c r="Q26" t="s">
        <v>10</v>
      </c>
    </row>
    <row r="27" spans="1:17" x14ac:dyDescent="0.25">
      <c r="A27" s="15" t="s">
        <v>17</v>
      </c>
      <c r="B27" s="16">
        <f>SUM(B15:B26)</f>
        <v>4100957.8953</v>
      </c>
      <c r="C27" s="16">
        <f>SUM(C15:C26)</f>
        <v>13669859.651000001</v>
      </c>
      <c r="D27" s="16">
        <f>SUM(D15:D26)</f>
        <v>23238761.406700004</v>
      </c>
      <c r="E27" s="16">
        <f>SUM(E15:E26)</f>
        <v>21871775.441600002</v>
      </c>
      <c r="F27" s="16">
        <f>SUM(F15:F26)</f>
        <v>0</v>
      </c>
      <c r="G27" s="16">
        <f t="shared" ref="G27:O27" si="14">SUM(G15:G26)</f>
        <v>5467943.8604000006</v>
      </c>
      <c r="H27" s="16">
        <f t="shared" si="14"/>
        <v>9568901.7557000015</v>
      </c>
      <c r="I27" s="16">
        <f t="shared" si="14"/>
        <v>17770817.546300001</v>
      </c>
      <c r="J27" s="16">
        <f t="shared" si="14"/>
        <v>16403831.5812</v>
      </c>
      <c r="K27" s="16">
        <f t="shared" si="14"/>
        <v>5467943.8604000006</v>
      </c>
      <c r="L27" s="16">
        <f t="shared" si="14"/>
        <v>0</v>
      </c>
      <c r="M27" s="16">
        <f t="shared" si="14"/>
        <v>15036845.6161</v>
      </c>
      <c r="N27" s="16">
        <f t="shared" si="14"/>
        <v>2733971.9302000003</v>
      </c>
      <c r="O27" s="16">
        <f t="shared" si="14"/>
        <v>1366985.9651000001</v>
      </c>
      <c r="P27" s="17">
        <f>SUM(B27:O27)</f>
        <v>136698596.51000002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4100957.8953</v>
      </c>
      <c r="F35" s="10" t="s">
        <v>18</v>
      </c>
      <c r="G35" s="10">
        <v>1.65</v>
      </c>
      <c r="H35" s="19">
        <f>E35*G35</f>
        <v>6766580.527245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13669859.651000001</v>
      </c>
      <c r="F36" s="25" t="s">
        <v>18</v>
      </c>
      <c r="G36" s="25">
        <v>1.65</v>
      </c>
      <c r="H36" s="20">
        <f>E36*G36</f>
        <v>22555268.424150001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23238761.406700004</v>
      </c>
      <c r="F37" s="25" t="s">
        <v>18</v>
      </c>
      <c r="G37" s="25">
        <v>1.65</v>
      </c>
      <c r="H37" s="20">
        <f>E37*G37</f>
        <v>38343956.321055003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21871775.441600002</v>
      </c>
      <c r="F38" s="25" t="s">
        <v>18</v>
      </c>
      <c r="G38" s="25">
        <v>1.65</v>
      </c>
      <c r="H38" s="20">
        <f>E38*G38</f>
        <v>36088429.478640005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0</v>
      </c>
      <c r="F39" s="25" t="s">
        <v>18</v>
      </c>
      <c r="G39" s="25">
        <v>1.65</v>
      </c>
      <c r="H39" s="20">
        <f>E39*G39</f>
        <v>0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5467943.8604000006</v>
      </c>
      <c r="F40" s="25" t="s">
        <v>18</v>
      </c>
      <c r="G40" s="25">
        <v>1.65</v>
      </c>
      <c r="H40" s="20">
        <f t="shared" ref="H40:H48" si="15">E40*G40</f>
        <v>9022107.3696600012</v>
      </c>
    </row>
    <row r="41" spans="1:14" x14ac:dyDescent="0.25">
      <c r="C41" s="25" t="s">
        <v>41</v>
      </c>
      <c r="D41" s="25">
        <v>2207</v>
      </c>
      <c r="E41" s="20">
        <f>H27</f>
        <v>9568901.7557000015</v>
      </c>
      <c r="F41" s="25" t="s">
        <v>18</v>
      </c>
      <c r="G41" s="25">
        <v>1.65</v>
      </c>
      <c r="H41" s="20">
        <f t="shared" si="15"/>
        <v>15788687.896905001</v>
      </c>
    </row>
    <row r="42" spans="1:14" x14ac:dyDescent="0.25">
      <c r="C42" s="25" t="s">
        <v>40</v>
      </c>
      <c r="D42" s="10">
        <v>2208</v>
      </c>
      <c r="E42" s="20">
        <f>I27</f>
        <v>17770817.546300001</v>
      </c>
      <c r="F42" s="25" t="s">
        <v>18</v>
      </c>
      <c r="G42" s="25">
        <v>1.65</v>
      </c>
      <c r="H42" s="20">
        <f t="shared" si="15"/>
        <v>29321848.951395001</v>
      </c>
    </row>
    <row r="43" spans="1:14" x14ac:dyDescent="0.25">
      <c r="D43" s="25">
        <v>2210</v>
      </c>
      <c r="E43" s="20">
        <f>J27</f>
        <v>16403831.5812</v>
      </c>
      <c r="F43" s="25" t="s">
        <v>18</v>
      </c>
      <c r="G43" s="25">
        <v>1.65</v>
      </c>
      <c r="H43" s="20">
        <f t="shared" si="15"/>
        <v>27066322.10898</v>
      </c>
    </row>
    <row r="44" spans="1:14" x14ac:dyDescent="0.25">
      <c r="D44" s="25">
        <v>2212</v>
      </c>
      <c r="E44" s="20">
        <f>K27</f>
        <v>5467943.8604000006</v>
      </c>
      <c r="F44" s="25" t="s">
        <v>18</v>
      </c>
      <c r="G44" s="25">
        <v>1.65</v>
      </c>
      <c r="H44" s="20">
        <f t="shared" si="15"/>
        <v>9022107.3696600012</v>
      </c>
    </row>
    <row r="45" spans="1:14" x14ac:dyDescent="0.25">
      <c r="D45" s="25">
        <v>2216</v>
      </c>
      <c r="E45" s="20">
        <f>L27</f>
        <v>0</v>
      </c>
      <c r="F45" s="25" t="s">
        <v>18</v>
      </c>
      <c r="G45" s="25">
        <v>1.65</v>
      </c>
      <c r="H45" s="20">
        <f t="shared" si="15"/>
        <v>0</v>
      </c>
    </row>
    <row r="46" spans="1:14" x14ac:dyDescent="0.25">
      <c r="D46" s="25">
        <v>2247</v>
      </c>
      <c r="E46" s="20">
        <f>M27</f>
        <v>15036845.6161</v>
      </c>
      <c r="F46" s="25" t="s">
        <v>18</v>
      </c>
      <c r="G46" s="25">
        <v>1.65</v>
      </c>
      <c r="H46" s="20">
        <f t="shared" si="15"/>
        <v>24810795.266564999</v>
      </c>
    </row>
    <row r="47" spans="1:14" x14ac:dyDescent="0.25">
      <c r="D47" s="25">
        <v>2261</v>
      </c>
      <c r="E47" s="20">
        <f>N27</f>
        <v>2733971.9302000003</v>
      </c>
      <c r="F47" s="25" t="s">
        <v>18</v>
      </c>
      <c r="G47" s="25">
        <v>1.65</v>
      </c>
      <c r="H47" s="20">
        <f t="shared" si="15"/>
        <v>4511053.6848300006</v>
      </c>
    </row>
    <row r="48" spans="1:14" x14ac:dyDescent="0.25">
      <c r="D48" s="25">
        <v>2304</v>
      </c>
      <c r="E48" s="20">
        <f>O27</f>
        <v>1366985.9651000001</v>
      </c>
      <c r="F48" s="25" t="s">
        <v>18</v>
      </c>
      <c r="G48" s="25">
        <v>1.65</v>
      </c>
      <c r="H48" s="72">
        <f t="shared" si="15"/>
        <v>2255526.8424150003</v>
      </c>
    </row>
    <row r="49" spans="7:8" x14ac:dyDescent="0.25">
      <c r="G49" s="70" t="s">
        <v>34</v>
      </c>
      <c r="H49" s="71">
        <f>SUM(H35:H48)</f>
        <v>225552684.24150002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145" workbookViewId="0">
      <selection activeCell="E206" sqref="E206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103" t="s">
        <v>13</v>
      </c>
      <c r="B2" s="150" t="s">
        <v>14</v>
      </c>
      <c r="C2" s="150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105" t="s">
        <v>13</v>
      </c>
      <c r="B19" s="151" t="s">
        <v>14</v>
      </c>
      <c r="C19" s="151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103" t="s">
        <v>13</v>
      </c>
      <c r="B36" s="150" t="s">
        <v>14</v>
      </c>
      <c r="C36" s="150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104" t="s">
        <v>13</v>
      </c>
      <c r="B53" s="149" t="s">
        <v>14</v>
      </c>
      <c r="C53" s="149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103" t="s">
        <v>13</v>
      </c>
      <c r="B70" s="150" t="s">
        <v>14</v>
      </c>
      <c r="C70" s="150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104" t="s">
        <v>13</v>
      </c>
      <c r="B87" s="149" t="s">
        <v>14</v>
      </c>
      <c r="C87" s="149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103" t="s">
        <v>13</v>
      </c>
      <c r="B104" s="150" t="s">
        <v>14</v>
      </c>
      <c r="C104" s="150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94999.4139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316664.71299999999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538330.01210000005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0.16</v>
      </c>
      <c r="K108" s="33">
        <f>K119*J108</f>
        <v>506663.54080000002</v>
      </c>
    </row>
    <row r="109" spans="1:11" s="11" customFormat="1" x14ac:dyDescent="0.25">
      <c r="A109" s="10">
        <v>2205</v>
      </c>
      <c r="B109" s="100" t="s">
        <v>23</v>
      </c>
      <c r="C109" s="100"/>
      <c r="D109" s="100"/>
      <c r="E109" s="100"/>
      <c r="F109" s="100"/>
      <c r="G109" s="100"/>
      <c r="H109" s="100"/>
      <c r="I109" s="101">
        <v>0.75</v>
      </c>
      <c r="J109" s="67">
        <v>0</v>
      </c>
      <c r="K109" s="68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126665.8852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221665.2991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0.13</v>
      </c>
      <c r="K112" s="33">
        <f>K119*J112</f>
        <v>411664.12689999997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0.12</v>
      </c>
      <c r="K113" s="33">
        <f>K119*J113</f>
        <v>379997.6556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126665.8852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0.11</v>
      </c>
      <c r="K116" s="33">
        <f>K119*J116</f>
        <v>348331.18429999996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63332.942600000002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31666.471300000001</v>
      </c>
    </row>
    <row r="119" spans="1:11" s="32" customFormat="1" x14ac:dyDescent="0.25">
      <c r="J119" s="38">
        <f>SUM(J105:J118)</f>
        <v>1</v>
      </c>
      <c r="K119" s="33">
        <f>'RELACION DE ING TRIM 03-2018'!P21</f>
        <v>3166647.13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104" t="s">
        <v>13</v>
      </c>
      <c r="B121" s="149" t="s">
        <v>14</v>
      </c>
      <c r="C121" s="149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188917.9515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629726.505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1070535.0585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0.16</v>
      </c>
      <c r="K125" s="57">
        <f>K136*J125</f>
        <v>1007562.4079999999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251890.60199999998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440808.55350000004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0.13</v>
      </c>
      <c r="K129" s="57">
        <f>K136*J129</f>
        <v>818644.45649999997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0.12</v>
      </c>
      <c r="K130" s="57">
        <f>K136*J130</f>
        <v>755671.80599999998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251890.60199999998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0.11</v>
      </c>
      <c r="K133" s="57">
        <f>K136*J133</f>
        <v>692699.15549999999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125945.30099999999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62972.650499999996</v>
      </c>
    </row>
    <row r="136" spans="1:11" s="56" customFormat="1" x14ac:dyDescent="0.25">
      <c r="J136" s="62">
        <f>SUM(J122:J135)</f>
        <v>1</v>
      </c>
      <c r="K136" s="57">
        <f>'RELACION DE ING TRIM 03-2018'!P22</f>
        <v>6297265.0499999998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103" t="s">
        <v>13</v>
      </c>
      <c r="B138" s="150" t="s">
        <v>14</v>
      </c>
      <c r="C138" s="150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379896.12930000003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1266320.4310000001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2152744.7327000001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0.16</v>
      </c>
      <c r="K142" s="33">
        <f>K153*J142</f>
        <v>2026112.6896000002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506528.17240000004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886424.30170000007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0.13</v>
      </c>
      <c r="K146" s="33">
        <f>K153*J146</f>
        <v>1646216.5603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0.12</v>
      </c>
      <c r="K147" s="33">
        <f>K153*J147</f>
        <v>1519584.5172000001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506528.17240000004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0.11</v>
      </c>
      <c r="K150" s="33">
        <f>K153*J150</f>
        <v>1392952.4741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253264.08620000002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126632.04310000001</v>
      </c>
    </row>
    <row r="153" spans="1:11" s="32" customFormat="1" x14ac:dyDescent="0.25">
      <c r="J153" s="38">
        <f>SUM(J139:J152)</f>
        <v>1</v>
      </c>
      <c r="K153" s="33">
        <f>'RELACION DE ING TRIM 03-2018'!P23</f>
        <v>12663204.310000001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104" t="s">
        <v>13</v>
      </c>
      <c r="B155" s="149" t="s">
        <v>14</v>
      </c>
      <c r="C155" s="149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698586.36989999993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2328621.233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3958656.0961000002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3260069.7261999999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2328621.233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931448.49319999991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1630034.8631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2561483.3562999996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1630034.8631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931448.49319999991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232862.12329999998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2095759.1096999997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465724.24659999995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232862.12329999998</v>
      </c>
    </row>
    <row r="170" spans="1:11" s="56" customFormat="1" x14ac:dyDescent="0.25">
      <c r="J170" s="62">
        <f>SUM(J156:J169)</f>
        <v>1</v>
      </c>
      <c r="K170" s="57">
        <v>23286212.329999998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103" t="s">
        <v>13</v>
      </c>
      <c r="B172" s="150" t="s">
        <v>14</v>
      </c>
      <c r="C172" s="150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1011236.9181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3370789.7270000004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5730342.5359000014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4719105.6178000011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3370789.7270000004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1348315.8908000002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2359552.8089000005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3707868.6997000002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2359552.8089000005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1348315.8908000002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337078.97270000004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3033710.7543000001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674157.94540000008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337078.97270000004</v>
      </c>
    </row>
    <row r="187" spans="1:11" s="32" customFormat="1" x14ac:dyDescent="0.25">
      <c r="J187" s="38">
        <f>SUM(J173:J186)</f>
        <v>1</v>
      </c>
      <c r="K187" s="33">
        <v>33707897.270000003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104" t="s">
        <v>13</v>
      </c>
      <c r="B189" s="149" t="s">
        <v>14</v>
      </c>
      <c r="C189" s="149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3010600.6329000001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10035335.443000002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17060070.253100004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14049469.620200003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10035335.443000002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4014134.1772000003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7024734.8101000013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11038868.987300001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7024734.8101000013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4014134.1772000003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1003533.5443000001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9031801.8987000007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2007067.0886000001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1003533.5443000001</v>
      </c>
    </row>
    <row r="204" spans="1:11" s="56" customFormat="1" x14ac:dyDescent="0.25">
      <c r="J204" s="62">
        <f>SUM(J190:J203)</f>
        <v>1</v>
      </c>
      <c r="K204" s="57">
        <v>100353354.43000001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1" workbookViewId="0">
      <selection activeCell="P20" sqref="P20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8" t="s">
        <v>47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96" t="s">
        <v>13</v>
      </c>
      <c r="B5" s="148" t="s">
        <v>14</v>
      </c>
      <c r="C5" s="148"/>
      <c r="D5" s="25"/>
      <c r="E5" s="25"/>
      <c r="F5" s="25"/>
      <c r="G5" s="25"/>
      <c r="H5" s="25"/>
      <c r="I5" s="96" t="s">
        <v>13</v>
      </c>
      <c r="J5" s="148" t="s">
        <v>14</v>
      </c>
      <c r="K5" s="148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8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 t="shared" ref="E17:E26" si="3">P17*14%</f>
        <v>0</v>
      </c>
      <c r="F17" s="5">
        <f t="shared" ref="F17:F26" si="4">P17*10%</f>
        <v>0</v>
      </c>
      <c r="G17" s="5">
        <f t="shared" ref="G17:G26" si="5">P17*4%</f>
        <v>0</v>
      </c>
      <c r="H17" s="5">
        <f t="shared" ref="H17:H26" si="6">P17*7%</f>
        <v>0</v>
      </c>
      <c r="I17" s="5">
        <f t="shared" ref="I17:I26" si="7">P17*11%</f>
        <v>0</v>
      </c>
      <c r="J17" s="5">
        <f t="shared" ref="J17:J26" si="8">P17*7%</f>
        <v>0</v>
      </c>
      <c r="K17" s="5">
        <f t="shared" ref="K17:K26" si="9">P17*4%</f>
        <v>0</v>
      </c>
      <c r="L17" s="5">
        <f t="shared" ref="L17:L26" si="10">P17*1%</f>
        <v>0</v>
      </c>
      <c r="M17" s="5">
        <f t="shared" ref="M17:M26" si="11">P17*9%</f>
        <v>0</v>
      </c>
      <c r="N17" s="5">
        <f t="shared" ref="N17:N26" si="12">P17*2%</f>
        <v>0</v>
      </c>
      <c r="O17" s="5">
        <f t="shared" ref="O17:O26" si="13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 t="shared" si="3"/>
        <v>0</v>
      </c>
      <c r="F18" s="5">
        <f t="shared" si="4"/>
        <v>0</v>
      </c>
      <c r="G18" s="5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 t="shared" si="3"/>
        <v>0</v>
      </c>
      <c r="F19" s="5">
        <f t="shared" si="4"/>
        <v>0</v>
      </c>
      <c r="G19" s="5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 t="shared" si="3"/>
        <v>0</v>
      </c>
      <c r="F20" s="5">
        <f t="shared" si="4"/>
        <v>0</v>
      </c>
      <c r="G20" s="5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94999.4139</v>
      </c>
      <c r="C21" s="5">
        <f t="shared" si="1"/>
        <v>316664.71299999999</v>
      </c>
      <c r="D21" s="5">
        <f t="shared" si="2"/>
        <v>538330.01210000005</v>
      </c>
      <c r="E21" s="5">
        <f>P21*16%</f>
        <v>506663.54080000002</v>
      </c>
      <c r="F21" s="5">
        <f>P21*0%</f>
        <v>0</v>
      </c>
      <c r="G21" s="5">
        <f t="shared" si="5"/>
        <v>126665.8852</v>
      </c>
      <c r="H21" s="5">
        <f t="shared" si="6"/>
        <v>221665.2991</v>
      </c>
      <c r="I21" s="5">
        <f>P21*13%</f>
        <v>411664.12689999997</v>
      </c>
      <c r="J21" s="5">
        <f>P21*12%</f>
        <v>379997.6556</v>
      </c>
      <c r="K21" s="5">
        <f t="shared" si="9"/>
        <v>126665.8852</v>
      </c>
      <c r="L21" s="5">
        <f>P21*0%</f>
        <v>0</v>
      </c>
      <c r="M21" s="5">
        <f>P21*11%</f>
        <v>348331.18429999996</v>
      </c>
      <c r="N21" s="5">
        <f t="shared" si="12"/>
        <v>63332.942600000002</v>
      </c>
      <c r="O21" s="5">
        <f t="shared" si="13"/>
        <v>31666.471300000001</v>
      </c>
      <c r="P21" s="17">
        <v>3166647.13</v>
      </c>
      <c r="Q21" t="s">
        <v>6</v>
      </c>
    </row>
    <row r="22" spans="1:17" x14ac:dyDescent="0.25">
      <c r="A22" s="14" t="s">
        <v>7</v>
      </c>
      <c r="B22" s="5">
        <f t="shared" si="0"/>
        <v>188917.9515</v>
      </c>
      <c r="C22" s="5">
        <f t="shared" si="1"/>
        <v>629726.505</v>
      </c>
      <c r="D22" s="5">
        <f t="shared" si="2"/>
        <v>1070535.0585</v>
      </c>
      <c r="E22" s="5">
        <f>P22*16%</f>
        <v>1007562.4079999999</v>
      </c>
      <c r="F22" s="5">
        <f>P22*0%</f>
        <v>0</v>
      </c>
      <c r="G22" s="5">
        <f t="shared" si="5"/>
        <v>251890.60199999998</v>
      </c>
      <c r="H22" s="5">
        <f t="shared" si="6"/>
        <v>440808.55350000004</v>
      </c>
      <c r="I22" s="5">
        <f>P22*13%</f>
        <v>818644.45649999997</v>
      </c>
      <c r="J22" s="5">
        <f>P22*12%</f>
        <v>755671.80599999998</v>
      </c>
      <c r="K22" s="5">
        <f t="shared" si="9"/>
        <v>251890.60199999998</v>
      </c>
      <c r="L22" s="5">
        <f>P22*0%</f>
        <v>0</v>
      </c>
      <c r="M22" s="5">
        <f>P22*11%</f>
        <v>692699.15549999999</v>
      </c>
      <c r="N22" s="5">
        <f t="shared" si="12"/>
        <v>125945.30099999999</v>
      </c>
      <c r="O22" s="5">
        <f t="shared" si="13"/>
        <v>62972.650499999996</v>
      </c>
      <c r="P22" s="17">
        <v>6297265.0499999998</v>
      </c>
      <c r="Q22" t="s">
        <v>7</v>
      </c>
    </row>
    <row r="23" spans="1:17" x14ac:dyDescent="0.25">
      <c r="A23" s="14" t="s">
        <v>8</v>
      </c>
      <c r="B23" s="5">
        <f t="shared" si="0"/>
        <v>379896.12930000003</v>
      </c>
      <c r="C23" s="5">
        <f t="shared" si="1"/>
        <v>1266320.4310000001</v>
      </c>
      <c r="D23" s="5">
        <f t="shared" si="2"/>
        <v>2152744.7327000001</v>
      </c>
      <c r="E23" s="5">
        <f>P23*16%</f>
        <v>2026112.6896000002</v>
      </c>
      <c r="F23" s="5">
        <f>P23*0%</f>
        <v>0</v>
      </c>
      <c r="G23" s="5">
        <f t="shared" si="5"/>
        <v>506528.17240000004</v>
      </c>
      <c r="H23" s="5">
        <f t="shared" si="6"/>
        <v>886424.30170000007</v>
      </c>
      <c r="I23" s="5">
        <f>P23*13%</f>
        <v>1646216.5603</v>
      </c>
      <c r="J23" s="5">
        <f>P23*12%</f>
        <v>1519584.5172000001</v>
      </c>
      <c r="K23" s="5">
        <f t="shared" si="9"/>
        <v>506528.17240000004</v>
      </c>
      <c r="L23" s="5">
        <f>P23*0%</f>
        <v>0</v>
      </c>
      <c r="M23" s="5">
        <f>P23*11%</f>
        <v>1392952.4741</v>
      </c>
      <c r="N23" s="5">
        <f t="shared" si="12"/>
        <v>253264.08620000002</v>
      </c>
      <c r="O23" s="5">
        <f t="shared" si="13"/>
        <v>126632.04310000001</v>
      </c>
      <c r="P23" s="17">
        <f>3278400.02+3423954.83+2944988.14+3015861.32</f>
        <v>12663204.310000001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663813.49470000004</v>
      </c>
      <c r="C27" s="16">
        <f>SUM(C15:C26)</f>
        <v>2212711.6490000002</v>
      </c>
      <c r="D27" s="16">
        <f>SUM(D15:D26)</f>
        <v>3761609.8033000003</v>
      </c>
      <c r="E27" s="16">
        <f>SUM(E15:E26)</f>
        <v>3540338.6384000001</v>
      </c>
      <c r="F27" s="16">
        <f>SUM(F15:F26)</f>
        <v>0</v>
      </c>
      <c r="G27" s="16">
        <f t="shared" ref="G27:O27" si="14">SUM(G15:G26)</f>
        <v>885084.65960000001</v>
      </c>
      <c r="H27" s="16">
        <f t="shared" si="14"/>
        <v>1548898.1543000001</v>
      </c>
      <c r="I27" s="16">
        <f t="shared" si="14"/>
        <v>2876525.1436999999</v>
      </c>
      <c r="J27" s="16">
        <f t="shared" si="14"/>
        <v>2655253.9788000002</v>
      </c>
      <c r="K27" s="16">
        <f t="shared" si="14"/>
        <v>885084.65960000001</v>
      </c>
      <c r="L27" s="16">
        <f t="shared" si="14"/>
        <v>0</v>
      </c>
      <c r="M27" s="16">
        <f t="shared" si="14"/>
        <v>2433982.8139</v>
      </c>
      <c r="N27" s="16">
        <f t="shared" si="14"/>
        <v>442542.32980000001</v>
      </c>
      <c r="O27" s="16">
        <f t="shared" si="14"/>
        <v>221271.1649</v>
      </c>
      <c r="P27" s="17">
        <f>SUM(B27:O27)</f>
        <v>22127116.490000002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663813.49470000004</v>
      </c>
      <c r="F35" s="10" t="s">
        <v>18</v>
      </c>
      <c r="G35" s="10">
        <v>1.65</v>
      </c>
      <c r="H35" s="19">
        <f>E35*G35</f>
        <v>1095292.2662549999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2212711.6490000002</v>
      </c>
      <c r="F36" s="25" t="s">
        <v>18</v>
      </c>
      <c r="G36" s="25">
        <v>1.65</v>
      </c>
      <c r="H36" s="20">
        <f>E36*G36</f>
        <v>3650974.2208500002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3761609.8033000003</v>
      </c>
      <c r="F37" s="25" t="s">
        <v>18</v>
      </c>
      <c r="G37" s="25">
        <v>1.65</v>
      </c>
      <c r="H37" s="20">
        <f>E37*G37</f>
        <v>6206656.1754449997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3540338.6384000001</v>
      </c>
      <c r="F38" s="25" t="s">
        <v>18</v>
      </c>
      <c r="G38" s="25">
        <v>1.65</v>
      </c>
      <c r="H38" s="20">
        <f>E38*G38</f>
        <v>5841558.7533599995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0</v>
      </c>
      <c r="F39" s="25" t="s">
        <v>18</v>
      </c>
      <c r="G39" s="25">
        <v>1.65</v>
      </c>
      <c r="H39" s="20">
        <f>E39*G39</f>
        <v>0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885084.65960000001</v>
      </c>
      <c r="F40" s="25" t="s">
        <v>18</v>
      </c>
      <c r="G40" s="25">
        <v>1.65</v>
      </c>
      <c r="H40" s="20">
        <f t="shared" ref="H40:H48" si="15">E40*G40</f>
        <v>1460389.6883399999</v>
      </c>
    </row>
    <row r="41" spans="1:14" x14ac:dyDescent="0.25">
      <c r="C41" s="25" t="s">
        <v>41</v>
      </c>
      <c r="D41" s="25">
        <v>2207</v>
      </c>
      <c r="E41" s="20">
        <f>H27</f>
        <v>1548898.1543000001</v>
      </c>
      <c r="F41" s="25" t="s">
        <v>18</v>
      </c>
      <c r="G41" s="25">
        <v>1.65</v>
      </c>
      <c r="H41" s="20">
        <f t="shared" si="15"/>
        <v>2555681.954595</v>
      </c>
    </row>
    <row r="42" spans="1:14" x14ac:dyDescent="0.25">
      <c r="C42" s="25" t="s">
        <v>40</v>
      </c>
      <c r="D42" s="10">
        <v>2208</v>
      </c>
      <c r="E42" s="20">
        <f>I27</f>
        <v>2876525.1436999999</v>
      </c>
      <c r="F42" s="25" t="s">
        <v>18</v>
      </c>
      <c r="G42" s="25">
        <v>1.65</v>
      </c>
      <c r="H42" s="20">
        <f t="shared" si="15"/>
        <v>4746266.4871049998</v>
      </c>
    </row>
    <row r="43" spans="1:14" x14ac:dyDescent="0.25">
      <c r="D43" s="25">
        <v>2210</v>
      </c>
      <c r="E43" s="20">
        <f>J27</f>
        <v>2655253.9788000002</v>
      </c>
      <c r="F43" s="25" t="s">
        <v>18</v>
      </c>
      <c r="G43" s="25">
        <v>1.65</v>
      </c>
      <c r="H43" s="20">
        <f t="shared" si="15"/>
        <v>4381169.0650199996</v>
      </c>
    </row>
    <row r="44" spans="1:14" x14ac:dyDescent="0.25">
      <c r="D44" s="25">
        <v>2212</v>
      </c>
      <c r="E44" s="20">
        <f>K27</f>
        <v>885084.65960000001</v>
      </c>
      <c r="F44" s="25" t="s">
        <v>18</v>
      </c>
      <c r="G44" s="25">
        <v>1.65</v>
      </c>
      <c r="H44" s="20">
        <f t="shared" si="15"/>
        <v>1460389.6883399999</v>
      </c>
    </row>
    <row r="45" spans="1:14" x14ac:dyDescent="0.25">
      <c r="D45" s="25">
        <v>2216</v>
      </c>
      <c r="E45" s="20">
        <f>L27</f>
        <v>0</v>
      </c>
      <c r="F45" s="25" t="s">
        <v>18</v>
      </c>
      <c r="G45" s="25">
        <v>1.65</v>
      </c>
      <c r="H45" s="20">
        <f t="shared" si="15"/>
        <v>0</v>
      </c>
    </row>
    <row r="46" spans="1:14" x14ac:dyDescent="0.25">
      <c r="D46" s="25">
        <v>2247</v>
      </c>
      <c r="E46" s="20">
        <f>M27</f>
        <v>2433982.8139</v>
      </c>
      <c r="F46" s="25" t="s">
        <v>18</v>
      </c>
      <c r="G46" s="25">
        <v>1.65</v>
      </c>
      <c r="H46" s="20">
        <f t="shared" si="15"/>
        <v>4016071.6429349999</v>
      </c>
    </row>
    <row r="47" spans="1:14" x14ac:dyDescent="0.25">
      <c r="D47" s="25">
        <v>2261</v>
      </c>
      <c r="E47" s="20">
        <f>N27</f>
        <v>442542.32980000001</v>
      </c>
      <c r="F47" s="25" t="s">
        <v>18</v>
      </c>
      <c r="G47" s="25">
        <v>1.65</v>
      </c>
      <c r="H47" s="20">
        <f t="shared" si="15"/>
        <v>730194.84416999994</v>
      </c>
    </row>
    <row r="48" spans="1:14" x14ac:dyDescent="0.25">
      <c r="D48" s="25">
        <v>2304</v>
      </c>
      <c r="E48" s="20">
        <f>O27</f>
        <v>221271.1649</v>
      </c>
      <c r="F48" s="25" t="s">
        <v>18</v>
      </c>
      <c r="G48" s="25">
        <v>1.65</v>
      </c>
      <c r="H48" s="72">
        <f t="shared" si="15"/>
        <v>365097.42208499997</v>
      </c>
    </row>
    <row r="49" spans="7:8" x14ac:dyDescent="0.25">
      <c r="G49" s="70" t="s">
        <v>34</v>
      </c>
      <c r="H49" s="71">
        <f>SUM(H35:H48)</f>
        <v>36509742.208499998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151" workbookViewId="0">
      <selection activeCell="K154" sqref="K154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98" t="s">
        <v>13</v>
      </c>
      <c r="B2" s="150" t="s">
        <v>14</v>
      </c>
      <c r="C2" s="150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99" t="s">
        <v>13</v>
      </c>
      <c r="B19" s="151" t="s">
        <v>14</v>
      </c>
      <c r="C19" s="151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98" t="s">
        <v>13</v>
      </c>
      <c r="B36" s="150" t="s">
        <v>14</v>
      </c>
      <c r="C36" s="150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97" t="s">
        <v>13</v>
      </c>
      <c r="B53" s="149" t="s">
        <v>14</v>
      </c>
      <c r="C53" s="149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98" t="s">
        <v>13</v>
      </c>
      <c r="B70" s="150" t="s">
        <v>14</v>
      </c>
      <c r="C70" s="150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97" t="s">
        <v>13</v>
      </c>
      <c r="B87" s="149" t="s">
        <v>14</v>
      </c>
      <c r="C87" s="149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98" t="s">
        <v>13</v>
      </c>
      <c r="B104" s="150" t="s">
        <v>14</v>
      </c>
      <c r="C104" s="150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94999.4139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316664.71299999999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538330.01210000005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0.16</v>
      </c>
      <c r="K108" s="33">
        <f>K119*J108</f>
        <v>506663.54080000002</v>
      </c>
    </row>
    <row r="109" spans="1:11" s="11" customFormat="1" x14ac:dyDescent="0.25">
      <c r="A109" s="10">
        <v>2205</v>
      </c>
      <c r="B109" s="100" t="s">
        <v>23</v>
      </c>
      <c r="C109" s="100"/>
      <c r="D109" s="100"/>
      <c r="E109" s="100"/>
      <c r="F109" s="100"/>
      <c r="G109" s="100"/>
      <c r="H109" s="100"/>
      <c r="I109" s="101">
        <v>0.75</v>
      </c>
      <c r="J109" s="67">
        <v>0</v>
      </c>
      <c r="K109" s="68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126665.8852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221665.2991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0.13</v>
      </c>
      <c r="K112" s="33">
        <f>K119*J112</f>
        <v>411664.12689999997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0.12</v>
      </c>
      <c r="K113" s="33">
        <f>K119*J113</f>
        <v>379997.6556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126665.8852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0.11</v>
      </c>
      <c r="K116" s="33">
        <f>K119*J116</f>
        <v>348331.18429999996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63332.942600000002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31666.471300000001</v>
      </c>
    </row>
    <row r="119" spans="1:11" s="32" customFormat="1" x14ac:dyDescent="0.25">
      <c r="J119" s="38">
        <f>SUM(J105:J118)</f>
        <v>1</v>
      </c>
      <c r="K119" s="33">
        <f>'RELACION DE ING TRIM 03-2018'!P21</f>
        <v>3166647.13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97" t="s">
        <v>13</v>
      </c>
      <c r="B121" s="149" t="s">
        <v>14</v>
      </c>
      <c r="C121" s="149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188917.9515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629726.505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1070535.0585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0.16</v>
      </c>
      <c r="K125" s="57">
        <f>K136*J125</f>
        <v>1007562.4079999999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251890.60199999998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440808.55350000004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0.13</v>
      </c>
      <c r="K129" s="57">
        <f>K136*J129</f>
        <v>818644.45649999997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0.12</v>
      </c>
      <c r="K130" s="57">
        <f>K136*J130</f>
        <v>755671.80599999998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251890.60199999998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0.11</v>
      </c>
      <c r="K133" s="57">
        <f>K136*J133</f>
        <v>692699.15549999999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125945.30099999999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62972.650499999996</v>
      </c>
    </row>
    <row r="136" spans="1:11" s="56" customFormat="1" x14ac:dyDescent="0.25">
      <c r="J136" s="62">
        <f>SUM(J122:J135)</f>
        <v>1</v>
      </c>
      <c r="K136" s="57">
        <f>'RELACION DE ING TRIM 03-2018'!P22</f>
        <v>6297265.0499999998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98" t="s">
        <v>13</v>
      </c>
      <c r="B138" s="150" t="s">
        <v>14</v>
      </c>
      <c r="C138" s="150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379896.12930000003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1266320.4310000001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2152744.7327000001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0.16</v>
      </c>
      <c r="K142" s="33">
        <f>K153*J142</f>
        <v>2026112.6896000002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506528.17240000004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886424.30170000007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0.13</v>
      </c>
      <c r="K146" s="33">
        <f>K153*J146</f>
        <v>1646216.5603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0.12</v>
      </c>
      <c r="K147" s="33">
        <f>K153*J147</f>
        <v>1519584.5172000001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506528.17240000004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0.11</v>
      </c>
      <c r="K150" s="33">
        <f>K153*J150</f>
        <v>1392952.4741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253264.08620000002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126632.04310000001</v>
      </c>
    </row>
    <row r="153" spans="1:11" s="32" customFormat="1" x14ac:dyDescent="0.25">
      <c r="J153" s="38">
        <f>SUM(J139:J152)</f>
        <v>1</v>
      </c>
      <c r="K153" s="33">
        <f>'RELACION DE ING TRIM 03-2018'!P23</f>
        <v>12663204.310000001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97" t="s">
        <v>13</v>
      </c>
      <c r="B155" s="149" t="s">
        <v>14</v>
      </c>
      <c r="C155" s="149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98" t="s">
        <v>13</v>
      </c>
      <c r="B172" s="150" t="s">
        <v>14</v>
      </c>
      <c r="C172" s="150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97" t="s">
        <v>13</v>
      </c>
      <c r="B189" s="149" t="s">
        <v>14</v>
      </c>
      <c r="C189" s="149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" workbookViewId="0">
      <selection activeCell="B13" sqref="B13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8" t="s">
        <v>46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92" t="s">
        <v>13</v>
      </c>
      <c r="B5" s="148" t="s">
        <v>14</v>
      </c>
      <c r="C5" s="148"/>
      <c r="D5" s="25"/>
      <c r="E5" s="25"/>
      <c r="F5" s="25"/>
      <c r="G5" s="25"/>
      <c r="H5" s="25"/>
      <c r="I5" s="92" t="s">
        <v>13</v>
      </c>
      <c r="J5" s="148" t="s">
        <v>14</v>
      </c>
      <c r="K5" s="148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8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 t="shared" ref="E17:E26" si="3">P17*14%</f>
        <v>0</v>
      </c>
      <c r="F17" s="5">
        <f t="shared" ref="F17:F26" si="4">P17*10%</f>
        <v>0</v>
      </c>
      <c r="G17" s="5">
        <f t="shared" ref="G17:G26" si="5">P17*4%</f>
        <v>0</v>
      </c>
      <c r="H17" s="5">
        <f t="shared" ref="H17:H26" si="6">P17*7%</f>
        <v>0</v>
      </c>
      <c r="I17" s="5">
        <f t="shared" ref="I17:I26" si="7">P17*11%</f>
        <v>0</v>
      </c>
      <c r="J17" s="5">
        <f t="shared" ref="J17:J26" si="8">P17*7%</f>
        <v>0</v>
      </c>
      <c r="K17" s="5">
        <f t="shared" ref="K17:K26" si="9">P17*4%</f>
        <v>0</v>
      </c>
      <c r="L17" s="5">
        <f t="shared" ref="L17:L26" si="10">P17*1%</f>
        <v>0</v>
      </c>
      <c r="M17" s="5">
        <f t="shared" ref="M17:M26" si="11">P17*9%</f>
        <v>0</v>
      </c>
      <c r="N17" s="5">
        <f t="shared" ref="N17:N26" si="12">P17*2%</f>
        <v>0</v>
      </c>
      <c r="O17" s="5">
        <f t="shared" ref="O17:O26" si="13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1512591110.1530998</v>
      </c>
      <c r="C18" s="5">
        <f t="shared" si="1"/>
        <v>5041970367.177</v>
      </c>
      <c r="D18" s="5">
        <f t="shared" si="2"/>
        <v>8571349624.2009001</v>
      </c>
      <c r="E18" s="5">
        <f t="shared" si="3"/>
        <v>7058758514.0478001</v>
      </c>
      <c r="F18" s="5">
        <f t="shared" si="4"/>
        <v>5041970367.177</v>
      </c>
      <c r="G18" s="5">
        <f t="shared" si="5"/>
        <v>2016788146.8708</v>
      </c>
      <c r="H18" s="5">
        <f t="shared" si="6"/>
        <v>3529379257.0239</v>
      </c>
      <c r="I18" s="5">
        <f t="shared" si="7"/>
        <v>5546167403.8947001</v>
      </c>
      <c r="J18" s="5">
        <f t="shared" si="8"/>
        <v>3529379257.0239</v>
      </c>
      <c r="K18" s="5">
        <f t="shared" si="9"/>
        <v>2016788146.8708</v>
      </c>
      <c r="L18" s="5">
        <f t="shared" si="10"/>
        <v>504197036.7177</v>
      </c>
      <c r="M18" s="5">
        <f t="shared" si="11"/>
        <v>4537773330.4592991</v>
      </c>
      <c r="N18" s="5">
        <f t="shared" si="12"/>
        <v>1008394073.4354</v>
      </c>
      <c r="O18" s="5">
        <f t="shared" si="13"/>
        <v>504197036.7177</v>
      </c>
      <c r="P18" s="17">
        <v>50419703671.769997</v>
      </c>
      <c r="Q18" t="s">
        <v>3</v>
      </c>
    </row>
    <row r="19" spans="1:17" x14ac:dyDescent="0.25">
      <c r="A19" s="14" t="s">
        <v>4</v>
      </c>
      <c r="B19" s="5">
        <f t="shared" si="0"/>
        <v>3081291741.9555001</v>
      </c>
      <c r="C19" s="5">
        <f t="shared" si="1"/>
        <v>10270972473.185001</v>
      </c>
      <c r="D19" s="5">
        <f t="shared" si="2"/>
        <v>17460653204.414501</v>
      </c>
      <c r="E19" s="5">
        <f t="shared" si="3"/>
        <v>14379361462.459002</v>
      </c>
      <c r="F19" s="5">
        <f t="shared" si="4"/>
        <v>10270972473.185001</v>
      </c>
      <c r="G19" s="5">
        <f t="shared" si="5"/>
        <v>4108388989.2740002</v>
      </c>
      <c r="H19" s="5">
        <f t="shared" si="6"/>
        <v>7189680731.2295008</v>
      </c>
      <c r="I19" s="5">
        <f t="shared" si="7"/>
        <v>11298069720.5035</v>
      </c>
      <c r="J19" s="5">
        <f t="shared" si="8"/>
        <v>7189680731.2295008</v>
      </c>
      <c r="K19" s="5">
        <f t="shared" si="9"/>
        <v>4108388989.2740002</v>
      </c>
      <c r="L19" s="5">
        <f t="shared" si="10"/>
        <v>1027097247.3185</v>
      </c>
      <c r="M19" s="5">
        <f t="shared" si="11"/>
        <v>9243875225.8665009</v>
      </c>
      <c r="N19" s="5">
        <f t="shared" si="12"/>
        <v>2054194494.6370001</v>
      </c>
      <c r="O19" s="5">
        <f t="shared" si="13"/>
        <v>1027097247.3185</v>
      </c>
      <c r="P19" s="17">
        <v>102709724731.85001</v>
      </c>
      <c r="Q19" t="s">
        <v>4</v>
      </c>
    </row>
    <row r="20" spans="1:17" x14ac:dyDescent="0.25">
      <c r="A20" s="14" t="s">
        <v>5</v>
      </c>
      <c r="B20" s="5">
        <f t="shared" si="0"/>
        <v>4677418631.9946003</v>
      </c>
      <c r="C20" s="5">
        <f t="shared" si="1"/>
        <v>15591395439.982002</v>
      </c>
      <c r="D20" s="5">
        <f t="shared" si="2"/>
        <v>26505372247.969402</v>
      </c>
      <c r="E20" s="5">
        <f t="shared" si="3"/>
        <v>21827953615.974804</v>
      </c>
      <c r="F20" s="5">
        <f t="shared" si="4"/>
        <v>15591395439.982002</v>
      </c>
      <c r="G20" s="5">
        <f t="shared" si="5"/>
        <v>6236558175.9928007</v>
      </c>
      <c r="H20" s="5">
        <f t="shared" si="6"/>
        <v>10913976807.987402</v>
      </c>
      <c r="I20" s="5">
        <f t="shared" si="7"/>
        <v>17150534983.980202</v>
      </c>
      <c r="J20" s="5">
        <f t="shared" si="8"/>
        <v>10913976807.987402</v>
      </c>
      <c r="K20" s="5">
        <f t="shared" si="9"/>
        <v>6236558175.9928007</v>
      </c>
      <c r="L20" s="5">
        <f t="shared" si="10"/>
        <v>1559139543.9982002</v>
      </c>
      <c r="M20" s="5">
        <f t="shared" si="11"/>
        <v>14032255895.983801</v>
      </c>
      <c r="N20" s="5">
        <f t="shared" si="12"/>
        <v>3118279087.9964004</v>
      </c>
      <c r="O20" s="5">
        <f t="shared" si="13"/>
        <v>1559139543.9982002</v>
      </c>
      <c r="P20" s="17">
        <v>155913954399.82001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si="3"/>
        <v>0</v>
      </c>
      <c r="F21" s="5">
        <f t="shared" si="4"/>
        <v>0</v>
      </c>
      <c r="G21" s="5">
        <f t="shared" si="5"/>
        <v>0</v>
      </c>
      <c r="H21" s="5">
        <f t="shared" si="6"/>
        <v>0</v>
      </c>
      <c r="I21" s="5">
        <f t="shared" si="7"/>
        <v>0</v>
      </c>
      <c r="J21" s="5">
        <f t="shared" si="8"/>
        <v>0</v>
      </c>
      <c r="K21" s="5">
        <f t="shared" si="9"/>
        <v>0</v>
      </c>
      <c r="L21" s="5">
        <f t="shared" si="10"/>
        <v>0</v>
      </c>
      <c r="M21" s="5">
        <f t="shared" si="11"/>
        <v>0</v>
      </c>
      <c r="N21" s="5">
        <f t="shared" si="12"/>
        <v>0</v>
      </c>
      <c r="O21" s="5">
        <f t="shared" si="13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3"/>
        <v>0</v>
      </c>
      <c r="F22" s="5">
        <f t="shared" si="4"/>
        <v>0</v>
      </c>
      <c r="G22" s="5">
        <f t="shared" si="5"/>
        <v>0</v>
      </c>
      <c r="H22" s="5">
        <f t="shared" si="6"/>
        <v>0</v>
      </c>
      <c r="I22" s="5">
        <f t="shared" si="7"/>
        <v>0</v>
      </c>
      <c r="J22" s="5">
        <f t="shared" si="8"/>
        <v>0</v>
      </c>
      <c r="K22" s="5">
        <f t="shared" si="9"/>
        <v>0</v>
      </c>
      <c r="L22" s="5">
        <f t="shared" si="10"/>
        <v>0</v>
      </c>
      <c r="M22" s="5">
        <f t="shared" si="11"/>
        <v>0</v>
      </c>
      <c r="N22" s="5">
        <f t="shared" si="12"/>
        <v>0</v>
      </c>
      <c r="O22" s="5">
        <f t="shared" si="13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3"/>
        <v>0</v>
      </c>
      <c r="F23" s="5">
        <f t="shared" si="4"/>
        <v>0</v>
      </c>
      <c r="G23" s="5">
        <f t="shared" si="5"/>
        <v>0</v>
      </c>
      <c r="H23" s="5">
        <f t="shared" si="6"/>
        <v>0</v>
      </c>
      <c r="I23" s="5">
        <f t="shared" si="7"/>
        <v>0</v>
      </c>
      <c r="J23" s="5">
        <f t="shared" si="8"/>
        <v>0</v>
      </c>
      <c r="K23" s="5">
        <f t="shared" si="9"/>
        <v>0</v>
      </c>
      <c r="L23" s="5">
        <f t="shared" si="10"/>
        <v>0</v>
      </c>
      <c r="M23" s="5">
        <f t="shared" si="11"/>
        <v>0</v>
      </c>
      <c r="N23" s="5">
        <f t="shared" si="12"/>
        <v>0</v>
      </c>
      <c r="O23" s="5">
        <f t="shared" si="13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9271301484.103199</v>
      </c>
      <c r="C27" s="16">
        <f>SUM(C15:C26)</f>
        <v>30904338280.344002</v>
      </c>
      <c r="D27" s="16">
        <f>SUM(D15:D26)</f>
        <v>52537375076.584808</v>
      </c>
      <c r="E27" s="16">
        <f>SUM(E15:E26)</f>
        <v>43266073592.481606</v>
      </c>
      <c r="F27" s="16">
        <f>SUM(F15:F26)</f>
        <v>30904338280.344002</v>
      </c>
      <c r="G27" s="16">
        <f t="shared" ref="G27:O27" si="14">SUM(G15:G26)</f>
        <v>12361735312.1376</v>
      </c>
      <c r="H27" s="16">
        <f t="shared" si="14"/>
        <v>21633036796.240803</v>
      </c>
      <c r="I27" s="16">
        <f t="shared" si="14"/>
        <v>33994772108.378403</v>
      </c>
      <c r="J27" s="16">
        <f t="shared" si="14"/>
        <v>21633036796.240803</v>
      </c>
      <c r="K27" s="16">
        <f t="shared" si="14"/>
        <v>12361735312.1376</v>
      </c>
      <c r="L27" s="16">
        <f t="shared" si="14"/>
        <v>3090433828.0344</v>
      </c>
      <c r="M27" s="16">
        <f t="shared" si="14"/>
        <v>27813904452.309601</v>
      </c>
      <c r="N27" s="16">
        <f t="shared" si="14"/>
        <v>6180867656.0688</v>
      </c>
      <c r="O27" s="16">
        <f t="shared" si="14"/>
        <v>3090433828.0344</v>
      </c>
      <c r="P27" s="17">
        <f>SUM(B27:O27)</f>
        <v>309043382803.44006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9271301484.103199</v>
      </c>
      <c r="F35" s="10" t="s">
        <v>18</v>
      </c>
      <c r="G35" s="10">
        <v>1.65</v>
      </c>
      <c r="H35" s="19">
        <f>E35*G35</f>
        <v>15297647448.770277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30904338280.344002</v>
      </c>
      <c r="F36" s="25" t="s">
        <v>18</v>
      </c>
      <c r="G36" s="25">
        <v>1.65</v>
      </c>
      <c r="H36" s="20">
        <f>E36*G36</f>
        <v>50992158162.567596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52537375076.584808</v>
      </c>
      <c r="F37" s="25" t="s">
        <v>18</v>
      </c>
      <c r="G37" s="25">
        <v>1.65</v>
      </c>
      <c r="H37" s="20">
        <f>E37*G37</f>
        <v>86686668876.364929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43266073592.481606</v>
      </c>
      <c r="F38" s="25" t="s">
        <v>18</v>
      </c>
      <c r="G38" s="25">
        <v>1.65</v>
      </c>
      <c r="H38" s="20">
        <f>E38*G38</f>
        <v>71389021427.59465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30904338280.344002</v>
      </c>
      <c r="F39" s="25" t="s">
        <v>18</v>
      </c>
      <c r="G39" s="25">
        <v>1.65</v>
      </c>
      <c r="H39" s="20">
        <f>E39*G39</f>
        <v>50992158162.567596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12361735312.1376</v>
      </c>
      <c r="F40" s="25" t="s">
        <v>18</v>
      </c>
      <c r="G40" s="25">
        <v>1.65</v>
      </c>
      <c r="H40" s="20">
        <f t="shared" ref="H40:H48" si="15">E40*G40</f>
        <v>20396863265.027039</v>
      </c>
    </row>
    <row r="41" spans="1:14" x14ac:dyDescent="0.25">
      <c r="C41" s="25" t="s">
        <v>41</v>
      </c>
      <c r="D41" s="25">
        <v>2207</v>
      </c>
      <c r="E41" s="20">
        <f>H27</f>
        <v>21633036796.240803</v>
      </c>
      <c r="F41" s="25" t="s">
        <v>18</v>
      </c>
      <c r="G41" s="25">
        <v>1.65</v>
      </c>
      <c r="H41" s="20">
        <f t="shared" si="15"/>
        <v>35694510713.797325</v>
      </c>
    </row>
    <row r="42" spans="1:14" x14ac:dyDescent="0.25">
      <c r="C42" s="25" t="s">
        <v>40</v>
      </c>
      <c r="D42" s="10">
        <v>2208</v>
      </c>
      <c r="E42" s="20">
        <f>I27</f>
        <v>33994772108.378403</v>
      </c>
      <c r="F42" s="25" t="s">
        <v>18</v>
      </c>
      <c r="G42" s="25">
        <v>1.65</v>
      </c>
      <c r="H42" s="20">
        <f t="shared" si="15"/>
        <v>56091373978.824364</v>
      </c>
    </row>
    <row r="43" spans="1:14" x14ac:dyDescent="0.25">
      <c r="D43" s="25">
        <v>2210</v>
      </c>
      <c r="E43" s="20">
        <f>J27</f>
        <v>21633036796.240803</v>
      </c>
      <c r="F43" s="25" t="s">
        <v>18</v>
      </c>
      <c r="G43" s="25">
        <v>1.65</v>
      </c>
      <c r="H43" s="20">
        <f t="shared" si="15"/>
        <v>35694510713.797325</v>
      </c>
    </row>
    <row r="44" spans="1:14" x14ac:dyDescent="0.25">
      <c r="D44" s="25">
        <v>2212</v>
      </c>
      <c r="E44" s="20">
        <f>K27</f>
        <v>12361735312.1376</v>
      </c>
      <c r="F44" s="25" t="s">
        <v>18</v>
      </c>
      <c r="G44" s="25">
        <v>1.65</v>
      </c>
      <c r="H44" s="20">
        <f t="shared" si="15"/>
        <v>20396863265.027039</v>
      </c>
    </row>
    <row r="45" spans="1:14" x14ac:dyDescent="0.25">
      <c r="D45" s="25">
        <v>2216</v>
      </c>
      <c r="E45" s="20">
        <f>L27</f>
        <v>3090433828.0344</v>
      </c>
      <c r="F45" s="25" t="s">
        <v>18</v>
      </c>
      <c r="G45" s="25">
        <v>1.65</v>
      </c>
      <c r="H45" s="20">
        <f t="shared" si="15"/>
        <v>5099215816.2567596</v>
      </c>
    </row>
    <row r="46" spans="1:14" x14ac:dyDescent="0.25">
      <c r="D46" s="25">
        <v>2247</v>
      </c>
      <c r="E46" s="20">
        <f>M27</f>
        <v>27813904452.309601</v>
      </c>
      <c r="F46" s="25" t="s">
        <v>18</v>
      </c>
      <c r="G46" s="25">
        <v>1.65</v>
      </c>
      <c r="H46" s="20">
        <f t="shared" si="15"/>
        <v>45892942346.310837</v>
      </c>
    </row>
    <row r="47" spans="1:14" x14ac:dyDescent="0.25">
      <c r="D47" s="25">
        <v>2261</v>
      </c>
      <c r="E47" s="20">
        <f>N27</f>
        <v>6180867656.0688</v>
      </c>
      <c r="F47" s="25" t="s">
        <v>18</v>
      </c>
      <c r="G47" s="25">
        <v>1.65</v>
      </c>
      <c r="H47" s="20">
        <f t="shared" si="15"/>
        <v>10198431632.513519</v>
      </c>
    </row>
    <row r="48" spans="1:14" x14ac:dyDescent="0.25">
      <c r="D48" s="25">
        <v>2304</v>
      </c>
      <c r="E48" s="20">
        <f>O27</f>
        <v>3090433828.0344</v>
      </c>
      <c r="F48" s="25" t="s">
        <v>18</v>
      </c>
      <c r="G48" s="25">
        <v>1.65</v>
      </c>
      <c r="H48" s="72">
        <f t="shared" si="15"/>
        <v>5099215816.2567596</v>
      </c>
    </row>
    <row r="49" spans="7:8" x14ac:dyDescent="0.25">
      <c r="G49" s="70" t="s">
        <v>34</v>
      </c>
      <c r="H49" s="71">
        <f>SUM(H35:H48)</f>
        <v>509921581625.67609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72" right="0.70866141732283472" top="0.74803149606299213" bottom="0.74803149606299213" header="0.31496062992125984" footer="0.31496062992125984"/>
  <pageSetup paperSize="25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94" workbookViewId="0">
      <selection activeCell="I61" sqref="I6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93" t="s">
        <v>13</v>
      </c>
      <c r="B2" s="150" t="s">
        <v>14</v>
      </c>
      <c r="C2" s="150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95" t="s">
        <v>13</v>
      </c>
      <c r="B19" s="151" t="s">
        <v>14</v>
      </c>
      <c r="C19" s="151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93" t="s">
        <v>13</v>
      </c>
      <c r="B36" s="150" t="s">
        <v>14</v>
      </c>
      <c r="C36" s="150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94" t="s">
        <v>13</v>
      </c>
      <c r="B53" s="149" t="s">
        <v>14</v>
      </c>
      <c r="C53" s="149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93" t="s">
        <v>13</v>
      </c>
      <c r="B70" s="150" t="s">
        <v>14</v>
      </c>
      <c r="C70" s="150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94" t="s">
        <v>13</v>
      </c>
      <c r="B87" s="149" t="s">
        <v>14</v>
      </c>
      <c r="C87" s="149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93" t="s">
        <v>13</v>
      </c>
      <c r="B104" s="150" t="s">
        <v>14</v>
      </c>
      <c r="C104" s="150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0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0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0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0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0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0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0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0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0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0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0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0</v>
      </c>
    </row>
    <row r="119" spans="1:11" s="32" customFormat="1" x14ac:dyDescent="0.25">
      <c r="J119" s="38">
        <f>SUM(J105:J118)</f>
        <v>1</v>
      </c>
      <c r="K119" s="33">
        <v>0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94" t="s">
        <v>13</v>
      </c>
      <c r="B121" s="149" t="s">
        <v>14</v>
      </c>
      <c r="C121" s="149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0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0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0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0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0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0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0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0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0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0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0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0</v>
      </c>
    </row>
    <row r="136" spans="1:11" s="56" customFormat="1" x14ac:dyDescent="0.25">
      <c r="J136" s="62">
        <f>SUM(J122:J135)</f>
        <v>1</v>
      </c>
      <c r="K136" s="57">
        <v>0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93" t="s">
        <v>13</v>
      </c>
      <c r="B138" s="150" t="s">
        <v>14</v>
      </c>
      <c r="C138" s="150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0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0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0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0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0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0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0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0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0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0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0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0</v>
      </c>
    </row>
    <row r="153" spans="1:11" s="32" customFormat="1" x14ac:dyDescent="0.25">
      <c r="J153" s="38">
        <f>SUM(J139:J152)</f>
        <v>1</v>
      </c>
      <c r="K153" s="33">
        <v>0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94" t="s">
        <v>13</v>
      </c>
      <c r="B155" s="149" t="s">
        <v>14</v>
      </c>
      <c r="C155" s="149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93" t="s">
        <v>13</v>
      </c>
      <c r="B172" s="150" t="s">
        <v>14</v>
      </c>
      <c r="C172" s="150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94" t="s">
        <v>13</v>
      </c>
      <c r="B189" s="149" t="s">
        <v>14</v>
      </c>
      <c r="C189" s="149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D11" sqref="D11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5.140625" customWidth="1"/>
    <col min="4" max="4" width="16.5703125" customWidth="1"/>
    <col min="5" max="5" width="16.85546875" customWidth="1"/>
    <col min="6" max="6" width="15.7109375" customWidth="1"/>
    <col min="7" max="7" width="16.140625" customWidth="1"/>
    <col min="8" max="8" width="17.85546875" customWidth="1"/>
    <col min="9" max="9" width="16" customWidth="1"/>
    <col min="10" max="10" width="15.140625" customWidth="1"/>
    <col min="11" max="11" width="15.7109375" customWidth="1"/>
    <col min="12" max="12" width="14" customWidth="1"/>
    <col min="13" max="13" width="16.140625" customWidth="1"/>
    <col min="14" max="14" width="15" customWidth="1"/>
    <col min="15" max="15" width="13.7109375" customWidth="1"/>
    <col min="16" max="16" width="16.28515625" customWidth="1"/>
  </cols>
  <sheetData>
    <row r="1" spans="1:17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8" t="s">
        <v>45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76" t="s">
        <v>13</v>
      </c>
      <c r="B5" s="148" t="s">
        <v>14</v>
      </c>
      <c r="C5" s="148"/>
      <c r="D5" s="25"/>
      <c r="E5" s="25"/>
      <c r="F5" s="25"/>
      <c r="G5" s="25"/>
      <c r="H5" s="25"/>
      <c r="I5" s="76" t="s">
        <v>13</v>
      </c>
      <c r="J5" s="148" t="s">
        <v>14</v>
      </c>
      <c r="K5" s="148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8.9999999999999993E-3</v>
      </c>
      <c r="C13" s="28">
        <v>1.9E-2</v>
      </c>
      <c r="D13" s="27">
        <v>4.0000000000000001E-3</v>
      </c>
      <c r="E13" s="27">
        <v>7.4999999999999997E-3</v>
      </c>
      <c r="F13" s="27">
        <v>7.4999999999999997E-3</v>
      </c>
      <c r="G13" s="27">
        <v>0.06</v>
      </c>
      <c r="H13" s="27">
        <v>1.15E-2</v>
      </c>
      <c r="I13" s="27">
        <v>1.2E-2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542223665.40299988</v>
      </c>
      <c r="C15" s="5">
        <f>$P$15*10%</f>
        <v>1807412218.01</v>
      </c>
      <c r="D15" s="5">
        <f>$P$15*17%</f>
        <v>3072600770.6170001</v>
      </c>
      <c r="E15" s="5">
        <f>$P$15*14%</f>
        <v>2530377105.2140002</v>
      </c>
      <c r="F15" s="5">
        <f>$P$15*10%</f>
        <v>1807412218.01</v>
      </c>
      <c r="G15" s="5">
        <f>$P$15*4%</f>
        <v>722964887.204</v>
      </c>
      <c r="H15" s="5">
        <f>$P$15*7%</f>
        <v>1265188552.6070001</v>
      </c>
      <c r="I15" s="5">
        <f>$P$15*11%</f>
        <v>1988153439.8109999</v>
      </c>
      <c r="J15" s="5">
        <f>$P$15*7%</f>
        <v>1265188552.6070001</v>
      </c>
      <c r="K15" s="5">
        <f>$P$15*4%</f>
        <v>722964887.204</v>
      </c>
      <c r="L15" s="5">
        <f>$P$15*1%</f>
        <v>180741221.801</v>
      </c>
      <c r="M15" s="5">
        <f>$P$15*9%</f>
        <v>1626670996.2089999</v>
      </c>
      <c r="N15" s="5">
        <f>$P$15*2%</f>
        <v>361482443.602</v>
      </c>
      <c r="O15" s="5">
        <f>$P$15*1%</f>
        <v>180741221.801</v>
      </c>
      <c r="P15" s="17">
        <v>18074122180.099998</v>
      </c>
      <c r="Q15" t="s">
        <v>0</v>
      </c>
    </row>
    <row r="16" spans="1:17" x14ac:dyDescent="0.25">
      <c r="A16" s="13" t="s">
        <v>1</v>
      </c>
      <c r="B16" s="5">
        <f>P16*3%</f>
        <v>664742619.86160004</v>
      </c>
      <c r="C16" s="5">
        <f>P16*10%</f>
        <v>2215808732.8720002</v>
      </c>
      <c r="D16" s="5">
        <f>P16*17%</f>
        <v>3766874845.8824005</v>
      </c>
      <c r="E16" s="5">
        <f>P16*14%</f>
        <v>3102132226.0208006</v>
      </c>
      <c r="F16" s="5">
        <f>P16*10%</f>
        <v>2215808732.8720002</v>
      </c>
      <c r="G16" s="5">
        <f>P16*4%</f>
        <v>886323493.14880002</v>
      </c>
      <c r="H16" s="5">
        <f>P16*7%</f>
        <v>1551066113.0104003</v>
      </c>
      <c r="I16" s="5">
        <f>P16*11%</f>
        <v>2437389606.1592002</v>
      </c>
      <c r="J16" s="5">
        <f>P16*7%</f>
        <v>1551066113.0104003</v>
      </c>
      <c r="K16" s="5">
        <f>P16*4%</f>
        <v>886323493.14880002</v>
      </c>
      <c r="L16" s="5">
        <f>P16*1%</f>
        <v>221580873.2872</v>
      </c>
      <c r="M16" s="5">
        <f>P16*9%</f>
        <v>1994227859.5848</v>
      </c>
      <c r="N16" s="5">
        <f>P16*2%</f>
        <v>443161746.57440001</v>
      </c>
      <c r="O16" s="5">
        <f>P16*1%</f>
        <v>221580873.2872</v>
      </c>
      <c r="P16" s="17">
        <v>22158087328.720001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1089241865.7665999</v>
      </c>
      <c r="C17" s="5">
        <f t="shared" ref="C17:C26" si="1">P17*10%</f>
        <v>3630806219.2220001</v>
      </c>
      <c r="D17" s="5">
        <f t="shared" ref="D17:D26" si="2">P17*17%</f>
        <v>6172370572.6774006</v>
      </c>
      <c r="E17" s="5">
        <f t="shared" ref="E17:E26" si="3">P17*14%</f>
        <v>5083128706.9108009</v>
      </c>
      <c r="F17" s="5">
        <f t="shared" ref="F17:F26" si="4">P17*10%</f>
        <v>3630806219.2220001</v>
      </c>
      <c r="G17" s="5">
        <f t="shared" ref="G17:G26" si="5">P17*4%</f>
        <v>1452322487.6888001</v>
      </c>
      <c r="H17" s="5">
        <f t="shared" ref="H17:H26" si="6">P17*7%</f>
        <v>2541564353.4554005</v>
      </c>
      <c r="I17" s="5">
        <f t="shared" ref="I17:I26" si="7">P17*11%</f>
        <v>3993886841.1442003</v>
      </c>
      <c r="J17" s="5">
        <f t="shared" ref="J17:J26" si="8">P17*7%</f>
        <v>2541564353.4554005</v>
      </c>
      <c r="K17" s="5">
        <f t="shared" ref="K17:K26" si="9">P17*4%</f>
        <v>1452322487.6888001</v>
      </c>
      <c r="L17" s="5">
        <f t="shared" ref="L17:L26" si="10">P17*1%</f>
        <v>363080621.92220002</v>
      </c>
      <c r="M17" s="5">
        <f t="shared" ref="M17:M26" si="11">P17*9%</f>
        <v>3267725597.2997999</v>
      </c>
      <c r="N17" s="5">
        <f t="shared" ref="N17:N26" si="12">P17*2%</f>
        <v>726161243.84440005</v>
      </c>
      <c r="O17" s="5">
        <f t="shared" ref="O17:O26" si="13">P17*1%</f>
        <v>363080621.92220002</v>
      </c>
      <c r="P17" s="17">
        <v>36308062192.220001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 t="shared" si="3"/>
        <v>0</v>
      </c>
      <c r="F18" s="5">
        <f t="shared" si="4"/>
        <v>0</v>
      </c>
      <c r="G18" s="5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 t="shared" si="3"/>
        <v>0</v>
      </c>
      <c r="F19" s="5">
        <f t="shared" si="4"/>
        <v>0</v>
      </c>
      <c r="G19" s="5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 t="shared" si="3"/>
        <v>0</v>
      </c>
      <c r="F20" s="5">
        <f t="shared" si="4"/>
        <v>0</v>
      </c>
      <c r="G20" s="5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si="3"/>
        <v>0</v>
      </c>
      <c r="F21" s="5">
        <f t="shared" si="4"/>
        <v>0</v>
      </c>
      <c r="G21" s="5">
        <f t="shared" si="5"/>
        <v>0</v>
      </c>
      <c r="H21" s="5">
        <f t="shared" si="6"/>
        <v>0</v>
      </c>
      <c r="I21" s="5">
        <f t="shared" si="7"/>
        <v>0</v>
      </c>
      <c r="J21" s="5">
        <f t="shared" si="8"/>
        <v>0</v>
      </c>
      <c r="K21" s="5">
        <f t="shared" si="9"/>
        <v>0</v>
      </c>
      <c r="L21" s="5">
        <f t="shared" si="10"/>
        <v>0</v>
      </c>
      <c r="M21" s="5">
        <f t="shared" si="11"/>
        <v>0</v>
      </c>
      <c r="N21" s="5">
        <f t="shared" si="12"/>
        <v>0</v>
      </c>
      <c r="O21" s="5">
        <f t="shared" si="13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3"/>
        <v>0</v>
      </c>
      <c r="F22" s="5">
        <f t="shared" si="4"/>
        <v>0</v>
      </c>
      <c r="G22" s="5">
        <f t="shared" si="5"/>
        <v>0</v>
      </c>
      <c r="H22" s="5">
        <f t="shared" si="6"/>
        <v>0</v>
      </c>
      <c r="I22" s="5">
        <f t="shared" si="7"/>
        <v>0</v>
      </c>
      <c r="J22" s="5">
        <f t="shared" si="8"/>
        <v>0</v>
      </c>
      <c r="K22" s="5">
        <f t="shared" si="9"/>
        <v>0</v>
      </c>
      <c r="L22" s="5">
        <f t="shared" si="10"/>
        <v>0</v>
      </c>
      <c r="M22" s="5">
        <f t="shared" si="11"/>
        <v>0</v>
      </c>
      <c r="N22" s="5">
        <f t="shared" si="12"/>
        <v>0</v>
      </c>
      <c r="O22" s="5">
        <f t="shared" si="13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3"/>
        <v>0</v>
      </c>
      <c r="F23" s="5">
        <f t="shared" si="4"/>
        <v>0</v>
      </c>
      <c r="G23" s="5">
        <f t="shared" si="5"/>
        <v>0</v>
      </c>
      <c r="H23" s="5">
        <f t="shared" si="6"/>
        <v>0</v>
      </c>
      <c r="I23" s="5">
        <f t="shared" si="7"/>
        <v>0</v>
      </c>
      <c r="J23" s="5">
        <f t="shared" si="8"/>
        <v>0</v>
      </c>
      <c r="K23" s="5">
        <f t="shared" si="9"/>
        <v>0</v>
      </c>
      <c r="L23" s="5">
        <f t="shared" si="10"/>
        <v>0</v>
      </c>
      <c r="M23" s="5">
        <f t="shared" si="11"/>
        <v>0</v>
      </c>
      <c r="N23" s="5">
        <f t="shared" si="12"/>
        <v>0</v>
      </c>
      <c r="O23" s="5">
        <f t="shared" si="13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2296208151.0311995</v>
      </c>
      <c r="C27" s="16">
        <f>SUM(C15:C26)</f>
        <v>7654027170.1040001</v>
      </c>
      <c r="D27" s="16">
        <f>SUM(D15:D26)</f>
        <v>13011846189.176802</v>
      </c>
      <c r="E27" s="16">
        <f>SUM(E15:E26)</f>
        <v>10715638038.145601</v>
      </c>
      <c r="F27" s="16">
        <f>SUM(F15:F26)</f>
        <v>7654027170.1040001</v>
      </c>
      <c r="G27" s="16">
        <f t="shared" ref="G27:O27" si="14">SUM(G15:G26)</f>
        <v>3061610868.0416002</v>
      </c>
      <c r="H27" s="16">
        <f t="shared" si="14"/>
        <v>5357819019.0728006</v>
      </c>
      <c r="I27" s="16">
        <f t="shared" si="14"/>
        <v>8419429887.1143999</v>
      </c>
      <c r="J27" s="16">
        <f t="shared" si="14"/>
        <v>5357819019.0728006</v>
      </c>
      <c r="K27" s="16">
        <f t="shared" si="14"/>
        <v>3061610868.0416002</v>
      </c>
      <c r="L27" s="16">
        <f t="shared" si="14"/>
        <v>765402717.01040006</v>
      </c>
      <c r="M27" s="16">
        <f t="shared" si="14"/>
        <v>6888624453.0935993</v>
      </c>
      <c r="N27" s="16">
        <f t="shared" si="14"/>
        <v>1530805434.0208001</v>
      </c>
      <c r="O27" s="16">
        <f t="shared" si="14"/>
        <v>765402717.01040006</v>
      </c>
      <c r="P27" s="17">
        <f>SUM(B27:O27)</f>
        <v>76540271701.040009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2296208151.0311995</v>
      </c>
      <c r="F35" s="10" t="s">
        <v>18</v>
      </c>
      <c r="G35" s="10">
        <v>1.65</v>
      </c>
      <c r="H35" s="19">
        <f>E35*G35</f>
        <v>3788743449.201479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7654027170.1040001</v>
      </c>
      <c r="F36" s="25" t="s">
        <v>18</v>
      </c>
      <c r="G36" s="25">
        <v>1.65</v>
      </c>
      <c r="H36" s="20">
        <f>E36*G36</f>
        <v>12629144830.6716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13011846189.176802</v>
      </c>
      <c r="F37" s="25" t="s">
        <v>18</v>
      </c>
      <c r="G37" s="25">
        <v>1.65</v>
      </c>
      <c r="H37" s="20">
        <f>E37*G37</f>
        <v>21469546212.14172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10715638038.145601</v>
      </c>
      <c r="F38" s="25" t="s">
        <v>18</v>
      </c>
      <c r="G38" s="25">
        <v>1.65</v>
      </c>
      <c r="H38" s="20">
        <f>E38*G38</f>
        <v>17680802762.940243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7654027170.1040001</v>
      </c>
      <c r="F39" s="25" t="s">
        <v>18</v>
      </c>
      <c r="G39" s="25">
        <v>1.65</v>
      </c>
      <c r="H39" s="20">
        <f>E39*G39</f>
        <v>12629144830.6716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3061610868.0416002</v>
      </c>
      <c r="F40" s="25" t="s">
        <v>18</v>
      </c>
      <c r="G40" s="25">
        <v>1.65</v>
      </c>
      <c r="H40" s="20">
        <f t="shared" ref="H40:H48" si="15">E40*G40</f>
        <v>5051657932.2686405</v>
      </c>
    </row>
    <row r="41" spans="1:14" x14ac:dyDescent="0.25">
      <c r="C41" s="25" t="s">
        <v>41</v>
      </c>
      <c r="D41" s="25">
        <v>2207</v>
      </c>
      <c r="E41" s="20">
        <f>H27</f>
        <v>5357819019.0728006</v>
      </c>
      <c r="F41" s="25" t="s">
        <v>18</v>
      </c>
      <c r="G41" s="25">
        <v>1.65</v>
      </c>
      <c r="H41" s="20">
        <f t="shared" si="15"/>
        <v>8840401381.4701214</v>
      </c>
    </row>
    <row r="42" spans="1:14" x14ac:dyDescent="0.25">
      <c r="C42" s="25" t="s">
        <v>40</v>
      </c>
      <c r="D42" s="10">
        <v>2208</v>
      </c>
      <c r="E42" s="20">
        <f>I27</f>
        <v>8419429887.1143999</v>
      </c>
      <c r="F42" s="25" t="s">
        <v>18</v>
      </c>
      <c r="G42" s="25">
        <v>1.65</v>
      </c>
      <c r="H42" s="20">
        <f t="shared" si="15"/>
        <v>13892059313.73876</v>
      </c>
    </row>
    <row r="43" spans="1:14" x14ac:dyDescent="0.25">
      <c r="D43" s="25">
        <v>2210</v>
      </c>
      <c r="E43" s="20">
        <f>J27</f>
        <v>5357819019.0728006</v>
      </c>
      <c r="F43" s="25" t="s">
        <v>18</v>
      </c>
      <c r="G43" s="25">
        <v>1.65</v>
      </c>
      <c r="H43" s="20">
        <f t="shared" si="15"/>
        <v>8840401381.4701214</v>
      </c>
    </row>
    <row r="44" spans="1:14" x14ac:dyDescent="0.25">
      <c r="D44" s="25">
        <v>2212</v>
      </c>
      <c r="E44" s="20">
        <f>K27</f>
        <v>3061610868.0416002</v>
      </c>
      <c r="F44" s="25" t="s">
        <v>18</v>
      </c>
      <c r="G44" s="25">
        <v>1.65</v>
      </c>
      <c r="H44" s="20">
        <f t="shared" si="15"/>
        <v>5051657932.2686405</v>
      </c>
    </row>
    <row r="45" spans="1:14" x14ac:dyDescent="0.25">
      <c r="D45" s="25">
        <v>2216</v>
      </c>
      <c r="E45" s="20">
        <f>L27</f>
        <v>765402717.01040006</v>
      </c>
      <c r="F45" s="25" t="s">
        <v>18</v>
      </c>
      <c r="G45" s="25">
        <v>1.65</v>
      </c>
      <c r="H45" s="20">
        <f t="shared" si="15"/>
        <v>1262914483.0671601</v>
      </c>
    </row>
    <row r="46" spans="1:14" x14ac:dyDescent="0.25">
      <c r="D46" s="25">
        <v>2247</v>
      </c>
      <c r="E46" s="20">
        <f>M27</f>
        <v>6888624453.0935993</v>
      </c>
      <c r="F46" s="25" t="s">
        <v>18</v>
      </c>
      <c r="G46" s="25">
        <v>1.65</v>
      </c>
      <c r="H46" s="20">
        <f t="shared" si="15"/>
        <v>11366230347.604439</v>
      </c>
    </row>
    <row r="47" spans="1:14" x14ac:dyDescent="0.25">
      <c r="D47" s="25">
        <v>2261</v>
      </c>
      <c r="E47" s="20">
        <f>N27</f>
        <v>1530805434.0208001</v>
      </c>
      <c r="F47" s="25" t="s">
        <v>18</v>
      </c>
      <c r="G47" s="25">
        <v>1.65</v>
      </c>
      <c r="H47" s="20">
        <f t="shared" si="15"/>
        <v>2525828966.1343203</v>
      </c>
    </row>
    <row r="48" spans="1:14" x14ac:dyDescent="0.25">
      <c r="D48" s="25">
        <v>2304</v>
      </c>
      <c r="E48" s="20">
        <f>O27</f>
        <v>765402717.01040006</v>
      </c>
      <c r="F48" s="25" t="s">
        <v>18</v>
      </c>
      <c r="G48" s="25">
        <v>1.65</v>
      </c>
      <c r="H48" s="72">
        <f t="shared" si="15"/>
        <v>1262914483.0671601</v>
      </c>
    </row>
    <row r="49" spans="7:8" x14ac:dyDescent="0.25">
      <c r="G49" s="70" t="s">
        <v>34</v>
      </c>
      <c r="H49" s="71">
        <f>SUM(H35:H48)</f>
        <v>126291448306.716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workbookViewId="0">
      <selection activeCell="F8" sqref="F8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77" t="s">
        <v>13</v>
      </c>
      <c r="B2" s="150" t="s">
        <v>14</v>
      </c>
      <c r="C2" s="150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83" t="s">
        <v>13</v>
      </c>
      <c r="B19" s="151" t="s">
        <v>14</v>
      </c>
      <c r="C19" s="151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86">
        <v>0.9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86">
        <v>2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86">
        <v>0.4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86">
        <v>0.75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86">
        <v>0.75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86">
        <v>8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86">
        <v>1.1499999999999999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89">
        <v>0.75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89">
        <v>0.75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89">
        <v>1.25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89">
        <v>1.35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89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89">
        <v>1.35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89">
        <v>3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77" t="s">
        <v>13</v>
      </c>
      <c r="B36" s="150" t="s">
        <v>14</v>
      </c>
      <c r="C36" s="150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0.9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2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0.4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0.75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0.75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8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1.1499999999999999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0.75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0.75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1.25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1.35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1.35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3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78" t="s">
        <v>13</v>
      </c>
      <c r="B53" s="149" t="s">
        <v>14</v>
      </c>
      <c r="C53" s="149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61">
        <v>0.9</v>
      </c>
      <c r="J54" s="62">
        <v>0.03</v>
      </c>
      <c r="K54" s="57">
        <f>K68*J54</f>
        <v>0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61">
        <v>2</v>
      </c>
      <c r="J55" s="62">
        <v>0.1</v>
      </c>
      <c r="K55" s="57">
        <f>K68*J55</f>
        <v>0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61">
        <v>0.4</v>
      </c>
      <c r="J56" s="62">
        <v>0.17</v>
      </c>
      <c r="K56" s="57">
        <f>K68*J56</f>
        <v>0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61">
        <v>0.75</v>
      </c>
      <c r="J57" s="62">
        <v>0.14000000000000001</v>
      </c>
      <c r="K57" s="57">
        <f>K68*J57</f>
        <v>0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61">
        <v>0.75</v>
      </c>
      <c r="J58" s="62">
        <v>0.1</v>
      </c>
      <c r="K58" s="57">
        <f>K68*J58</f>
        <v>0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61">
        <v>8</v>
      </c>
      <c r="J59" s="62">
        <v>0.04</v>
      </c>
      <c r="K59" s="57">
        <f>K68*J59</f>
        <v>0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61">
        <v>1.1499999999999999</v>
      </c>
      <c r="J60" s="62">
        <v>7.0000000000000007E-2</v>
      </c>
      <c r="K60" s="57">
        <f>K68*J60</f>
        <v>0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64">
        <v>0.75</v>
      </c>
      <c r="J61" s="62">
        <v>0.11</v>
      </c>
      <c r="K61" s="57">
        <f>K68*J61</f>
        <v>0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64">
        <v>0.75</v>
      </c>
      <c r="J62" s="62">
        <v>7.0000000000000007E-2</v>
      </c>
      <c r="K62" s="57">
        <f>K68*J62</f>
        <v>0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64">
        <v>1.25</v>
      </c>
      <c r="J63" s="62">
        <v>0.04</v>
      </c>
      <c r="K63" s="57">
        <f>K68*J63</f>
        <v>0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64">
        <v>1.35</v>
      </c>
      <c r="J64" s="62">
        <v>0.01</v>
      </c>
      <c r="K64" s="57">
        <f>K68*J64</f>
        <v>0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64">
        <v>0.9</v>
      </c>
      <c r="J65" s="62">
        <v>0.09</v>
      </c>
      <c r="K65" s="57">
        <f>K68*J65</f>
        <v>0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64">
        <v>1.35</v>
      </c>
      <c r="J66" s="62">
        <v>0.02</v>
      </c>
      <c r="K66" s="57">
        <f>K68*J66</f>
        <v>0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64">
        <v>3</v>
      </c>
      <c r="J67" s="65">
        <v>0.01</v>
      </c>
      <c r="K67" s="66">
        <f>K68*J67</f>
        <v>0</v>
      </c>
    </row>
    <row r="68" spans="1:11" s="56" customFormat="1" x14ac:dyDescent="0.25">
      <c r="J68" s="62">
        <f>SUM(J54:J67)</f>
        <v>1</v>
      </c>
      <c r="K68" s="57">
        <v>0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77" t="s">
        <v>13</v>
      </c>
      <c r="B70" s="150" t="s">
        <v>14</v>
      </c>
      <c r="C70" s="150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0.9</v>
      </c>
      <c r="J71" s="38">
        <v>0.03</v>
      </c>
      <c r="K71" s="33">
        <f>K85*J71</f>
        <v>0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2</v>
      </c>
      <c r="J72" s="38">
        <v>0.1</v>
      </c>
      <c r="K72" s="33">
        <f>K85*J72</f>
        <v>0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0.4</v>
      </c>
      <c r="J73" s="38">
        <v>0.17</v>
      </c>
      <c r="K73" s="33">
        <f>K85*J73</f>
        <v>0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0.75</v>
      </c>
      <c r="J74" s="38">
        <v>0.14000000000000001</v>
      </c>
      <c r="K74" s="33">
        <f>K85*J74</f>
        <v>0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0.75</v>
      </c>
      <c r="J75" s="38">
        <v>0.1</v>
      </c>
      <c r="K75" s="33">
        <f>K85*J75</f>
        <v>0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8</v>
      </c>
      <c r="J76" s="38">
        <v>0.04</v>
      </c>
      <c r="K76" s="33">
        <f>K85*J76</f>
        <v>0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1.1499999999999999</v>
      </c>
      <c r="J77" s="38">
        <v>7.0000000000000007E-2</v>
      </c>
      <c r="K77" s="33">
        <f>K85*J77</f>
        <v>0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0.75</v>
      </c>
      <c r="J78" s="38">
        <v>0.11</v>
      </c>
      <c r="K78" s="33">
        <f>K85*J78</f>
        <v>0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0.75</v>
      </c>
      <c r="J79" s="38">
        <v>7.0000000000000007E-2</v>
      </c>
      <c r="K79" s="33">
        <f>K85*J79</f>
        <v>0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1.25</v>
      </c>
      <c r="J80" s="38">
        <v>0.04</v>
      </c>
      <c r="K80" s="33">
        <f>K85*J80</f>
        <v>0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1.35</v>
      </c>
      <c r="J81" s="38">
        <v>0.01</v>
      </c>
      <c r="K81" s="33">
        <f>K85*J81</f>
        <v>0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0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1.35</v>
      </c>
      <c r="J83" s="38">
        <v>0.02</v>
      </c>
      <c r="K83" s="33">
        <f>K85*J83</f>
        <v>0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3</v>
      </c>
      <c r="J84" s="41">
        <v>0.01</v>
      </c>
      <c r="K84" s="42">
        <f>K85*J84</f>
        <v>0</v>
      </c>
    </row>
    <row r="85" spans="1:11" s="32" customFormat="1" x14ac:dyDescent="0.25">
      <c r="J85" s="38">
        <f>SUM(J71:J84)</f>
        <v>1</v>
      </c>
      <c r="K85" s="33">
        <v>0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78" t="s">
        <v>13</v>
      </c>
      <c r="B87" s="149" t="s">
        <v>14</v>
      </c>
      <c r="C87" s="149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61">
        <v>0.9</v>
      </c>
      <c r="J88" s="62">
        <v>0.03</v>
      </c>
      <c r="K88" s="57">
        <f>K102*J88</f>
        <v>0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61">
        <v>2</v>
      </c>
      <c r="J89" s="62">
        <v>0.1</v>
      </c>
      <c r="K89" s="57">
        <f>K102*J89</f>
        <v>0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61">
        <v>0.4</v>
      </c>
      <c r="J90" s="62">
        <v>0.17</v>
      </c>
      <c r="K90" s="57">
        <f>K102*J90</f>
        <v>0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61">
        <v>0.75</v>
      </c>
      <c r="J91" s="62">
        <v>0.14000000000000001</v>
      </c>
      <c r="K91" s="57">
        <f>K102*J91</f>
        <v>0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61">
        <v>0.75</v>
      </c>
      <c r="J92" s="62">
        <v>0.1</v>
      </c>
      <c r="K92" s="57">
        <f>K102*J92</f>
        <v>0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61">
        <v>8</v>
      </c>
      <c r="J93" s="62">
        <v>0.04</v>
      </c>
      <c r="K93" s="57">
        <f>K102*J93</f>
        <v>0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61">
        <v>1.1499999999999999</v>
      </c>
      <c r="J94" s="62">
        <v>7.0000000000000007E-2</v>
      </c>
      <c r="K94" s="57">
        <f>K102*J94</f>
        <v>0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64">
        <v>0.75</v>
      </c>
      <c r="J95" s="62">
        <v>0.11</v>
      </c>
      <c r="K95" s="57">
        <f>K102*J95</f>
        <v>0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64">
        <v>0.75</v>
      </c>
      <c r="J96" s="62">
        <v>7.0000000000000007E-2</v>
      </c>
      <c r="K96" s="57">
        <f>K102*J96</f>
        <v>0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64">
        <v>1.25</v>
      </c>
      <c r="J97" s="62">
        <v>0.04</v>
      </c>
      <c r="K97" s="57">
        <f>K102*J97</f>
        <v>0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64">
        <v>1.35</v>
      </c>
      <c r="J98" s="62">
        <v>0.01</v>
      </c>
      <c r="K98" s="57">
        <f>K102*J98</f>
        <v>0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64">
        <v>0.9</v>
      </c>
      <c r="J99" s="62">
        <v>0.09</v>
      </c>
      <c r="K99" s="57">
        <f>K102*J99</f>
        <v>0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64">
        <v>1.35</v>
      </c>
      <c r="J100" s="62">
        <v>0.02</v>
      </c>
      <c r="K100" s="57">
        <f>K102*J100</f>
        <v>0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64">
        <v>3</v>
      </c>
      <c r="J101" s="65">
        <v>0.01</v>
      </c>
      <c r="K101" s="66">
        <f>K102*J101</f>
        <v>0</v>
      </c>
    </row>
    <row r="102" spans="1:11" s="56" customFormat="1" x14ac:dyDescent="0.25">
      <c r="J102" s="62">
        <f>SUM(J88:J101)</f>
        <v>1</v>
      </c>
      <c r="K102" s="57">
        <v>0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77" t="s">
        <v>13</v>
      </c>
      <c r="B104" s="150" t="s">
        <v>14</v>
      </c>
      <c r="C104" s="150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0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0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0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0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0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0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0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0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0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0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0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0</v>
      </c>
    </row>
    <row r="119" spans="1:11" s="32" customFormat="1" x14ac:dyDescent="0.25">
      <c r="J119" s="38">
        <f>SUM(J105:J118)</f>
        <v>1</v>
      </c>
      <c r="K119" s="33">
        <v>0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78" t="s">
        <v>13</v>
      </c>
      <c r="B121" s="149" t="s">
        <v>14</v>
      </c>
      <c r="C121" s="149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0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0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0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0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0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0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0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0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0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0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0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0</v>
      </c>
    </row>
    <row r="136" spans="1:11" s="56" customFormat="1" x14ac:dyDescent="0.25">
      <c r="J136" s="62">
        <f>SUM(J122:J135)</f>
        <v>1</v>
      </c>
      <c r="K136" s="57">
        <v>0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77" t="s">
        <v>13</v>
      </c>
      <c r="B138" s="150" t="s">
        <v>14</v>
      </c>
      <c r="C138" s="150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0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0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0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0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0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0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0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0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0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0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0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0</v>
      </c>
    </row>
    <row r="153" spans="1:11" s="32" customFormat="1" x14ac:dyDescent="0.25">
      <c r="J153" s="38">
        <f>SUM(J139:J152)</f>
        <v>1</v>
      </c>
      <c r="K153" s="33">
        <v>0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78" t="s">
        <v>13</v>
      </c>
      <c r="B155" s="149" t="s">
        <v>14</v>
      </c>
      <c r="C155" s="149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77" t="s">
        <v>13</v>
      </c>
      <c r="B172" s="150" t="s">
        <v>14</v>
      </c>
      <c r="C172" s="150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78" t="s">
        <v>13</v>
      </c>
      <c r="B189" s="149" t="s">
        <v>14</v>
      </c>
      <c r="C189" s="149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10" workbookViewId="0">
      <selection activeCell="P15" sqref="P15:P26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5.140625" customWidth="1"/>
    <col min="4" max="4" width="15" customWidth="1"/>
    <col min="5" max="6" width="15.7109375" customWidth="1"/>
    <col min="7" max="7" width="16.140625" customWidth="1"/>
    <col min="8" max="8" width="16.7109375" customWidth="1"/>
    <col min="9" max="9" width="16" customWidth="1"/>
    <col min="10" max="10" width="15.140625" customWidth="1"/>
    <col min="11" max="11" width="15.7109375" customWidth="1"/>
    <col min="12" max="12" width="14" customWidth="1"/>
    <col min="13" max="13" width="16.140625" customWidth="1"/>
    <col min="14" max="14" width="14.140625" customWidth="1"/>
    <col min="15" max="15" width="13.7109375" customWidth="1"/>
    <col min="16" max="16" width="16.28515625" customWidth="1"/>
  </cols>
  <sheetData>
    <row r="1" spans="1:17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8" t="s">
        <v>44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73" t="s">
        <v>13</v>
      </c>
      <c r="B5" s="148" t="s">
        <v>14</v>
      </c>
      <c r="C5" s="148"/>
      <c r="D5" s="25"/>
      <c r="E5" s="25"/>
      <c r="F5" s="25"/>
      <c r="G5" s="25"/>
      <c r="H5" s="25"/>
      <c r="I5" s="73" t="s">
        <v>13</v>
      </c>
      <c r="J5" s="148" t="s">
        <v>14</v>
      </c>
      <c r="K5" s="148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8.9999999999999993E-3</v>
      </c>
      <c r="C13" s="28">
        <v>0.02</v>
      </c>
      <c r="D13" s="27">
        <v>4.0000000000000001E-3</v>
      </c>
      <c r="E13" s="27">
        <v>7.4999999999999997E-3</v>
      </c>
      <c r="F13" s="27">
        <v>7.4999999999999997E-3</v>
      </c>
      <c r="G13" s="27">
        <v>0.08</v>
      </c>
      <c r="H13" s="27">
        <v>1.15E-2</v>
      </c>
      <c r="I13" s="27">
        <v>7.4999999999999997E-3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14575605.8544</v>
      </c>
      <c r="C15" s="5">
        <f>$P$15*10%</f>
        <v>48585352.848000005</v>
      </c>
      <c r="D15" s="5">
        <f>$P$15*17%</f>
        <v>82595099.841600016</v>
      </c>
      <c r="E15" s="5">
        <f>$P$15*14%</f>
        <v>68019493.987200007</v>
      </c>
      <c r="F15" s="5">
        <f>$P$15*10%</f>
        <v>48585352.848000005</v>
      </c>
      <c r="G15" s="5">
        <f>$P$15*4%</f>
        <v>19434141.139200002</v>
      </c>
      <c r="H15" s="5">
        <f>$P$15*7%</f>
        <v>34009746.993600003</v>
      </c>
      <c r="I15" s="5">
        <f>$P$15*11%</f>
        <v>53443888.132800005</v>
      </c>
      <c r="J15" s="5">
        <f>$P$15*7%</f>
        <v>34009746.993600003</v>
      </c>
      <c r="K15" s="5">
        <f>$P$15*4%</f>
        <v>19434141.139200002</v>
      </c>
      <c r="L15" s="5">
        <f>$P$15*1%</f>
        <v>4858535.2848000005</v>
      </c>
      <c r="M15" s="5">
        <f>$P$15*9%</f>
        <v>43726817.563199997</v>
      </c>
      <c r="N15" s="5">
        <f>$P$15*2%</f>
        <v>9717070.569600001</v>
      </c>
      <c r="O15" s="5">
        <f>$P$15*1%</f>
        <v>4858535.2848000005</v>
      </c>
      <c r="P15" s="17">
        <v>485853528.48000002</v>
      </c>
      <c r="Q15" t="s">
        <v>0</v>
      </c>
    </row>
    <row r="16" spans="1:17" x14ac:dyDescent="0.25">
      <c r="A16" s="13" t="s">
        <v>1</v>
      </c>
      <c r="B16" s="5">
        <f>P16*3%</f>
        <v>24116065.268399999</v>
      </c>
      <c r="C16" s="5">
        <f>P16*10%</f>
        <v>80386884.228</v>
      </c>
      <c r="D16" s="5">
        <f>P16*17%</f>
        <v>136657703.18760002</v>
      </c>
      <c r="E16" s="5">
        <f>P16*14%</f>
        <v>112541637.9192</v>
      </c>
      <c r="F16" s="5">
        <f>P16*10%</f>
        <v>80386884.228</v>
      </c>
      <c r="G16" s="5">
        <f>P16*4%</f>
        <v>32154753.691199999</v>
      </c>
      <c r="H16" s="5">
        <f>P16*7%</f>
        <v>56270818.959600002</v>
      </c>
      <c r="I16" s="5">
        <f>P16*11%</f>
        <v>88425572.650800005</v>
      </c>
      <c r="J16" s="5">
        <f>P16*7%</f>
        <v>56270818.959600002</v>
      </c>
      <c r="K16" s="5">
        <f>P16*4%</f>
        <v>32154753.691199999</v>
      </c>
      <c r="L16" s="5">
        <f>P16*1%</f>
        <v>8038688.4227999998</v>
      </c>
      <c r="M16" s="5">
        <f>P16*9%</f>
        <v>72348195.805199996</v>
      </c>
      <c r="N16" s="5">
        <f>P16*2%</f>
        <v>16077376.8456</v>
      </c>
      <c r="O16" s="5">
        <f>P16*1%</f>
        <v>8038688.4227999998</v>
      </c>
      <c r="P16" s="17">
        <v>803868842.27999997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27368230.300499998</v>
      </c>
      <c r="C17" s="5">
        <f t="shared" ref="C17:C26" si="1">P17*10%</f>
        <v>91227434.335000008</v>
      </c>
      <c r="D17" s="5">
        <f t="shared" ref="D17:D26" si="2">P17*17%</f>
        <v>155086638.36950001</v>
      </c>
      <c r="E17" s="5">
        <f t="shared" ref="E17:E26" si="3">P17*14%</f>
        <v>127718408.06900002</v>
      </c>
      <c r="F17" s="5">
        <f t="shared" ref="F17:F26" si="4">P17*10%</f>
        <v>91227434.335000008</v>
      </c>
      <c r="G17" s="5">
        <f t="shared" ref="G17:G26" si="5">P17*4%</f>
        <v>36490973.734000005</v>
      </c>
      <c r="H17" s="5">
        <f t="shared" ref="H17:H26" si="6">P17*7%</f>
        <v>63859204.03450001</v>
      </c>
      <c r="I17" s="5">
        <f t="shared" ref="I17:I26" si="7">P17*11%</f>
        <v>100350177.7685</v>
      </c>
      <c r="J17" s="5">
        <f t="shared" ref="J17:J26" si="8">P17*7%</f>
        <v>63859204.03450001</v>
      </c>
      <c r="K17" s="5">
        <f t="shared" ref="K17:K26" si="9">P17*4%</f>
        <v>36490973.734000005</v>
      </c>
      <c r="L17" s="5">
        <f t="shared" ref="L17:L26" si="10">P17*1%</f>
        <v>9122743.4335000012</v>
      </c>
      <c r="M17" s="5">
        <f t="shared" ref="M17:M26" si="11">P17*9%</f>
        <v>82104690.901500002</v>
      </c>
      <c r="N17" s="5">
        <f t="shared" ref="N17:N26" si="12">P17*2%</f>
        <v>18245486.867000002</v>
      </c>
      <c r="O17" s="5">
        <f t="shared" ref="O17:O26" si="13">P17*1%</f>
        <v>9122743.4335000012</v>
      </c>
      <c r="P17" s="17">
        <v>912274343.35000002</v>
      </c>
      <c r="Q17" t="s">
        <v>2</v>
      </c>
    </row>
    <row r="18" spans="1:17" x14ac:dyDescent="0.25">
      <c r="A18" s="14" t="s">
        <v>3</v>
      </c>
      <c r="B18" s="5">
        <f t="shared" si="0"/>
        <v>46452031.359299995</v>
      </c>
      <c r="C18" s="5">
        <f t="shared" si="1"/>
        <v>154840104.53099999</v>
      </c>
      <c r="D18" s="5">
        <f t="shared" si="2"/>
        <v>263228177.70270002</v>
      </c>
      <c r="E18" s="5">
        <f t="shared" si="3"/>
        <v>216776146.3434</v>
      </c>
      <c r="F18" s="5">
        <f t="shared" si="4"/>
        <v>154840104.53099999</v>
      </c>
      <c r="G18" s="5">
        <f t="shared" si="5"/>
        <v>61936041.812399998</v>
      </c>
      <c r="H18" s="5">
        <f t="shared" si="6"/>
        <v>108388073.1717</v>
      </c>
      <c r="I18" s="5">
        <f t="shared" si="7"/>
        <v>170324114.98409998</v>
      </c>
      <c r="J18" s="5">
        <f t="shared" si="8"/>
        <v>108388073.1717</v>
      </c>
      <c r="K18" s="5">
        <f t="shared" si="9"/>
        <v>61936041.812399998</v>
      </c>
      <c r="L18" s="5">
        <f t="shared" si="10"/>
        <v>15484010.4531</v>
      </c>
      <c r="M18" s="5">
        <f t="shared" si="11"/>
        <v>139356094.07789999</v>
      </c>
      <c r="N18" s="5">
        <f t="shared" si="12"/>
        <v>30968020.906199999</v>
      </c>
      <c r="O18" s="5">
        <f t="shared" si="13"/>
        <v>15484010.4531</v>
      </c>
      <c r="P18" s="17">
        <v>1548401045.3099999</v>
      </c>
      <c r="Q18" t="s">
        <v>3</v>
      </c>
    </row>
    <row r="19" spans="1:17" x14ac:dyDescent="0.25">
      <c r="A19" s="14" t="s">
        <v>4</v>
      </c>
      <c r="B19" s="5">
        <f t="shared" si="0"/>
        <v>49787517.765900001</v>
      </c>
      <c r="C19" s="5">
        <f t="shared" si="1"/>
        <v>165958392.553</v>
      </c>
      <c r="D19" s="5">
        <f t="shared" si="2"/>
        <v>282129267.34009999</v>
      </c>
      <c r="E19" s="5">
        <f t="shared" si="3"/>
        <v>232341749.5742</v>
      </c>
      <c r="F19" s="5">
        <f t="shared" si="4"/>
        <v>165958392.553</v>
      </c>
      <c r="G19" s="5">
        <f t="shared" si="5"/>
        <v>66383357.021200001</v>
      </c>
      <c r="H19" s="5">
        <f t="shared" si="6"/>
        <v>116170874.7871</v>
      </c>
      <c r="I19" s="5">
        <f t="shared" si="7"/>
        <v>182554231.80829999</v>
      </c>
      <c r="J19" s="5">
        <f t="shared" si="8"/>
        <v>116170874.7871</v>
      </c>
      <c r="K19" s="5">
        <f t="shared" si="9"/>
        <v>66383357.021200001</v>
      </c>
      <c r="L19" s="5">
        <f t="shared" si="10"/>
        <v>16595839.2553</v>
      </c>
      <c r="M19" s="5">
        <f t="shared" si="11"/>
        <v>149362553.29769999</v>
      </c>
      <c r="N19" s="5">
        <f t="shared" si="12"/>
        <v>33191678.510600001</v>
      </c>
      <c r="O19" s="5">
        <f t="shared" si="13"/>
        <v>16595839.2553</v>
      </c>
      <c r="P19" s="17">
        <v>1659583925.53</v>
      </c>
      <c r="Q19" t="s">
        <v>4</v>
      </c>
    </row>
    <row r="20" spans="1:17" x14ac:dyDescent="0.25">
      <c r="A20" s="14" t="s">
        <v>5</v>
      </c>
      <c r="B20" s="5">
        <f t="shared" si="0"/>
        <v>47420350.809599996</v>
      </c>
      <c r="C20" s="5">
        <f t="shared" si="1"/>
        <v>158067836.03200001</v>
      </c>
      <c r="D20" s="5">
        <f t="shared" si="2"/>
        <v>268715321.25440001</v>
      </c>
      <c r="E20" s="5">
        <f t="shared" si="3"/>
        <v>221294970.44480002</v>
      </c>
      <c r="F20" s="5">
        <f t="shared" si="4"/>
        <v>158067836.03200001</v>
      </c>
      <c r="G20" s="5">
        <f t="shared" si="5"/>
        <v>63227134.412799999</v>
      </c>
      <c r="H20" s="5">
        <f t="shared" si="6"/>
        <v>110647485.22240001</v>
      </c>
      <c r="I20" s="5">
        <f t="shared" si="7"/>
        <v>173874619.63519999</v>
      </c>
      <c r="J20" s="5">
        <f t="shared" si="8"/>
        <v>110647485.22240001</v>
      </c>
      <c r="K20" s="5">
        <f t="shared" si="9"/>
        <v>63227134.412799999</v>
      </c>
      <c r="L20" s="5">
        <f t="shared" si="10"/>
        <v>15806783.6032</v>
      </c>
      <c r="M20" s="5">
        <f t="shared" si="11"/>
        <v>142261052.42879999</v>
      </c>
      <c r="N20" s="5">
        <f t="shared" si="12"/>
        <v>31613567.2064</v>
      </c>
      <c r="O20" s="5">
        <f t="shared" si="13"/>
        <v>15806783.6032</v>
      </c>
      <c r="P20" s="17">
        <v>1580678360.3199999</v>
      </c>
      <c r="Q20" t="s">
        <v>5</v>
      </c>
    </row>
    <row r="21" spans="1:17" x14ac:dyDescent="0.25">
      <c r="A21" s="14" t="s">
        <v>6</v>
      </c>
      <c r="B21" s="5">
        <f t="shared" si="0"/>
        <v>67219956.657600001</v>
      </c>
      <c r="C21" s="5">
        <f t="shared" si="1"/>
        <v>224066522.19200003</v>
      </c>
      <c r="D21" s="5">
        <f t="shared" si="2"/>
        <v>380913087.72640002</v>
      </c>
      <c r="E21" s="5">
        <f t="shared" si="3"/>
        <v>313693131.06880003</v>
      </c>
      <c r="F21" s="5">
        <f t="shared" si="4"/>
        <v>224066522.19200003</v>
      </c>
      <c r="G21" s="5">
        <f t="shared" si="5"/>
        <v>89626608.876800001</v>
      </c>
      <c r="H21" s="5">
        <f t="shared" si="6"/>
        <v>156846565.53440002</v>
      </c>
      <c r="I21" s="5">
        <f t="shared" si="7"/>
        <v>246473174.41120002</v>
      </c>
      <c r="J21" s="5">
        <f t="shared" si="8"/>
        <v>156846565.53440002</v>
      </c>
      <c r="K21" s="5">
        <f t="shared" si="9"/>
        <v>89626608.876800001</v>
      </c>
      <c r="L21" s="5">
        <f t="shared" si="10"/>
        <v>22406652.2192</v>
      </c>
      <c r="M21" s="5">
        <f t="shared" si="11"/>
        <v>201659869.97279999</v>
      </c>
      <c r="N21" s="5">
        <f t="shared" si="12"/>
        <v>44813304.4384</v>
      </c>
      <c r="O21" s="5">
        <f t="shared" si="13"/>
        <v>22406652.2192</v>
      </c>
      <c r="P21" s="17">
        <v>2240665221.9200001</v>
      </c>
      <c r="Q21" t="s">
        <v>6</v>
      </c>
    </row>
    <row r="22" spans="1:17" x14ac:dyDescent="0.25">
      <c r="A22" s="14" t="s">
        <v>7</v>
      </c>
      <c r="B22" s="5">
        <f t="shared" si="0"/>
        <v>66788412.911099993</v>
      </c>
      <c r="C22" s="5">
        <f t="shared" si="1"/>
        <v>222628043.037</v>
      </c>
      <c r="D22" s="5">
        <f t="shared" si="2"/>
        <v>378467673.16290003</v>
      </c>
      <c r="E22" s="5">
        <f t="shared" si="3"/>
        <v>311679260.2518</v>
      </c>
      <c r="F22" s="5">
        <f t="shared" si="4"/>
        <v>222628043.037</v>
      </c>
      <c r="G22" s="5">
        <f t="shared" si="5"/>
        <v>89051217.2148</v>
      </c>
      <c r="H22" s="5">
        <f t="shared" si="6"/>
        <v>155839630.1259</v>
      </c>
      <c r="I22" s="5">
        <f t="shared" si="7"/>
        <v>244890847.3407</v>
      </c>
      <c r="J22" s="5">
        <f t="shared" si="8"/>
        <v>155839630.1259</v>
      </c>
      <c r="K22" s="5">
        <f t="shared" si="9"/>
        <v>89051217.2148</v>
      </c>
      <c r="L22" s="5">
        <f t="shared" si="10"/>
        <v>22262804.3037</v>
      </c>
      <c r="M22" s="5">
        <f t="shared" si="11"/>
        <v>200365238.73329997</v>
      </c>
      <c r="N22" s="5">
        <f t="shared" si="12"/>
        <v>44525608.6074</v>
      </c>
      <c r="O22" s="5">
        <f t="shared" si="13"/>
        <v>22262804.3037</v>
      </c>
      <c r="P22" s="17">
        <v>2226280430.3699999</v>
      </c>
      <c r="Q22" t="s">
        <v>7</v>
      </c>
    </row>
    <row r="23" spans="1:17" x14ac:dyDescent="0.25">
      <c r="A23" s="14" t="s">
        <v>8</v>
      </c>
      <c r="B23" s="5">
        <f t="shared" si="0"/>
        <v>79937878.680900007</v>
      </c>
      <c r="C23" s="5">
        <f t="shared" si="1"/>
        <v>266459595.60300004</v>
      </c>
      <c r="D23" s="5">
        <f t="shared" si="2"/>
        <v>452981312.52510005</v>
      </c>
      <c r="E23" s="5">
        <f t="shared" si="3"/>
        <v>373043433.84420007</v>
      </c>
      <c r="F23" s="5">
        <f t="shared" si="4"/>
        <v>266459595.60300004</v>
      </c>
      <c r="G23" s="5">
        <f t="shared" si="5"/>
        <v>106583838.24120001</v>
      </c>
      <c r="H23" s="5">
        <f t="shared" si="6"/>
        <v>186521716.92210004</v>
      </c>
      <c r="I23" s="5">
        <f t="shared" si="7"/>
        <v>293105555.16330004</v>
      </c>
      <c r="J23" s="5">
        <f t="shared" si="8"/>
        <v>186521716.92210004</v>
      </c>
      <c r="K23" s="5">
        <f t="shared" si="9"/>
        <v>106583838.24120001</v>
      </c>
      <c r="L23" s="5">
        <f t="shared" si="10"/>
        <v>26645959.560300004</v>
      </c>
      <c r="M23" s="5">
        <f t="shared" si="11"/>
        <v>239813636.04270002</v>
      </c>
      <c r="N23" s="5">
        <f t="shared" si="12"/>
        <v>53291919.120600007</v>
      </c>
      <c r="O23" s="5">
        <f t="shared" si="13"/>
        <v>26645959.560300004</v>
      </c>
      <c r="P23" s="17">
        <v>2664595956.0300002</v>
      </c>
      <c r="Q23" t="s">
        <v>8</v>
      </c>
    </row>
    <row r="24" spans="1:17" x14ac:dyDescent="0.25">
      <c r="A24" s="14" t="s">
        <v>11</v>
      </c>
      <c r="B24" s="5">
        <f t="shared" si="0"/>
        <v>127377824.81609999</v>
      </c>
      <c r="C24" s="5">
        <f t="shared" si="1"/>
        <v>424592749.38700002</v>
      </c>
      <c r="D24" s="5">
        <f t="shared" si="2"/>
        <v>721807673.95790005</v>
      </c>
      <c r="E24" s="5">
        <f t="shared" si="3"/>
        <v>594429849.14180005</v>
      </c>
      <c r="F24" s="5">
        <f t="shared" si="4"/>
        <v>424592749.38700002</v>
      </c>
      <c r="G24" s="5">
        <f t="shared" si="5"/>
        <v>169837099.75479999</v>
      </c>
      <c r="H24" s="5">
        <f t="shared" si="6"/>
        <v>297214924.57090002</v>
      </c>
      <c r="I24" s="5">
        <f t="shared" si="7"/>
        <v>467052024.32569999</v>
      </c>
      <c r="J24" s="5">
        <f t="shared" si="8"/>
        <v>297214924.57090002</v>
      </c>
      <c r="K24" s="5">
        <f t="shared" si="9"/>
        <v>169837099.75479999</v>
      </c>
      <c r="L24" s="5">
        <f t="shared" si="10"/>
        <v>42459274.938699998</v>
      </c>
      <c r="M24" s="5">
        <f t="shared" si="11"/>
        <v>382133474.4483</v>
      </c>
      <c r="N24" s="5">
        <f t="shared" si="12"/>
        <v>84918549.877399996</v>
      </c>
      <c r="O24" s="5">
        <f t="shared" si="13"/>
        <v>42459274.938699998</v>
      </c>
      <c r="P24" s="17">
        <v>4245927493.8699999</v>
      </c>
      <c r="Q24" t="s">
        <v>11</v>
      </c>
    </row>
    <row r="25" spans="1:17" x14ac:dyDescent="0.25">
      <c r="A25" s="14" t="s">
        <v>9</v>
      </c>
      <c r="B25" s="5">
        <f t="shared" si="0"/>
        <v>219705298.37189999</v>
      </c>
      <c r="C25" s="5">
        <f t="shared" si="1"/>
        <v>732350994.57299995</v>
      </c>
      <c r="D25" s="5">
        <f t="shared" si="2"/>
        <v>1244996690.7741001</v>
      </c>
      <c r="E25" s="5">
        <f t="shared" si="3"/>
        <v>1025291392.4022</v>
      </c>
      <c r="F25" s="5">
        <f t="shared" si="4"/>
        <v>732350994.57299995</v>
      </c>
      <c r="G25" s="5">
        <f t="shared" si="5"/>
        <v>292940397.82919997</v>
      </c>
      <c r="H25" s="5">
        <f t="shared" si="6"/>
        <v>512645696.20109999</v>
      </c>
      <c r="I25" s="5">
        <f t="shared" si="7"/>
        <v>805586094.0302999</v>
      </c>
      <c r="J25" s="5">
        <f t="shared" si="8"/>
        <v>512645696.20109999</v>
      </c>
      <c r="K25" s="5">
        <f t="shared" si="9"/>
        <v>292940397.82919997</v>
      </c>
      <c r="L25" s="5">
        <f t="shared" si="10"/>
        <v>73235099.457299992</v>
      </c>
      <c r="M25" s="5">
        <f t="shared" si="11"/>
        <v>659115895.11569989</v>
      </c>
      <c r="N25" s="5">
        <f t="shared" si="12"/>
        <v>146470198.91459998</v>
      </c>
      <c r="O25" s="5">
        <f t="shared" si="13"/>
        <v>73235099.457299992</v>
      </c>
      <c r="P25" s="17">
        <v>7323509945.7299995</v>
      </c>
      <c r="Q25" t="s">
        <v>9</v>
      </c>
    </row>
    <row r="26" spans="1:17" x14ac:dyDescent="0.25">
      <c r="A26" s="14" t="s">
        <v>10</v>
      </c>
      <c r="B26" s="5">
        <f t="shared" si="0"/>
        <v>541213785.27869999</v>
      </c>
      <c r="C26" s="5">
        <f t="shared" si="1"/>
        <v>1804045950.9290001</v>
      </c>
      <c r="D26" s="5">
        <f t="shared" si="2"/>
        <v>3066878116.5793004</v>
      </c>
      <c r="E26" s="5">
        <f t="shared" si="3"/>
        <v>2525664331.3006005</v>
      </c>
      <c r="F26" s="5">
        <f t="shared" si="4"/>
        <v>1804045950.9290001</v>
      </c>
      <c r="G26" s="5">
        <f t="shared" si="5"/>
        <v>721618380.37160003</v>
      </c>
      <c r="H26" s="5">
        <f t="shared" si="6"/>
        <v>1262832165.6503003</v>
      </c>
      <c r="I26" s="5">
        <f t="shared" si="7"/>
        <v>1984450546.0219002</v>
      </c>
      <c r="J26" s="5">
        <f t="shared" si="8"/>
        <v>1262832165.6503003</v>
      </c>
      <c r="K26" s="5">
        <f t="shared" si="9"/>
        <v>721618380.37160003</v>
      </c>
      <c r="L26" s="5">
        <f t="shared" si="10"/>
        <v>180404595.09290001</v>
      </c>
      <c r="M26" s="5">
        <f t="shared" si="11"/>
        <v>1623641355.8361001</v>
      </c>
      <c r="N26" s="5">
        <f t="shared" si="12"/>
        <v>360809190.18580002</v>
      </c>
      <c r="O26" s="5">
        <f t="shared" si="13"/>
        <v>180404595.09290001</v>
      </c>
      <c r="P26" s="17">
        <v>18040459509.290001</v>
      </c>
      <c r="Q26" t="s">
        <v>10</v>
      </c>
    </row>
    <row r="27" spans="1:17" x14ac:dyDescent="0.25">
      <c r="A27" s="15" t="s">
        <v>17</v>
      </c>
      <c r="B27" s="16">
        <f>SUM(B15:B26)</f>
        <v>1311962958.0743999</v>
      </c>
      <c r="C27" s="16">
        <f>SUM(C15:C26)</f>
        <v>4373209860.2480001</v>
      </c>
      <c r="D27" s="16">
        <f>SUM(D15:D26)</f>
        <v>7434456762.4216003</v>
      </c>
      <c r="E27" s="16">
        <f>SUM(E15:E26)</f>
        <v>6122493804.3472004</v>
      </c>
      <c r="F27" s="16">
        <f>SUM(F15:F26)</f>
        <v>4373209860.2480001</v>
      </c>
      <c r="G27" s="16">
        <f t="shared" ref="G27:O27" si="14">SUM(G15:G26)</f>
        <v>1749283944.0991998</v>
      </c>
      <c r="H27" s="16">
        <f t="shared" si="14"/>
        <v>3061246902.1736002</v>
      </c>
      <c r="I27" s="16">
        <f t="shared" si="14"/>
        <v>4810530846.2728004</v>
      </c>
      <c r="J27" s="16">
        <f t="shared" si="14"/>
        <v>3061246902.1736002</v>
      </c>
      <c r="K27" s="16">
        <f t="shared" si="14"/>
        <v>1749283944.0991998</v>
      </c>
      <c r="L27" s="16">
        <f t="shared" si="14"/>
        <v>437320986.02479994</v>
      </c>
      <c r="M27" s="16">
        <f t="shared" si="14"/>
        <v>3935888874.2231998</v>
      </c>
      <c r="N27" s="16">
        <f t="shared" si="14"/>
        <v>874641972.04959989</v>
      </c>
      <c r="O27" s="16">
        <f t="shared" si="14"/>
        <v>437320986.02479994</v>
      </c>
      <c r="P27" s="17">
        <f>SUM(B27:O27)</f>
        <v>43732098602.480003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1311962958.0743999</v>
      </c>
      <c r="F35" s="10" t="s">
        <v>18</v>
      </c>
      <c r="G35" s="10">
        <v>1.65</v>
      </c>
      <c r="H35" s="19">
        <f>E35*G35</f>
        <v>2164738880.8227596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4373209860.2480001</v>
      </c>
      <c r="F36" s="25" t="s">
        <v>18</v>
      </c>
      <c r="G36" s="25">
        <v>1.65</v>
      </c>
      <c r="H36" s="20">
        <f>E36*G36</f>
        <v>7215796269.4091997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7434456762.4216003</v>
      </c>
      <c r="F37" s="25" t="s">
        <v>18</v>
      </c>
      <c r="G37" s="25">
        <v>1.65</v>
      </c>
      <c r="H37" s="20">
        <f>E37*G37</f>
        <v>12266853657.99564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6122493804.3472004</v>
      </c>
      <c r="F38" s="25" t="s">
        <v>18</v>
      </c>
      <c r="G38" s="25">
        <v>1.65</v>
      </c>
      <c r="H38" s="20">
        <f>E38*G38</f>
        <v>10102114777.17288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4373209860.2480001</v>
      </c>
      <c r="F39" s="25" t="s">
        <v>18</v>
      </c>
      <c r="G39" s="25">
        <v>1.65</v>
      </c>
      <c r="H39" s="20">
        <f>E39*G39</f>
        <v>7215796269.4091997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1749283944.0991998</v>
      </c>
      <c r="F40" s="25" t="s">
        <v>18</v>
      </c>
      <c r="G40" s="25">
        <v>1.65</v>
      </c>
      <c r="H40" s="20">
        <f t="shared" ref="H40:H48" si="15">E40*G40</f>
        <v>2886318507.7636795</v>
      </c>
    </row>
    <row r="41" spans="1:14" x14ac:dyDescent="0.25">
      <c r="C41" s="25" t="s">
        <v>41</v>
      </c>
      <c r="D41" s="25">
        <v>2207</v>
      </c>
      <c r="E41" s="20">
        <f>H27</f>
        <v>3061246902.1736002</v>
      </c>
      <c r="F41" s="25" t="s">
        <v>18</v>
      </c>
      <c r="G41" s="25">
        <v>1.65</v>
      </c>
      <c r="H41" s="20">
        <f t="shared" si="15"/>
        <v>5051057388.5864401</v>
      </c>
    </row>
    <row r="42" spans="1:14" x14ac:dyDescent="0.25">
      <c r="C42" s="25" t="s">
        <v>40</v>
      </c>
      <c r="D42" s="10">
        <v>2208</v>
      </c>
      <c r="E42" s="20">
        <f>I27</f>
        <v>4810530846.2728004</v>
      </c>
      <c r="F42" s="25" t="s">
        <v>18</v>
      </c>
      <c r="G42" s="25">
        <v>1.65</v>
      </c>
      <c r="H42" s="20">
        <f t="shared" si="15"/>
        <v>7937375896.3501205</v>
      </c>
    </row>
    <row r="43" spans="1:14" x14ac:dyDescent="0.25">
      <c r="D43" s="25">
        <v>2210</v>
      </c>
      <c r="E43" s="20">
        <f>J27</f>
        <v>3061246902.1736002</v>
      </c>
      <c r="F43" s="25" t="s">
        <v>18</v>
      </c>
      <c r="G43" s="25">
        <v>1.65</v>
      </c>
      <c r="H43" s="20">
        <f t="shared" si="15"/>
        <v>5051057388.5864401</v>
      </c>
    </row>
    <row r="44" spans="1:14" x14ac:dyDescent="0.25">
      <c r="D44" s="25">
        <v>2212</v>
      </c>
      <c r="E44" s="20">
        <f>K27</f>
        <v>1749283944.0991998</v>
      </c>
      <c r="F44" s="25" t="s">
        <v>18</v>
      </c>
      <c r="G44" s="25">
        <v>1.65</v>
      </c>
      <c r="H44" s="20">
        <f t="shared" si="15"/>
        <v>2886318507.7636795</v>
      </c>
    </row>
    <row r="45" spans="1:14" x14ac:dyDescent="0.25">
      <c r="D45" s="25">
        <v>2216</v>
      </c>
      <c r="E45" s="20">
        <f>L27</f>
        <v>437320986.02479994</v>
      </c>
      <c r="F45" s="25" t="s">
        <v>18</v>
      </c>
      <c r="G45" s="25">
        <v>1.65</v>
      </c>
      <c r="H45" s="20">
        <f t="shared" si="15"/>
        <v>721579626.94091988</v>
      </c>
    </row>
    <row r="46" spans="1:14" x14ac:dyDescent="0.25">
      <c r="D46" s="25">
        <v>2247</v>
      </c>
      <c r="E46" s="20">
        <f>M27</f>
        <v>3935888874.2231998</v>
      </c>
      <c r="F46" s="25" t="s">
        <v>18</v>
      </c>
      <c r="G46" s="25">
        <v>1.65</v>
      </c>
      <c r="H46" s="20">
        <f t="shared" si="15"/>
        <v>6494216642.4682798</v>
      </c>
    </row>
    <row r="47" spans="1:14" x14ac:dyDescent="0.25">
      <c r="D47" s="25">
        <v>2261</v>
      </c>
      <c r="E47" s="20">
        <f>N27</f>
        <v>874641972.04959989</v>
      </c>
      <c r="F47" s="25" t="s">
        <v>18</v>
      </c>
      <c r="G47" s="25">
        <v>1.65</v>
      </c>
      <c r="H47" s="20">
        <f t="shared" si="15"/>
        <v>1443159253.8818398</v>
      </c>
    </row>
    <row r="48" spans="1:14" x14ac:dyDescent="0.25">
      <c r="D48" s="25">
        <v>2304</v>
      </c>
      <c r="E48" s="20">
        <f>O27</f>
        <v>437320986.02479994</v>
      </c>
      <c r="F48" s="25" t="s">
        <v>18</v>
      </c>
      <c r="G48" s="25">
        <v>1.65</v>
      </c>
      <c r="H48" s="72">
        <f t="shared" si="15"/>
        <v>721579626.94091988</v>
      </c>
    </row>
    <row r="49" spans="7:8" x14ac:dyDescent="0.25">
      <c r="G49" s="70" t="s">
        <v>34</v>
      </c>
      <c r="H49" s="71">
        <f>SUM(H35:H48)</f>
        <v>72157962694.091995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61" right="0.70866141732283461" top="0.74803149606299213" bottom="0.74803149606299213" header="0.31496062992125984" footer="0.31496062992125984"/>
  <pageSetup paperSize="14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workbookViewId="0">
      <selection activeCell="G21" sqref="G2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74" t="s">
        <v>13</v>
      </c>
      <c r="B2" s="150" t="s">
        <v>14</v>
      </c>
      <c r="C2" s="150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14575605.8544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48585352.848000005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82595099.841600016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68019493.987200007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48585352.848000005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19434141.139200002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34009746.993600003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53443888.132800005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34009746.993600003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0.04</v>
      </c>
      <c r="K12" s="33">
        <f>K17*J12</f>
        <v>19434141.139200002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0.01</v>
      </c>
      <c r="K13" s="33">
        <f>K17*J13</f>
        <v>4858535.2848000005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43726817.563199997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9717070.569600001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4858535.2848000005</v>
      </c>
    </row>
    <row r="17" spans="1:11" s="32" customFormat="1" x14ac:dyDescent="0.25">
      <c r="J17" s="38">
        <f>SUM(J3:J16)</f>
        <v>1</v>
      </c>
      <c r="K17" s="33">
        <v>485853528.48000002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82" t="s">
        <v>13</v>
      </c>
      <c r="B19" s="151" t="s">
        <v>14</v>
      </c>
      <c r="C19" s="151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86">
        <v>0.9</v>
      </c>
      <c r="J20" s="87">
        <v>0.03</v>
      </c>
      <c r="K20" s="81">
        <f>K34*J20</f>
        <v>24116065.268399999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86">
        <v>2</v>
      </c>
      <c r="J21" s="87">
        <v>0.1</v>
      </c>
      <c r="K21" s="81">
        <f>K34*J21</f>
        <v>80386884.228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86">
        <v>0.4</v>
      </c>
      <c r="J22" s="87">
        <v>0.17</v>
      </c>
      <c r="K22" s="81">
        <f>K34*J22</f>
        <v>136657703.18760002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86">
        <v>0.75</v>
      </c>
      <c r="J23" s="87">
        <v>0.14000000000000001</v>
      </c>
      <c r="K23" s="81">
        <f>K34*J23</f>
        <v>112541637.9192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86">
        <v>0.75</v>
      </c>
      <c r="J24" s="87">
        <v>0.1</v>
      </c>
      <c r="K24" s="81">
        <f>K34*J24</f>
        <v>80386884.228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86">
        <v>8</v>
      </c>
      <c r="J25" s="87">
        <v>0.04</v>
      </c>
      <c r="K25" s="81">
        <f>K34*J25</f>
        <v>32154753.691199999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86">
        <v>1.1499999999999999</v>
      </c>
      <c r="J26" s="87">
        <v>7.0000000000000007E-2</v>
      </c>
      <c r="K26" s="81">
        <f>K34*J26</f>
        <v>56270818.959600002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89">
        <v>0.75</v>
      </c>
      <c r="J27" s="87">
        <v>0.11</v>
      </c>
      <c r="K27" s="81">
        <f>K34*J27</f>
        <v>88425572.650800005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89">
        <v>0.75</v>
      </c>
      <c r="J28" s="87">
        <v>7.0000000000000007E-2</v>
      </c>
      <c r="K28" s="81">
        <f>K34*J28</f>
        <v>56270818.959600002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89">
        <v>1.25</v>
      </c>
      <c r="J29" s="87">
        <v>0.04</v>
      </c>
      <c r="K29" s="81">
        <f>K34*J29</f>
        <v>32154753.691199999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89">
        <v>1.35</v>
      </c>
      <c r="J30" s="87">
        <v>0.01</v>
      </c>
      <c r="K30" s="81">
        <f>K34*J30</f>
        <v>8038688.4227999998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89">
        <v>0.9</v>
      </c>
      <c r="J31" s="87">
        <v>0.09</v>
      </c>
      <c r="K31" s="81">
        <f>K34*J31</f>
        <v>72348195.805199996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89">
        <v>1.35</v>
      </c>
      <c r="J32" s="87">
        <v>0.02</v>
      </c>
      <c r="K32" s="81">
        <f>K34*J32</f>
        <v>16077376.8456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89">
        <v>3</v>
      </c>
      <c r="J33" s="90">
        <v>0.01</v>
      </c>
      <c r="K33" s="91">
        <f>K34*J33</f>
        <v>8038688.4227999998</v>
      </c>
    </row>
    <row r="34" spans="1:11" s="80" customFormat="1" x14ac:dyDescent="0.25">
      <c r="J34" s="87">
        <f>SUM(J20:J33)</f>
        <v>1</v>
      </c>
      <c r="K34" s="81">
        <v>803868842.27999997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74" t="s">
        <v>13</v>
      </c>
      <c r="B36" s="150" t="s">
        <v>14</v>
      </c>
      <c r="C36" s="150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0.9</v>
      </c>
      <c r="J37" s="38">
        <v>0.03</v>
      </c>
      <c r="K37" s="33">
        <f>K51*J37</f>
        <v>27368230.300499998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2</v>
      </c>
      <c r="J38" s="38">
        <v>0.1</v>
      </c>
      <c r="K38" s="33">
        <f>K51*J38</f>
        <v>91227434.335000008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0.4</v>
      </c>
      <c r="J39" s="38">
        <v>0.17</v>
      </c>
      <c r="K39" s="33">
        <f>K51*J39</f>
        <v>155086638.36950001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0.75</v>
      </c>
      <c r="J40" s="38">
        <v>0.14000000000000001</v>
      </c>
      <c r="K40" s="33">
        <f>K51*J40</f>
        <v>127718408.06900002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0.75</v>
      </c>
      <c r="J41" s="38">
        <v>0.1</v>
      </c>
      <c r="K41" s="33">
        <f>K51*J41</f>
        <v>91227434.335000008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8</v>
      </c>
      <c r="J42" s="38">
        <v>0.04</v>
      </c>
      <c r="K42" s="33">
        <f>K51*J42</f>
        <v>36490973.734000005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1.1499999999999999</v>
      </c>
      <c r="J43" s="38">
        <v>7.0000000000000007E-2</v>
      </c>
      <c r="K43" s="33">
        <f>K51*J43</f>
        <v>63859204.03450001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0.75</v>
      </c>
      <c r="J44" s="38">
        <v>0.11</v>
      </c>
      <c r="K44" s="33">
        <f>K51*J44</f>
        <v>100350177.7685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0.75</v>
      </c>
      <c r="J45" s="38">
        <v>7.0000000000000007E-2</v>
      </c>
      <c r="K45" s="33">
        <f>K51*J45</f>
        <v>63859204.03450001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1.25</v>
      </c>
      <c r="J46" s="38">
        <v>0.04</v>
      </c>
      <c r="K46" s="33">
        <f>K51*J46</f>
        <v>36490973.734000005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1.35</v>
      </c>
      <c r="J47" s="38">
        <v>0.01</v>
      </c>
      <c r="K47" s="33">
        <f>K51*J47</f>
        <v>9122743.4335000012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82104690.901500002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1.35</v>
      </c>
      <c r="J49" s="38">
        <v>0.02</v>
      </c>
      <c r="K49" s="33">
        <f>K51*J49</f>
        <v>18245486.867000002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3</v>
      </c>
      <c r="J50" s="41">
        <v>0.01</v>
      </c>
      <c r="K50" s="42">
        <f>K51*J50</f>
        <v>9122743.4335000012</v>
      </c>
    </row>
    <row r="51" spans="1:11" s="32" customFormat="1" x14ac:dyDescent="0.25">
      <c r="J51" s="38">
        <f>SUM(J37:J50)</f>
        <v>1</v>
      </c>
      <c r="K51" s="33">
        <v>912274343.35000002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75" t="s">
        <v>13</v>
      </c>
      <c r="B53" s="149" t="s">
        <v>14</v>
      </c>
      <c r="C53" s="149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61">
        <v>0.9</v>
      </c>
      <c r="J54" s="62">
        <v>0.03</v>
      </c>
      <c r="K54" s="57">
        <f>K68*J54</f>
        <v>46452031.359299995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61">
        <v>2</v>
      </c>
      <c r="J55" s="62">
        <v>0.1</v>
      </c>
      <c r="K55" s="57">
        <f>K68*J55</f>
        <v>154840104.53099999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61">
        <v>0.4</v>
      </c>
      <c r="J56" s="62">
        <v>0.17</v>
      </c>
      <c r="K56" s="57">
        <f>K68*J56</f>
        <v>263228177.70270002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61">
        <v>0.75</v>
      </c>
      <c r="J57" s="62">
        <v>0.14000000000000001</v>
      </c>
      <c r="K57" s="57">
        <f>K68*J57</f>
        <v>216776146.3434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61">
        <v>0.75</v>
      </c>
      <c r="J58" s="62">
        <v>0.1</v>
      </c>
      <c r="K58" s="57">
        <f>K68*J58</f>
        <v>154840104.53099999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61">
        <v>8</v>
      </c>
      <c r="J59" s="62">
        <v>0.04</v>
      </c>
      <c r="K59" s="57">
        <f>K68*J59</f>
        <v>61936041.812399998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61">
        <v>1.1499999999999999</v>
      </c>
      <c r="J60" s="62">
        <v>7.0000000000000007E-2</v>
      </c>
      <c r="K60" s="57">
        <f>K68*J60</f>
        <v>108388073.1717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64">
        <v>0.75</v>
      </c>
      <c r="J61" s="62">
        <v>0.11</v>
      </c>
      <c r="K61" s="57">
        <f>K68*J61</f>
        <v>170324114.98409998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64">
        <v>0.75</v>
      </c>
      <c r="J62" s="62">
        <v>7.0000000000000007E-2</v>
      </c>
      <c r="K62" s="57">
        <f>K68*J62</f>
        <v>108388073.1717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64">
        <v>1.25</v>
      </c>
      <c r="J63" s="62">
        <v>0.04</v>
      </c>
      <c r="K63" s="57">
        <f>K68*J63</f>
        <v>61936041.812399998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64">
        <v>1.35</v>
      </c>
      <c r="J64" s="62">
        <v>0.01</v>
      </c>
      <c r="K64" s="57">
        <f>K68*J64</f>
        <v>15484010.4531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64">
        <v>0.9</v>
      </c>
      <c r="J65" s="62">
        <v>0.09</v>
      </c>
      <c r="K65" s="57">
        <f>K68*J65</f>
        <v>139356094.07789999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64">
        <v>1.35</v>
      </c>
      <c r="J66" s="62">
        <v>0.02</v>
      </c>
      <c r="K66" s="57">
        <f>K68*J66</f>
        <v>30968020.906199999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64">
        <v>3</v>
      </c>
      <c r="J67" s="65">
        <v>0.01</v>
      </c>
      <c r="K67" s="66">
        <f>K68*J67</f>
        <v>15484010.4531</v>
      </c>
    </row>
    <row r="68" spans="1:11" s="56" customFormat="1" x14ac:dyDescent="0.25">
      <c r="J68" s="62">
        <f>SUM(J54:J67)</f>
        <v>1</v>
      </c>
      <c r="K68" s="57">
        <v>1548401045.3099999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74" t="s">
        <v>13</v>
      </c>
      <c r="B70" s="150" t="s">
        <v>14</v>
      </c>
      <c r="C70" s="150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0.9</v>
      </c>
      <c r="J71" s="38">
        <v>0.03</v>
      </c>
      <c r="K71" s="33">
        <f>K85*J71</f>
        <v>49787517.765900001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2</v>
      </c>
      <c r="J72" s="38">
        <v>0.1</v>
      </c>
      <c r="K72" s="33">
        <f>K85*J72</f>
        <v>165958392.553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0.4</v>
      </c>
      <c r="J73" s="38">
        <v>0.17</v>
      </c>
      <c r="K73" s="33">
        <f>K85*J73</f>
        <v>282129267.34009999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0.75</v>
      </c>
      <c r="J74" s="38">
        <v>0.14000000000000001</v>
      </c>
      <c r="K74" s="33">
        <f>K85*J74</f>
        <v>232341749.5742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0.75</v>
      </c>
      <c r="J75" s="38">
        <v>0.1</v>
      </c>
      <c r="K75" s="33">
        <f>K85*J75</f>
        <v>165958392.553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8</v>
      </c>
      <c r="J76" s="38">
        <v>0.04</v>
      </c>
      <c r="K76" s="33">
        <f>K85*J76</f>
        <v>66383357.021200001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1.1499999999999999</v>
      </c>
      <c r="J77" s="38">
        <v>7.0000000000000007E-2</v>
      </c>
      <c r="K77" s="33">
        <f>K85*J77</f>
        <v>116170874.7871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0.75</v>
      </c>
      <c r="J78" s="38">
        <v>0.11</v>
      </c>
      <c r="K78" s="33">
        <f>K85*J78</f>
        <v>182554231.80829999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0.75</v>
      </c>
      <c r="J79" s="38">
        <v>7.0000000000000007E-2</v>
      </c>
      <c r="K79" s="33">
        <f>K85*J79</f>
        <v>116170874.7871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1.25</v>
      </c>
      <c r="J80" s="38">
        <v>0.04</v>
      </c>
      <c r="K80" s="33">
        <f>K85*J80</f>
        <v>66383357.021200001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1.35</v>
      </c>
      <c r="J81" s="38">
        <v>0.01</v>
      </c>
      <c r="K81" s="33">
        <f>K85*J81</f>
        <v>16595839.2553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149362553.29769999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1.35</v>
      </c>
      <c r="J83" s="38">
        <v>0.02</v>
      </c>
      <c r="K83" s="33">
        <f>K85*J83</f>
        <v>33191678.510600001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3</v>
      </c>
      <c r="J84" s="41">
        <v>0.01</v>
      </c>
      <c r="K84" s="42">
        <f>K85*J84</f>
        <v>16595839.2553</v>
      </c>
    </row>
    <row r="85" spans="1:11" s="32" customFormat="1" x14ac:dyDescent="0.25">
      <c r="J85" s="38">
        <f>SUM(J71:J84)</f>
        <v>1</v>
      </c>
      <c r="K85" s="33">
        <v>1659583925.53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75" t="s">
        <v>13</v>
      </c>
      <c r="B87" s="149" t="s">
        <v>14</v>
      </c>
      <c r="C87" s="149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61">
        <v>0.9</v>
      </c>
      <c r="J88" s="62">
        <v>0.03</v>
      </c>
      <c r="K88" s="57">
        <f>K102*J88</f>
        <v>47420350.809599996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61">
        <v>2</v>
      </c>
      <c r="J89" s="62">
        <v>0.1</v>
      </c>
      <c r="K89" s="57">
        <f>K102*J89</f>
        <v>158067836.03200001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61">
        <v>0.4</v>
      </c>
      <c r="J90" s="62">
        <v>0.17</v>
      </c>
      <c r="K90" s="57">
        <f>K102*J90</f>
        <v>268715321.25440001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61">
        <v>0.75</v>
      </c>
      <c r="J91" s="62">
        <v>0.14000000000000001</v>
      </c>
      <c r="K91" s="57">
        <f>K102*J91</f>
        <v>221294970.44480002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61">
        <v>0.75</v>
      </c>
      <c r="J92" s="62">
        <v>0.1</v>
      </c>
      <c r="K92" s="57">
        <f>K102*J92</f>
        <v>158067836.03200001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61">
        <v>8</v>
      </c>
      <c r="J93" s="62">
        <v>0.04</v>
      </c>
      <c r="K93" s="57">
        <f>K102*J93</f>
        <v>63227134.412799999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61">
        <v>1.1499999999999999</v>
      </c>
      <c r="J94" s="62">
        <v>7.0000000000000007E-2</v>
      </c>
      <c r="K94" s="57">
        <f>K102*J94</f>
        <v>110647485.22240001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64">
        <v>0.75</v>
      </c>
      <c r="J95" s="62">
        <v>0.11</v>
      </c>
      <c r="K95" s="57">
        <f>K102*J95</f>
        <v>173874619.63519999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64">
        <v>0.75</v>
      </c>
      <c r="J96" s="62">
        <v>7.0000000000000007E-2</v>
      </c>
      <c r="K96" s="57">
        <f>K102*J96</f>
        <v>110647485.22240001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64">
        <v>1.25</v>
      </c>
      <c r="J97" s="62">
        <v>0.04</v>
      </c>
      <c r="K97" s="57">
        <f>K102*J97</f>
        <v>63227134.412799999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64">
        <v>1.35</v>
      </c>
      <c r="J98" s="62">
        <v>0.01</v>
      </c>
      <c r="K98" s="57">
        <f>K102*J98</f>
        <v>15806783.6032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64">
        <v>0.9</v>
      </c>
      <c r="J99" s="62">
        <v>0.09</v>
      </c>
      <c r="K99" s="57">
        <f>K102*J99</f>
        <v>142261052.42879999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64">
        <v>1.35</v>
      </c>
      <c r="J100" s="62">
        <v>0.02</v>
      </c>
      <c r="K100" s="57">
        <f>K102*J100</f>
        <v>31613567.2064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64">
        <v>3</v>
      </c>
      <c r="J101" s="65">
        <v>0.01</v>
      </c>
      <c r="K101" s="66">
        <f>K102*J101</f>
        <v>15806783.6032</v>
      </c>
    </row>
    <row r="102" spans="1:11" s="56" customFormat="1" x14ac:dyDescent="0.25">
      <c r="J102" s="62">
        <f>SUM(J88:J101)</f>
        <v>1</v>
      </c>
      <c r="K102" s="57">
        <v>1580678360.3199999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74" t="s">
        <v>13</v>
      </c>
      <c r="B104" s="150" t="s">
        <v>14</v>
      </c>
      <c r="C104" s="150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67219956.657600001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224066522.19200003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380913087.72640002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313693131.06880003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224066522.19200003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89626608.876800001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156846565.53440002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246473174.41120002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156846565.53440002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89626608.876800001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22406652.2192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201659869.97279999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44813304.4384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22406652.2192</v>
      </c>
    </row>
    <row r="119" spans="1:11" s="32" customFormat="1" x14ac:dyDescent="0.25">
      <c r="J119" s="38">
        <f>SUM(J105:J118)</f>
        <v>1</v>
      </c>
      <c r="K119" s="33">
        <v>2240665221.9200001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75" t="s">
        <v>13</v>
      </c>
      <c r="B121" s="149" t="s">
        <v>14</v>
      </c>
      <c r="C121" s="149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66788412.911099993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222628043.037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378467673.16290003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311679260.2518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222628043.037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89051217.2148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155839630.1259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244890847.3407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155839630.1259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89051217.2148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22262804.3037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200365238.73329997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44525608.6074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22262804.3037</v>
      </c>
    </row>
    <row r="136" spans="1:11" s="56" customFormat="1" x14ac:dyDescent="0.25">
      <c r="J136" s="62">
        <f>SUM(J122:J135)</f>
        <v>1</v>
      </c>
      <c r="K136" s="57">
        <v>2226280430.3699999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74" t="s">
        <v>13</v>
      </c>
      <c r="B138" s="150" t="s">
        <v>14</v>
      </c>
      <c r="C138" s="150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79937878.680900007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266459595.60300004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452981312.52510005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373043433.84420007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266459595.60300004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106583838.24120001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186521716.92210004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293105555.16330004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186521716.92210004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106583838.24120001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26645959.560300004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239813636.04270002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53291919.120600007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26645959.560300004</v>
      </c>
    </row>
    <row r="153" spans="1:11" s="32" customFormat="1" x14ac:dyDescent="0.25">
      <c r="J153" s="38">
        <f>SUM(J139:J152)</f>
        <v>1</v>
      </c>
      <c r="K153" s="33">
        <v>2664595956.0300002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75" t="s">
        <v>13</v>
      </c>
      <c r="B155" s="149" t="s">
        <v>14</v>
      </c>
      <c r="C155" s="149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127377824.81609999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424592749.38700002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721807673.95790005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594429849.14180005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424592749.38700002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169837099.75479999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297214924.57090002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467052024.32569999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297214924.57090002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169837099.75479999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42459274.938699998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382133474.4483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84918549.877399996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42459274.938699998</v>
      </c>
    </row>
    <row r="170" spans="1:11" s="56" customFormat="1" x14ac:dyDescent="0.25">
      <c r="J170" s="62">
        <f>SUM(J156:J169)</f>
        <v>1</v>
      </c>
      <c r="K170" s="57">
        <v>4245927493.8699999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74" t="s">
        <v>13</v>
      </c>
      <c r="B172" s="150" t="s">
        <v>14</v>
      </c>
      <c r="C172" s="150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219705298.37189999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732350994.57299995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1244996690.7741001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1025291392.4022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732350994.57299995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292940397.82919997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512645696.20109999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805586094.0302999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512645696.20109999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292940397.82919997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73235099.457299992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659115895.11569989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146470198.91459998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73235099.457299992</v>
      </c>
    </row>
    <row r="187" spans="1:11" s="32" customFormat="1" x14ac:dyDescent="0.25">
      <c r="J187" s="38">
        <f>SUM(J173:J186)</f>
        <v>1</v>
      </c>
      <c r="K187" s="33">
        <v>7323509945.7299995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75" t="s">
        <v>13</v>
      </c>
      <c r="B189" s="149" t="s">
        <v>14</v>
      </c>
      <c r="C189" s="149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541213785.27869999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1804045950.9290001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3066878116.5793004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2525664331.3006005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1804045950.9290001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721618380.37160003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1262832165.6503003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1984450546.0219002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1262832165.6503003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721618380.37160003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180404595.09290001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1623641355.8361001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360809190.18580002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180404595.09290001</v>
      </c>
    </row>
    <row r="204" spans="1:11" s="56" customFormat="1" x14ac:dyDescent="0.25">
      <c r="J204" s="62">
        <f>SUM(J190:J203)</f>
        <v>1</v>
      </c>
      <c r="K204" s="57">
        <v>18040459509.290001</v>
      </c>
    </row>
  </sheetData>
  <mergeCells count="12">
    <mergeCell ref="B2:C2"/>
    <mergeCell ref="B19:C19"/>
    <mergeCell ref="B36:C36"/>
    <mergeCell ref="B53:C53"/>
    <mergeCell ref="B172:C172"/>
    <mergeCell ref="B189:C189"/>
    <mergeCell ref="B70:C70"/>
    <mergeCell ref="B87:C87"/>
    <mergeCell ref="B104:C104"/>
    <mergeCell ref="B121:C121"/>
    <mergeCell ref="B138:C138"/>
    <mergeCell ref="B155:C15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7" workbookViewId="0">
      <selection activeCell="C31" sqref="C31"/>
    </sheetView>
  </sheetViews>
  <sheetFormatPr baseColWidth="10" defaultRowHeight="15" x14ac:dyDescent="0.25"/>
  <cols>
    <col min="1" max="1" width="10.28515625" style="11" bestFit="1" customWidth="1"/>
    <col min="2" max="16" width="15.28515625" style="11" customWidth="1"/>
    <col min="17" max="16384" width="11.42578125" style="11"/>
  </cols>
  <sheetData>
    <row r="1" spans="1:16" ht="15.75" x14ac:dyDescent="0.25">
      <c r="A1" s="147" t="s">
        <v>63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83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2" t="s">
        <v>13</v>
      </c>
      <c r="B5" s="147" t="s">
        <v>14</v>
      </c>
      <c r="C5" s="147"/>
      <c r="D5" s="10"/>
      <c r="E5" s="10"/>
      <c r="F5" s="10"/>
      <c r="G5" s="10"/>
      <c r="H5" s="10"/>
      <c r="I5" s="142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8</v>
      </c>
      <c r="B18" s="119">
        <v>0</v>
      </c>
      <c r="C18" s="119">
        <f>+P18*23%</f>
        <v>196198.67559999999</v>
      </c>
      <c r="D18" s="119">
        <f>+P18*22%</f>
        <v>187668.2984</v>
      </c>
      <c r="E18" s="119">
        <f>+P18*14.5%</f>
        <v>123690.46939999999</v>
      </c>
      <c r="F18" s="119">
        <v>0</v>
      </c>
      <c r="G18" s="119">
        <f>+P18*3%</f>
        <v>25591.131599999997</v>
      </c>
      <c r="H18" s="119">
        <f>+P18*5%</f>
        <v>42651.885999999999</v>
      </c>
      <c r="I18" s="119">
        <f>+P18*8%</f>
        <v>68243.017599999992</v>
      </c>
      <c r="J18" s="119">
        <f>+P18*7%</f>
        <v>59712.640400000004</v>
      </c>
      <c r="K18" s="119">
        <f>+P18*1.5%</f>
        <v>12795.565799999998</v>
      </c>
      <c r="L18" s="119">
        <f>+P18*2%</f>
        <v>17060.754399999998</v>
      </c>
      <c r="M18" s="119">
        <f>+P18*10%</f>
        <v>85303.771999999997</v>
      </c>
      <c r="N18" s="119">
        <f>+P18*3.5%</f>
        <v>29856.320200000002</v>
      </c>
      <c r="O18" s="119">
        <f>+P18*0.5%</f>
        <v>4265.1885999999995</v>
      </c>
      <c r="P18" s="120">
        <v>853037.72</v>
      </c>
      <c r="Q18" s="11" t="str">
        <f>+A18</f>
        <v>SEPTIEMBRE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196198.67559999999</v>
      </c>
      <c r="D19" s="121">
        <f t="shared" si="0"/>
        <v>187668.2984</v>
      </c>
      <c r="E19" s="121">
        <f t="shared" si="0"/>
        <v>123690.46939999999</v>
      </c>
      <c r="F19" s="121">
        <f t="shared" si="0"/>
        <v>0</v>
      </c>
      <c r="G19" s="121">
        <f t="shared" si="0"/>
        <v>25591.131599999997</v>
      </c>
      <c r="H19" s="121">
        <f t="shared" si="0"/>
        <v>42651.885999999999</v>
      </c>
      <c r="I19" s="121">
        <f t="shared" si="0"/>
        <v>68243.017599999992</v>
      </c>
      <c r="J19" s="121">
        <f t="shared" si="0"/>
        <v>59712.640400000004</v>
      </c>
      <c r="K19" s="121">
        <f t="shared" si="0"/>
        <v>12795.565799999998</v>
      </c>
      <c r="L19" s="121">
        <f t="shared" si="0"/>
        <v>17060.754399999998</v>
      </c>
      <c r="M19" s="121">
        <f t="shared" si="0"/>
        <v>85303.771999999997</v>
      </c>
      <c r="N19" s="121">
        <f t="shared" si="0"/>
        <v>29856.320200000002</v>
      </c>
      <c r="O19" s="121">
        <f t="shared" si="0"/>
        <v>4265.1885999999995</v>
      </c>
      <c r="P19" s="120">
        <f>SUM(B19:O19)</f>
        <v>853037.71999999986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144">
        <v>50.18</v>
      </c>
      <c r="C22" s="144">
        <f>C19*C16</f>
        <v>3923.973512</v>
      </c>
      <c r="D22" s="144">
        <f>D19*D16</f>
        <v>1876.682984</v>
      </c>
      <c r="E22" s="144">
        <f t="shared" ref="E22:O22" si="1">+E19*E16</f>
        <v>1422.4403980999998</v>
      </c>
      <c r="F22" s="144">
        <v>50.18</v>
      </c>
      <c r="G22" s="144">
        <f t="shared" si="1"/>
        <v>1535.4678959999997</v>
      </c>
      <c r="H22" s="144">
        <f t="shared" si="1"/>
        <v>959.66743499999995</v>
      </c>
      <c r="I22" s="144">
        <f t="shared" si="1"/>
        <v>784.79470239999989</v>
      </c>
      <c r="J22" s="144">
        <f t="shared" si="1"/>
        <v>895.68960600000003</v>
      </c>
      <c r="K22" s="144">
        <f t="shared" si="1"/>
        <v>287.90023049999996</v>
      </c>
      <c r="L22" s="144">
        <f t="shared" si="1"/>
        <v>383.86697399999991</v>
      </c>
      <c r="M22" s="144">
        <f t="shared" si="1"/>
        <v>853.03772000000004</v>
      </c>
      <c r="N22" s="144">
        <f t="shared" si="1"/>
        <v>522.48560350000014</v>
      </c>
      <c r="O22" s="144">
        <f t="shared" si="1"/>
        <v>181.27051549999999</v>
      </c>
      <c r="P22" s="144">
        <f>SUM(B22:O22)</f>
        <v>13727.637577</v>
      </c>
    </row>
    <row r="23" spans="1:17" hidden="1" x14ac:dyDescent="0.25">
      <c r="F23" s="117"/>
    </row>
    <row r="24" spans="1:17" hidden="1" x14ac:dyDescent="0.25">
      <c r="B24" s="68">
        <f>+B22</f>
        <v>50.18</v>
      </c>
      <c r="C24" s="68">
        <f t="shared" ref="C24:O24" si="2">C22</f>
        <v>3923.973512</v>
      </c>
      <c r="D24" s="68">
        <f t="shared" si="2"/>
        <v>1876.682984</v>
      </c>
      <c r="E24" s="68">
        <f t="shared" si="2"/>
        <v>1422.4403980999998</v>
      </c>
      <c r="F24" s="68">
        <f>+F22</f>
        <v>50.18</v>
      </c>
      <c r="G24" s="68">
        <f t="shared" si="2"/>
        <v>1535.4678959999997</v>
      </c>
      <c r="H24" s="68">
        <f t="shared" si="2"/>
        <v>959.66743499999995</v>
      </c>
      <c r="I24" s="68">
        <f t="shared" si="2"/>
        <v>784.79470239999989</v>
      </c>
      <c r="J24" s="68">
        <f t="shared" si="2"/>
        <v>895.68960600000003</v>
      </c>
      <c r="K24" s="68">
        <f>K22</f>
        <v>287.90023049999996</v>
      </c>
      <c r="L24" s="68">
        <f t="shared" si="2"/>
        <v>383.86697399999991</v>
      </c>
      <c r="M24" s="68">
        <f t="shared" si="2"/>
        <v>853.03772000000004</v>
      </c>
      <c r="N24" s="68">
        <f t="shared" si="2"/>
        <v>522.48560350000014</v>
      </c>
      <c r="O24" s="68">
        <f t="shared" si="2"/>
        <v>181.27051549999999</v>
      </c>
      <c r="P24" s="68">
        <f>SUM(B24:O24)</f>
        <v>13727.637577</v>
      </c>
    </row>
    <row r="25" spans="1:17" x14ac:dyDescent="0.25">
      <c r="F25" s="117"/>
      <c r="P25" s="144"/>
    </row>
    <row r="26" spans="1:17" x14ac:dyDescent="0.25">
      <c r="F26" s="117"/>
      <c r="O26" s="125" t="s">
        <v>59</v>
      </c>
      <c r="P26" s="145">
        <f>P24*5%</f>
        <v>686.38187885000002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  <c r="P27" s="117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144">
        <f>P24-P26</f>
        <v>13041.25569815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H10" workbookViewId="0">
      <selection activeCell="K34" sqref="K34"/>
    </sheetView>
  </sheetViews>
  <sheetFormatPr baseColWidth="10" defaultRowHeight="15" x14ac:dyDescent="0.25"/>
  <cols>
    <col min="1" max="1" width="9.28515625" customWidth="1"/>
    <col min="2" max="3" width="14.5703125" customWidth="1"/>
    <col min="4" max="4" width="15" customWidth="1"/>
    <col min="5" max="6" width="15.7109375" customWidth="1"/>
    <col min="7" max="7" width="14.7109375" customWidth="1"/>
    <col min="8" max="8" width="15.140625" customWidth="1"/>
    <col min="9" max="9" width="14" customWidth="1"/>
    <col min="10" max="10" width="13.5703125" customWidth="1"/>
    <col min="11" max="11" width="14" customWidth="1"/>
    <col min="12" max="12" width="10" customWidth="1"/>
    <col min="13" max="13" width="14.85546875" customWidth="1"/>
    <col min="14" max="14" width="12.85546875" customWidth="1"/>
    <col min="15" max="15" width="13.140625" customWidth="1"/>
    <col min="16" max="16" width="15.140625" customWidth="1"/>
  </cols>
  <sheetData>
    <row r="1" spans="1:16" ht="15.75" x14ac:dyDescent="0.25">
      <c r="A1" s="148" t="s">
        <v>42</v>
      </c>
      <c r="B1" s="148"/>
      <c r="C1" s="148"/>
      <c r="D1" s="148"/>
      <c r="E1" s="148"/>
      <c r="F1" s="148"/>
      <c r="G1" s="12"/>
      <c r="H1" s="12"/>
      <c r="I1" s="12"/>
      <c r="J1" s="12"/>
      <c r="K1" s="12"/>
      <c r="L1" s="12"/>
      <c r="M1" s="12"/>
      <c r="N1" s="12"/>
    </row>
    <row r="2" spans="1:16" ht="15.75" x14ac:dyDescent="0.25">
      <c r="A2" s="148" t="s">
        <v>43</v>
      </c>
      <c r="B2" s="148"/>
      <c r="C2" s="148"/>
      <c r="D2" s="148"/>
      <c r="E2" s="148"/>
      <c r="F2" s="148"/>
      <c r="G2" s="12"/>
      <c r="H2" s="12"/>
      <c r="I2" s="12"/>
      <c r="J2" s="12"/>
      <c r="K2" s="12"/>
      <c r="L2" s="12"/>
      <c r="M2" s="12"/>
      <c r="N2" s="12"/>
    </row>
    <row r="3" spans="1:16" ht="15.75" x14ac:dyDescent="0.25">
      <c r="A3" s="148" t="s">
        <v>12</v>
      </c>
      <c r="B3" s="148"/>
      <c r="C3" s="148"/>
      <c r="D3" s="148"/>
      <c r="E3" s="148"/>
      <c r="F3" s="148"/>
      <c r="G3" s="12"/>
      <c r="H3" s="12"/>
      <c r="I3" s="12"/>
      <c r="J3" s="12"/>
      <c r="K3" s="12"/>
      <c r="L3" s="12"/>
      <c r="M3" s="12"/>
      <c r="N3" s="12"/>
    </row>
    <row r="4" spans="1:16" ht="15.75" x14ac:dyDescent="0.25">
      <c r="A4" s="148" t="s">
        <v>16</v>
      </c>
      <c r="B4" s="148"/>
      <c r="C4" s="148"/>
      <c r="D4" s="148"/>
      <c r="E4" s="148"/>
      <c r="F4" s="148"/>
      <c r="G4" s="12"/>
      <c r="H4" s="12"/>
      <c r="I4" s="12"/>
      <c r="J4" s="12"/>
      <c r="K4" s="12"/>
      <c r="L4" s="12"/>
      <c r="M4" s="12"/>
      <c r="N4" s="12"/>
    </row>
    <row r="5" spans="1:16" ht="15.75" x14ac:dyDescent="0.25">
      <c r="A5" s="6" t="s">
        <v>13</v>
      </c>
      <c r="B5" s="148" t="s">
        <v>14</v>
      </c>
      <c r="C5" s="148"/>
      <c r="D5" s="7"/>
      <c r="E5" s="7"/>
      <c r="F5" s="7"/>
      <c r="G5" s="7"/>
      <c r="H5" s="7"/>
      <c r="I5" s="22" t="s">
        <v>13</v>
      </c>
      <c r="J5" s="148" t="s">
        <v>14</v>
      </c>
      <c r="K5" s="148"/>
      <c r="L5" s="7"/>
      <c r="M5" s="7"/>
    </row>
    <row r="6" spans="1:16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6" x14ac:dyDescent="0.25">
      <c r="A7" s="7">
        <v>2202</v>
      </c>
      <c r="B7" s="3" t="s">
        <v>20</v>
      </c>
      <c r="C7" s="3"/>
      <c r="D7" s="3"/>
      <c r="E7" s="3"/>
      <c r="F7" s="3"/>
      <c r="G7" s="3"/>
      <c r="H7" s="3"/>
      <c r="I7" s="24">
        <v>2210</v>
      </c>
      <c r="J7" s="3" t="s">
        <v>27</v>
      </c>
      <c r="K7" s="3"/>
      <c r="L7" s="3"/>
      <c r="M7" s="3"/>
      <c r="N7" s="3"/>
    </row>
    <row r="8" spans="1:16" x14ac:dyDescent="0.25">
      <c r="A8" s="7">
        <v>2203</v>
      </c>
      <c r="B8" s="3" t="s">
        <v>21</v>
      </c>
      <c r="C8" s="3"/>
      <c r="D8" s="3"/>
      <c r="E8" s="3"/>
      <c r="F8" s="3"/>
      <c r="G8" s="3"/>
      <c r="H8" s="3"/>
      <c r="I8" s="24">
        <v>2212</v>
      </c>
      <c r="J8" s="3" t="s">
        <v>28</v>
      </c>
      <c r="K8" s="3"/>
      <c r="L8" s="3"/>
      <c r="M8" s="3"/>
      <c r="N8" s="3"/>
    </row>
    <row r="9" spans="1:16" x14ac:dyDescent="0.25">
      <c r="A9" s="8">
        <v>2204</v>
      </c>
      <c r="B9" s="3" t="s">
        <v>22</v>
      </c>
      <c r="C9" s="3"/>
      <c r="D9" s="3"/>
      <c r="E9" s="3"/>
      <c r="F9" s="3"/>
      <c r="G9" s="3"/>
      <c r="H9" s="3"/>
      <c r="I9" s="24">
        <v>2216</v>
      </c>
      <c r="J9" s="3" t="s">
        <v>29</v>
      </c>
      <c r="K9" s="3"/>
      <c r="L9" s="3"/>
      <c r="M9" s="3"/>
      <c r="N9" s="3"/>
    </row>
    <row r="10" spans="1:16" x14ac:dyDescent="0.25">
      <c r="A10" s="24">
        <v>2205</v>
      </c>
      <c r="B10" s="23" t="s">
        <v>23</v>
      </c>
      <c r="C10" s="23"/>
      <c r="D10" s="23"/>
      <c r="E10" s="23"/>
      <c r="F10" s="23"/>
      <c r="G10" s="23"/>
      <c r="H10" s="23"/>
      <c r="I10" s="24">
        <v>2247</v>
      </c>
      <c r="J10" s="23" t="s">
        <v>30</v>
      </c>
      <c r="K10" s="23"/>
      <c r="L10" s="23"/>
      <c r="M10" s="23"/>
      <c r="N10" s="23"/>
    </row>
    <row r="11" spans="1:16" x14ac:dyDescent="0.25">
      <c r="A11" s="24">
        <v>2206</v>
      </c>
      <c r="B11" s="23" t="s">
        <v>24</v>
      </c>
      <c r="C11" s="23"/>
      <c r="D11" s="23"/>
      <c r="E11" s="23"/>
      <c r="F11" s="23"/>
      <c r="G11" s="23"/>
      <c r="H11" s="23"/>
      <c r="I11" s="24">
        <v>2261</v>
      </c>
      <c r="J11" s="23" t="s">
        <v>31</v>
      </c>
      <c r="K11" s="23"/>
      <c r="L11" s="23"/>
      <c r="M11" s="23"/>
      <c r="N11" s="23"/>
    </row>
    <row r="12" spans="1:16" x14ac:dyDescent="0.25">
      <c r="A12" s="24">
        <v>2207</v>
      </c>
      <c r="B12" s="23" t="s">
        <v>25</v>
      </c>
      <c r="C12" s="23"/>
      <c r="D12" s="23"/>
      <c r="E12" s="23"/>
      <c r="F12" s="23"/>
      <c r="G12" s="23"/>
      <c r="H12" s="23"/>
      <c r="I12" s="24">
        <v>2304</v>
      </c>
      <c r="J12" s="23" t="s">
        <v>32</v>
      </c>
      <c r="K12" s="23"/>
      <c r="L12" s="23"/>
      <c r="M12" s="23"/>
      <c r="N12" s="23"/>
    </row>
    <row r="13" spans="1:16" s="21" customFormat="1" x14ac:dyDescent="0.25">
      <c r="A13" s="24"/>
      <c r="B13" s="27">
        <v>8.9999999999999993E-3</v>
      </c>
      <c r="C13" s="28">
        <v>0.02</v>
      </c>
      <c r="D13" s="27">
        <v>4.0000000000000001E-3</v>
      </c>
      <c r="E13" s="27">
        <v>7.4999999999999997E-3</v>
      </c>
      <c r="F13" s="27">
        <v>7.4999999999999997E-3</v>
      </c>
      <c r="G13" s="27">
        <v>0.08</v>
      </c>
      <c r="H13" s="27">
        <v>1.15E-2</v>
      </c>
      <c r="I13" s="27">
        <v>7.4999999999999997E-3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6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6" hidden="1" x14ac:dyDescent="0.25">
      <c r="A15" s="4" t="s">
        <v>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"/>
    </row>
    <row r="16" spans="1:16" hidden="1" x14ac:dyDescent="0.25">
      <c r="A16" s="13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"/>
    </row>
    <row r="17" spans="1:16" hidden="1" x14ac:dyDescent="0.25">
      <c r="A17" s="13" t="s">
        <v>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1"/>
    </row>
    <row r="18" spans="1:16" hidden="1" x14ac:dyDescent="0.25">
      <c r="A18" s="14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"/>
    </row>
    <row r="19" spans="1:16" hidden="1" x14ac:dyDescent="0.25">
      <c r="A19" s="14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1"/>
    </row>
    <row r="20" spans="1:16" hidden="1" x14ac:dyDescent="0.25">
      <c r="A20" s="14" t="s">
        <v>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"/>
    </row>
    <row r="21" spans="1:16" hidden="1" x14ac:dyDescent="0.25">
      <c r="A21" s="14" t="s">
        <v>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"/>
    </row>
    <row r="22" spans="1:16" hidden="1" x14ac:dyDescent="0.25">
      <c r="A22" s="14" t="s">
        <v>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"/>
    </row>
    <row r="23" spans="1:16" hidden="1" x14ac:dyDescent="0.25">
      <c r="A23" s="14" t="s">
        <v>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1"/>
    </row>
    <row r="24" spans="1:16" x14ac:dyDescent="0.25">
      <c r="A24" s="14" t="s">
        <v>11</v>
      </c>
      <c r="B24" s="5">
        <v>4389918.5599999996</v>
      </c>
      <c r="C24" s="5">
        <v>14633061.880000001</v>
      </c>
      <c r="D24" s="5">
        <v>24876205.199999999</v>
      </c>
      <c r="E24" s="5">
        <v>20486286.629999999</v>
      </c>
      <c r="F24" s="5">
        <v>14633061.880000001</v>
      </c>
      <c r="G24" s="5">
        <v>5853224.75</v>
      </c>
      <c r="H24" s="17">
        <v>10243143.32</v>
      </c>
      <c r="I24" s="17">
        <v>16096368.07</v>
      </c>
      <c r="J24" s="17">
        <v>10243143.32</v>
      </c>
      <c r="K24" s="17">
        <v>7316530.9400000004</v>
      </c>
      <c r="L24" s="17">
        <v>0</v>
      </c>
      <c r="M24" s="17">
        <v>13169755.689999999</v>
      </c>
      <c r="N24" s="17">
        <v>2926612.38</v>
      </c>
      <c r="O24" s="17">
        <v>1463306.19</v>
      </c>
      <c r="P24" s="17">
        <f>SUM(B24:O24)</f>
        <v>146330618.80999997</v>
      </c>
    </row>
    <row r="25" spans="1:16" x14ac:dyDescent="0.25">
      <c r="A25" s="14" t="s">
        <v>9</v>
      </c>
      <c r="B25" s="5">
        <v>12429459.74</v>
      </c>
      <c r="C25" s="5">
        <v>41431532.460000001</v>
      </c>
      <c r="D25" s="5">
        <v>70433605.180000007</v>
      </c>
      <c r="E25" s="5">
        <v>58004145.439999998</v>
      </c>
      <c r="F25" s="5">
        <v>41431532.460000001</v>
      </c>
      <c r="G25" s="5">
        <v>16572612.98</v>
      </c>
      <c r="H25" s="17">
        <v>29002072.719999999</v>
      </c>
      <c r="I25" s="17">
        <v>45574685.700000003</v>
      </c>
      <c r="J25" s="17">
        <v>29002072.719999999</v>
      </c>
      <c r="K25" s="17">
        <v>20715766.23</v>
      </c>
      <c r="L25" s="17">
        <v>0</v>
      </c>
      <c r="M25" s="17">
        <v>37288379.210000001</v>
      </c>
      <c r="N25" s="17">
        <v>8286306.4900000002</v>
      </c>
      <c r="O25" s="17">
        <v>4143153.25</v>
      </c>
      <c r="P25" s="17">
        <f>SUM(B25:O25)</f>
        <v>414315324.57999998</v>
      </c>
    </row>
    <row r="26" spans="1:16" x14ac:dyDescent="0.25">
      <c r="A26" s="14" t="s">
        <v>10</v>
      </c>
      <c r="B26" s="5">
        <v>19715756.32</v>
      </c>
      <c r="C26" s="5">
        <v>65719187.719999999</v>
      </c>
      <c r="D26" s="5">
        <v>111722619.13</v>
      </c>
      <c r="E26" s="5">
        <v>92006862.810000002</v>
      </c>
      <c r="F26" s="5">
        <v>65719187.719999999</v>
      </c>
      <c r="G26" s="5">
        <v>26287675.09</v>
      </c>
      <c r="H26" s="17">
        <v>46003431.409999996</v>
      </c>
      <c r="I26" s="17">
        <v>72291106.5</v>
      </c>
      <c r="J26" s="17">
        <v>46003431.409999996</v>
      </c>
      <c r="K26" s="17">
        <v>32859593.859999999</v>
      </c>
      <c r="L26" s="17">
        <v>0</v>
      </c>
      <c r="M26" s="17">
        <v>59147268.950000003</v>
      </c>
      <c r="N26" s="17">
        <v>13143837.539999999</v>
      </c>
      <c r="O26" s="17">
        <v>6571918.7699999996</v>
      </c>
      <c r="P26" s="17">
        <f>SUM(B26:O26)</f>
        <v>657191877.23000002</v>
      </c>
    </row>
    <row r="27" spans="1:16" x14ac:dyDescent="0.25">
      <c r="A27" s="15" t="s">
        <v>17</v>
      </c>
      <c r="B27" s="16">
        <f>SUM(B15:B26)</f>
        <v>36535134.620000005</v>
      </c>
      <c r="C27" s="16">
        <f>SUM(C15:C26)</f>
        <v>121783782.06</v>
      </c>
      <c r="D27" s="16">
        <f>SUM(D15:D26)</f>
        <v>207032429.50999999</v>
      </c>
      <c r="E27" s="16">
        <f>SUM(E15:E26)</f>
        <v>170497294.88</v>
      </c>
      <c r="F27" s="16">
        <f>SUM(F15:F26)</f>
        <v>121783782.06</v>
      </c>
      <c r="G27" s="16">
        <f t="shared" ref="G27:O27" si="0">SUM(G15:G26)</f>
        <v>48713512.82</v>
      </c>
      <c r="H27" s="16">
        <f t="shared" si="0"/>
        <v>85248647.449999988</v>
      </c>
      <c r="I27" s="16">
        <f t="shared" si="0"/>
        <v>133962160.27000001</v>
      </c>
      <c r="J27" s="16">
        <f t="shared" si="0"/>
        <v>85248647.449999988</v>
      </c>
      <c r="K27" s="16">
        <f t="shared" si="0"/>
        <v>60891891.030000001</v>
      </c>
      <c r="L27" s="16">
        <f t="shared" si="0"/>
        <v>0</v>
      </c>
      <c r="M27" s="16">
        <f t="shared" si="0"/>
        <v>109605403.84999999</v>
      </c>
      <c r="N27" s="16">
        <f t="shared" si="0"/>
        <v>24356756.41</v>
      </c>
      <c r="O27" s="16">
        <f t="shared" si="0"/>
        <v>12178378.209999999</v>
      </c>
      <c r="P27" s="17">
        <f>SUM(B27:O27)</f>
        <v>1217837820.6200001</v>
      </c>
    </row>
    <row r="28" spans="1:16" x14ac:dyDescent="0.25">
      <c r="F28" s="21"/>
    </row>
    <row r="29" spans="1:16" x14ac:dyDescent="0.25">
      <c r="A29" s="10"/>
      <c r="B29" s="18"/>
      <c r="C29" s="10" t="s">
        <v>35</v>
      </c>
      <c r="D29" s="10">
        <v>2141</v>
      </c>
      <c r="E29" s="19">
        <f>B27</f>
        <v>36535134.620000005</v>
      </c>
      <c r="F29" s="10" t="s">
        <v>18</v>
      </c>
      <c r="G29" s="10">
        <v>1.65</v>
      </c>
      <c r="H29" s="19">
        <f>E29*G29</f>
        <v>60282972.123000003</v>
      </c>
      <c r="I29" s="18"/>
      <c r="J29" s="18"/>
      <c r="K29" s="18"/>
      <c r="L29" s="18"/>
      <c r="M29" s="18"/>
      <c r="N29" s="18"/>
    </row>
    <row r="30" spans="1:16" x14ac:dyDescent="0.25">
      <c r="A30" s="9"/>
      <c r="B30" s="3"/>
      <c r="C30" s="25" t="s">
        <v>36</v>
      </c>
      <c r="D30" s="25">
        <v>2202</v>
      </c>
      <c r="E30" s="20">
        <f>C27</f>
        <v>121783782.06</v>
      </c>
      <c r="F30" s="9" t="s">
        <v>18</v>
      </c>
      <c r="G30" s="9">
        <v>1.65</v>
      </c>
      <c r="H30" s="20">
        <f>E30*G30</f>
        <v>200943240.39899999</v>
      </c>
      <c r="I30" s="3"/>
      <c r="J30" s="3"/>
      <c r="K30" s="3"/>
      <c r="L30" s="3"/>
      <c r="M30" s="3"/>
      <c r="N30" s="3"/>
    </row>
    <row r="31" spans="1:16" x14ac:dyDescent="0.25">
      <c r="A31" s="9"/>
      <c r="B31" s="3"/>
      <c r="C31" s="25" t="s">
        <v>37</v>
      </c>
      <c r="D31" s="25">
        <v>2203</v>
      </c>
      <c r="E31" s="20">
        <f>D27</f>
        <v>207032429.50999999</v>
      </c>
      <c r="F31" s="9" t="s">
        <v>18</v>
      </c>
      <c r="G31" s="9">
        <v>1.65</v>
      </c>
      <c r="H31" s="20">
        <f>E31*G31</f>
        <v>341603508.69149995</v>
      </c>
      <c r="I31" s="3"/>
      <c r="J31" s="3"/>
      <c r="K31" s="3"/>
      <c r="L31" s="3"/>
      <c r="M31" s="3"/>
      <c r="N31" s="3"/>
    </row>
    <row r="32" spans="1:16" x14ac:dyDescent="0.25">
      <c r="A32" s="9"/>
      <c r="B32" s="3"/>
      <c r="C32" s="25" t="s">
        <v>38</v>
      </c>
      <c r="D32" s="25">
        <v>2204</v>
      </c>
      <c r="E32" s="20">
        <f>E27</f>
        <v>170497294.88</v>
      </c>
      <c r="F32" s="9" t="s">
        <v>18</v>
      </c>
      <c r="G32" s="9">
        <v>1.65</v>
      </c>
      <c r="H32" s="20">
        <f>E32*G32</f>
        <v>281320536.55199999</v>
      </c>
      <c r="I32" s="3"/>
      <c r="J32" s="3"/>
      <c r="K32" s="3"/>
      <c r="L32" s="3"/>
      <c r="M32" s="3"/>
      <c r="N32" s="3"/>
    </row>
    <row r="33" spans="1:14" x14ac:dyDescent="0.25">
      <c r="A33" s="9"/>
      <c r="B33" s="3"/>
      <c r="C33" s="25" t="s">
        <v>39</v>
      </c>
      <c r="D33" s="25">
        <v>2205</v>
      </c>
      <c r="E33" s="20">
        <f>F27</f>
        <v>121783782.06</v>
      </c>
      <c r="F33" s="9" t="s">
        <v>18</v>
      </c>
      <c r="G33" s="9">
        <v>1.65</v>
      </c>
      <c r="H33" s="20">
        <f>E33*G33</f>
        <v>200943240.39899999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G27</f>
        <v>48713512.82</v>
      </c>
      <c r="F34" s="25" t="s">
        <v>18</v>
      </c>
      <c r="G34" s="25">
        <v>1.65</v>
      </c>
      <c r="H34" s="20">
        <f t="shared" ref="H34:H42" si="1">E34*G34</f>
        <v>80377296.152999997</v>
      </c>
    </row>
    <row r="35" spans="1:14" x14ac:dyDescent="0.25">
      <c r="C35" s="25" t="s">
        <v>41</v>
      </c>
      <c r="D35" s="25">
        <v>2207</v>
      </c>
      <c r="E35" s="20">
        <f>H27</f>
        <v>85248647.449999988</v>
      </c>
      <c r="F35" s="25" t="s">
        <v>18</v>
      </c>
      <c r="G35" s="25">
        <v>1.65</v>
      </c>
      <c r="H35" s="20">
        <f t="shared" si="1"/>
        <v>140660268.29249996</v>
      </c>
    </row>
    <row r="36" spans="1:14" x14ac:dyDescent="0.25">
      <c r="C36" s="25" t="s">
        <v>40</v>
      </c>
      <c r="D36" s="10">
        <v>2208</v>
      </c>
      <c r="E36" s="20">
        <f>I27</f>
        <v>133962160.27000001</v>
      </c>
      <c r="F36" s="25" t="s">
        <v>18</v>
      </c>
      <c r="G36" s="25">
        <v>1.65</v>
      </c>
      <c r="H36" s="20">
        <f t="shared" si="1"/>
        <v>221037564.44550002</v>
      </c>
    </row>
    <row r="37" spans="1:14" x14ac:dyDescent="0.25">
      <c r="D37" s="25">
        <v>2210</v>
      </c>
      <c r="E37" s="20">
        <f>J27</f>
        <v>85248647.449999988</v>
      </c>
      <c r="F37" s="25" t="s">
        <v>18</v>
      </c>
      <c r="G37" s="25">
        <v>1.65</v>
      </c>
      <c r="H37" s="20">
        <f t="shared" si="1"/>
        <v>140660268.29249996</v>
      </c>
    </row>
    <row r="38" spans="1:14" x14ac:dyDescent="0.25">
      <c r="D38" s="25">
        <v>2212</v>
      </c>
      <c r="E38" s="20">
        <f>K27</f>
        <v>60891891.030000001</v>
      </c>
      <c r="F38" s="25" t="s">
        <v>18</v>
      </c>
      <c r="G38" s="25">
        <v>1.65</v>
      </c>
      <c r="H38" s="20">
        <f t="shared" si="1"/>
        <v>100471620.19949999</v>
      </c>
    </row>
    <row r="39" spans="1:14" x14ac:dyDescent="0.25">
      <c r="D39" s="25">
        <v>2216</v>
      </c>
      <c r="E39" s="20">
        <f>L27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M27</f>
        <v>109605403.84999999</v>
      </c>
      <c r="F40" s="25" t="s">
        <v>18</v>
      </c>
      <c r="G40" s="25">
        <v>1.65</v>
      </c>
      <c r="H40" s="20">
        <f t="shared" si="1"/>
        <v>180848916.35249999</v>
      </c>
    </row>
    <row r="41" spans="1:14" x14ac:dyDescent="0.25">
      <c r="D41" s="25">
        <v>2261</v>
      </c>
      <c r="E41" s="20">
        <f>N27</f>
        <v>24356756.41</v>
      </c>
      <c r="F41" s="25" t="s">
        <v>18</v>
      </c>
      <c r="G41" s="25">
        <v>1.65</v>
      </c>
      <c r="H41" s="20">
        <f t="shared" si="1"/>
        <v>40188648.076499999</v>
      </c>
    </row>
    <row r="42" spans="1:14" x14ac:dyDescent="0.25">
      <c r="D42" s="25">
        <v>2304</v>
      </c>
      <c r="E42" s="20">
        <f>O27</f>
        <v>12178378.209999999</v>
      </c>
      <c r="F42" s="25" t="s">
        <v>18</v>
      </c>
      <c r="G42" s="25">
        <v>1.65</v>
      </c>
      <c r="H42" s="72">
        <f t="shared" si="1"/>
        <v>20094324.046499997</v>
      </c>
    </row>
    <row r="43" spans="1:14" x14ac:dyDescent="0.25">
      <c r="G43" s="70" t="s">
        <v>34</v>
      </c>
      <c r="H43" s="71">
        <f>SUM(H29:H42)</f>
        <v>2009432404.0229995</v>
      </c>
    </row>
  </sheetData>
  <mergeCells count="6">
    <mergeCell ref="J5:K5"/>
    <mergeCell ref="A2:F2"/>
    <mergeCell ref="A1:F1"/>
    <mergeCell ref="A3:F3"/>
    <mergeCell ref="A4:F4"/>
    <mergeCell ref="B5:C5"/>
  </mergeCells>
  <pageMargins left="0.70866141732283461" right="0.70866141732283461" top="0.74803149606299213" bottom="0.74803149606299213" header="0.31496062992125984" footer="0.31496062992125984"/>
  <pageSetup paperSize="14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56" workbookViewId="0">
      <selection activeCell="D66" sqref="D66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5.85546875" style="30" customWidth="1"/>
  </cols>
  <sheetData>
    <row r="1" spans="1:11" s="32" customFormat="1" x14ac:dyDescent="0.25">
      <c r="A1" s="31" t="s">
        <v>11</v>
      </c>
      <c r="K1" s="33"/>
    </row>
    <row r="2" spans="1:11" s="32" customFormat="1" ht="15.75" x14ac:dyDescent="0.25">
      <c r="A2" s="34" t="s">
        <v>13</v>
      </c>
      <c r="B2" s="150" t="s">
        <v>14</v>
      </c>
      <c r="C2" s="150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4389918.5642999997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14633061.881000001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24876205.197700001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20486286.633400001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14633061.881000001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5853224.7524000006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10243143.3167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16096368.0691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10243143.3167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0.05</v>
      </c>
      <c r="K12" s="33">
        <f>K17*J12</f>
        <v>7316530.9405000005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</v>
      </c>
      <c r="K13" s="33">
        <f>K17*J13</f>
        <v>0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13169755.6929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2926612.3762000003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1463306.1881000001</v>
      </c>
    </row>
    <row r="17" spans="10:11" s="32" customFormat="1" x14ac:dyDescent="0.25">
      <c r="J17" s="38">
        <f>SUM(J3:J16)</f>
        <v>1</v>
      </c>
      <c r="K17" s="33">
        <v>146330618.81</v>
      </c>
    </row>
    <row r="18" spans="10:11" s="11" customFormat="1" x14ac:dyDescent="0.25">
      <c r="J18" s="67"/>
      <c r="K18" s="68"/>
    </row>
    <row r="19" spans="10:11" s="11" customFormat="1" x14ac:dyDescent="0.25">
      <c r="J19" s="67"/>
      <c r="K19" s="68"/>
    </row>
    <row r="20" spans="10:11" s="11" customFormat="1" x14ac:dyDescent="0.25">
      <c r="J20" s="67"/>
      <c r="K20" s="68"/>
    </row>
    <row r="21" spans="10:11" s="11" customFormat="1" x14ac:dyDescent="0.25">
      <c r="J21" s="67"/>
      <c r="K21" s="68"/>
    </row>
    <row r="22" spans="10:11" s="11" customFormat="1" x14ac:dyDescent="0.25">
      <c r="J22" s="67"/>
      <c r="K22" s="68"/>
    </row>
    <row r="23" spans="10:11" s="11" customFormat="1" x14ac:dyDescent="0.25">
      <c r="J23" s="67"/>
      <c r="K23" s="68"/>
    </row>
    <row r="24" spans="10:11" s="11" customFormat="1" x14ac:dyDescent="0.25">
      <c r="J24" s="67"/>
      <c r="K24" s="68"/>
    </row>
    <row r="25" spans="10:11" s="11" customFormat="1" x14ac:dyDescent="0.25">
      <c r="J25" s="67"/>
      <c r="K25" s="68"/>
    </row>
    <row r="26" spans="10:11" s="11" customFormat="1" x14ac:dyDescent="0.25">
      <c r="J26" s="67"/>
      <c r="K26" s="68"/>
    </row>
    <row r="27" spans="10:11" s="11" customFormat="1" x14ac:dyDescent="0.25">
      <c r="J27" s="67"/>
      <c r="K27" s="68"/>
    </row>
    <row r="28" spans="10:11" s="11" customFormat="1" x14ac:dyDescent="0.25">
      <c r="J28" s="67"/>
      <c r="K28" s="68"/>
    </row>
    <row r="29" spans="10:11" s="11" customFormat="1" x14ac:dyDescent="0.25">
      <c r="J29" s="67"/>
      <c r="K29" s="68"/>
    </row>
    <row r="30" spans="10:11" s="11" customFormat="1" x14ac:dyDescent="0.25">
      <c r="J30" s="67"/>
      <c r="K30" s="68"/>
    </row>
    <row r="31" spans="10:11" s="11" customFormat="1" x14ac:dyDescent="0.25">
      <c r="J31" s="67"/>
      <c r="K31" s="68"/>
    </row>
    <row r="32" spans="10:11" s="11" customFormat="1" x14ac:dyDescent="0.25">
      <c r="J32" s="67"/>
      <c r="K32" s="68"/>
    </row>
    <row r="35" spans="1:11" s="56" customFormat="1" x14ac:dyDescent="0.25">
      <c r="A35" s="55" t="s">
        <v>9</v>
      </c>
      <c r="K35" s="57"/>
    </row>
    <row r="36" spans="1:11" s="56" customFormat="1" ht="15.75" x14ac:dyDescent="0.25">
      <c r="A36" s="58" t="s">
        <v>13</v>
      </c>
      <c r="B36" s="149" t="s">
        <v>14</v>
      </c>
      <c r="C36" s="149"/>
      <c r="D36" s="59"/>
      <c r="E36" s="59"/>
      <c r="F36" s="59"/>
      <c r="G36" s="59"/>
      <c r="H36" s="59"/>
      <c r="I36" s="59"/>
      <c r="K36" s="57"/>
    </row>
    <row r="37" spans="1:11" s="56" customFormat="1" x14ac:dyDescent="0.25">
      <c r="A37" s="59">
        <v>2141</v>
      </c>
      <c r="B37" s="60" t="s">
        <v>19</v>
      </c>
      <c r="C37" s="60"/>
      <c r="D37" s="60"/>
      <c r="E37" s="60"/>
      <c r="F37" s="60"/>
      <c r="G37" s="60"/>
      <c r="H37" s="60"/>
      <c r="I37" s="61">
        <v>0.9</v>
      </c>
      <c r="J37" s="62">
        <v>0.03</v>
      </c>
      <c r="K37" s="57">
        <f>K51*J37</f>
        <v>12429459.7368</v>
      </c>
    </row>
    <row r="38" spans="1:11" s="56" customFormat="1" x14ac:dyDescent="0.25">
      <c r="A38" s="59">
        <v>2202</v>
      </c>
      <c r="B38" s="60" t="s">
        <v>20</v>
      </c>
      <c r="C38" s="60"/>
      <c r="D38" s="60"/>
      <c r="E38" s="60"/>
      <c r="F38" s="60"/>
      <c r="G38" s="60"/>
      <c r="H38" s="60"/>
      <c r="I38" s="61">
        <v>2</v>
      </c>
      <c r="J38" s="62">
        <v>0.1</v>
      </c>
      <c r="K38" s="57">
        <f>K51*J38</f>
        <v>41431532.456</v>
      </c>
    </row>
    <row r="39" spans="1:11" s="56" customFormat="1" x14ac:dyDescent="0.25">
      <c r="A39" s="59">
        <v>2203</v>
      </c>
      <c r="B39" s="60" t="s">
        <v>21</v>
      </c>
      <c r="C39" s="60"/>
      <c r="D39" s="60"/>
      <c r="E39" s="60"/>
      <c r="F39" s="60"/>
      <c r="G39" s="60"/>
      <c r="H39" s="60"/>
      <c r="I39" s="61">
        <v>0.4</v>
      </c>
      <c r="J39" s="62">
        <v>0.17</v>
      </c>
      <c r="K39" s="57">
        <f>K51*J39</f>
        <v>70433605.1752</v>
      </c>
    </row>
    <row r="40" spans="1:11" s="56" customFormat="1" x14ac:dyDescent="0.25">
      <c r="A40" s="59">
        <v>2204</v>
      </c>
      <c r="B40" s="60" t="s">
        <v>22</v>
      </c>
      <c r="C40" s="60"/>
      <c r="D40" s="60"/>
      <c r="E40" s="60"/>
      <c r="F40" s="60"/>
      <c r="G40" s="60"/>
      <c r="H40" s="60"/>
      <c r="I40" s="61">
        <v>0.75</v>
      </c>
      <c r="J40" s="62">
        <v>0.14000000000000001</v>
      </c>
      <c r="K40" s="57">
        <f>K51*J40</f>
        <v>58004145.438400008</v>
      </c>
    </row>
    <row r="41" spans="1:11" s="56" customFormat="1" x14ac:dyDescent="0.25">
      <c r="A41" s="59">
        <v>2205</v>
      </c>
      <c r="B41" s="63" t="s">
        <v>23</v>
      </c>
      <c r="C41" s="63"/>
      <c r="D41" s="63"/>
      <c r="E41" s="63"/>
      <c r="F41" s="63"/>
      <c r="G41" s="63"/>
      <c r="H41" s="63"/>
      <c r="I41" s="61">
        <v>0.75</v>
      </c>
      <c r="J41" s="62">
        <v>0.1</v>
      </c>
      <c r="K41" s="57">
        <f>K51*J41</f>
        <v>41431532.456</v>
      </c>
    </row>
    <row r="42" spans="1:11" s="56" customFormat="1" x14ac:dyDescent="0.25">
      <c r="A42" s="59">
        <v>2206</v>
      </c>
      <c r="B42" s="63" t="s">
        <v>24</v>
      </c>
      <c r="C42" s="63"/>
      <c r="D42" s="63"/>
      <c r="E42" s="63"/>
      <c r="F42" s="63"/>
      <c r="G42" s="63"/>
      <c r="H42" s="63"/>
      <c r="I42" s="61">
        <v>8</v>
      </c>
      <c r="J42" s="62">
        <v>0.04</v>
      </c>
      <c r="K42" s="57">
        <f>K51*J42</f>
        <v>16572612.9824</v>
      </c>
    </row>
    <row r="43" spans="1:11" s="56" customFormat="1" x14ac:dyDescent="0.25">
      <c r="A43" s="59">
        <v>2207</v>
      </c>
      <c r="B43" s="63" t="s">
        <v>25</v>
      </c>
      <c r="C43" s="63"/>
      <c r="D43" s="63"/>
      <c r="E43" s="63"/>
      <c r="F43" s="63"/>
      <c r="G43" s="63"/>
      <c r="H43" s="63"/>
      <c r="I43" s="61">
        <v>1.1499999999999999</v>
      </c>
      <c r="J43" s="62">
        <v>7.0000000000000007E-2</v>
      </c>
      <c r="K43" s="57">
        <f>K51*J43</f>
        <v>29002072.719200004</v>
      </c>
    </row>
    <row r="44" spans="1:11" s="56" customFormat="1" x14ac:dyDescent="0.25">
      <c r="A44" s="59">
        <v>2208</v>
      </c>
      <c r="B44" s="60" t="s">
        <v>26</v>
      </c>
      <c r="C44" s="60"/>
      <c r="D44" s="60"/>
      <c r="E44" s="60"/>
      <c r="F44" s="60"/>
      <c r="I44" s="64">
        <v>0.75</v>
      </c>
      <c r="J44" s="62">
        <v>0.11</v>
      </c>
      <c r="K44" s="57">
        <f>K51*J44</f>
        <v>45574685.7016</v>
      </c>
    </row>
    <row r="45" spans="1:11" s="56" customFormat="1" x14ac:dyDescent="0.25">
      <c r="A45" s="59">
        <v>2210</v>
      </c>
      <c r="B45" s="60" t="s">
        <v>27</v>
      </c>
      <c r="C45" s="60"/>
      <c r="D45" s="60"/>
      <c r="E45" s="60"/>
      <c r="F45" s="60"/>
      <c r="I45" s="64">
        <v>0.75</v>
      </c>
      <c r="J45" s="62">
        <v>7.0000000000000007E-2</v>
      </c>
      <c r="K45" s="57">
        <f>K51*J45</f>
        <v>29002072.719200004</v>
      </c>
    </row>
    <row r="46" spans="1:11" s="56" customFormat="1" x14ac:dyDescent="0.25">
      <c r="A46" s="59">
        <v>2212</v>
      </c>
      <c r="B46" s="60" t="s">
        <v>28</v>
      </c>
      <c r="C46" s="60"/>
      <c r="D46" s="60"/>
      <c r="E46" s="60"/>
      <c r="F46" s="60"/>
      <c r="I46" s="64">
        <v>1.25</v>
      </c>
      <c r="J46" s="62">
        <v>0.05</v>
      </c>
      <c r="K46" s="57">
        <f>K51*J46</f>
        <v>20715766.228</v>
      </c>
    </row>
    <row r="47" spans="1:11" s="56" customFormat="1" x14ac:dyDescent="0.25">
      <c r="A47" s="59">
        <v>2216</v>
      </c>
      <c r="B47" s="60" t="s">
        <v>29</v>
      </c>
      <c r="C47" s="60"/>
      <c r="D47" s="60"/>
      <c r="E47" s="60"/>
      <c r="F47" s="60"/>
      <c r="I47" s="64">
        <v>1.35</v>
      </c>
      <c r="J47" s="62">
        <v>0</v>
      </c>
      <c r="K47" s="57">
        <f>K51*J47</f>
        <v>0</v>
      </c>
    </row>
    <row r="48" spans="1:11" s="56" customFormat="1" x14ac:dyDescent="0.25">
      <c r="A48" s="59">
        <v>2247</v>
      </c>
      <c r="B48" s="63" t="s">
        <v>30</v>
      </c>
      <c r="C48" s="63"/>
      <c r="D48" s="63"/>
      <c r="E48" s="63"/>
      <c r="F48" s="63"/>
      <c r="I48" s="64">
        <v>0.9</v>
      </c>
      <c r="J48" s="62">
        <v>0.09</v>
      </c>
      <c r="K48" s="57">
        <f>K51*J48</f>
        <v>37288379.2104</v>
      </c>
    </row>
    <row r="49" spans="1:11" s="56" customFormat="1" x14ac:dyDescent="0.25">
      <c r="A49" s="59">
        <v>2261</v>
      </c>
      <c r="B49" s="63" t="s">
        <v>31</v>
      </c>
      <c r="C49" s="63"/>
      <c r="D49" s="63"/>
      <c r="E49" s="63"/>
      <c r="F49" s="63"/>
      <c r="I49" s="64">
        <v>1.35</v>
      </c>
      <c r="J49" s="62">
        <v>0.02</v>
      </c>
      <c r="K49" s="57">
        <f>K51*J49</f>
        <v>8286306.4912</v>
      </c>
    </row>
    <row r="50" spans="1:11" s="56" customFormat="1" x14ac:dyDescent="0.25">
      <c r="A50" s="59">
        <v>2304</v>
      </c>
      <c r="B50" s="63" t="s">
        <v>32</v>
      </c>
      <c r="C50" s="63"/>
      <c r="D50" s="63"/>
      <c r="E50" s="63"/>
      <c r="F50" s="63"/>
      <c r="I50" s="64">
        <v>3</v>
      </c>
      <c r="J50" s="65">
        <v>0.01</v>
      </c>
      <c r="K50" s="66">
        <f>K51*J50</f>
        <v>4143153.2456</v>
      </c>
    </row>
    <row r="51" spans="1:11" s="56" customFormat="1" x14ac:dyDescent="0.25">
      <c r="J51" s="62">
        <f>SUM(J37:J50)</f>
        <v>1</v>
      </c>
      <c r="K51" s="57">
        <v>414315324.56</v>
      </c>
    </row>
    <row r="52" spans="1:11" s="11" customFormat="1" x14ac:dyDescent="0.25">
      <c r="J52" s="67"/>
      <c r="K52" s="68"/>
    </row>
    <row r="53" spans="1:11" s="11" customFormat="1" x14ac:dyDescent="0.25">
      <c r="J53" s="67"/>
      <c r="K53" s="68"/>
    </row>
    <row r="54" spans="1:11" s="11" customFormat="1" x14ac:dyDescent="0.25">
      <c r="J54" s="67"/>
      <c r="K54" s="68"/>
    </row>
    <row r="55" spans="1:11" s="11" customFormat="1" x14ac:dyDescent="0.25">
      <c r="J55" s="67"/>
      <c r="K55" s="68"/>
    </row>
    <row r="56" spans="1:11" s="11" customFormat="1" x14ac:dyDescent="0.25">
      <c r="J56" s="67"/>
      <c r="K56" s="68"/>
    </row>
    <row r="57" spans="1:11" s="11" customFormat="1" x14ac:dyDescent="0.25">
      <c r="J57" s="67"/>
      <c r="K57" s="68"/>
    </row>
    <row r="58" spans="1:11" s="11" customFormat="1" x14ac:dyDescent="0.25">
      <c r="J58" s="67"/>
      <c r="K58" s="68"/>
    </row>
    <row r="59" spans="1:11" s="11" customFormat="1" x14ac:dyDescent="0.25">
      <c r="J59" s="67"/>
      <c r="K59" s="68"/>
    </row>
    <row r="60" spans="1:11" s="11" customFormat="1" x14ac:dyDescent="0.25">
      <c r="J60" s="67"/>
      <c r="K60" s="68"/>
    </row>
    <row r="61" spans="1:11" s="11" customFormat="1" x14ac:dyDescent="0.25">
      <c r="J61" s="67"/>
      <c r="K61" s="68"/>
    </row>
    <row r="62" spans="1:11" s="11" customFormat="1" x14ac:dyDescent="0.25">
      <c r="J62" s="67"/>
      <c r="K62" s="68"/>
    </row>
    <row r="63" spans="1:11" s="11" customFormat="1" x14ac:dyDescent="0.25">
      <c r="J63" s="67"/>
      <c r="K63" s="68"/>
    </row>
    <row r="64" spans="1:11" s="11" customFormat="1" x14ac:dyDescent="0.25">
      <c r="J64" s="67"/>
      <c r="K64" s="68"/>
    </row>
    <row r="65" spans="1:11" s="11" customFormat="1" x14ac:dyDescent="0.25">
      <c r="J65" s="67"/>
      <c r="K65" s="68"/>
    </row>
    <row r="69" spans="1:11" s="44" customFormat="1" x14ac:dyDescent="0.25">
      <c r="A69" s="43" t="s">
        <v>10</v>
      </c>
      <c r="K69" s="45"/>
    </row>
    <row r="70" spans="1:11" s="44" customFormat="1" ht="15.75" x14ac:dyDescent="0.25">
      <c r="A70" s="46" t="s">
        <v>13</v>
      </c>
      <c r="B70" s="152" t="s">
        <v>14</v>
      </c>
      <c r="C70" s="152"/>
      <c r="D70" s="47"/>
      <c r="E70" s="47"/>
      <c r="F70" s="47"/>
      <c r="G70" s="47"/>
      <c r="H70" s="47"/>
      <c r="I70" s="47"/>
      <c r="K70" s="45"/>
    </row>
    <row r="71" spans="1:11" s="44" customFormat="1" x14ac:dyDescent="0.25">
      <c r="A71" s="47">
        <v>2141</v>
      </c>
      <c r="B71" s="48" t="s">
        <v>19</v>
      </c>
      <c r="C71" s="48"/>
      <c r="D71" s="48"/>
      <c r="E71" s="48"/>
      <c r="F71" s="48"/>
      <c r="G71" s="48"/>
      <c r="H71" s="48"/>
      <c r="I71" s="49">
        <v>0.9</v>
      </c>
      <c r="J71" s="50">
        <v>0.03</v>
      </c>
      <c r="K71" s="45">
        <f>K85*J71</f>
        <v>19715756.317200001</v>
      </c>
    </row>
    <row r="72" spans="1:11" s="44" customFormat="1" x14ac:dyDescent="0.25">
      <c r="A72" s="47">
        <v>2202</v>
      </c>
      <c r="B72" s="48" t="s">
        <v>20</v>
      </c>
      <c r="C72" s="48"/>
      <c r="D72" s="48"/>
      <c r="E72" s="48"/>
      <c r="F72" s="48"/>
      <c r="G72" s="48"/>
      <c r="H72" s="48"/>
      <c r="I72" s="49">
        <v>2</v>
      </c>
      <c r="J72" s="50">
        <v>0.1</v>
      </c>
      <c r="K72" s="45">
        <f>K85*J72</f>
        <v>65719187.724000007</v>
      </c>
    </row>
    <row r="73" spans="1:11" s="44" customFormat="1" x14ac:dyDescent="0.25">
      <c r="A73" s="47">
        <v>2203</v>
      </c>
      <c r="B73" s="48" t="s">
        <v>21</v>
      </c>
      <c r="C73" s="48"/>
      <c r="D73" s="48"/>
      <c r="E73" s="48"/>
      <c r="F73" s="48"/>
      <c r="G73" s="48"/>
      <c r="H73" s="48"/>
      <c r="I73" s="49">
        <v>0.4</v>
      </c>
      <c r="J73" s="50">
        <v>0.17</v>
      </c>
      <c r="K73" s="45">
        <f>K85*J73</f>
        <v>111722619.13080001</v>
      </c>
    </row>
    <row r="74" spans="1:11" s="44" customFormat="1" x14ac:dyDescent="0.25">
      <c r="A74" s="47">
        <v>2204</v>
      </c>
      <c r="B74" s="48" t="s">
        <v>22</v>
      </c>
      <c r="C74" s="48"/>
      <c r="D74" s="48"/>
      <c r="E74" s="48"/>
      <c r="F74" s="48"/>
      <c r="G74" s="48"/>
      <c r="H74" s="48"/>
      <c r="I74" s="49">
        <v>0.75</v>
      </c>
      <c r="J74" s="50">
        <v>0.14000000000000001</v>
      </c>
      <c r="K74" s="45">
        <f>K85*J74</f>
        <v>92006862.813600004</v>
      </c>
    </row>
    <row r="75" spans="1:11" s="44" customFormat="1" x14ac:dyDescent="0.25">
      <c r="A75" s="47">
        <v>2205</v>
      </c>
      <c r="B75" s="51" t="s">
        <v>23</v>
      </c>
      <c r="C75" s="51"/>
      <c r="D75" s="51"/>
      <c r="E75" s="51"/>
      <c r="F75" s="51"/>
      <c r="G75" s="51"/>
      <c r="H75" s="51"/>
      <c r="I75" s="49">
        <v>0.75</v>
      </c>
      <c r="J75" s="50">
        <v>0.1</v>
      </c>
      <c r="K75" s="45">
        <f>K85*J75</f>
        <v>65719187.724000007</v>
      </c>
    </row>
    <row r="76" spans="1:11" s="44" customFormat="1" x14ac:dyDescent="0.25">
      <c r="A76" s="47">
        <v>2206</v>
      </c>
      <c r="B76" s="51" t="s">
        <v>24</v>
      </c>
      <c r="C76" s="51"/>
      <c r="D76" s="51"/>
      <c r="E76" s="51"/>
      <c r="F76" s="51"/>
      <c r="G76" s="51"/>
      <c r="H76" s="51"/>
      <c r="I76" s="49">
        <v>8</v>
      </c>
      <c r="J76" s="50">
        <v>0.04</v>
      </c>
      <c r="K76" s="45">
        <f>K85*J76</f>
        <v>26287675.089600001</v>
      </c>
    </row>
    <row r="77" spans="1:11" s="44" customFormat="1" x14ac:dyDescent="0.25">
      <c r="A77" s="47">
        <v>2207</v>
      </c>
      <c r="B77" s="51" t="s">
        <v>25</v>
      </c>
      <c r="C77" s="51"/>
      <c r="D77" s="51"/>
      <c r="E77" s="51"/>
      <c r="F77" s="51"/>
      <c r="G77" s="51"/>
      <c r="H77" s="51"/>
      <c r="I77" s="49">
        <v>1.1499999999999999</v>
      </c>
      <c r="J77" s="50">
        <v>7.0000000000000007E-2</v>
      </c>
      <c r="K77" s="45">
        <f>K85*J77</f>
        <v>46003431.406800002</v>
      </c>
    </row>
    <row r="78" spans="1:11" s="44" customFormat="1" x14ac:dyDescent="0.25">
      <c r="A78" s="47">
        <v>2208</v>
      </c>
      <c r="B78" s="48" t="s">
        <v>26</v>
      </c>
      <c r="C78" s="48"/>
      <c r="D78" s="48"/>
      <c r="E78" s="48"/>
      <c r="F78" s="48"/>
      <c r="I78" s="52">
        <v>0.75</v>
      </c>
      <c r="J78" s="50">
        <v>0.11</v>
      </c>
      <c r="K78" s="45">
        <f>K85*J78</f>
        <v>72291106.496399999</v>
      </c>
    </row>
    <row r="79" spans="1:11" s="44" customFormat="1" x14ac:dyDescent="0.25">
      <c r="A79" s="47">
        <v>2210</v>
      </c>
      <c r="B79" s="48" t="s">
        <v>27</v>
      </c>
      <c r="C79" s="48"/>
      <c r="D79" s="48"/>
      <c r="E79" s="48"/>
      <c r="F79" s="48"/>
      <c r="I79" s="52">
        <v>0.75</v>
      </c>
      <c r="J79" s="50">
        <v>7.0000000000000007E-2</v>
      </c>
      <c r="K79" s="45">
        <f>K85*J79</f>
        <v>46003431.406800002</v>
      </c>
    </row>
    <row r="80" spans="1:11" s="44" customFormat="1" x14ac:dyDescent="0.25">
      <c r="A80" s="47">
        <v>2212</v>
      </c>
      <c r="B80" s="48" t="s">
        <v>28</v>
      </c>
      <c r="C80" s="48"/>
      <c r="D80" s="48"/>
      <c r="E80" s="48"/>
      <c r="F80" s="48"/>
      <c r="I80" s="52">
        <v>1.25</v>
      </c>
      <c r="J80" s="50">
        <v>0.05</v>
      </c>
      <c r="K80" s="45">
        <f>K85*J80</f>
        <v>32859593.862000003</v>
      </c>
    </row>
    <row r="81" spans="1:11" s="44" customFormat="1" x14ac:dyDescent="0.25">
      <c r="A81" s="47">
        <v>2216</v>
      </c>
      <c r="B81" s="48" t="s">
        <v>29</v>
      </c>
      <c r="C81" s="48"/>
      <c r="D81" s="48"/>
      <c r="E81" s="48"/>
      <c r="F81" s="48"/>
      <c r="I81" s="52">
        <v>1.35</v>
      </c>
      <c r="J81" s="50">
        <v>0</v>
      </c>
      <c r="K81" s="45">
        <f>K85*J81</f>
        <v>0</v>
      </c>
    </row>
    <row r="82" spans="1:11" s="44" customFormat="1" x14ac:dyDescent="0.25">
      <c r="A82" s="47">
        <v>2247</v>
      </c>
      <c r="B82" s="51" t="s">
        <v>30</v>
      </c>
      <c r="C82" s="51"/>
      <c r="D82" s="51"/>
      <c r="E82" s="51"/>
      <c r="F82" s="51"/>
      <c r="I82" s="52">
        <v>0.9</v>
      </c>
      <c r="J82" s="50">
        <v>0.09</v>
      </c>
      <c r="K82" s="45">
        <f>K85*J82</f>
        <v>59147268.9516</v>
      </c>
    </row>
    <row r="83" spans="1:11" s="44" customFormat="1" x14ac:dyDescent="0.25">
      <c r="A83" s="47">
        <v>2261</v>
      </c>
      <c r="B83" s="51" t="s">
        <v>31</v>
      </c>
      <c r="C83" s="51"/>
      <c r="D83" s="51"/>
      <c r="E83" s="51"/>
      <c r="F83" s="51"/>
      <c r="I83" s="52">
        <v>1.35</v>
      </c>
      <c r="J83" s="50">
        <v>0.02</v>
      </c>
      <c r="K83" s="45">
        <f>K85*J83</f>
        <v>13143837.5448</v>
      </c>
    </row>
    <row r="84" spans="1:11" s="44" customFormat="1" x14ac:dyDescent="0.25">
      <c r="A84" s="47">
        <v>2304</v>
      </c>
      <c r="B84" s="51" t="s">
        <v>32</v>
      </c>
      <c r="C84" s="51"/>
      <c r="D84" s="51"/>
      <c r="E84" s="51"/>
      <c r="F84" s="51"/>
      <c r="I84" s="52">
        <v>3</v>
      </c>
      <c r="J84" s="53">
        <v>0.01</v>
      </c>
      <c r="K84" s="54">
        <f>K85*J84</f>
        <v>6571918.7724000001</v>
      </c>
    </row>
    <row r="85" spans="1:11" s="44" customFormat="1" x14ac:dyDescent="0.25">
      <c r="J85" s="50">
        <f>SUM(J71:J84)</f>
        <v>1</v>
      </c>
      <c r="K85" s="45">
        <v>657191877.24000001</v>
      </c>
    </row>
  </sheetData>
  <mergeCells count="3">
    <mergeCell ref="B2:C2"/>
    <mergeCell ref="B36:C36"/>
    <mergeCell ref="B70:C7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G13" sqref="G13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7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7" t="s">
        <v>63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82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0" t="s">
        <v>13</v>
      </c>
      <c r="B5" s="147" t="s">
        <v>14</v>
      </c>
      <c r="C5" s="147"/>
      <c r="D5" s="10"/>
      <c r="E5" s="10"/>
      <c r="F5" s="10"/>
      <c r="G5" s="10"/>
      <c r="H5" s="10"/>
      <c r="I5" s="140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7</v>
      </c>
      <c r="B18" s="119">
        <v>0</v>
      </c>
      <c r="C18" s="119">
        <f>+P18*23%</f>
        <v>206969891306.29837</v>
      </c>
      <c r="D18" s="119">
        <f>+P18*22%</f>
        <v>197971200379.93756</v>
      </c>
      <c r="E18" s="119">
        <f>+P18*14.5%</f>
        <v>130481018432.23157</v>
      </c>
      <c r="F18" s="119">
        <v>0</v>
      </c>
      <c r="G18" s="119">
        <f>+P18*3%</f>
        <v>26996072779.082394</v>
      </c>
      <c r="H18" s="119">
        <f>+P18*5%</f>
        <v>44993454631.803993</v>
      </c>
      <c r="I18" s="119">
        <f>+P18*8%</f>
        <v>71989527410.886383</v>
      </c>
      <c r="J18" s="119">
        <f>+P18*7%</f>
        <v>62990836484.525597</v>
      </c>
      <c r="K18" s="119">
        <f>+P18*1.5%</f>
        <v>13498036389.541197</v>
      </c>
      <c r="L18" s="119">
        <f>+P18*2%</f>
        <v>17997381852.721596</v>
      </c>
      <c r="M18" s="119">
        <f>+P18*10%</f>
        <v>89986909263.607986</v>
      </c>
      <c r="N18" s="119">
        <f>+P18*3.5%</f>
        <v>31495418242.262798</v>
      </c>
      <c r="O18" s="119">
        <f>+P18*0.5%</f>
        <v>4499345463.1803989</v>
      </c>
      <c r="P18" s="120">
        <f>+'[1]EXPRESS 2707 VENTAS Y COMP 2018'!$H$143+'[1]EXPRESS 2707 VENTAS Y COMP 2018'!$H$144</f>
        <v>899869092636.07983</v>
      </c>
      <c r="Q18" s="11" t="str">
        <f>+A18</f>
        <v>AGOSTO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206969891306.29837</v>
      </c>
      <c r="D19" s="121">
        <f t="shared" si="0"/>
        <v>197971200379.93756</v>
      </c>
      <c r="E19" s="121">
        <f t="shared" si="0"/>
        <v>130481018432.23157</v>
      </c>
      <c r="F19" s="121">
        <f t="shared" si="0"/>
        <v>0</v>
      </c>
      <c r="G19" s="121">
        <f t="shared" si="0"/>
        <v>26996072779.082394</v>
      </c>
      <c r="H19" s="121">
        <f t="shared" si="0"/>
        <v>44993454631.803993</v>
      </c>
      <c r="I19" s="121">
        <f t="shared" si="0"/>
        <v>71989527410.886383</v>
      </c>
      <c r="J19" s="121">
        <f t="shared" si="0"/>
        <v>62990836484.525597</v>
      </c>
      <c r="K19" s="121">
        <f t="shared" si="0"/>
        <v>13498036389.541197</v>
      </c>
      <c r="L19" s="121">
        <f t="shared" si="0"/>
        <v>17997381852.721596</v>
      </c>
      <c r="M19" s="121">
        <f t="shared" si="0"/>
        <v>89986909263.607986</v>
      </c>
      <c r="N19" s="121">
        <f t="shared" si="0"/>
        <v>31495418242.262798</v>
      </c>
      <c r="O19" s="121">
        <f t="shared" si="0"/>
        <v>4499345463.1803989</v>
      </c>
      <c r="P19" s="120">
        <f>SUM(B19:O19)</f>
        <v>899869092636.07983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49524290.759999998</v>
      </c>
      <c r="C22" s="68">
        <f>C19*C16</f>
        <v>4139397826.1259675</v>
      </c>
      <c r="D22" s="68">
        <f>D19*D16</f>
        <v>1979712003.7993755</v>
      </c>
      <c r="E22" s="68">
        <f t="shared" ref="E22:O22" si="1">+E19*E16</f>
        <v>1500531711.9706631</v>
      </c>
      <c r="F22" s="68">
        <v>49524290.759999998</v>
      </c>
      <c r="G22" s="68">
        <f t="shared" si="1"/>
        <v>1619764366.7449436</v>
      </c>
      <c r="H22" s="68">
        <f t="shared" si="1"/>
        <v>1012352729.2155898</v>
      </c>
      <c r="I22" s="68">
        <f t="shared" si="1"/>
        <v>827879565.22519338</v>
      </c>
      <c r="J22" s="68">
        <f t="shared" si="1"/>
        <v>944862547.2678839</v>
      </c>
      <c r="K22" s="68">
        <f t="shared" si="1"/>
        <v>303705818.76467693</v>
      </c>
      <c r="L22" s="68">
        <f t="shared" si="1"/>
        <v>404941091.6862359</v>
      </c>
      <c r="M22" s="68">
        <f t="shared" si="1"/>
        <v>899869092.63607991</v>
      </c>
      <c r="N22" s="68">
        <f t="shared" si="1"/>
        <v>551169819.23959899</v>
      </c>
      <c r="O22" s="68">
        <f t="shared" si="1"/>
        <v>191222182.18516695</v>
      </c>
      <c r="P22" s="68">
        <f>SUM(B22:O22)</f>
        <v>14474457336.381374</v>
      </c>
    </row>
    <row r="23" spans="1:17" hidden="1" x14ac:dyDescent="0.25">
      <c r="F23" s="117"/>
    </row>
    <row r="24" spans="1:17" hidden="1" x14ac:dyDescent="0.25">
      <c r="B24" s="68">
        <f>+B22</f>
        <v>49524290.759999998</v>
      </c>
      <c r="C24" s="68">
        <f t="shared" ref="C24:O24" si="2">C22</f>
        <v>4139397826.1259675</v>
      </c>
      <c r="D24" s="68">
        <f t="shared" si="2"/>
        <v>1979712003.7993755</v>
      </c>
      <c r="E24" s="68">
        <f t="shared" si="2"/>
        <v>1500531711.9706631</v>
      </c>
      <c r="F24" s="68">
        <f>+F22</f>
        <v>49524290.759999998</v>
      </c>
      <c r="G24" s="68">
        <f t="shared" si="2"/>
        <v>1619764366.7449436</v>
      </c>
      <c r="H24" s="68">
        <f t="shared" si="2"/>
        <v>1012352729.2155898</v>
      </c>
      <c r="I24" s="68">
        <f t="shared" si="2"/>
        <v>827879565.22519338</v>
      </c>
      <c r="J24" s="68">
        <f t="shared" si="2"/>
        <v>944862547.2678839</v>
      </c>
      <c r="K24" s="68">
        <f>K22</f>
        <v>303705818.76467693</v>
      </c>
      <c r="L24" s="68">
        <f t="shared" si="2"/>
        <v>404941091.6862359</v>
      </c>
      <c r="M24" s="68">
        <f t="shared" si="2"/>
        <v>899869092.63607991</v>
      </c>
      <c r="N24" s="68">
        <f t="shared" si="2"/>
        <v>551169819.23959899</v>
      </c>
      <c r="O24" s="68">
        <f t="shared" si="2"/>
        <v>191222182.18516695</v>
      </c>
      <c r="P24" s="68">
        <f>SUM(B24:O24)</f>
        <v>14474457336.381374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723722866.81906879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13750734469.562305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" workbookViewId="0">
      <selection activeCell="E27" sqref="E27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7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7" t="s">
        <v>63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81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1" t="s">
        <v>13</v>
      </c>
      <c r="B5" s="147" t="s">
        <v>14</v>
      </c>
      <c r="C5" s="147"/>
      <c r="D5" s="10"/>
      <c r="E5" s="10"/>
      <c r="F5" s="10"/>
      <c r="G5" s="10"/>
      <c r="H5" s="10"/>
      <c r="I5" s="141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6</v>
      </c>
      <c r="B18" s="119">
        <v>0</v>
      </c>
      <c r="C18" s="119">
        <f>+P18*23%</f>
        <v>182019209747.9321</v>
      </c>
      <c r="D18" s="119">
        <f>+P18*22%</f>
        <v>174105331063.23938</v>
      </c>
      <c r="E18" s="119">
        <f>+P18*14.5%</f>
        <v>114751240928.04413</v>
      </c>
      <c r="F18" s="119">
        <v>0</v>
      </c>
      <c r="G18" s="119">
        <f>+P18*3%</f>
        <v>23741636054.078094</v>
      </c>
      <c r="H18" s="119">
        <f>+P18*5%</f>
        <v>39569393423.463493</v>
      </c>
      <c r="I18" s="119">
        <f>+P18*8%</f>
        <v>63311029477.541595</v>
      </c>
      <c r="J18" s="119">
        <f>+P18*7%</f>
        <v>55397150792.8489</v>
      </c>
      <c r="K18" s="119">
        <f>+P18*1.5%</f>
        <v>11870818027.039047</v>
      </c>
      <c r="L18" s="119">
        <f>+P18*2%</f>
        <v>15827757369.385399</v>
      </c>
      <c r="M18" s="119">
        <f>+P18*10%</f>
        <v>79138786846.926987</v>
      </c>
      <c r="N18" s="119">
        <f>+P18*3.5%</f>
        <v>27698575396.42445</v>
      </c>
      <c r="O18" s="119">
        <f>+P18*0.5%</f>
        <v>3956939342.3463497</v>
      </c>
      <c r="P18" s="120">
        <f>+'[2]EXPRESS 2707 VENTAS Y COMP 2018'!$H$141+'[2]EXPRESS 2707 VENTAS Y COMP 2018'!$H$142</f>
        <v>791387868469.2699</v>
      </c>
      <c r="Q18" s="11" t="str">
        <f>+A18</f>
        <v>JULIO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182019209747.9321</v>
      </c>
      <c r="D19" s="121">
        <f t="shared" si="0"/>
        <v>174105331063.23938</v>
      </c>
      <c r="E19" s="121">
        <f t="shared" si="0"/>
        <v>114751240928.04413</v>
      </c>
      <c r="F19" s="121">
        <f t="shared" si="0"/>
        <v>0</v>
      </c>
      <c r="G19" s="121">
        <f t="shared" si="0"/>
        <v>23741636054.078094</v>
      </c>
      <c r="H19" s="121">
        <f t="shared" si="0"/>
        <v>39569393423.463493</v>
      </c>
      <c r="I19" s="121">
        <f t="shared" si="0"/>
        <v>63311029477.541595</v>
      </c>
      <c r="J19" s="121">
        <f t="shared" si="0"/>
        <v>55397150792.8489</v>
      </c>
      <c r="K19" s="121">
        <f t="shared" si="0"/>
        <v>11870818027.039047</v>
      </c>
      <c r="L19" s="121">
        <f t="shared" si="0"/>
        <v>15827757369.385399</v>
      </c>
      <c r="M19" s="121">
        <f t="shared" si="0"/>
        <v>79138786846.926987</v>
      </c>
      <c r="N19" s="121">
        <f t="shared" si="0"/>
        <v>27698575396.42445</v>
      </c>
      <c r="O19" s="121">
        <f t="shared" si="0"/>
        <v>3956939342.3463497</v>
      </c>
      <c r="P19" s="120">
        <f>SUM(B19:O19)</f>
        <v>791387868469.2699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48187749.119999997</v>
      </c>
      <c r="C22" s="68">
        <f>C19*C16</f>
        <v>3640384194.958642</v>
      </c>
      <c r="D22" s="68">
        <f>D19*D16</f>
        <v>1741053310.6323938</v>
      </c>
      <c r="E22" s="68">
        <f t="shared" ref="E22:O22" si="1">+E19*E16</f>
        <v>1319639270.6725075</v>
      </c>
      <c r="F22" s="68">
        <v>48187749.119999997</v>
      </c>
      <c r="G22" s="68">
        <f t="shared" si="1"/>
        <v>1424498163.2446856</v>
      </c>
      <c r="H22" s="68">
        <f t="shared" si="1"/>
        <v>890311352.02792859</v>
      </c>
      <c r="I22" s="68">
        <f t="shared" si="1"/>
        <v>728076838.99172831</v>
      </c>
      <c r="J22" s="68">
        <f t="shared" si="1"/>
        <v>830957261.89273345</v>
      </c>
      <c r="K22" s="68">
        <f t="shared" si="1"/>
        <v>267093405.60837856</v>
      </c>
      <c r="L22" s="68">
        <f t="shared" si="1"/>
        <v>356124540.81117147</v>
      </c>
      <c r="M22" s="68">
        <f t="shared" si="1"/>
        <v>791387868.46926987</v>
      </c>
      <c r="N22" s="68">
        <f t="shared" si="1"/>
        <v>484725069.43742794</v>
      </c>
      <c r="O22" s="68">
        <f t="shared" si="1"/>
        <v>168169922.04971987</v>
      </c>
      <c r="P22" s="68">
        <f>SUM(B22:O22)</f>
        <v>12738796697.036587</v>
      </c>
    </row>
    <row r="23" spans="1:17" hidden="1" x14ac:dyDescent="0.25">
      <c r="F23" s="117"/>
    </row>
    <row r="24" spans="1:17" hidden="1" x14ac:dyDescent="0.25">
      <c r="B24" s="68">
        <f>+B22</f>
        <v>48187749.119999997</v>
      </c>
      <c r="C24" s="68">
        <f t="shared" ref="C24:O24" si="2">C22</f>
        <v>3640384194.958642</v>
      </c>
      <c r="D24" s="68">
        <f t="shared" si="2"/>
        <v>1741053310.6323938</v>
      </c>
      <c r="E24" s="68">
        <f t="shared" si="2"/>
        <v>1319639270.6725075</v>
      </c>
      <c r="F24" s="68">
        <f>+F22</f>
        <v>48187749.119999997</v>
      </c>
      <c r="G24" s="68">
        <f t="shared" si="2"/>
        <v>1424498163.2446856</v>
      </c>
      <c r="H24" s="68">
        <f t="shared" si="2"/>
        <v>890311352.02792859</v>
      </c>
      <c r="I24" s="68">
        <f t="shared" si="2"/>
        <v>728076838.99172831</v>
      </c>
      <c r="J24" s="68">
        <f t="shared" si="2"/>
        <v>830957261.89273345</v>
      </c>
      <c r="K24" s="68">
        <f>K22</f>
        <v>267093405.60837856</v>
      </c>
      <c r="L24" s="68">
        <f t="shared" si="2"/>
        <v>356124540.81117147</v>
      </c>
      <c r="M24" s="68">
        <f t="shared" si="2"/>
        <v>791387868.46926987</v>
      </c>
      <c r="N24" s="68">
        <f t="shared" si="2"/>
        <v>484725069.43742794</v>
      </c>
      <c r="O24" s="68">
        <f t="shared" si="2"/>
        <v>168169922.04971987</v>
      </c>
      <c r="P24" s="68">
        <f>SUM(B24:O24)</f>
        <v>12738796697.036587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636939834.85182941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12101856862.184757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N29" sqref="N29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4" width="17.42578125" style="11" bestFit="1" customWidth="1"/>
    <col min="5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7" t="s">
        <v>63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80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9" t="s">
        <v>13</v>
      </c>
      <c r="B5" s="147" t="s">
        <v>14</v>
      </c>
      <c r="C5" s="147"/>
      <c r="D5" s="10"/>
      <c r="E5" s="10"/>
      <c r="F5" s="10"/>
      <c r="G5" s="10"/>
      <c r="H5" s="10"/>
      <c r="I5" s="139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5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+'[2]EXPRESS 2707 VENTAS Y COMP 2018'!$G$141</f>
        <v>0</v>
      </c>
      <c r="Q18" s="11" t="str">
        <f>+A18</f>
        <v>JUNIO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38647180.200000003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38647180.200000003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77294360.400000006</v>
      </c>
    </row>
    <row r="23" spans="1:17" hidden="1" x14ac:dyDescent="0.25">
      <c r="F23" s="117"/>
    </row>
    <row r="24" spans="1:17" hidden="1" x14ac:dyDescent="0.25">
      <c r="B24" s="68">
        <f>+B22</f>
        <v>38647180.200000003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38647180.200000003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77294360.400000006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3864718.0200000005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73429642.38000001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B25" sqref="B25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4" width="17.42578125" style="11" bestFit="1" customWidth="1"/>
    <col min="5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7" t="s">
        <v>63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65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8" t="s">
        <v>13</v>
      </c>
      <c r="B5" s="147" t="s">
        <v>14</v>
      </c>
      <c r="C5" s="147"/>
      <c r="D5" s="10"/>
      <c r="E5" s="10"/>
      <c r="F5" s="10"/>
      <c r="G5" s="10"/>
      <c r="H5" s="10"/>
      <c r="I5" s="138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4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+'[2]EXPRESS 2707 VENTAS Y COMP 2018'!$G$139</f>
        <v>0</v>
      </c>
      <c r="Q18" s="11" t="str">
        <f>+A18</f>
        <v>MAYO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37389198.399999999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37389198.399999999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74778396.799999997</v>
      </c>
    </row>
    <row r="23" spans="1:17" hidden="1" x14ac:dyDescent="0.25">
      <c r="F23" s="117"/>
    </row>
    <row r="24" spans="1:17" hidden="1" x14ac:dyDescent="0.25">
      <c r="B24" s="68">
        <f>+B22</f>
        <v>37389198.399999999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37389198.399999999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74778396.799999997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3738919.84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71039476.959999993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G12" sqref="G12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7" t="s">
        <v>63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64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7" t="s">
        <v>13</v>
      </c>
      <c r="B5" s="147" t="s">
        <v>14</v>
      </c>
      <c r="C5" s="147"/>
      <c r="D5" s="10"/>
      <c r="E5" s="10"/>
      <c r="F5" s="10"/>
      <c r="G5" s="10"/>
      <c r="H5" s="10"/>
      <c r="I5" s="137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3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+'[2]EXPRESS 2707 VENTAS Y COMP 2018'!$G$137</f>
        <v>0</v>
      </c>
      <c r="Q18" s="11" t="str">
        <f>+A18</f>
        <v>ABRIL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33874493.600000001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33874493.600000001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67748987.200000003</v>
      </c>
    </row>
    <row r="23" spans="1:17" hidden="1" x14ac:dyDescent="0.25">
      <c r="F23" s="117"/>
    </row>
    <row r="24" spans="1:17" hidden="1" x14ac:dyDescent="0.25">
      <c r="B24" s="68">
        <f>+B22</f>
        <v>33874493.600000001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33874493.600000001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67748987.200000003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3387449.3600000003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64361537.840000004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A22" sqref="A22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7" t="s">
        <v>63</v>
      </c>
      <c r="B1" s="147"/>
      <c r="C1" s="147"/>
      <c r="D1" s="147"/>
      <c r="E1" s="147"/>
      <c r="F1" s="147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7" t="s">
        <v>43</v>
      </c>
      <c r="B2" s="147"/>
      <c r="C2" s="147"/>
      <c r="D2" s="147"/>
      <c r="E2" s="147"/>
      <c r="F2" s="147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7" t="s">
        <v>12</v>
      </c>
      <c r="B3" s="147"/>
      <c r="C3" s="147"/>
      <c r="D3" s="147"/>
      <c r="E3" s="147"/>
      <c r="F3" s="147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7" t="s">
        <v>62</v>
      </c>
      <c r="B4" s="147"/>
      <c r="C4" s="147"/>
      <c r="D4" s="147"/>
      <c r="E4" s="147"/>
      <c r="F4" s="147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4" t="s">
        <v>13</v>
      </c>
      <c r="B5" s="147" t="s">
        <v>14</v>
      </c>
      <c r="C5" s="147"/>
      <c r="D5" s="10"/>
      <c r="E5" s="10"/>
      <c r="F5" s="10"/>
      <c r="G5" s="10"/>
      <c r="H5" s="10"/>
      <c r="I5" s="134" t="s">
        <v>13</v>
      </c>
      <c r="J5" s="147" t="s">
        <v>14</v>
      </c>
      <c r="K5" s="147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2</v>
      </c>
      <c r="B18" s="119">
        <v>0</v>
      </c>
      <c r="C18" s="119">
        <f>+P18*23%</f>
        <v>69765472823.311508</v>
      </c>
      <c r="D18" s="119">
        <f>+P18*22%</f>
        <v>66732191396.211014</v>
      </c>
      <c r="E18" s="119">
        <f>+P18*14.5%</f>
        <v>43982580692.957253</v>
      </c>
      <c r="F18" s="119">
        <v>0</v>
      </c>
      <c r="G18" s="119">
        <f>+P18*3%</f>
        <v>9099844281.3015003</v>
      </c>
      <c r="H18" s="119">
        <f>+P18*5%</f>
        <v>15166407135.502502</v>
      </c>
      <c r="I18" s="119">
        <f>+P18*8%</f>
        <v>24266251416.804005</v>
      </c>
      <c r="J18" s="119">
        <f>+P18*7%</f>
        <v>21232969989.703506</v>
      </c>
      <c r="K18" s="119">
        <f>+P18*1.5%</f>
        <v>4549922140.6507502</v>
      </c>
      <c r="L18" s="119">
        <f>+P18*2%</f>
        <v>6066562854.2010012</v>
      </c>
      <c r="M18" s="119">
        <f>+P18*10%</f>
        <v>30332814271.005005</v>
      </c>
      <c r="N18" s="119">
        <f>+P18*3.5%</f>
        <v>10616484994.851753</v>
      </c>
      <c r="O18" s="119">
        <f>+P18*0.5%</f>
        <v>1516640713.5502503</v>
      </c>
      <c r="P18" s="120">
        <f>+'[3]EXPRESS 2707 VENTAS Y COMP 2018'!$G$135</f>
        <v>303328142710.05005</v>
      </c>
      <c r="Q18" s="11" t="str">
        <f>+A18</f>
        <v>MARZO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69765472823.311508</v>
      </c>
      <c r="D19" s="121">
        <f t="shared" si="0"/>
        <v>66732191396.211014</v>
      </c>
      <c r="E19" s="121">
        <f t="shared" si="0"/>
        <v>43982580692.957253</v>
      </c>
      <c r="F19" s="121">
        <f t="shared" si="0"/>
        <v>0</v>
      </c>
      <c r="G19" s="121">
        <f t="shared" si="0"/>
        <v>9099844281.3015003</v>
      </c>
      <c r="H19" s="121">
        <f t="shared" si="0"/>
        <v>15166407135.502502</v>
      </c>
      <c r="I19" s="121">
        <f t="shared" si="0"/>
        <v>24266251416.804005</v>
      </c>
      <c r="J19" s="121">
        <f t="shared" si="0"/>
        <v>21232969989.703506</v>
      </c>
      <c r="K19" s="121">
        <f t="shared" si="0"/>
        <v>4549922140.6507502</v>
      </c>
      <c r="L19" s="121">
        <f t="shared" si="0"/>
        <v>6066562854.2010012</v>
      </c>
      <c r="M19" s="121">
        <f t="shared" si="0"/>
        <v>30332814271.005005</v>
      </c>
      <c r="N19" s="121">
        <f t="shared" si="0"/>
        <v>10616484994.851753</v>
      </c>
      <c r="O19" s="121">
        <f t="shared" si="0"/>
        <v>1516640713.5502503</v>
      </c>
      <c r="P19" s="120">
        <f>SUM(B19:O19)</f>
        <v>303328142710.05005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23846217</v>
      </c>
      <c r="C22" s="68">
        <f>C19*C16</f>
        <v>1395309456.4662302</v>
      </c>
      <c r="D22" s="68">
        <f>D19*D16</f>
        <v>667321913.96211016</v>
      </c>
      <c r="E22" s="68">
        <f t="shared" ref="E22:O22" si="1">+E19*E16</f>
        <v>505799677.96900839</v>
      </c>
      <c r="F22" s="68">
        <v>23846217</v>
      </c>
      <c r="G22" s="68">
        <f t="shared" si="1"/>
        <v>545990656.87809002</v>
      </c>
      <c r="H22" s="68">
        <f t="shared" si="1"/>
        <v>341244160.54880631</v>
      </c>
      <c r="I22" s="68">
        <f t="shared" si="1"/>
        <v>279061891.29324603</v>
      </c>
      <c r="J22" s="68">
        <f t="shared" si="1"/>
        <v>318494549.84555256</v>
      </c>
      <c r="K22" s="68">
        <f t="shared" si="1"/>
        <v>102373248.16464187</v>
      </c>
      <c r="L22" s="68">
        <f t="shared" si="1"/>
        <v>136497664.21952254</v>
      </c>
      <c r="M22" s="68">
        <f t="shared" si="1"/>
        <v>303328142.71005005</v>
      </c>
      <c r="N22" s="68">
        <f t="shared" si="1"/>
        <v>185788487.4099057</v>
      </c>
      <c r="O22" s="68">
        <f t="shared" si="1"/>
        <v>64457230.325885639</v>
      </c>
      <c r="P22" s="68">
        <f>SUM(B22:O22)</f>
        <v>4893359513.7930489</v>
      </c>
    </row>
    <row r="23" spans="1:17" hidden="1" x14ac:dyDescent="0.25">
      <c r="F23" s="117"/>
    </row>
    <row r="24" spans="1:17" hidden="1" x14ac:dyDescent="0.25">
      <c r="B24" s="68">
        <f>+B22</f>
        <v>23846217</v>
      </c>
      <c r="C24" s="68">
        <f t="shared" ref="C24:O24" si="2">C22</f>
        <v>1395309456.4662302</v>
      </c>
      <c r="D24" s="68">
        <f t="shared" si="2"/>
        <v>667321913.96211016</v>
      </c>
      <c r="E24" s="68">
        <f t="shared" si="2"/>
        <v>505799677.96900839</v>
      </c>
      <c r="F24" s="68">
        <f>+F22</f>
        <v>23846217</v>
      </c>
      <c r="G24" s="68">
        <f t="shared" si="2"/>
        <v>545990656.87809002</v>
      </c>
      <c r="H24" s="68">
        <f t="shared" si="2"/>
        <v>341244160.54880631</v>
      </c>
      <c r="I24" s="68">
        <f t="shared" si="2"/>
        <v>279061891.29324603</v>
      </c>
      <c r="J24" s="68">
        <f t="shared" si="2"/>
        <v>318494549.84555256</v>
      </c>
      <c r="K24" s="68">
        <f>K22</f>
        <v>102373248.16464187</v>
      </c>
      <c r="L24" s="68">
        <f t="shared" si="2"/>
        <v>136497664.21952254</v>
      </c>
      <c r="M24" s="68">
        <f t="shared" si="2"/>
        <v>303328142.71005005</v>
      </c>
      <c r="N24" s="68">
        <f t="shared" si="2"/>
        <v>185788487.4099057</v>
      </c>
      <c r="O24" s="68">
        <f t="shared" si="2"/>
        <v>64457230.325885639</v>
      </c>
      <c r="P24" s="68">
        <f>SUM(B24:O24)</f>
        <v>4893359513.7930489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244667975.68965244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4648691538.1033964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RELACION DE ING MES 11-2021 </vt:lpstr>
      <vt:lpstr>RELACION DE ING MES 10-2021</vt:lpstr>
      <vt:lpstr>RELACION DE ING MES 09-2021</vt:lpstr>
      <vt:lpstr>RELACION DE ING MES 08-2021</vt:lpstr>
      <vt:lpstr>RELACION DE ING MES 07-2021 </vt:lpstr>
      <vt:lpstr>RELACION DE ING MES 06-2021</vt:lpstr>
      <vt:lpstr>RELACION DE ING MES 05-2021</vt:lpstr>
      <vt:lpstr>RELACION DE ING MES 04-2021</vt:lpstr>
      <vt:lpstr>RELACION DE ING MES 03-2021</vt:lpstr>
      <vt:lpstr>RELACION DE ING MES 02-2021</vt:lpstr>
      <vt:lpstr>RELACION DE ING MES 01-2021</vt:lpstr>
      <vt:lpstr>RELACION DE ING MES 12-2020 </vt:lpstr>
      <vt:lpstr>RELACION DE ING MES 11-2020</vt:lpstr>
      <vt:lpstr>RELACION DE ING TRIM 01-2020</vt:lpstr>
      <vt:lpstr>RELACION DE ING TRIM 04-2019</vt:lpstr>
      <vt:lpstr>RELACION DE ING TRIM 03-2019</vt:lpstr>
      <vt:lpstr>RELACION DE ING TRIM 02-2019</vt:lpstr>
      <vt:lpstr>RELACION DE ING TRIM 01-2019</vt:lpstr>
      <vt:lpstr>% TRIM 01-2019</vt:lpstr>
      <vt:lpstr>RELACION DE ING TRIM 04-2018</vt:lpstr>
      <vt:lpstr>% TRIM 04-2018 </vt:lpstr>
      <vt:lpstr>RELACION DE ING TRIM 03-2018</vt:lpstr>
      <vt:lpstr>% TRIM 03-2018 </vt:lpstr>
      <vt:lpstr>RELACION DE ING TRIM 02-2018</vt:lpstr>
      <vt:lpstr>% TRIM 02-2018</vt:lpstr>
      <vt:lpstr>RELACION DE ING TRIM 01-2018</vt:lpstr>
      <vt:lpstr>% TRIM 01-2018</vt:lpstr>
      <vt:lpstr>RELACION DE ING 2017</vt:lpstr>
      <vt:lpstr>%2017</vt:lpstr>
      <vt:lpstr>RELACION DE ING 2016</vt:lpstr>
      <vt:lpstr>%2016</vt:lpstr>
    </vt:vector>
  </TitlesOfParts>
  <Company>Diario Avance de Los Teques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Contabilidad</cp:lastModifiedBy>
  <cp:lastPrinted>2021-11-03T15:50:03Z</cp:lastPrinted>
  <dcterms:created xsi:type="dcterms:W3CDTF">2012-02-09T13:07:09Z</dcterms:created>
  <dcterms:modified xsi:type="dcterms:W3CDTF">2021-12-03T14:54:19Z</dcterms:modified>
</cp:coreProperties>
</file>