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CALDIA\"/>
    </mc:Choice>
  </mc:AlternateContent>
  <bookViews>
    <workbookView xWindow="0" yWindow="0" windowWidth="20490" windowHeight="7665"/>
  </bookViews>
  <sheets>
    <sheet name="RELACION DE ING MES 11-2021 " sheetId="55" r:id="rId1"/>
    <sheet name="RELACION DE ING MES 10-2021 " sheetId="54" r:id="rId2"/>
    <sheet name="RELACION DE ING MES 09-2021" sheetId="53" r:id="rId3"/>
    <sheet name="RELACION DE ING MES 08-2021 " sheetId="52" r:id="rId4"/>
    <sheet name="RELACION DE ING MES 07-2021 " sheetId="51" r:id="rId5"/>
    <sheet name="RELACION DE ING MES 06-2021 " sheetId="50" r:id="rId6"/>
    <sheet name="RELACION DE ING MES 05-2021 " sheetId="49" r:id="rId7"/>
    <sheet name="RELACION DE ING MES 04-2021" sheetId="48" r:id="rId8"/>
    <sheet name="RELACION DE ING MES 03-2021" sheetId="47" r:id="rId9"/>
    <sheet name="RELACION DE ING MES 02-2021 " sheetId="46" r:id="rId10"/>
    <sheet name="RELACION DE ING MES 01-2021" sheetId="45" r:id="rId11"/>
    <sheet name="RELACION DE ING MES 12-2020" sheetId="44" r:id="rId12"/>
    <sheet name="RELACION DE ING MES 11-2020" sheetId="43" r:id="rId13"/>
    <sheet name="RELACION DE ING MES 10-2020" sheetId="42" r:id="rId14"/>
    <sheet name="RELACION DE ING MES 09-2020" sheetId="41" r:id="rId15"/>
  </sheets>
  <externalReferences>
    <externalReference r:id="rId16"/>
    <externalReference r:id="rId17"/>
    <externalReference r:id="rId18"/>
  </externalReferences>
  <calcPr calcId="162913"/>
</workbook>
</file>

<file path=xl/calcChain.xml><?xml version="1.0" encoding="utf-8"?>
<calcChain xmlns="http://schemas.openxmlformats.org/spreadsheetml/2006/main">
  <c r="J23" i="55" l="1"/>
  <c r="I22" i="55"/>
  <c r="I23" i="55" s="1"/>
  <c r="I25" i="55" s="1"/>
  <c r="H22" i="55"/>
  <c r="H23" i="55" s="1"/>
  <c r="H25" i="55" s="1"/>
  <c r="G22" i="55"/>
  <c r="G23" i="55" s="1"/>
  <c r="G25" i="55" s="1"/>
  <c r="F22" i="55"/>
  <c r="F23" i="55" s="1"/>
  <c r="F25" i="55" s="1"/>
  <c r="E22" i="55"/>
  <c r="E23" i="55" s="1"/>
  <c r="E25" i="55" s="1"/>
  <c r="D22" i="55"/>
  <c r="D23" i="55" s="1"/>
  <c r="D25" i="55" s="1"/>
  <c r="C22" i="55"/>
  <c r="C23" i="55" s="1"/>
  <c r="C25" i="55" s="1"/>
  <c r="B22" i="55"/>
  <c r="B23" i="55" s="1"/>
  <c r="B25" i="55" s="1"/>
  <c r="F16" i="55"/>
  <c r="F12" i="55"/>
  <c r="F11" i="55"/>
  <c r="J25" i="55" l="1"/>
  <c r="J23" i="54"/>
  <c r="I22" i="54"/>
  <c r="I23" i="54" s="1"/>
  <c r="I25" i="54" s="1"/>
  <c r="H22" i="54"/>
  <c r="H23" i="54" s="1"/>
  <c r="H25" i="54" s="1"/>
  <c r="G22" i="54"/>
  <c r="G23" i="54" s="1"/>
  <c r="G25" i="54" s="1"/>
  <c r="F22" i="54"/>
  <c r="F23" i="54" s="1"/>
  <c r="F25" i="54" s="1"/>
  <c r="E22" i="54"/>
  <c r="E23" i="54" s="1"/>
  <c r="E25" i="54" s="1"/>
  <c r="D22" i="54"/>
  <c r="D23" i="54" s="1"/>
  <c r="D25" i="54" s="1"/>
  <c r="C22" i="54"/>
  <c r="C23" i="54" s="1"/>
  <c r="C25" i="54" s="1"/>
  <c r="B22" i="54"/>
  <c r="B23" i="54" s="1"/>
  <c r="B25" i="54" s="1"/>
  <c r="F16" i="54"/>
  <c r="F12" i="54"/>
  <c r="F11" i="54"/>
  <c r="J27" i="55" l="1"/>
  <c r="J29" i="55"/>
  <c r="J31" i="55" s="1"/>
  <c r="J25" i="54"/>
  <c r="J23" i="53"/>
  <c r="H22" i="53"/>
  <c r="H23" i="53" s="1"/>
  <c r="H25" i="53" s="1"/>
  <c r="F22" i="53"/>
  <c r="F23" i="53" s="1"/>
  <c r="F25" i="53" s="1"/>
  <c r="D22" i="53"/>
  <c r="D23" i="53" s="1"/>
  <c r="D25" i="53" s="1"/>
  <c r="B22" i="53"/>
  <c r="B23" i="53" s="1"/>
  <c r="B25" i="53" s="1"/>
  <c r="F16" i="53"/>
  <c r="F12" i="53"/>
  <c r="F11" i="53"/>
  <c r="J27" i="54" l="1"/>
  <c r="J29" i="54"/>
  <c r="J31" i="54" s="1"/>
  <c r="C22" i="53"/>
  <c r="C23" i="53" s="1"/>
  <c r="C25" i="53" s="1"/>
  <c r="E22" i="53"/>
  <c r="E23" i="53" s="1"/>
  <c r="E25" i="53" s="1"/>
  <c r="J25" i="53" s="1"/>
  <c r="G22" i="53"/>
  <c r="G23" i="53" s="1"/>
  <c r="G25" i="53" s="1"/>
  <c r="I22" i="53"/>
  <c r="I23" i="53" s="1"/>
  <c r="I25" i="53" s="1"/>
  <c r="J22" i="52"/>
  <c r="J23" i="52"/>
  <c r="I22" i="52"/>
  <c r="I23" i="52" s="1"/>
  <c r="I25" i="52" s="1"/>
  <c r="H22" i="52"/>
  <c r="H23" i="52" s="1"/>
  <c r="H25" i="52" s="1"/>
  <c r="G22" i="52"/>
  <c r="G23" i="52" s="1"/>
  <c r="G25" i="52" s="1"/>
  <c r="F22" i="52"/>
  <c r="F23" i="52" s="1"/>
  <c r="F25" i="52" s="1"/>
  <c r="E22" i="52"/>
  <c r="E23" i="52" s="1"/>
  <c r="E25" i="52" s="1"/>
  <c r="D22" i="52"/>
  <c r="D23" i="52" s="1"/>
  <c r="D25" i="52" s="1"/>
  <c r="C22" i="52"/>
  <c r="C23" i="52" s="1"/>
  <c r="C25" i="52" s="1"/>
  <c r="B22" i="52"/>
  <c r="B23" i="52" s="1"/>
  <c r="B25" i="52" s="1"/>
  <c r="J25" i="52" s="1"/>
  <c r="F16" i="52"/>
  <c r="F12" i="52"/>
  <c r="F11" i="52"/>
  <c r="J27" i="53" l="1"/>
  <c r="J29" i="53"/>
  <c r="J31" i="53" s="1"/>
  <c r="J29" i="52"/>
  <c r="J31" i="52" s="1"/>
  <c r="J27" i="52"/>
  <c r="F20" i="41"/>
  <c r="E20" i="41"/>
  <c r="D20" i="41"/>
  <c r="C20" i="41"/>
  <c r="B20" i="41"/>
  <c r="G19" i="41"/>
  <c r="G20" i="41" s="1"/>
  <c r="F19" i="42"/>
  <c r="F20" i="42" s="1"/>
  <c r="E19" i="42"/>
  <c r="E20" i="42" s="1"/>
  <c r="D19" i="42"/>
  <c r="D20" i="42" s="1"/>
  <c r="C19" i="42"/>
  <c r="C20" i="42" s="1"/>
  <c r="B19" i="42"/>
  <c r="G19" i="42" s="1"/>
  <c r="G20" i="42" s="1"/>
  <c r="F19" i="43"/>
  <c r="F20" i="43" s="1"/>
  <c r="F22" i="43" s="1"/>
  <c r="E19" i="43"/>
  <c r="E20" i="43" s="1"/>
  <c r="E22" i="43" s="1"/>
  <c r="D19" i="43"/>
  <c r="D20" i="43" s="1"/>
  <c r="D22" i="43" s="1"/>
  <c r="C19" i="43"/>
  <c r="C20" i="43" s="1"/>
  <c r="C22" i="43" s="1"/>
  <c r="B19" i="43"/>
  <c r="G19" i="43" s="1"/>
  <c r="G20" i="43" s="1"/>
  <c r="F19" i="44"/>
  <c r="F20" i="44" s="1"/>
  <c r="F22" i="44" s="1"/>
  <c r="E19" i="44"/>
  <c r="E20" i="44" s="1"/>
  <c r="E22" i="44" s="1"/>
  <c r="D19" i="44"/>
  <c r="D20" i="44" s="1"/>
  <c r="D22" i="44" s="1"/>
  <c r="C19" i="44"/>
  <c r="C20" i="44" s="1"/>
  <c r="C22" i="44" s="1"/>
  <c r="B19" i="44"/>
  <c r="G19" i="44" s="1"/>
  <c r="G20" i="44" s="1"/>
  <c r="C25" i="45"/>
  <c r="I23" i="45"/>
  <c r="H23" i="45"/>
  <c r="G23" i="45"/>
  <c r="F22" i="45"/>
  <c r="F23" i="45" s="1"/>
  <c r="F25" i="45" s="1"/>
  <c r="E22" i="45"/>
  <c r="E23" i="45" s="1"/>
  <c r="E25" i="45" s="1"/>
  <c r="D22" i="45"/>
  <c r="D23" i="45" s="1"/>
  <c r="D25" i="45" s="1"/>
  <c r="C22" i="45"/>
  <c r="C23" i="45" s="1"/>
  <c r="B22" i="45"/>
  <c r="J22" i="45" s="1"/>
  <c r="J23" i="45" s="1"/>
  <c r="F25" i="46"/>
  <c r="B25" i="46"/>
  <c r="J23" i="46"/>
  <c r="I22" i="46"/>
  <c r="I23" i="46" s="1"/>
  <c r="I25" i="46" s="1"/>
  <c r="H22" i="46"/>
  <c r="H23" i="46" s="1"/>
  <c r="H25" i="46" s="1"/>
  <c r="G22" i="46"/>
  <c r="G23" i="46" s="1"/>
  <c r="G25" i="46" s="1"/>
  <c r="F22" i="46"/>
  <c r="F23" i="46" s="1"/>
  <c r="E22" i="46"/>
  <c r="E23" i="46" s="1"/>
  <c r="E25" i="46" s="1"/>
  <c r="D22" i="46"/>
  <c r="D23" i="46" s="1"/>
  <c r="D25" i="46" s="1"/>
  <c r="C22" i="46"/>
  <c r="C23" i="46" s="1"/>
  <c r="C25" i="46" s="1"/>
  <c r="B22" i="46"/>
  <c r="B23" i="46" s="1"/>
  <c r="F16" i="46"/>
  <c r="F12" i="46"/>
  <c r="F11" i="46"/>
  <c r="F25" i="47"/>
  <c r="B25" i="47"/>
  <c r="J22" i="47"/>
  <c r="H22" i="47"/>
  <c r="H23" i="47" s="1"/>
  <c r="H25" i="47" s="1"/>
  <c r="F22" i="47"/>
  <c r="F23" i="47" s="1"/>
  <c r="D22" i="47"/>
  <c r="D23" i="47" s="1"/>
  <c r="D25" i="47" s="1"/>
  <c r="B22" i="47"/>
  <c r="B23" i="47" s="1"/>
  <c r="F16" i="47"/>
  <c r="F12" i="47"/>
  <c r="F11" i="47"/>
  <c r="G25" i="48"/>
  <c r="C25" i="48"/>
  <c r="J23" i="48"/>
  <c r="H23" i="48"/>
  <c r="H25" i="48" s="1"/>
  <c r="F23" i="48"/>
  <c r="F25" i="48" s="1"/>
  <c r="D23" i="48"/>
  <c r="D25" i="48" s="1"/>
  <c r="B23" i="48"/>
  <c r="B25" i="48" s="1"/>
  <c r="J22" i="48"/>
  <c r="I22" i="48"/>
  <c r="I23" i="48" s="1"/>
  <c r="I25" i="48" s="1"/>
  <c r="H22" i="48"/>
  <c r="G22" i="48"/>
  <c r="G23" i="48" s="1"/>
  <c r="F22" i="48"/>
  <c r="E22" i="48"/>
  <c r="E23" i="48" s="1"/>
  <c r="E25" i="48" s="1"/>
  <c r="D22" i="48"/>
  <c r="C22" i="48"/>
  <c r="C23" i="48" s="1"/>
  <c r="B22" i="48"/>
  <c r="F16" i="48"/>
  <c r="F12" i="48"/>
  <c r="F11" i="48"/>
  <c r="J22" i="49"/>
  <c r="F22" i="49"/>
  <c r="F23" i="49" s="1"/>
  <c r="F25" i="49" s="1"/>
  <c r="B22" i="49"/>
  <c r="B23" i="49" s="1"/>
  <c r="B25" i="49" s="1"/>
  <c r="F16" i="49"/>
  <c r="F12" i="49"/>
  <c r="F11" i="49"/>
  <c r="J22" i="50"/>
  <c r="I22" i="50" s="1"/>
  <c r="I23" i="50" s="1"/>
  <c r="I25" i="50" s="1"/>
  <c r="H22" i="50"/>
  <c r="H23" i="50" s="1"/>
  <c r="H25" i="50" s="1"/>
  <c r="F22" i="50"/>
  <c r="F23" i="50" s="1"/>
  <c r="F25" i="50" s="1"/>
  <c r="D22" i="50"/>
  <c r="D23" i="50" s="1"/>
  <c r="D25" i="50" s="1"/>
  <c r="B22" i="50"/>
  <c r="B23" i="50" s="1"/>
  <c r="B25" i="50" s="1"/>
  <c r="F16" i="50"/>
  <c r="F12" i="50"/>
  <c r="F11" i="50"/>
  <c r="J23" i="51"/>
  <c r="H23" i="51"/>
  <c r="H25" i="51" s="1"/>
  <c r="F23" i="51"/>
  <c r="F25" i="51" s="1"/>
  <c r="D23" i="51"/>
  <c r="D25" i="51" s="1"/>
  <c r="B23" i="51"/>
  <c r="B25" i="51" s="1"/>
  <c r="J22" i="51"/>
  <c r="I22" i="51"/>
  <c r="I23" i="51" s="1"/>
  <c r="I25" i="51" s="1"/>
  <c r="H22" i="51"/>
  <c r="G22" i="51"/>
  <c r="G23" i="51" s="1"/>
  <c r="G25" i="51" s="1"/>
  <c r="F22" i="51"/>
  <c r="E22" i="51"/>
  <c r="E23" i="51" s="1"/>
  <c r="E25" i="51" s="1"/>
  <c r="D22" i="51"/>
  <c r="C22" i="51"/>
  <c r="C23" i="51" s="1"/>
  <c r="C25" i="51" s="1"/>
  <c r="B22" i="51"/>
  <c r="F16" i="51"/>
  <c r="F12" i="51"/>
  <c r="F11" i="51"/>
  <c r="J25" i="51" l="1"/>
  <c r="J25" i="46"/>
  <c r="J23" i="50"/>
  <c r="J23" i="49"/>
  <c r="I22" i="49"/>
  <c r="I23" i="49" s="1"/>
  <c r="I25" i="49" s="1"/>
  <c r="G22" i="49"/>
  <c r="G23" i="49" s="1"/>
  <c r="G25" i="49" s="1"/>
  <c r="E22" i="49"/>
  <c r="E23" i="49" s="1"/>
  <c r="E25" i="49" s="1"/>
  <c r="C22" i="49"/>
  <c r="C23" i="49" s="1"/>
  <c r="C25" i="49" s="1"/>
  <c r="J25" i="49" s="1"/>
  <c r="C22" i="50"/>
  <c r="C23" i="50" s="1"/>
  <c r="C25" i="50" s="1"/>
  <c r="J25" i="50" s="1"/>
  <c r="E22" i="50"/>
  <c r="E23" i="50" s="1"/>
  <c r="E25" i="50" s="1"/>
  <c r="G22" i="50"/>
  <c r="G23" i="50" s="1"/>
  <c r="G25" i="50" s="1"/>
  <c r="D22" i="49"/>
  <c r="D23" i="49" s="1"/>
  <c r="D25" i="49" s="1"/>
  <c r="H22" i="49"/>
  <c r="H23" i="49" s="1"/>
  <c r="H25" i="49" s="1"/>
  <c r="J25" i="48"/>
  <c r="J23" i="47"/>
  <c r="I22" i="47"/>
  <c r="I23" i="47" s="1"/>
  <c r="I25" i="47" s="1"/>
  <c r="G22" i="47"/>
  <c r="G23" i="47" s="1"/>
  <c r="G25" i="47" s="1"/>
  <c r="E22" i="47"/>
  <c r="E23" i="47" s="1"/>
  <c r="E25" i="47" s="1"/>
  <c r="C22" i="47"/>
  <c r="C23" i="47" s="1"/>
  <c r="C25" i="47" s="1"/>
  <c r="J25" i="47" s="1"/>
  <c r="B23" i="45"/>
  <c r="B25" i="45" s="1"/>
  <c r="J25" i="45" s="1"/>
  <c r="B20" i="44"/>
  <c r="B22" i="44" s="1"/>
  <c r="G22" i="44" s="1"/>
  <c r="B20" i="43"/>
  <c r="B22" i="43" s="1"/>
  <c r="G22" i="43" s="1"/>
  <c r="B20" i="42"/>
  <c r="J27" i="47" l="1"/>
  <c r="J29" i="47"/>
  <c r="J31" i="47" s="1"/>
  <c r="J29" i="50"/>
  <c r="J27" i="50"/>
  <c r="J31" i="50"/>
  <c r="J27" i="49"/>
  <c r="J29" i="49"/>
  <c r="J31" i="49" s="1"/>
  <c r="G24" i="43"/>
  <c r="G26" i="43" s="1"/>
  <c r="J27" i="45"/>
  <c r="J29" i="45"/>
  <c r="J31" i="45" s="1"/>
  <c r="J29" i="48"/>
  <c r="J31" i="48" s="1"/>
  <c r="J27" i="48"/>
  <c r="J27" i="46"/>
  <c r="J29" i="46"/>
  <c r="J31" i="46" s="1"/>
  <c r="J29" i="51"/>
  <c r="J31" i="51" s="1"/>
  <c r="J27" i="51"/>
  <c r="G24" i="44"/>
  <c r="G26" i="44" s="1"/>
</calcChain>
</file>

<file path=xl/sharedStrings.xml><?xml version="1.0" encoding="utf-8"?>
<sst xmlns="http://schemas.openxmlformats.org/spreadsheetml/2006/main" count="491" uniqueCount="62">
  <si>
    <t>SEPTIEMBRE</t>
  </si>
  <si>
    <t>RELACION DE INGRESOS BRUTOS</t>
  </si>
  <si>
    <t>CODIGO</t>
  </si>
  <si>
    <t>DESCRIPCION</t>
  </si>
  <si>
    <t>MES</t>
  </si>
  <si>
    <t>TOTALES</t>
  </si>
  <si>
    <t>TOTAL MES</t>
  </si>
  <si>
    <t>DESDE 31 DE AGOSTO HASTA 30 DE SEPTIEMBRE 2020</t>
  </si>
  <si>
    <t>VENTAS DE VIVERES EN GENERAL</t>
  </si>
  <si>
    <t>CAFETERIA, AREPERAS Y SIMILARES (LUNCHERIA)</t>
  </si>
  <si>
    <t>DETAL DE CHARCUTERIA</t>
  </si>
  <si>
    <t>ELABORACION DE PRODUCTOS DE PASTELERIA Y REPOSTERIA</t>
  </si>
  <si>
    <t>ELABORACION DE PAN EN TODAS SUS FORMAS</t>
  </si>
  <si>
    <t>LUNCHERIA Y PANADERIA ROMA, C.A.</t>
  </si>
  <si>
    <t>J-00069478-8</t>
  </si>
  <si>
    <t>LICENCIA 33221-00023</t>
  </si>
  <si>
    <t>OCTUBRE</t>
  </si>
  <si>
    <t>DESDE 01 DE OCTUBRE HASTA 31 DE OCTUBRE 2020</t>
  </si>
  <si>
    <t>DESDE 01 DE NOVIEMBRE HASTA 30 DE NOVIEMBRE 2020</t>
  </si>
  <si>
    <t>NOVIEMBRE</t>
  </si>
  <si>
    <t>MENOS 25%</t>
  </si>
  <si>
    <t>TOTAL A PAGAR</t>
  </si>
  <si>
    <t>DESDE 01 DE DICIEMBRE HASTA 31 DE DICIEMBRE 2020</t>
  </si>
  <si>
    <t>DICIEMBRE</t>
  </si>
  <si>
    <t>MENOS 5%</t>
  </si>
  <si>
    <t>DESDE 01 DE ENERO HASTA 31 DE ENERO 2021</t>
  </si>
  <si>
    <t>1201-14</t>
  </si>
  <si>
    <t>1303-01</t>
  </si>
  <si>
    <t>106-02</t>
  </si>
  <si>
    <t>106-01</t>
  </si>
  <si>
    <t>1206-02</t>
  </si>
  <si>
    <t>PERFUMERIAS, COSMETICOS, ARTICULOS DE LIMPIEZA</t>
  </si>
  <si>
    <t>1201-01</t>
  </si>
  <si>
    <t>DETAL DE FRUTAS, VERDURAS Y HORTALIZAS</t>
  </si>
  <si>
    <t>1202-02</t>
  </si>
  <si>
    <t>DETAL DE CARNES Y AVES DE CORRAL (CARNICERIAS)</t>
  </si>
  <si>
    <t>1201-22</t>
  </si>
  <si>
    <t>ENERO</t>
  </si>
  <si>
    <t>DESCUENTO 5%</t>
  </si>
  <si>
    <t>SUBTOTAL</t>
  </si>
  <si>
    <t>PERFUMERIAS, COSMETICOS, ARTICULOS DE LIMPIEZA Y PREPARADOS AFINES</t>
  </si>
  <si>
    <t>FEBRERO</t>
  </si>
  <si>
    <t>DESDE 01 DE FEBRERO HASTA 28 DE FEBRERO 2021</t>
  </si>
  <si>
    <t>DESDE 01 DE MARZO HASTA 31 DE MARZO 2021</t>
  </si>
  <si>
    <t>MARZO</t>
  </si>
  <si>
    <t>DESDE 01 DE ABRIL HASTA 30 DE ABRIL 2021</t>
  </si>
  <si>
    <t>ABRIL</t>
  </si>
  <si>
    <t>DESDE 01 DE MAYO HASTA 31 DE MAYO 2021</t>
  </si>
  <si>
    <t>MAYO</t>
  </si>
  <si>
    <t>JUNIO</t>
  </si>
  <si>
    <t>DESDE 01 DE JUNIO HASTA 30 DE JUNIO 2021</t>
  </si>
  <si>
    <t>DESDE 01 DE JULIO HASTA 31 DE JULIO 2021</t>
  </si>
  <si>
    <t>MINIMO TRIBUTABLE = 48.187.749,12</t>
  </si>
  <si>
    <t>DESDE 01 DE AGOSTO HASTA 31 DE AGOSTO 2021</t>
  </si>
  <si>
    <t>AGOSTO</t>
  </si>
  <si>
    <t>MINIMO TRIBUTABLE = 49.524.290,76</t>
  </si>
  <si>
    <t>MINIMO TRIBUTABLE = 50.18</t>
  </si>
  <si>
    <t>DESDE 01 DE SEPTIEMBRE HASTA 30 DE SEPTIEMBRE 2021</t>
  </si>
  <si>
    <t>DESDE 01 DE OCTUBRE HASTA 31 DE OCTUBRE 2021</t>
  </si>
  <si>
    <t>MINIMO TRIBUTABLE = 52.53</t>
  </si>
  <si>
    <t>DESDE 01 DE NOVIEMBRE HASTA 30 DE NOVIEMBRE 2021</t>
  </si>
  <si>
    <t>MINIMO TRIBUTABLE = 55.45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</si>
</sst>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Fill="1" applyAlignment="1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2" xfId="0" applyFont="1" applyFill="1" applyBorder="1"/>
    <xf numFmtId="4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7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1" fillId="0" borderId="0" xfId="0" applyFont="1" applyFill="1" applyBorder="1"/>
    <xf numFmtId="4" fontId="0" fillId="0" borderId="0" xfId="0" applyNumberFormat="1" applyFill="1" applyBorder="1" applyAlignment="1">
      <alignment horizontal="center"/>
    </xf>
    <xf numFmtId="0" fontId="1" fillId="2" borderId="1" xfId="0" applyFont="1" applyFill="1" applyBorder="1"/>
    <xf numFmtId="4" fontId="8" fillId="0" borderId="0" xfId="0" applyNumberFormat="1" applyFont="1" applyFill="1" applyAlignment="1"/>
    <xf numFmtId="4" fontId="8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uria/Desktop/INGRESOS%20SEGUN%20DECLARACION%20IVA%20(Autoguard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INGRESOS%20SEGUN%20DECLARACION%20I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DE%20TRABAJO/calculo%20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>
        <row r="62">
          <cell r="B62">
            <v>132119136543.08</v>
          </cell>
        </row>
        <row r="63">
          <cell r="B63">
            <v>143395013534.07999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ET Y MAT CANTOLAGO"/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B56">
            <v>52899235175.5</v>
          </cell>
        </row>
        <row r="58">
          <cell r="B58">
            <v>74146807943.649994</v>
          </cell>
        </row>
        <row r="60">
          <cell r="B60">
            <v>105632704957.95</v>
          </cell>
        </row>
        <row r="61">
          <cell r="B61">
            <v>126835908236.66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IZAL"/>
      <sheetName val="ABASTOS LORONA"/>
      <sheetName val="INVERSIONES AMER"/>
      <sheetName val="IMPORTACIONES BG"/>
      <sheetName val="HITO"/>
      <sheetName val="ROMA"/>
      <sheetName val="AMERICAN OIL"/>
      <sheetName val="SAUDE DENTAL"/>
      <sheetName val="EXPRESS 2707 VENTAS Y COMP 2018"/>
      <sheetName val="AVANCE VENTAS Y COMP "/>
      <sheetName val="METRO VENTAS Y COMP "/>
      <sheetName val="STOP VENTAS Y COMP"/>
    </sheetNames>
    <sheetDataSet>
      <sheetData sheetId="0"/>
      <sheetData sheetId="1"/>
      <sheetData sheetId="2"/>
      <sheetData sheetId="3"/>
      <sheetData sheetId="4"/>
      <sheetData sheetId="5">
        <row r="11">
          <cell r="I11">
            <v>5197118228.6499996</v>
          </cell>
        </row>
        <row r="12">
          <cell r="I12">
            <v>514784799.53999996</v>
          </cell>
        </row>
        <row r="13">
          <cell r="I13">
            <v>721225187.72000003</v>
          </cell>
        </row>
        <row r="14">
          <cell r="I14">
            <v>277749136.63</v>
          </cell>
        </row>
        <row r="15">
          <cell r="I15">
            <v>4560733397.54</v>
          </cell>
        </row>
        <row r="23">
          <cell r="I23">
            <v>12872064229.75</v>
          </cell>
        </row>
        <row r="24">
          <cell r="I24">
            <v>2959014343.3000002</v>
          </cell>
        </row>
        <row r="25">
          <cell r="I25">
            <v>1969505069.24</v>
          </cell>
        </row>
        <row r="26">
          <cell r="I26">
            <v>2920496268.3500004</v>
          </cell>
        </row>
        <row r="41">
          <cell r="I41">
            <v>18158910992.790001</v>
          </cell>
        </row>
        <row r="42">
          <cell r="I42">
            <v>5451680194.9500008</v>
          </cell>
        </row>
        <row r="43">
          <cell r="I43">
            <v>9627976208.1499996</v>
          </cell>
        </row>
        <row r="44">
          <cell r="I44">
            <v>6862616834.4499998</v>
          </cell>
        </row>
        <row r="45">
          <cell r="I45">
            <v>15785967645.6</v>
          </cell>
        </row>
        <row r="54">
          <cell r="B54">
            <v>75222770164.869995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abSelected="1" topLeftCell="A7" workbookViewId="0">
      <selection activeCell="H12" sqref="H12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60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43"/>
      <c r="B9" s="43"/>
      <c r="C9" s="43"/>
      <c r="D9" s="43"/>
      <c r="E9" s="43"/>
      <c r="F9" s="43"/>
      <c r="G9" s="43"/>
      <c r="H9" s="43"/>
      <c r="I9" s="43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43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19</v>
      </c>
      <c r="B22" s="5">
        <f>+J22*36%</f>
        <v>118196.85599999999</v>
      </c>
      <c r="C22" s="5">
        <f>+J22*11%</f>
        <v>36115.705999999998</v>
      </c>
      <c r="D22" s="5">
        <f>+J22*10%</f>
        <v>32832.46</v>
      </c>
      <c r="E22" s="5">
        <f>+J22*6%</f>
        <v>19699.475999999999</v>
      </c>
      <c r="F22" s="5">
        <f>+J22*20%</f>
        <v>65664.92</v>
      </c>
      <c r="G22" s="5">
        <f>+J22*2%</f>
        <v>6566.4919999999993</v>
      </c>
      <c r="H22" s="5">
        <f>+J22*9%</f>
        <v>29549.213999999996</v>
      </c>
      <c r="I22" s="5">
        <f>+J22*6%</f>
        <v>19699.475999999999</v>
      </c>
      <c r="J22" s="5">
        <v>328324.59999999998</v>
      </c>
    </row>
    <row r="23" spans="1:17" x14ac:dyDescent="0.25">
      <c r="A23" s="29" t="s">
        <v>5</v>
      </c>
      <c r="B23" s="15">
        <f t="shared" ref="B23:J23" si="0">SUM(B22:B22)</f>
        <v>118196.85599999999</v>
      </c>
      <c r="C23" s="15">
        <f t="shared" si="0"/>
        <v>36115.705999999998</v>
      </c>
      <c r="D23" s="15">
        <f t="shared" si="0"/>
        <v>32832.46</v>
      </c>
      <c r="E23" s="15">
        <f t="shared" si="0"/>
        <v>19699.475999999999</v>
      </c>
      <c r="F23" s="15">
        <f t="shared" si="0"/>
        <v>65664.92</v>
      </c>
      <c r="G23" s="15">
        <f t="shared" si="0"/>
        <v>6566.4919999999993</v>
      </c>
      <c r="H23" s="15">
        <f t="shared" si="0"/>
        <v>29549.213999999996</v>
      </c>
      <c r="I23" s="15">
        <f t="shared" si="0"/>
        <v>19699.475999999999</v>
      </c>
      <c r="J23" s="15">
        <f t="shared" si="0"/>
        <v>328324.59999999998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s="12" customFormat="1" x14ac:dyDescent="0.25">
      <c r="B25" s="41">
        <f>B23*B20</f>
        <v>1181.9685599999998</v>
      </c>
      <c r="C25" s="41">
        <f t="shared" ref="C25:I25" si="1">C23*C20</f>
        <v>361.15706</v>
      </c>
      <c r="D25" s="41">
        <f t="shared" si="1"/>
        <v>328.32459999999998</v>
      </c>
      <c r="E25" s="41">
        <f>E23*E20</f>
        <v>137.896332</v>
      </c>
      <c r="F25" s="41">
        <f t="shared" si="1"/>
        <v>459.65444000000002</v>
      </c>
      <c r="G25" s="41">
        <f t="shared" si="1"/>
        <v>147.74606999999997</v>
      </c>
      <c r="H25" s="41">
        <f t="shared" si="1"/>
        <v>295.49213999999995</v>
      </c>
      <c r="I25" s="41">
        <f t="shared" si="1"/>
        <v>226.54397399999999</v>
      </c>
      <c r="J25" s="42">
        <f>SUM(B25:I25)</f>
        <v>3138.7831759999999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3138.7831759999999</v>
      </c>
    </row>
    <row r="28" spans="1:17" x14ac:dyDescent="0.25">
      <c r="I28" s="26"/>
      <c r="J28" s="26"/>
    </row>
    <row r="29" spans="1:17" x14ac:dyDescent="0.25">
      <c r="A29" s="26" t="s">
        <v>61</v>
      </c>
      <c r="B29" s="26"/>
      <c r="C29" s="26"/>
      <c r="I29" s="26" t="s">
        <v>38</v>
      </c>
      <c r="J29" s="25">
        <f>J25*5%</f>
        <v>156.9391588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2981.8440172000001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A10" workbookViewId="0">
      <selection activeCell="J19" sqref="J19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42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23"/>
      <c r="B9" s="23"/>
      <c r="C9" s="23"/>
      <c r="D9" s="23"/>
      <c r="E9" s="23"/>
      <c r="F9" s="23"/>
      <c r="G9" s="23"/>
      <c r="H9" s="23"/>
      <c r="I9" s="23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23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41</v>
      </c>
      <c r="B22" s="5">
        <f>+J22*37%</f>
        <v>23855380756.335499</v>
      </c>
      <c r="C22" s="5">
        <f>+J22*11%</f>
        <v>7092140224.8565006</v>
      </c>
      <c r="D22" s="5">
        <f>+J22*10%</f>
        <v>6447400204.4150009</v>
      </c>
      <c r="E22" s="5">
        <f>+J22*5%</f>
        <v>3223700102.2075005</v>
      </c>
      <c r="F22" s="5">
        <f>+J22*20%</f>
        <v>12894800408.830002</v>
      </c>
      <c r="G22" s="5">
        <f>+J22*2%</f>
        <v>1289480040.8830001</v>
      </c>
      <c r="H22" s="5">
        <f>+J22*9%</f>
        <v>5802660183.9735003</v>
      </c>
      <c r="I22" s="5">
        <f>+J22*6%</f>
        <v>3868440122.6490002</v>
      </c>
      <c r="J22" s="5">
        <v>64474002044.150002</v>
      </c>
    </row>
    <row r="23" spans="1:17" x14ac:dyDescent="0.25">
      <c r="A23" s="29" t="s">
        <v>5</v>
      </c>
      <c r="B23" s="15">
        <f t="shared" ref="B23:J23" si="0">SUM(B22:B22)</f>
        <v>23855380756.335499</v>
      </c>
      <c r="C23" s="15">
        <f t="shared" si="0"/>
        <v>7092140224.8565006</v>
      </c>
      <c r="D23" s="15">
        <f t="shared" si="0"/>
        <v>6447400204.4150009</v>
      </c>
      <c r="E23" s="15">
        <f t="shared" si="0"/>
        <v>3223700102.2075005</v>
      </c>
      <c r="F23" s="15">
        <f t="shared" si="0"/>
        <v>12894800408.830002</v>
      </c>
      <c r="G23" s="15">
        <f t="shared" si="0"/>
        <v>1289480040.8830001</v>
      </c>
      <c r="H23" s="15">
        <f t="shared" si="0"/>
        <v>5802660183.9735003</v>
      </c>
      <c r="I23" s="15">
        <f t="shared" si="0"/>
        <v>3868440122.6490002</v>
      </c>
      <c r="J23" s="15">
        <f t="shared" si="0"/>
        <v>64474002044.150002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238553807.563355</v>
      </c>
      <c r="C25" s="13">
        <f t="shared" ref="C25:I25" si="1">C23*C20</f>
        <v>70921402.248565003</v>
      </c>
      <c r="D25" s="13">
        <f t="shared" si="1"/>
        <v>64474002.04415001</v>
      </c>
      <c r="E25" s="13">
        <f t="shared" si="1"/>
        <v>22565900.715452503</v>
      </c>
      <c r="F25" s="13">
        <f t="shared" si="1"/>
        <v>90263602.861810014</v>
      </c>
      <c r="G25" s="13">
        <f t="shared" si="1"/>
        <v>29013300.919867501</v>
      </c>
      <c r="H25" s="13">
        <f t="shared" si="1"/>
        <v>58026601.839735001</v>
      </c>
      <c r="I25" s="13">
        <f t="shared" si="1"/>
        <v>44487061.410463504</v>
      </c>
      <c r="J25" s="24">
        <f>SUM(B25:I25)</f>
        <v>618305679.60339844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618305679.60339844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30915283.980169922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587390395.62322855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workbookViewId="0">
      <selection activeCell="E16" sqref="E16"/>
    </sheetView>
  </sheetViews>
  <sheetFormatPr baseColWidth="10" defaultRowHeight="15" x14ac:dyDescent="0.25"/>
  <cols>
    <col min="1" max="1" width="10.28515625" customWidth="1"/>
    <col min="2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25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22"/>
      <c r="B9" s="22"/>
      <c r="C9" s="22"/>
      <c r="D9" s="22"/>
      <c r="E9" s="22"/>
      <c r="F9" s="22"/>
      <c r="G9" s="23"/>
      <c r="H9" s="23"/>
      <c r="I9" s="23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22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31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/>
      <c r="H20" s="21"/>
      <c r="I20" s="21"/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37</v>
      </c>
      <c r="B22" s="5">
        <f>+[3]ROMA!$I$41</f>
        <v>18158910992.790001</v>
      </c>
      <c r="C22" s="5">
        <f>+[3]ROMA!$I$42</f>
        <v>5451680194.9500008</v>
      </c>
      <c r="D22" s="5">
        <f>+[3]ROMA!$I$43</f>
        <v>9627976208.1499996</v>
      </c>
      <c r="E22" s="5">
        <f>+[3]ROMA!$I$44</f>
        <v>6862616834.4499998</v>
      </c>
      <c r="F22" s="5">
        <f>+[3]ROMA!$I$45</f>
        <v>15785967645.6</v>
      </c>
      <c r="G22" s="5">
        <v>0</v>
      </c>
      <c r="H22" s="5">
        <v>0</v>
      </c>
      <c r="I22" s="5">
        <v>0</v>
      </c>
      <c r="J22" s="5">
        <f>+B22+C22+D22+E22+F22</f>
        <v>55887151875.939995</v>
      </c>
    </row>
    <row r="23" spans="1:17" x14ac:dyDescent="0.25">
      <c r="A23" s="14" t="s">
        <v>5</v>
      </c>
      <c r="B23" s="15">
        <f t="shared" ref="B23:J23" si="0">SUM(B22:B22)</f>
        <v>18158910992.790001</v>
      </c>
      <c r="C23" s="15">
        <f t="shared" si="0"/>
        <v>5451680194.9500008</v>
      </c>
      <c r="D23" s="15">
        <f t="shared" si="0"/>
        <v>9627976208.1499996</v>
      </c>
      <c r="E23" s="15">
        <f t="shared" si="0"/>
        <v>6862616834.4499998</v>
      </c>
      <c r="F23" s="15">
        <f t="shared" si="0"/>
        <v>15785967645.6</v>
      </c>
      <c r="G23" s="15">
        <f t="shared" si="0"/>
        <v>0</v>
      </c>
      <c r="H23" s="15">
        <f t="shared" si="0"/>
        <v>0</v>
      </c>
      <c r="I23" s="15">
        <f t="shared" si="0"/>
        <v>0</v>
      </c>
      <c r="J23" s="15">
        <f t="shared" si="0"/>
        <v>55887151875.939995</v>
      </c>
    </row>
    <row r="24" spans="1:17" x14ac:dyDescent="0.25">
      <c r="F24" s="12"/>
      <c r="G24" s="12"/>
      <c r="H24" s="12"/>
      <c r="I24" s="12"/>
    </row>
    <row r="25" spans="1:17" x14ac:dyDescent="0.25">
      <c r="B25" s="13">
        <f>B23*B20</f>
        <v>181589109.92790002</v>
      </c>
      <c r="C25" s="13">
        <f>C23*C20</f>
        <v>54516801.949500009</v>
      </c>
      <c r="D25" s="13">
        <f>D23*D20</f>
        <v>96279762.081499994</v>
      </c>
      <c r="E25" s="13">
        <f>E23*E20</f>
        <v>48038317.841150001</v>
      </c>
      <c r="F25" s="13">
        <f>F23*F20</f>
        <v>110501773.51920001</v>
      </c>
      <c r="G25" s="13">
        <v>21883528</v>
      </c>
      <c r="H25" s="13">
        <v>21883528</v>
      </c>
      <c r="I25" s="13">
        <v>21883528</v>
      </c>
      <c r="J25" s="24">
        <f>SUM(B25:I25)</f>
        <v>556576349.31925011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556576349.31925011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27828817.465962507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528747531.85328758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0"/>
  <sheetViews>
    <sheetView topLeftCell="A4" workbookViewId="0">
      <selection activeCell="F13" sqref="F13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44" t="s">
        <v>13</v>
      </c>
      <c r="B5" s="44"/>
      <c r="C5" s="44"/>
      <c r="D5" s="44"/>
      <c r="E5" s="44"/>
      <c r="F5" s="44"/>
      <c r="G5" s="44"/>
      <c r="H5" s="10"/>
      <c r="I5" s="10"/>
      <c r="J5" s="10"/>
      <c r="K5" s="10"/>
      <c r="L5" s="10"/>
      <c r="M5" s="10"/>
      <c r="N5" s="10"/>
    </row>
    <row r="6" spans="1:14" ht="15.75" x14ac:dyDescent="0.25">
      <c r="A6" s="44" t="s">
        <v>14</v>
      </c>
      <c r="B6" s="44"/>
      <c r="C6" s="44"/>
      <c r="D6" s="44"/>
      <c r="E6" s="44"/>
      <c r="F6" s="44"/>
      <c r="G6" s="44"/>
      <c r="H6" s="10"/>
      <c r="I6" s="10"/>
      <c r="J6" s="10"/>
      <c r="K6" s="10"/>
      <c r="L6" s="10"/>
      <c r="M6" s="10"/>
      <c r="N6" s="10"/>
    </row>
    <row r="7" spans="1:14" ht="15.75" x14ac:dyDescent="0.25">
      <c r="A7" s="44" t="s">
        <v>1</v>
      </c>
      <c r="B7" s="44"/>
      <c r="C7" s="44"/>
      <c r="D7" s="44"/>
      <c r="E7" s="44"/>
      <c r="F7" s="44"/>
      <c r="G7" s="44"/>
      <c r="H7" s="10"/>
      <c r="I7" s="10"/>
      <c r="J7" s="10"/>
      <c r="K7" s="10"/>
      <c r="L7" s="10"/>
      <c r="M7" s="10"/>
      <c r="N7" s="10"/>
    </row>
    <row r="8" spans="1:14" ht="15.75" x14ac:dyDescent="0.25">
      <c r="A8" s="44" t="s">
        <v>22</v>
      </c>
      <c r="B8" s="44"/>
      <c r="C8" s="44"/>
      <c r="D8" s="44"/>
      <c r="E8" s="44"/>
      <c r="F8" s="44"/>
      <c r="G8" s="44"/>
      <c r="H8" s="10"/>
      <c r="I8" s="10"/>
      <c r="J8" s="10"/>
      <c r="K8" s="10"/>
      <c r="L8" s="10"/>
      <c r="M8" s="10"/>
      <c r="N8" s="10"/>
    </row>
    <row r="9" spans="1:14" ht="15.75" x14ac:dyDescent="0.25">
      <c r="A9" s="19"/>
      <c r="B9" s="19"/>
      <c r="C9" s="19"/>
      <c r="D9" s="19"/>
      <c r="E9" s="19"/>
      <c r="F9" s="19"/>
      <c r="G9" s="10"/>
      <c r="H9" s="10"/>
      <c r="I9" s="10"/>
      <c r="J9" s="10"/>
      <c r="K9" s="10"/>
      <c r="L9" s="10"/>
      <c r="M9" s="10"/>
      <c r="N9" s="10"/>
    </row>
    <row r="10" spans="1:14" ht="15.75" x14ac:dyDescent="0.25">
      <c r="A10" s="19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</row>
    <row r="11" spans="1:14" s="8" customFormat="1" x14ac:dyDescent="0.25">
      <c r="A11" s="7">
        <v>2256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">
        <v>2285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6">
        <v>2279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6">
        <v>602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6">
        <v>601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20">
        <v>0.01</v>
      </c>
      <c r="C17" s="20">
        <v>0.01</v>
      </c>
      <c r="D17" s="20">
        <v>0.01</v>
      </c>
      <c r="E17" s="21">
        <v>7.0000000000000001E-3</v>
      </c>
      <c r="F17" s="21">
        <v>7.0000000000000001E-3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4</v>
      </c>
      <c r="B18" s="2">
        <v>2256</v>
      </c>
      <c r="C18" s="2">
        <v>2285</v>
      </c>
      <c r="D18" s="2">
        <v>2279</v>
      </c>
      <c r="E18" s="2">
        <v>602</v>
      </c>
      <c r="F18" s="2">
        <v>601</v>
      </c>
      <c r="G18" s="2" t="s">
        <v>6</v>
      </c>
      <c r="H18" s="9"/>
      <c r="I18" s="9"/>
      <c r="J18" s="9"/>
      <c r="K18" s="9"/>
      <c r="L18" s="9"/>
      <c r="M18" s="9"/>
      <c r="N18" s="9"/>
    </row>
    <row r="19" spans="1:14" x14ac:dyDescent="0.25">
      <c r="A19" s="4" t="s">
        <v>23</v>
      </c>
      <c r="B19" s="5">
        <f>+[3]ROMA!$I$41</f>
        <v>18158910992.790001</v>
      </c>
      <c r="C19" s="5">
        <f>+[3]ROMA!$I$42</f>
        <v>5451680194.9500008</v>
      </c>
      <c r="D19" s="5">
        <f>+[3]ROMA!$I$43</f>
        <v>9627976208.1499996</v>
      </c>
      <c r="E19" s="5">
        <f>+[3]ROMA!$I$44</f>
        <v>6862616834.4499998</v>
      </c>
      <c r="F19" s="5">
        <f>+[3]ROMA!$I$45</f>
        <v>15785967645.6</v>
      </c>
      <c r="G19" s="5">
        <f>+B19+C19+D19+E19+F19</f>
        <v>55887151875.939995</v>
      </c>
    </row>
    <row r="20" spans="1:14" x14ac:dyDescent="0.25">
      <c r="A20" s="14" t="s">
        <v>5</v>
      </c>
      <c r="B20" s="15">
        <f t="shared" ref="B20:G20" si="0">SUM(B19:B19)</f>
        <v>18158910992.790001</v>
      </c>
      <c r="C20" s="15">
        <f t="shared" si="0"/>
        <v>5451680194.9500008</v>
      </c>
      <c r="D20" s="15">
        <f t="shared" si="0"/>
        <v>9627976208.1499996</v>
      </c>
      <c r="E20" s="15">
        <f t="shared" si="0"/>
        <v>6862616834.4499998</v>
      </c>
      <c r="F20" s="15">
        <f t="shared" si="0"/>
        <v>15785967645.6</v>
      </c>
      <c r="G20" s="15">
        <f t="shared" si="0"/>
        <v>55887151875.939995</v>
      </c>
    </row>
    <row r="21" spans="1:14" x14ac:dyDescent="0.25">
      <c r="F21" s="12"/>
    </row>
    <row r="22" spans="1:14" x14ac:dyDescent="0.25">
      <c r="B22" s="13">
        <f>B20*B17</f>
        <v>181589109.92790002</v>
      </c>
      <c r="C22" s="13">
        <f>C20*C17</f>
        <v>54516801.949500009</v>
      </c>
      <c r="D22" s="13">
        <f>D20*D17</f>
        <v>96279762.081499994</v>
      </c>
      <c r="E22" s="13">
        <f>E20*E17</f>
        <v>48038317.841150001</v>
      </c>
      <c r="F22" s="13">
        <f>F20*F17</f>
        <v>110501773.51920001</v>
      </c>
      <c r="G22" s="13">
        <f>SUM(B22:F22)</f>
        <v>490925765.31925005</v>
      </c>
    </row>
    <row r="24" spans="1:14" x14ac:dyDescent="0.25">
      <c r="F24" t="s">
        <v>24</v>
      </c>
      <c r="G24" s="13">
        <f>G22*5%</f>
        <v>24546288.265962504</v>
      </c>
    </row>
    <row r="25" spans="1:14" x14ac:dyDescent="0.25">
      <c r="D25" s="13"/>
      <c r="G25" s="13"/>
    </row>
    <row r="26" spans="1:14" x14ac:dyDescent="0.25">
      <c r="D26" s="13"/>
      <c r="F26" t="s">
        <v>21</v>
      </c>
      <c r="G26" s="13">
        <f>G22-G24</f>
        <v>466379477.05328757</v>
      </c>
    </row>
    <row r="27" spans="1:14" x14ac:dyDescent="0.25">
      <c r="D27" s="13"/>
      <c r="F27" s="12"/>
      <c r="G27" s="13"/>
    </row>
    <row r="28" spans="1:14" x14ac:dyDescent="0.25">
      <c r="D28" s="13"/>
      <c r="G28" s="13"/>
    </row>
    <row r="29" spans="1:14" x14ac:dyDescent="0.25">
      <c r="D29" s="13"/>
      <c r="G29" s="13"/>
    </row>
    <row r="30" spans="1:14" x14ac:dyDescent="0.25">
      <c r="D30" s="13"/>
    </row>
  </sheetData>
  <mergeCells count="6">
    <mergeCell ref="A5:G5"/>
    <mergeCell ref="A6:G6"/>
    <mergeCell ref="A7:G7"/>
    <mergeCell ref="A8:G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0"/>
  <sheetViews>
    <sheetView topLeftCell="A4" workbookViewId="0">
      <selection activeCell="G19" sqref="G19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44" t="s">
        <v>13</v>
      </c>
      <c r="B5" s="44"/>
      <c r="C5" s="44"/>
      <c r="D5" s="44"/>
      <c r="E5" s="44"/>
      <c r="F5" s="44"/>
      <c r="G5" s="44"/>
      <c r="H5" s="10"/>
      <c r="I5" s="10"/>
      <c r="J5" s="10"/>
      <c r="K5" s="10"/>
      <c r="L5" s="10"/>
      <c r="M5" s="10"/>
      <c r="N5" s="10"/>
    </row>
    <row r="6" spans="1:14" ht="15.75" x14ac:dyDescent="0.25">
      <c r="A6" s="44" t="s">
        <v>14</v>
      </c>
      <c r="B6" s="44"/>
      <c r="C6" s="44"/>
      <c r="D6" s="44"/>
      <c r="E6" s="44"/>
      <c r="F6" s="44"/>
      <c r="G6" s="44"/>
      <c r="H6" s="10"/>
      <c r="I6" s="10"/>
      <c r="J6" s="10"/>
      <c r="K6" s="10"/>
      <c r="L6" s="10"/>
      <c r="M6" s="10"/>
      <c r="N6" s="10"/>
    </row>
    <row r="7" spans="1:14" ht="15.75" x14ac:dyDescent="0.25">
      <c r="A7" s="44" t="s">
        <v>1</v>
      </c>
      <c r="B7" s="44"/>
      <c r="C7" s="44"/>
      <c r="D7" s="44"/>
      <c r="E7" s="44"/>
      <c r="F7" s="44"/>
      <c r="G7" s="44"/>
      <c r="H7" s="10"/>
      <c r="I7" s="10"/>
      <c r="J7" s="10"/>
      <c r="K7" s="10"/>
      <c r="L7" s="10"/>
      <c r="M7" s="10"/>
      <c r="N7" s="10"/>
    </row>
    <row r="8" spans="1:14" ht="15.75" x14ac:dyDescent="0.25">
      <c r="A8" s="44" t="s">
        <v>18</v>
      </c>
      <c r="B8" s="44"/>
      <c r="C8" s="44"/>
      <c r="D8" s="44"/>
      <c r="E8" s="44"/>
      <c r="F8" s="44"/>
      <c r="G8" s="44"/>
      <c r="H8" s="10"/>
      <c r="I8" s="10"/>
      <c r="J8" s="10"/>
      <c r="K8" s="10"/>
      <c r="L8" s="10"/>
      <c r="M8" s="10"/>
      <c r="N8" s="10"/>
    </row>
    <row r="9" spans="1:14" ht="15.75" x14ac:dyDescent="0.25">
      <c r="A9" s="18"/>
      <c r="B9" s="18"/>
      <c r="C9" s="18"/>
      <c r="D9" s="18"/>
      <c r="E9" s="18"/>
      <c r="F9" s="18"/>
      <c r="G9" s="10"/>
      <c r="H9" s="10"/>
      <c r="I9" s="10"/>
      <c r="J9" s="10"/>
      <c r="K9" s="10"/>
      <c r="L9" s="10"/>
      <c r="M9" s="10"/>
      <c r="N9" s="10"/>
    </row>
    <row r="10" spans="1:14" ht="15.75" x14ac:dyDescent="0.25">
      <c r="A10" s="18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</row>
    <row r="11" spans="1:14" s="8" customFormat="1" x14ac:dyDescent="0.25">
      <c r="A11" s="7">
        <v>2256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">
        <v>2285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6">
        <v>2279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6">
        <v>602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6">
        <v>601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20">
        <v>0.01</v>
      </c>
      <c r="C17" s="20">
        <v>0.01</v>
      </c>
      <c r="D17" s="20">
        <v>0.01</v>
      </c>
      <c r="E17" s="21">
        <v>7.0000000000000001E-3</v>
      </c>
      <c r="F17" s="21">
        <v>7.0000000000000001E-3</v>
      </c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4</v>
      </c>
      <c r="B18" s="2">
        <v>2256</v>
      </c>
      <c r="C18" s="2">
        <v>2285</v>
      </c>
      <c r="D18" s="2">
        <v>2279</v>
      </c>
      <c r="E18" s="2">
        <v>602</v>
      </c>
      <c r="F18" s="2">
        <v>601</v>
      </c>
      <c r="G18" s="2" t="s">
        <v>6</v>
      </c>
      <c r="H18" s="9"/>
      <c r="I18" s="9"/>
      <c r="J18" s="9"/>
      <c r="K18" s="9"/>
      <c r="L18" s="9"/>
      <c r="M18" s="9"/>
      <c r="N18" s="9"/>
    </row>
    <row r="19" spans="1:14" x14ac:dyDescent="0.25">
      <c r="A19" s="4" t="s">
        <v>19</v>
      </c>
      <c r="B19" s="5">
        <f>+[3]ROMA!$I$22</f>
        <v>0</v>
      </c>
      <c r="C19" s="5">
        <f>+[3]ROMA!$I$23</f>
        <v>12872064229.75</v>
      </c>
      <c r="D19" s="5">
        <f>+[3]ROMA!$I$24</f>
        <v>2959014343.3000002</v>
      </c>
      <c r="E19" s="5">
        <f>+[3]ROMA!$I$25</f>
        <v>1969505069.24</v>
      </c>
      <c r="F19" s="5">
        <f>+[3]ROMA!$I$26</f>
        <v>2920496268.3500004</v>
      </c>
      <c r="G19" s="5">
        <f>+B19+C19+D19+E19+F19</f>
        <v>20721079910.639999</v>
      </c>
    </row>
    <row r="20" spans="1:14" x14ac:dyDescent="0.25">
      <c r="A20" s="14" t="s">
        <v>5</v>
      </c>
      <c r="B20" s="15">
        <f t="shared" ref="B20:G20" si="0">SUM(B19:B19)</f>
        <v>0</v>
      </c>
      <c r="C20" s="15">
        <f t="shared" si="0"/>
        <v>12872064229.75</v>
      </c>
      <c r="D20" s="15">
        <f t="shared" si="0"/>
        <v>2959014343.3000002</v>
      </c>
      <c r="E20" s="15">
        <f t="shared" si="0"/>
        <v>1969505069.24</v>
      </c>
      <c r="F20" s="15">
        <f t="shared" si="0"/>
        <v>2920496268.3500004</v>
      </c>
      <c r="G20" s="15">
        <f t="shared" si="0"/>
        <v>20721079910.639999</v>
      </c>
    </row>
    <row r="21" spans="1:14" x14ac:dyDescent="0.25">
      <c r="F21" s="12"/>
    </row>
    <row r="22" spans="1:14" x14ac:dyDescent="0.25">
      <c r="B22" s="13">
        <f>B20*B17</f>
        <v>0</v>
      </c>
      <c r="C22" s="13">
        <f>C20*C17</f>
        <v>128720642.2975</v>
      </c>
      <c r="D22" s="13">
        <f>D20*D17</f>
        <v>29590143.433000002</v>
      </c>
      <c r="E22" s="13">
        <f>E20*E17</f>
        <v>13786535.484680001</v>
      </c>
      <c r="F22" s="13">
        <f>F20*F17</f>
        <v>20443473.878450003</v>
      </c>
      <c r="G22" s="13">
        <f>SUM(B22:F22)</f>
        <v>192540795.09363002</v>
      </c>
    </row>
    <row r="24" spans="1:14" x14ac:dyDescent="0.25">
      <c r="F24" t="s">
        <v>20</v>
      </c>
      <c r="G24" s="13">
        <f>G22*25%</f>
        <v>48135198.773407504</v>
      </c>
    </row>
    <row r="25" spans="1:14" x14ac:dyDescent="0.25">
      <c r="D25" s="13"/>
      <c r="G25" s="13"/>
    </row>
    <row r="26" spans="1:14" x14ac:dyDescent="0.25">
      <c r="D26" s="13"/>
      <c r="F26" t="s">
        <v>21</v>
      </c>
      <c r="G26" s="13">
        <f>G22-G24</f>
        <v>144405596.3202225</v>
      </c>
    </row>
    <row r="27" spans="1:14" x14ac:dyDescent="0.25">
      <c r="D27" s="13"/>
      <c r="F27" s="12"/>
      <c r="G27" s="13"/>
    </row>
    <row r="28" spans="1:14" x14ac:dyDescent="0.25">
      <c r="D28" s="13"/>
      <c r="G28" s="13"/>
    </row>
    <row r="29" spans="1:14" x14ac:dyDescent="0.25">
      <c r="D29" s="13"/>
      <c r="G29" s="13"/>
    </row>
    <row r="30" spans="1:14" x14ac:dyDescent="0.25">
      <c r="D30" s="13"/>
    </row>
  </sheetData>
  <mergeCells count="6">
    <mergeCell ref="A5:G5"/>
    <mergeCell ref="A6:G6"/>
    <mergeCell ref="A7:G7"/>
    <mergeCell ref="A8:G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0"/>
  <sheetViews>
    <sheetView workbookViewId="0">
      <selection activeCell="A7" sqref="A7:G7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44" t="s">
        <v>13</v>
      </c>
      <c r="B5" s="44"/>
      <c r="C5" s="44"/>
      <c r="D5" s="44"/>
      <c r="E5" s="44"/>
      <c r="F5" s="44"/>
      <c r="G5" s="44"/>
      <c r="H5" s="10"/>
      <c r="I5" s="10"/>
      <c r="J5" s="10"/>
      <c r="K5" s="10"/>
      <c r="L5" s="10"/>
      <c r="M5" s="10"/>
      <c r="N5" s="10"/>
    </row>
    <row r="6" spans="1:14" ht="15.75" x14ac:dyDescent="0.25">
      <c r="A6" s="44" t="s">
        <v>14</v>
      </c>
      <c r="B6" s="44"/>
      <c r="C6" s="44"/>
      <c r="D6" s="44"/>
      <c r="E6" s="44"/>
      <c r="F6" s="44"/>
      <c r="G6" s="44"/>
      <c r="H6" s="10"/>
      <c r="I6" s="10"/>
      <c r="J6" s="10"/>
      <c r="K6" s="10"/>
      <c r="L6" s="10"/>
      <c r="M6" s="10"/>
      <c r="N6" s="10"/>
    </row>
    <row r="7" spans="1:14" ht="15.75" x14ac:dyDescent="0.25">
      <c r="A7" s="44" t="s">
        <v>1</v>
      </c>
      <c r="B7" s="44"/>
      <c r="C7" s="44"/>
      <c r="D7" s="44"/>
      <c r="E7" s="44"/>
      <c r="F7" s="44"/>
      <c r="G7" s="44"/>
      <c r="H7" s="10"/>
      <c r="I7" s="10"/>
      <c r="J7" s="10"/>
      <c r="K7" s="10"/>
      <c r="L7" s="10"/>
      <c r="M7" s="10"/>
      <c r="N7" s="10"/>
    </row>
    <row r="8" spans="1:14" ht="15.75" x14ac:dyDescent="0.25">
      <c r="A8" s="44" t="s">
        <v>17</v>
      </c>
      <c r="B8" s="44"/>
      <c r="C8" s="44"/>
      <c r="D8" s="44"/>
      <c r="E8" s="44"/>
      <c r="F8" s="44"/>
      <c r="G8" s="44"/>
      <c r="H8" s="10"/>
      <c r="I8" s="10"/>
      <c r="J8" s="10"/>
      <c r="K8" s="10"/>
      <c r="L8" s="10"/>
      <c r="M8" s="10"/>
      <c r="N8" s="10"/>
    </row>
    <row r="9" spans="1:14" ht="15.75" x14ac:dyDescent="0.25">
      <c r="A9" s="17"/>
      <c r="B9" s="17"/>
      <c r="C9" s="17"/>
      <c r="D9" s="17"/>
      <c r="E9" s="17"/>
      <c r="F9" s="17"/>
      <c r="G9" s="10"/>
      <c r="H9" s="10"/>
      <c r="I9" s="10"/>
      <c r="J9" s="10"/>
      <c r="K9" s="10"/>
      <c r="L9" s="10"/>
      <c r="M9" s="10"/>
      <c r="N9" s="10"/>
    </row>
    <row r="10" spans="1:14" ht="15.75" x14ac:dyDescent="0.25">
      <c r="A10" s="17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</row>
    <row r="11" spans="1:14" s="8" customFormat="1" x14ac:dyDescent="0.25">
      <c r="A11" s="7">
        <v>2256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">
        <v>2285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6">
        <v>2279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6">
        <v>602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6">
        <v>601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6"/>
      <c r="C17" s="6"/>
      <c r="D17" s="6"/>
      <c r="E17" s="6"/>
      <c r="F17" s="6"/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4</v>
      </c>
      <c r="B18" s="2">
        <v>2256</v>
      </c>
      <c r="C18" s="2">
        <v>2285</v>
      </c>
      <c r="D18" s="2">
        <v>2279</v>
      </c>
      <c r="E18" s="2">
        <v>602</v>
      </c>
      <c r="F18" s="2">
        <v>601</v>
      </c>
      <c r="G18" s="2" t="s">
        <v>6</v>
      </c>
      <c r="H18" s="9"/>
      <c r="I18" s="9"/>
      <c r="J18" s="9"/>
      <c r="K18" s="9"/>
      <c r="L18" s="9"/>
      <c r="M18" s="9"/>
      <c r="N18" s="9"/>
    </row>
    <row r="19" spans="1:14" x14ac:dyDescent="0.25">
      <c r="A19" s="4" t="s">
        <v>16</v>
      </c>
      <c r="B19" s="5">
        <f>+[3]ROMA!$I$11</f>
        <v>5197118228.6499996</v>
      </c>
      <c r="C19" s="5">
        <f>+[3]ROMA!$I$12</f>
        <v>514784799.53999996</v>
      </c>
      <c r="D19" s="5">
        <f>+[3]ROMA!$I$13</f>
        <v>721225187.72000003</v>
      </c>
      <c r="E19" s="5">
        <f>+[3]ROMA!$I$14</f>
        <v>277749136.63</v>
      </c>
      <c r="F19" s="5">
        <f>+[3]ROMA!$I$15</f>
        <v>4560733397.54</v>
      </c>
      <c r="G19" s="5">
        <f>+B19+C19+D19+E19+F19</f>
        <v>11271610750.08</v>
      </c>
    </row>
    <row r="20" spans="1:14" x14ac:dyDescent="0.25">
      <c r="A20" s="14" t="s">
        <v>5</v>
      </c>
      <c r="B20" s="15">
        <f t="shared" ref="B20:G20" si="0">SUM(B19:B19)</f>
        <v>5197118228.6499996</v>
      </c>
      <c r="C20" s="15">
        <f t="shared" si="0"/>
        <v>514784799.53999996</v>
      </c>
      <c r="D20" s="15">
        <f t="shared" si="0"/>
        <v>721225187.72000003</v>
      </c>
      <c r="E20" s="15">
        <f t="shared" si="0"/>
        <v>277749136.63</v>
      </c>
      <c r="F20" s="15">
        <f t="shared" si="0"/>
        <v>4560733397.54</v>
      </c>
      <c r="G20" s="15">
        <f t="shared" si="0"/>
        <v>11271610750.08</v>
      </c>
    </row>
    <row r="21" spans="1:14" x14ac:dyDescent="0.25">
      <c r="F21" s="12"/>
    </row>
    <row r="25" spans="1:14" x14ac:dyDescent="0.25">
      <c r="D25" s="13"/>
    </row>
    <row r="26" spans="1:14" x14ac:dyDescent="0.25">
      <c r="D26" s="13"/>
    </row>
    <row r="27" spans="1:14" x14ac:dyDescent="0.25">
      <c r="D27" s="13"/>
      <c r="F27" s="12"/>
    </row>
    <row r="28" spans="1:14" x14ac:dyDescent="0.25">
      <c r="D28" s="13"/>
    </row>
    <row r="29" spans="1:14" x14ac:dyDescent="0.25">
      <c r="D29" s="13"/>
    </row>
    <row r="30" spans="1:14" x14ac:dyDescent="0.25">
      <c r="D30" s="13"/>
    </row>
  </sheetData>
  <mergeCells count="6">
    <mergeCell ref="A5:G5"/>
    <mergeCell ref="A6:G6"/>
    <mergeCell ref="A7:G7"/>
    <mergeCell ref="A8:G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30"/>
  <sheetViews>
    <sheetView workbookViewId="0">
      <selection activeCell="E11" sqref="E11"/>
    </sheetView>
  </sheetViews>
  <sheetFormatPr baseColWidth="10" defaultRowHeight="15" x14ac:dyDescent="0.25"/>
  <cols>
    <col min="1" max="1" width="10.28515625" customWidth="1"/>
    <col min="2" max="7" width="17.5703125" customWidth="1"/>
    <col min="8" max="8" width="17.28515625" customWidth="1"/>
    <col min="9" max="9" width="9.7109375" customWidth="1"/>
    <col min="11" max="11" width="10.7109375" customWidth="1"/>
    <col min="12" max="12" width="10.5703125" customWidth="1"/>
    <col min="13" max="13" width="10.7109375" customWidth="1"/>
    <col min="14" max="14" width="10.5703125" customWidth="1"/>
  </cols>
  <sheetData>
    <row r="5" spans="1:14" ht="15.75" x14ac:dyDescent="0.25">
      <c r="A5" s="44" t="s">
        <v>13</v>
      </c>
      <c r="B5" s="44"/>
      <c r="C5" s="44"/>
      <c r="D5" s="44"/>
      <c r="E5" s="44"/>
      <c r="F5" s="44"/>
      <c r="G5" s="44"/>
      <c r="H5" s="10"/>
      <c r="I5" s="10"/>
      <c r="J5" s="10"/>
      <c r="K5" s="10"/>
      <c r="L5" s="10"/>
      <c r="M5" s="10"/>
      <c r="N5" s="10"/>
    </row>
    <row r="6" spans="1:14" ht="15.75" x14ac:dyDescent="0.25">
      <c r="A6" s="44" t="s">
        <v>14</v>
      </c>
      <c r="B6" s="44"/>
      <c r="C6" s="44"/>
      <c r="D6" s="44"/>
      <c r="E6" s="44"/>
      <c r="F6" s="44"/>
      <c r="G6" s="44"/>
      <c r="H6" s="10"/>
      <c r="I6" s="10"/>
      <c r="J6" s="10"/>
      <c r="K6" s="10"/>
      <c r="L6" s="10"/>
      <c r="M6" s="10"/>
      <c r="N6" s="10"/>
    </row>
    <row r="7" spans="1:14" ht="15.75" x14ac:dyDescent="0.25">
      <c r="A7" s="44" t="s">
        <v>1</v>
      </c>
      <c r="B7" s="44"/>
      <c r="C7" s="44"/>
      <c r="D7" s="44"/>
      <c r="E7" s="44"/>
      <c r="F7" s="44"/>
      <c r="G7" s="44"/>
      <c r="H7" s="10"/>
      <c r="I7" s="10"/>
      <c r="J7" s="10"/>
      <c r="K7" s="10"/>
      <c r="L7" s="10"/>
      <c r="M7" s="10"/>
      <c r="N7" s="10"/>
    </row>
    <row r="8" spans="1:14" ht="15.75" x14ac:dyDescent="0.25">
      <c r="A8" s="44" t="s">
        <v>7</v>
      </c>
      <c r="B8" s="44"/>
      <c r="C8" s="44"/>
      <c r="D8" s="44"/>
      <c r="E8" s="44"/>
      <c r="F8" s="44"/>
      <c r="G8" s="44"/>
      <c r="H8" s="10"/>
      <c r="I8" s="10"/>
      <c r="J8" s="10"/>
      <c r="K8" s="10"/>
      <c r="L8" s="10"/>
      <c r="M8" s="10"/>
      <c r="N8" s="10"/>
    </row>
    <row r="9" spans="1:14" ht="15.75" x14ac:dyDescent="0.25">
      <c r="A9" s="16"/>
      <c r="B9" s="16"/>
      <c r="C9" s="16"/>
      <c r="D9" s="16"/>
      <c r="E9" s="16"/>
      <c r="F9" s="16"/>
      <c r="G9" s="10"/>
      <c r="H9" s="10"/>
      <c r="I9" s="10"/>
      <c r="J9" s="10"/>
      <c r="K9" s="10"/>
      <c r="L9" s="10"/>
      <c r="M9" s="10"/>
      <c r="N9" s="10"/>
    </row>
    <row r="10" spans="1:14" ht="15.75" x14ac:dyDescent="0.25">
      <c r="A10" s="16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</row>
    <row r="11" spans="1:14" s="8" customFormat="1" x14ac:dyDescent="0.25">
      <c r="A11" s="7">
        <v>2256</v>
      </c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6">
        <v>2285</v>
      </c>
      <c r="B12" s="3" t="s">
        <v>9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6">
        <v>2279</v>
      </c>
      <c r="B13" s="3" t="s">
        <v>10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6">
        <v>602</v>
      </c>
      <c r="B14" s="3" t="s">
        <v>11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x14ac:dyDescent="0.25">
      <c r="A15" s="6">
        <v>601</v>
      </c>
      <c r="B15" s="3" t="s">
        <v>12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6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"/>
      <c r="B17" s="6"/>
      <c r="C17" s="6"/>
      <c r="D17" s="6"/>
      <c r="E17" s="6"/>
      <c r="F17" s="6"/>
      <c r="G17" s="1"/>
      <c r="H17" s="1"/>
      <c r="I17" s="1"/>
      <c r="J17" s="1"/>
      <c r="K17" s="1"/>
      <c r="L17" s="1"/>
      <c r="M17" s="1"/>
    </row>
    <row r="18" spans="1:14" ht="15.75" x14ac:dyDescent="0.25">
      <c r="A18" s="2" t="s">
        <v>4</v>
      </c>
      <c r="B18" s="2">
        <v>2256</v>
      </c>
      <c r="C18" s="2">
        <v>2285</v>
      </c>
      <c r="D18" s="2">
        <v>2279</v>
      </c>
      <c r="E18" s="2">
        <v>602</v>
      </c>
      <c r="F18" s="2">
        <v>601</v>
      </c>
      <c r="G18" s="2" t="s">
        <v>6</v>
      </c>
      <c r="H18" s="9"/>
      <c r="I18" s="9"/>
      <c r="J18" s="9"/>
      <c r="K18" s="9"/>
      <c r="L18" s="9"/>
      <c r="M18" s="9"/>
      <c r="N18" s="9"/>
    </row>
    <row r="19" spans="1:14" x14ac:dyDescent="0.25">
      <c r="A19" s="4" t="s">
        <v>0</v>
      </c>
      <c r="B19" s="5">
        <v>1969797840.5999999</v>
      </c>
      <c r="C19" s="5">
        <v>220493511.28999999</v>
      </c>
      <c r="D19" s="5">
        <v>376276622.73000002</v>
      </c>
      <c r="E19" s="5">
        <v>2977767845.25</v>
      </c>
      <c r="F19" s="5">
        <v>2623491403.8499999</v>
      </c>
      <c r="G19" s="5">
        <f>+B19+C19+D19+E19+F19</f>
        <v>8167827223.7199993</v>
      </c>
    </row>
    <row r="20" spans="1:14" x14ac:dyDescent="0.25">
      <c r="A20" s="14" t="s">
        <v>5</v>
      </c>
      <c r="B20" s="15">
        <f t="shared" ref="B20:G20" si="0">SUM(B19:B19)</f>
        <v>1969797840.5999999</v>
      </c>
      <c r="C20" s="15">
        <f t="shared" si="0"/>
        <v>220493511.28999999</v>
      </c>
      <c r="D20" s="15">
        <f t="shared" si="0"/>
        <v>376276622.73000002</v>
      </c>
      <c r="E20" s="15">
        <f t="shared" si="0"/>
        <v>2977767845.25</v>
      </c>
      <c r="F20" s="15">
        <f t="shared" si="0"/>
        <v>2623491403.8499999</v>
      </c>
      <c r="G20" s="15">
        <f t="shared" si="0"/>
        <v>8167827223.7199993</v>
      </c>
    </row>
    <row r="21" spans="1:14" x14ac:dyDescent="0.25">
      <c r="F21" s="12"/>
    </row>
    <row r="25" spans="1:14" x14ac:dyDescent="0.25">
      <c r="D25" s="13"/>
    </row>
    <row r="26" spans="1:14" x14ac:dyDescent="0.25">
      <c r="D26" s="13"/>
    </row>
    <row r="27" spans="1:14" x14ac:dyDescent="0.25">
      <c r="D27" s="13"/>
      <c r="F27" s="12"/>
    </row>
    <row r="28" spans="1:14" x14ac:dyDescent="0.25">
      <c r="D28" s="13"/>
    </row>
    <row r="29" spans="1:14" x14ac:dyDescent="0.25">
      <c r="D29" s="13"/>
    </row>
    <row r="30" spans="1:14" x14ac:dyDescent="0.25">
      <c r="D30" s="13"/>
    </row>
  </sheetData>
  <mergeCells count="6">
    <mergeCell ref="A5:G5"/>
    <mergeCell ref="A6:G6"/>
    <mergeCell ref="A7:G7"/>
    <mergeCell ref="A8:G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workbookViewId="0">
      <selection activeCell="J31" sqref="J31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58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40"/>
      <c r="B9" s="40"/>
      <c r="C9" s="40"/>
      <c r="D9" s="40"/>
      <c r="E9" s="40"/>
      <c r="F9" s="40"/>
      <c r="G9" s="40"/>
      <c r="H9" s="40"/>
      <c r="I9" s="40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40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16</v>
      </c>
      <c r="B22" s="5">
        <f>+J22*36%</f>
        <v>109168.1568</v>
      </c>
      <c r="C22" s="5">
        <f>+J22*11%</f>
        <v>33356.936800000003</v>
      </c>
      <c r="D22" s="5">
        <f>+J22*10%</f>
        <v>30324.488000000001</v>
      </c>
      <c r="E22" s="5">
        <f>+J22*6%</f>
        <v>18194.692800000001</v>
      </c>
      <c r="F22" s="5">
        <f>+J22*20%</f>
        <v>60648.976000000002</v>
      </c>
      <c r="G22" s="5">
        <f>+J22*2%</f>
        <v>6064.8976000000002</v>
      </c>
      <c r="H22" s="5">
        <f>+J22*9%</f>
        <v>27292.039199999999</v>
      </c>
      <c r="I22" s="5">
        <f>+J22*6%</f>
        <v>18194.692800000001</v>
      </c>
      <c r="J22" s="5">
        <v>303244.88</v>
      </c>
    </row>
    <row r="23" spans="1:17" x14ac:dyDescent="0.25">
      <c r="A23" s="29" t="s">
        <v>5</v>
      </c>
      <c r="B23" s="15">
        <f t="shared" ref="B23:J23" si="0">SUM(B22:B22)</f>
        <v>109168.1568</v>
      </c>
      <c r="C23" s="15">
        <f t="shared" si="0"/>
        <v>33356.936800000003</v>
      </c>
      <c r="D23" s="15">
        <f t="shared" si="0"/>
        <v>30324.488000000001</v>
      </c>
      <c r="E23" s="15">
        <f t="shared" si="0"/>
        <v>18194.692800000001</v>
      </c>
      <c r="F23" s="15">
        <f t="shared" si="0"/>
        <v>60648.976000000002</v>
      </c>
      <c r="G23" s="15">
        <f t="shared" si="0"/>
        <v>6064.8976000000002</v>
      </c>
      <c r="H23" s="15">
        <f t="shared" si="0"/>
        <v>27292.039199999999</v>
      </c>
      <c r="I23" s="15">
        <f t="shared" si="0"/>
        <v>18194.692800000001</v>
      </c>
      <c r="J23" s="15">
        <f t="shared" si="0"/>
        <v>303244.88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s="12" customFormat="1" x14ac:dyDescent="0.25">
      <c r="B25" s="41">
        <f>B23*B20</f>
        <v>1091.681568</v>
      </c>
      <c r="C25" s="41">
        <f t="shared" ref="C25:I25" si="1">C23*C20</f>
        <v>333.56936800000005</v>
      </c>
      <c r="D25" s="41">
        <f t="shared" si="1"/>
        <v>303.24488000000002</v>
      </c>
      <c r="E25" s="41">
        <f>E23*E20</f>
        <v>127.3628496</v>
      </c>
      <c r="F25" s="41">
        <f t="shared" si="1"/>
        <v>424.54283200000003</v>
      </c>
      <c r="G25" s="41">
        <f t="shared" si="1"/>
        <v>136.460196</v>
      </c>
      <c r="H25" s="41">
        <f t="shared" si="1"/>
        <v>272.92039199999999</v>
      </c>
      <c r="I25" s="41">
        <f t="shared" si="1"/>
        <v>209.23896719999999</v>
      </c>
      <c r="J25" s="42">
        <f>SUM(B25:I25)</f>
        <v>2899.0210527999998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2899.0210527999998</v>
      </c>
    </row>
    <row r="28" spans="1:17" x14ac:dyDescent="0.25">
      <c r="I28" s="26"/>
      <c r="J28" s="26"/>
    </row>
    <row r="29" spans="1:17" x14ac:dyDescent="0.25">
      <c r="A29" s="26" t="s">
        <v>59</v>
      </c>
      <c r="B29" s="26"/>
      <c r="C29" s="26"/>
      <c r="I29" s="26" t="s">
        <v>38</v>
      </c>
      <c r="J29" s="25">
        <f>J25*5%</f>
        <v>144.95105264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2754.0700001599998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A13" workbookViewId="0">
      <selection activeCell="F35" sqref="F35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57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39"/>
      <c r="B9" s="39"/>
      <c r="C9" s="39"/>
      <c r="D9" s="39"/>
      <c r="E9" s="39"/>
      <c r="F9" s="39"/>
      <c r="G9" s="39"/>
      <c r="H9" s="39"/>
      <c r="I9" s="39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9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0</v>
      </c>
      <c r="B22" s="5">
        <f>+J22*36%</f>
        <v>94362.386399999988</v>
      </c>
      <c r="C22" s="5">
        <f>+J22*11%</f>
        <v>28832.951399999998</v>
      </c>
      <c r="D22" s="5">
        <f>+J22*10%</f>
        <v>26211.774000000001</v>
      </c>
      <c r="E22" s="5">
        <f>+J22*6%</f>
        <v>15727.064399999999</v>
      </c>
      <c r="F22" s="5">
        <f>+J22*20%</f>
        <v>52423.548000000003</v>
      </c>
      <c r="G22" s="5">
        <f>+J22*2%</f>
        <v>5242.3548000000001</v>
      </c>
      <c r="H22" s="5">
        <f>+J22*9%</f>
        <v>23590.596599999997</v>
      </c>
      <c r="I22" s="5">
        <f>+J22*6%</f>
        <v>15727.064399999999</v>
      </c>
      <c r="J22" s="5">
        <v>262117.74</v>
      </c>
    </row>
    <row r="23" spans="1:17" x14ac:dyDescent="0.25">
      <c r="A23" s="29" t="s">
        <v>5</v>
      </c>
      <c r="B23" s="15">
        <f t="shared" ref="B23:J23" si="0">SUM(B22:B22)</f>
        <v>94362.386399999988</v>
      </c>
      <c r="C23" s="15">
        <f t="shared" si="0"/>
        <v>28832.951399999998</v>
      </c>
      <c r="D23" s="15">
        <f t="shared" si="0"/>
        <v>26211.774000000001</v>
      </c>
      <c r="E23" s="15">
        <f t="shared" si="0"/>
        <v>15727.064399999999</v>
      </c>
      <c r="F23" s="15">
        <f t="shared" si="0"/>
        <v>52423.548000000003</v>
      </c>
      <c r="G23" s="15">
        <f t="shared" si="0"/>
        <v>5242.3548000000001</v>
      </c>
      <c r="H23" s="15">
        <f t="shared" si="0"/>
        <v>23590.596599999997</v>
      </c>
      <c r="I23" s="15">
        <f t="shared" si="0"/>
        <v>15727.064399999999</v>
      </c>
      <c r="J23" s="15">
        <f t="shared" si="0"/>
        <v>262117.74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s="12" customFormat="1" x14ac:dyDescent="0.25">
      <c r="B25" s="41">
        <f>B23*B20</f>
        <v>943.62386399999991</v>
      </c>
      <c r="C25" s="41">
        <f t="shared" ref="C25:I25" si="1">C23*C20</f>
        <v>288.32951399999996</v>
      </c>
      <c r="D25" s="41">
        <f t="shared" si="1"/>
        <v>262.11774000000003</v>
      </c>
      <c r="E25" s="41">
        <f>E23*E20</f>
        <v>110.08945079999999</v>
      </c>
      <c r="F25" s="41">
        <f t="shared" si="1"/>
        <v>366.96483600000005</v>
      </c>
      <c r="G25" s="41">
        <f t="shared" si="1"/>
        <v>117.952983</v>
      </c>
      <c r="H25" s="41">
        <f t="shared" si="1"/>
        <v>235.90596599999998</v>
      </c>
      <c r="I25" s="41">
        <f t="shared" si="1"/>
        <v>180.8612406</v>
      </c>
      <c r="J25" s="42">
        <f>SUM(B25:I25)</f>
        <v>2505.8455943999998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2505.8455943999998</v>
      </c>
    </row>
    <row r="28" spans="1:17" x14ac:dyDescent="0.25">
      <c r="I28" s="26"/>
      <c r="J28" s="26"/>
    </row>
    <row r="29" spans="1:17" x14ac:dyDescent="0.25">
      <c r="A29" s="26" t="s">
        <v>56</v>
      </c>
      <c r="B29" s="26"/>
      <c r="C29" s="26"/>
      <c r="I29" s="26" t="s">
        <v>38</v>
      </c>
      <c r="J29" s="25">
        <f>J25*5%</f>
        <v>125.29227972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2380.5533146799999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A13" workbookViewId="0">
      <selection activeCell="E33" sqref="E33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53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38"/>
      <c r="B9" s="38"/>
      <c r="C9" s="38"/>
      <c r="D9" s="38"/>
      <c r="E9" s="38"/>
      <c r="F9" s="38"/>
      <c r="G9" s="38"/>
      <c r="H9" s="38"/>
      <c r="I9" s="38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8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54</v>
      </c>
      <c r="B22" s="5">
        <f>+J22*36%</f>
        <v>99185094027.777588</v>
      </c>
      <c r="C22" s="5">
        <f>+J22*11%</f>
        <v>30306556508.487598</v>
      </c>
      <c r="D22" s="5">
        <f>+J22*10%</f>
        <v>27551415007.716</v>
      </c>
      <c r="E22" s="5">
        <f>+J22*6%</f>
        <v>16530849004.629599</v>
      </c>
      <c r="F22" s="5">
        <f>+J22*20%</f>
        <v>55102830015.431999</v>
      </c>
      <c r="G22" s="5">
        <f>+J22*2%</f>
        <v>5510283001.5431995</v>
      </c>
      <c r="H22" s="5">
        <f>+J22*9%</f>
        <v>24796273506.944397</v>
      </c>
      <c r="I22" s="5">
        <f>+J22*6%</f>
        <v>16530849004.629599</v>
      </c>
      <c r="J22" s="5">
        <f>+[1]ROMA!$B$62+[1]ROMA!$B$63</f>
        <v>275514150077.15997</v>
      </c>
    </row>
    <row r="23" spans="1:17" x14ac:dyDescent="0.25">
      <c r="A23" s="29" t="s">
        <v>5</v>
      </c>
      <c r="B23" s="15">
        <f t="shared" ref="B23:J23" si="0">SUM(B22:B22)</f>
        <v>99185094027.777588</v>
      </c>
      <c r="C23" s="15">
        <f t="shared" si="0"/>
        <v>30306556508.487598</v>
      </c>
      <c r="D23" s="15">
        <f t="shared" si="0"/>
        <v>27551415007.716</v>
      </c>
      <c r="E23" s="15">
        <f t="shared" si="0"/>
        <v>16530849004.629599</v>
      </c>
      <c r="F23" s="15">
        <f t="shared" si="0"/>
        <v>55102830015.431999</v>
      </c>
      <c r="G23" s="15">
        <f t="shared" si="0"/>
        <v>5510283001.5431995</v>
      </c>
      <c r="H23" s="15">
        <f t="shared" si="0"/>
        <v>24796273506.944397</v>
      </c>
      <c r="I23" s="15">
        <f t="shared" si="0"/>
        <v>16530849004.629599</v>
      </c>
      <c r="J23" s="15">
        <f t="shared" si="0"/>
        <v>275514150077.15997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991850940.27777588</v>
      </c>
      <c r="C25" s="13">
        <f t="shared" ref="C25:I25" si="1">C23*C20</f>
        <v>303065565.084876</v>
      </c>
      <c r="D25" s="13">
        <f t="shared" si="1"/>
        <v>275514150.07716</v>
      </c>
      <c r="E25" s="13">
        <f>E23*E20</f>
        <v>115715943.03240719</v>
      </c>
      <c r="F25" s="13">
        <f t="shared" si="1"/>
        <v>385719810.108024</v>
      </c>
      <c r="G25" s="13">
        <f t="shared" si="1"/>
        <v>123981367.53472199</v>
      </c>
      <c r="H25" s="13">
        <f t="shared" si="1"/>
        <v>247962735.06944397</v>
      </c>
      <c r="I25" s="13">
        <f t="shared" si="1"/>
        <v>190104763.55324039</v>
      </c>
      <c r="J25" s="24">
        <f>SUM(B25:I25)</f>
        <v>2633915274.7376494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2633915274.7376494</v>
      </c>
    </row>
    <row r="28" spans="1:17" x14ac:dyDescent="0.25">
      <c r="I28" s="26"/>
      <c r="J28" s="26"/>
    </row>
    <row r="29" spans="1:17" x14ac:dyDescent="0.25">
      <c r="A29" s="26" t="s">
        <v>55</v>
      </c>
      <c r="B29" s="26"/>
      <c r="C29" s="26"/>
      <c r="I29" s="26" t="s">
        <v>38</v>
      </c>
      <c r="J29" s="25">
        <f>J25*5%</f>
        <v>131695763.73688248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2502219511.0007668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workbookViewId="0">
      <selection activeCell="F31" sqref="F31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51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37"/>
      <c r="B9" s="37"/>
      <c r="C9" s="37"/>
      <c r="D9" s="37"/>
      <c r="E9" s="37"/>
      <c r="F9" s="37"/>
      <c r="G9" s="37"/>
      <c r="H9" s="37"/>
      <c r="I9" s="37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7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49</v>
      </c>
      <c r="B22" s="5">
        <f>+J22*36%</f>
        <v>83688700750.059586</v>
      </c>
      <c r="C22" s="5">
        <f>+J22*11%</f>
        <v>25571547451.407097</v>
      </c>
      <c r="D22" s="5">
        <f>+J22*10%</f>
        <v>23246861319.460999</v>
      </c>
      <c r="E22" s="5">
        <f>+J22*6%</f>
        <v>13948116791.6766</v>
      </c>
      <c r="F22" s="5">
        <f>+J22*20%</f>
        <v>46493722638.921997</v>
      </c>
      <c r="G22" s="5">
        <f>+J22*2%</f>
        <v>4649372263.8921995</v>
      </c>
      <c r="H22" s="5">
        <f>+J22*9%</f>
        <v>20922175187.514896</v>
      </c>
      <c r="I22" s="5">
        <f>+J22*6%</f>
        <v>13948116791.6766</v>
      </c>
      <c r="J22" s="5">
        <f>+[2]ROMA!$B$60+[2]ROMA!$B$61</f>
        <v>232468613194.60999</v>
      </c>
    </row>
    <row r="23" spans="1:17" x14ac:dyDescent="0.25">
      <c r="A23" s="29" t="s">
        <v>5</v>
      </c>
      <c r="B23" s="15">
        <f t="shared" ref="B23:J23" si="0">SUM(B22:B22)</f>
        <v>83688700750.059586</v>
      </c>
      <c r="C23" s="15">
        <f t="shared" si="0"/>
        <v>25571547451.407097</v>
      </c>
      <c r="D23" s="15">
        <f t="shared" si="0"/>
        <v>23246861319.460999</v>
      </c>
      <c r="E23" s="15">
        <f t="shared" si="0"/>
        <v>13948116791.6766</v>
      </c>
      <c r="F23" s="15">
        <f t="shared" si="0"/>
        <v>46493722638.921997</v>
      </c>
      <c r="G23" s="15">
        <f t="shared" si="0"/>
        <v>4649372263.8921995</v>
      </c>
      <c r="H23" s="15">
        <f t="shared" si="0"/>
        <v>20922175187.514896</v>
      </c>
      <c r="I23" s="15">
        <f t="shared" si="0"/>
        <v>13948116791.6766</v>
      </c>
      <c r="J23" s="15">
        <f t="shared" si="0"/>
        <v>232468613194.60999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836887007.50059593</v>
      </c>
      <c r="C25" s="13">
        <f t="shared" ref="C25:I25" si="1">C23*C20</f>
        <v>255715474.51407099</v>
      </c>
      <c r="D25" s="13">
        <f t="shared" si="1"/>
        <v>232468613.19461</v>
      </c>
      <c r="E25" s="13">
        <f>E23*E20</f>
        <v>97636817.5417362</v>
      </c>
      <c r="F25" s="13">
        <f t="shared" si="1"/>
        <v>325456058.47245401</v>
      </c>
      <c r="G25" s="13">
        <f t="shared" si="1"/>
        <v>104610875.93757449</v>
      </c>
      <c r="H25" s="13">
        <f t="shared" si="1"/>
        <v>209221751.87514898</v>
      </c>
      <c r="I25" s="13">
        <f t="shared" si="1"/>
        <v>160403343.10428089</v>
      </c>
      <c r="J25" s="24">
        <f>SUM(B25:I25)</f>
        <v>2222399942.1404715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2222399942.1404715</v>
      </c>
    </row>
    <row r="28" spans="1:17" x14ac:dyDescent="0.25">
      <c r="I28" s="26"/>
      <c r="J28" s="26"/>
    </row>
    <row r="29" spans="1:17" x14ac:dyDescent="0.25">
      <c r="A29" s="26" t="s">
        <v>52</v>
      </c>
      <c r="B29" s="26"/>
      <c r="C29" s="26"/>
      <c r="I29" s="26" t="s">
        <v>38</v>
      </c>
      <c r="J29" s="25">
        <f>J25*5%</f>
        <v>111119997.10702358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2111279945.033448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B7" workbookViewId="0">
      <selection activeCell="F31" sqref="F31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50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36"/>
      <c r="B9" s="36"/>
      <c r="C9" s="36"/>
      <c r="D9" s="36"/>
      <c r="E9" s="36"/>
      <c r="F9" s="36"/>
      <c r="G9" s="36"/>
      <c r="H9" s="36"/>
      <c r="I9" s="36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6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49</v>
      </c>
      <c r="B22" s="5">
        <f>+J22*36%</f>
        <v>38027773784.862</v>
      </c>
      <c r="C22" s="5">
        <f>+J22*11%</f>
        <v>11619597545.3745</v>
      </c>
      <c r="D22" s="5">
        <f>+J22*10%</f>
        <v>10563270495.795</v>
      </c>
      <c r="E22" s="5">
        <f>+J22*6%</f>
        <v>6337962297.4769993</v>
      </c>
      <c r="F22" s="5">
        <f>+J22*20%</f>
        <v>21126540991.59</v>
      </c>
      <c r="G22" s="5">
        <f>+J22*2%</f>
        <v>2112654099.1589999</v>
      </c>
      <c r="H22" s="5">
        <f>+J22*9%</f>
        <v>9506943446.2154999</v>
      </c>
      <c r="I22" s="5">
        <f>+J22*6%</f>
        <v>6337962297.4769993</v>
      </c>
      <c r="J22" s="5">
        <f>+[2]ROMA!$B$60</f>
        <v>105632704957.95</v>
      </c>
    </row>
    <row r="23" spans="1:17" x14ac:dyDescent="0.25">
      <c r="A23" s="29" t="s">
        <v>5</v>
      </c>
      <c r="B23" s="15">
        <f t="shared" ref="B23:J23" si="0">SUM(B22:B22)</f>
        <v>38027773784.862</v>
      </c>
      <c r="C23" s="15">
        <f t="shared" si="0"/>
        <v>11619597545.3745</v>
      </c>
      <c r="D23" s="15">
        <f t="shared" si="0"/>
        <v>10563270495.795</v>
      </c>
      <c r="E23" s="15">
        <f t="shared" si="0"/>
        <v>6337962297.4769993</v>
      </c>
      <c r="F23" s="15">
        <f t="shared" si="0"/>
        <v>21126540991.59</v>
      </c>
      <c r="G23" s="15">
        <f t="shared" si="0"/>
        <v>2112654099.1589999</v>
      </c>
      <c r="H23" s="15">
        <f t="shared" si="0"/>
        <v>9506943446.2154999</v>
      </c>
      <c r="I23" s="15">
        <f t="shared" si="0"/>
        <v>6337962297.4769993</v>
      </c>
      <c r="J23" s="15">
        <f t="shared" si="0"/>
        <v>105632704957.95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380277737.84862</v>
      </c>
      <c r="C25" s="13">
        <f t="shared" ref="C25:I25" si="1">C23*C20</f>
        <v>116195975.45374501</v>
      </c>
      <c r="D25" s="13">
        <f t="shared" si="1"/>
        <v>105632704.95795</v>
      </c>
      <c r="E25" s="13">
        <f>E23*E20</f>
        <v>44365736.082338996</v>
      </c>
      <c r="F25" s="13">
        <f t="shared" si="1"/>
        <v>147885786.94113001</v>
      </c>
      <c r="G25" s="13">
        <f t="shared" si="1"/>
        <v>47534717.2310775</v>
      </c>
      <c r="H25" s="13">
        <f t="shared" si="1"/>
        <v>95069434.462154999</v>
      </c>
      <c r="I25" s="13">
        <f t="shared" si="1"/>
        <v>72886566.42098549</v>
      </c>
      <c r="J25" s="24">
        <f>SUM(B25:I25)</f>
        <v>1009848659.398002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1009848659.398002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50492432.969900101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959356226.4281019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A4" workbookViewId="0">
      <selection activeCell="H15" sqref="H15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47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35"/>
      <c r="B9" s="35"/>
      <c r="C9" s="35"/>
      <c r="D9" s="35"/>
      <c r="E9" s="35"/>
      <c r="F9" s="35"/>
      <c r="G9" s="35"/>
      <c r="H9" s="35"/>
      <c r="I9" s="35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5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48</v>
      </c>
      <c r="B22" s="5">
        <f>+J22*36%</f>
        <v>26692850859.713997</v>
      </c>
      <c r="C22" s="5">
        <f>+J22*11%</f>
        <v>8156148873.8014994</v>
      </c>
      <c r="D22" s="5">
        <f>+J22*10%</f>
        <v>7414680794.3649998</v>
      </c>
      <c r="E22" s="5">
        <f>+J22*6%</f>
        <v>4448808476.6189995</v>
      </c>
      <c r="F22" s="5">
        <f>+J22*20%</f>
        <v>14829361588.73</v>
      </c>
      <c r="G22" s="5">
        <f>+J22*2%</f>
        <v>1482936158.8729999</v>
      </c>
      <c r="H22" s="5">
        <f>+J22*9%</f>
        <v>6673212714.9284992</v>
      </c>
      <c r="I22" s="5">
        <f>+J22*6%</f>
        <v>4448808476.6189995</v>
      </c>
      <c r="J22" s="5">
        <f>+[2]ROMA!$B$58</f>
        <v>74146807943.649994</v>
      </c>
    </row>
    <row r="23" spans="1:17" x14ac:dyDescent="0.25">
      <c r="A23" s="29" t="s">
        <v>5</v>
      </c>
      <c r="B23" s="15">
        <f t="shared" ref="B23:J23" si="0">SUM(B22:B22)</f>
        <v>26692850859.713997</v>
      </c>
      <c r="C23" s="15">
        <f t="shared" si="0"/>
        <v>8156148873.8014994</v>
      </c>
      <c r="D23" s="15">
        <f t="shared" si="0"/>
        <v>7414680794.3649998</v>
      </c>
      <c r="E23" s="15">
        <f t="shared" si="0"/>
        <v>4448808476.6189995</v>
      </c>
      <c r="F23" s="15">
        <f t="shared" si="0"/>
        <v>14829361588.73</v>
      </c>
      <c r="G23" s="15">
        <f t="shared" si="0"/>
        <v>1482936158.8729999</v>
      </c>
      <c r="H23" s="15">
        <f t="shared" si="0"/>
        <v>6673212714.9284992</v>
      </c>
      <c r="I23" s="15">
        <f t="shared" si="0"/>
        <v>4448808476.6189995</v>
      </c>
      <c r="J23" s="15">
        <f t="shared" si="0"/>
        <v>74146807943.649994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266928508.59713998</v>
      </c>
      <c r="C25" s="13">
        <f t="shared" ref="C25:I25" si="1">C23*C20</f>
        <v>81561488.738014996</v>
      </c>
      <c r="D25" s="13">
        <f t="shared" si="1"/>
        <v>74146807.943649992</v>
      </c>
      <c r="E25" s="13">
        <f>E23*E20</f>
        <v>31141659.336332995</v>
      </c>
      <c r="F25" s="13">
        <f t="shared" si="1"/>
        <v>103805531.12110999</v>
      </c>
      <c r="G25" s="13">
        <f t="shared" si="1"/>
        <v>33366063.574642498</v>
      </c>
      <c r="H25" s="13">
        <f t="shared" si="1"/>
        <v>66732127.149284996</v>
      </c>
      <c r="I25" s="13">
        <f t="shared" si="1"/>
        <v>51161297.481118493</v>
      </c>
      <c r="J25" s="24">
        <f>SUM(B25:I25)</f>
        <v>708843483.94129395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708843483.94129395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35442174.197064698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673401309.74422932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A7" workbookViewId="0">
      <selection activeCell="C14" sqref="C14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45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33"/>
      <c r="B9" s="33"/>
      <c r="C9" s="33"/>
      <c r="D9" s="33"/>
      <c r="E9" s="33"/>
      <c r="F9" s="33"/>
      <c r="G9" s="33"/>
      <c r="H9" s="33"/>
      <c r="I9" s="33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3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46</v>
      </c>
      <c r="B22" s="5">
        <f>+J22*36%</f>
        <v>19043724663.18</v>
      </c>
      <c r="C22" s="5">
        <f>+J22*11%</f>
        <v>5818915869.3050003</v>
      </c>
      <c r="D22" s="5">
        <f>+J22*10%</f>
        <v>5289923517.5500002</v>
      </c>
      <c r="E22" s="5">
        <f>+J22*6%</f>
        <v>3173954110.5299997</v>
      </c>
      <c r="F22" s="5">
        <f>+J22*20%</f>
        <v>10579847035.1</v>
      </c>
      <c r="G22" s="5">
        <f>+J22*2%</f>
        <v>1057984703.51</v>
      </c>
      <c r="H22" s="5">
        <f>+J22*9%</f>
        <v>4760931165.7950001</v>
      </c>
      <c r="I22" s="5">
        <f>+J22*6%</f>
        <v>3173954110.5299997</v>
      </c>
      <c r="J22" s="5">
        <f>+[2]ROMA!$B$56</f>
        <v>52899235175.5</v>
      </c>
    </row>
    <row r="23" spans="1:17" x14ac:dyDescent="0.25">
      <c r="A23" s="29" t="s">
        <v>5</v>
      </c>
      <c r="B23" s="15">
        <f t="shared" ref="B23:J23" si="0">SUM(B22:B22)</f>
        <v>19043724663.18</v>
      </c>
      <c r="C23" s="15">
        <f t="shared" si="0"/>
        <v>5818915869.3050003</v>
      </c>
      <c r="D23" s="15">
        <f t="shared" si="0"/>
        <v>5289923517.5500002</v>
      </c>
      <c r="E23" s="15">
        <f t="shared" si="0"/>
        <v>3173954110.5299997</v>
      </c>
      <c r="F23" s="15">
        <f t="shared" si="0"/>
        <v>10579847035.1</v>
      </c>
      <c r="G23" s="15">
        <f t="shared" si="0"/>
        <v>1057984703.51</v>
      </c>
      <c r="H23" s="15">
        <f t="shared" si="0"/>
        <v>4760931165.7950001</v>
      </c>
      <c r="I23" s="15">
        <f t="shared" si="0"/>
        <v>3173954110.5299997</v>
      </c>
      <c r="J23" s="15">
        <f t="shared" si="0"/>
        <v>52899235175.5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190437246.6318</v>
      </c>
      <c r="C25" s="13">
        <f t="shared" ref="C25:I25" si="1">C23*C20</f>
        <v>58189158.693050005</v>
      </c>
      <c r="D25" s="13">
        <f t="shared" si="1"/>
        <v>52899235.175500005</v>
      </c>
      <c r="E25" s="13">
        <f>E23*E20</f>
        <v>22217678.773709998</v>
      </c>
      <c r="F25" s="13">
        <f t="shared" si="1"/>
        <v>74058929.245700002</v>
      </c>
      <c r="G25" s="13">
        <f t="shared" si="1"/>
        <v>23804655.828974999</v>
      </c>
      <c r="H25" s="13">
        <f t="shared" si="1"/>
        <v>47609311.657949999</v>
      </c>
      <c r="I25" s="13">
        <f t="shared" si="1"/>
        <v>36500472.271094993</v>
      </c>
      <c r="J25" s="24">
        <f>SUM(B25:I25)</f>
        <v>505716688.27778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505716688.27778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25285834.413889002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480430853.86389101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5"/>
  <sheetViews>
    <sheetView topLeftCell="D7" workbookViewId="0">
      <selection activeCell="I22" sqref="I22"/>
    </sheetView>
  </sheetViews>
  <sheetFormatPr baseColWidth="10" defaultRowHeight="15" x14ac:dyDescent="0.25"/>
  <cols>
    <col min="1" max="1" width="10.28515625" customWidth="1"/>
    <col min="2" max="2" width="17.85546875" customWidth="1"/>
    <col min="3" max="10" width="17.5703125" customWidth="1"/>
    <col min="11" max="11" width="17.28515625" customWidth="1"/>
    <col min="12" max="12" width="9.7109375" customWidth="1"/>
    <col min="14" max="14" width="10.7109375" customWidth="1"/>
    <col min="15" max="15" width="10.5703125" customWidth="1"/>
    <col min="16" max="16" width="10.7109375" customWidth="1"/>
    <col min="17" max="17" width="10.5703125" customWidth="1"/>
  </cols>
  <sheetData>
    <row r="5" spans="1:17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  <c r="J5" s="44"/>
      <c r="K5" s="10"/>
      <c r="L5" s="10"/>
      <c r="M5" s="10"/>
      <c r="N5" s="10"/>
      <c r="O5" s="10"/>
      <c r="P5" s="10"/>
      <c r="Q5" s="10"/>
    </row>
    <row r="6" spans="1:17" ht="15.75" x14ac:dyDescent="0.25">
      <c r="A6" s="44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10"/>
      <c r="L6" s="10"/>
      <c r="M6" s="10"/>
      <c r="N6" s="10"/>
      <c r="O6" s="10"/>
      <c r="P6" s="10"/>
      <c r="Q6" s="10"/>
    </row>
    <row r="7" spans="1:17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44"/>
      <c r="K7" s="10"/>
      <c r="L7" s="10"/>
      <c r="M7" s="10"/>
      <c r="N7" s="10"/>
      <c r="O7" s="10"/>
      <c r="P7" s="10"/>
      <c r="Q7" s="10"/>
    </row>
    <row r="8" spans="1:17" ht="15.75" x14ac:dyDescent="0.25">
      <c r="A8" s="44" t="s">
        <v>43</v>
      </c>
      <c r="B8" s="44"/>
      <c r="C8" s="44"/>
      <c r="D8" s="44"/>
      <c r="E8" s="44"/>
      <c r="F8" s="44"/>
      <c r="G8" s="44"/>
      <c r="H8" s="44"/>
      <c r="I8" s="44"/>
      <c r="J8" s="44"/>
      <c r="K8" s="10"/>
      <c r="L8" s="10"/>
      <c r="M8" s="10"/>
      <c r="N8" s="10"/>
      <c r="O8" s="10"/>
      <c r="P8" s="10"/>
      <c r="Q8" s="10"/>
    </row>
    <row r="9" spans="1:17" ht="15.75" x14ac:dyDescent="0.25">
      <c r="A9" s="32"/>
      <c r="B9" s="32"/>
      <c r="C9" s="32"/>
      <c r="D9" s="32"/>
      <c r="E9" s="32"/>
      <c r="F9" s="32"/>
      <c r="G9" s="32"/>
      <c r="H9" s="32"/>
      <c r="I9" s="32"/>
      <c r="J9" s="10"/>
      <c r="K9" s="10"/>
      <c r="L9" s="10"/>
      <c r="M9" s="10"/>
      <c r="N9" s="10"/>
      <c r="O9" s="10"/>
      <c r="P9" s="10"/>
      <c r="Q9" s="10"/>
    </row>
    <row r="10" spans="1:17" ht="15.75" x14ac:dyDescent="0.25">
      <c r="A10" s="32" t="s">
        <v>2</v>
      </c>
      <c r="B10" s="44" t="s">
        <v>3</v>
      </c>
      <c r="C10" s="44"/>
      <c r="D10" s="45" t="s">
        <v>15</v>
      </c>
      <c r="E10" s="4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7" s="8" customFormat="1" x14ac:dyDescent="0.25">
      <c r="A11" s="7" t="s">
        <v>26</v>
      </c>
      <c r="B11" s="11" t="s">
        <v>8</v>
      </c>
      <c r="C11" s="11"/>
      <c r="D11" s="11"/>
      <c r="E11" s="11"/>
      <c r="F11" s="30">
        <f>9919569048.47+2725102227.5+9152987561.87</f>
        <v>21797658837.84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6" t="s">
        <v>27</v>
      </c>
      <c r="B12" s="3" t="s">
        <v>9</v>
      </c>
      <c r="C12" s="3"/>
      <c r="D12" s="3"/>
      <c r="E12" s="3"/>
      <c r="F12" s="31">
        <f>487493600+326722510+71957200+996713790+12651400+50364000</f>
        <v>1945902500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6" t="s">
        <v>36</v>
      </c>
      <c r="B13" s="3" t="s">
        <v>10</v>
      </c>
      <c r="C13" s="3"/>
      <c r="D13" s="3"/>
      <c r="E13" s="3"/>
      <c r="F13" s="31">
        <v>6643058155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6" t="s">
        <v>28</v>
      </c>
      <c r="B14" s="3" t="s">
        <v>11</v>
      </c>
      <c r="C14" s="3"/>
      <c r="D14" s="3"/>
      <c r="E14" s="3"/>
      <c r="F14" s="31">
        <v>903167390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6" t="s">
        <v>29</v>
      </c>
      <c r="B15" s="3" t="s">
        <v>12</v>
      </c>
      <c r="C15" s="3"/>
      <c r="D15" s="3"/>
      <c r="E15" s="3"/>
      <c r="F15" s="31">
        <v>12265893025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6" t="s">
        <v>30</v>
      </c>
      <c r="B16" s="3" t="s">
        <v>40</v>
      </c>
      <c r="C16" s="3"/>
      <c r="D16" s="3"/>
      <c r="E16" s="3"/>
      <c r="F16" s="31">
        <f>313223370+9953490+267341560</f>
        <v>590518420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6" t="s">
        <v>32</v>
      </c>
      <c r="B17" s="3" t="s">
        <v>33</v>
      </c>
      <c r="C17" s="3"/>
      <c r="D17" s="3"/>
      <c r="E17" s="3"/>
      <c r="F17" s="31">
        <v>915841335.75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6" t="s">
        <v>34</v>
      </c>
      <c r="B18" s="3" t="s">
        <v>35</v>
      </c>
      <c r="C18" s="3"/>
      <c r="D18" s="3"/>
      <c r="E18" s="3"/>
      <c r="F18" s="31">
        <v>3438551336.5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1"/>
      <c r="B20" s="20">
        <v>0.01</v>
      </c>
      <c r="C20" s="20">
        <v>0.01</v>
      </c>
      <c r="D20" s="20">
        <v>0.01</v>
      </c>
      <c r="E20" s="21">
        <v>7.0000000000000001E-3</v>
      </c>
      <c r="F20" s="21">
        <v>7.0000000000000001E-3</v>
      </c>
      <c r="G20" s="21">
        <v>2.2499999999999999E-2</v>
      </c>
      <c r="H20" s="21">
        <v>0.01</v>
      </c>
      <c r="I20" s="21">
        <v>1.15E-2</v>
      </c>
      <c r="J20" s="1"/>
      <c r="K20" s="1"/>
      <c r="L20" s="1"/>
      <c r="M20" s="1"/>
      <c r="N20" s="1"/>
      <c r="O20" s="1"/>
      <c r="P20" s="1"/>
    </row>
    <row r="21" spans="1:17" ht="15.75" x14ac:dyDescent="0.25">
      <c r="A21" s="2" t="s">
        <v>4</v>
      </c>
      <c r="B21" s="2" t="s">
        <v>26</v>
      </c>
      <c r="C21" s="2" t="s">
        <v>27</v>
      </c>
      <c r="D21" s="2" t="s">
        <v>36</v>
      </c>
      <c r="E21" s="2" t="s">
        <v>28</v>
      </c>
      <c r="F21" s="2" t="s">
        <v>29</v>
      </c>
      <c r="G21" s="2" t="s">
        <v>30</v>
      </c>
      <c r="H21" s="2" t="s">
        <v>32</v>
      </c>
      <c r="I21" s="2" t="s">
        <v>34</v>
      </c>
      <c r="J21" s="2" t="s">
        <v>6</v>
      </c>
      <c r="K21" s="9"/>
      <c r="L21" s="9"/>
      <c r="M21" s="9"/>
      <c r="N21" s="9"/>
      <c r="O21" s="9"/>
      <c r="P21" s="9"/>
      <c r="Q21" s="9"/>
    </row>
    <row r="22" spans="1:17" x14ac:dyDescent="0.25">
      <c r="A22" s="4" t="s">
        <v>44</v>
      </c>
      <c r="B22" s="5">
        <f>+J22*37%</f>
        <v>27832424961.0019</v>
      </c>
      <c r="C22" s="5">
        <f>+J22*11%</f>
        <v>8274504718.1356993</v>
      </c>
      <c r="D22" s="5">
        <f>+J22*10%</f>
        <v>7522277016.4869995</v>
      </c>
      <c r="E22" s="5">
        <f>+J22*5%</f>
        <v>3761138508.2434998</v>
      </c>
      <c r="F22" s="5">
        <f>+J22*20%</f>
        <v>15044554032.973999</v>
      </c>
      <c r="G22" s="5">
        <f>+J22*2%</f>
        <v>1504455403.2974</v>
      </c>
      <c r="H22" s="5">
        <f>+J22*9%</f>
        <v>6770049314.8382998</v>
      </c>
      <c r="I22" s="5">
        <f>+J22*6%</f>
        <v>4513366209.8921995</v>
      </c>
      <c r="J22" s="5">
        <f>+[3]ROMA!$B$54</f>
        <v>75222770164.869995</v>
      </c>
    </row>
    <row r="23" spans="1:17" x14ac:dyDescent="0.25">
      <c r="A23" s="29" t="s">
        <v>5</v>
      </c>
      <c r="B23" s="15">
        <f t="shared" ref="B23:J23" si="0">SUM(B22:B22)</f>
        <v>27832424961.0019</v>
      </c>
      <c r="C23" s="15">
        <f t="shared" si="0"/>
        <v>8274504718.1356993</v>
      </c>
      <c r="D23" s="15">
        <f t="shared" si="0"/>
        <v>7522277016.4869995</v>
      </c>
      <c r="E23" s="15">
        <f t="shared" si="0"/>
        <v>3761138508.2434998</v>
      </c>
      <c r="F23" s="15">
        <f t="shared" si="0"/>
        <v>15044554032.973999</v>
      </c>
      <c r="G23" s="15">
        <f t="shared" si="0"/>
        <v>1504455403.2974</v>
      </c>
      <c r="H23" s="15">
        <f t="shared" si="0"/>
        <v>6770049314.8382998</v>
      </c>
      <c r="I23" s="15">
        <f t="shared" si="0"/>
        <v>4513366209.8921995</v>
      </c>
      <c r="J23" s="15">
        <f t="shared" si="0"/>
        <v>75222770164.869995</v>
      </c>
    </row>
    <row r="24" spans="1:17" s="8" customFormat="1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</row>
    <row r="25" spans="1:17" x14ac:dyDescent="0.25">
      <c r="B25" s="13">
        <f>B23*B20</f>
        <v>278324249.61001903</v>
      </c>
      <c r="C25" s="13">
        <f t="shared" ref="C25:I25" si="1">C23*C20</f>
        <v>82745047.181356996</v>
      </c>
      <c r="D25" s="13">
        <f t="shared" si="1"/>
        <v>75222770.164869994</v>
      </c>
      <c r="E25" s="13">
        <f t="shared" si="1"/>
        <v>26327969.557704497</v>
      </c>
      <c r="F25" s="13">
        <f t="shared" si="1"/>
        <v>105311878.23081799</v>
      </c>
      <c r="G25" s="13">
        <f t="shared" si="1"/>
        <v>33850246.574191496</v>
      </c>
      <c r="H25" s="13">
        <f t="shared" si="1"/>
        <v>67700493.148382992</v>
      </c>
      <c r="I25" s="13">
        <f t="shared" si="1"/>
        <v>51903711.413760297</v>
      </c>
      <c r="J25" s="24">
        <f>SUM(B25:I25)</f>
        <v>721386365.88110328</v>
      </c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1:17" x14ac:dyDescent="0.25">
      <c r="B27" s="13"/>
      <c r="C27" s="13"/>
      <c r="D27" s="13"/>
      <c r="E27" s="13"/>
      <c r="F27" s="13"/>
      <c r="G27" s="13"/>
      <c r="H27" s="13"/>
      <c r="I27" s="25" t="s">
        <v>39</v>
      </c>
      <c r="J27" s="25">
        <f>+J25</f>
        <v>721386365.88110328</v>
      </c>
    </row>
    <row r="28" spans="1:17" x14ac:dyDescent="0.25">
      <c r="I28" s="26"/>
      <c r="J28" s="26"/>
    </row>
    <row r="29" spans="1:17" x14ac:dyDescent="0.25">
      <c r="I29" s="26" t="s">
        <v>38</v>
      </c>
      <c r="J29" s="25">
        <f>J25*5%</f>
        <v>36069318.294055164</v>
      </c>
    </row>
    <row r="30" spans="1:17" x14ac:dyDescent="0.25">
      <c r="D30" s="13"/>
      <c r="I30" s="26"/>
      <c r="J30" s="25"/>
    </row>
    <row r="31" spans="1:17" x14ac:dyDescent="0.25">
      <c r="D31" s="13"/>
      <c r="I31" s="26" t="s">
        <v>21</v>
      </c>
      <c r="J31" s="25">
        <f>J25-J29</f>
        <v>685317047.58704805</v>
      </c>
    </row>
    <row r="32" spans="1:17" x14ac:dyDescent="0.25">
      <c r="D32" s="13"/>
      <c r="F32" s="12"/>
      <c r="G32" s="12"/>
      <c r="H32" s="12"/>
      <c r="I32" s="12"/>
      <c r="J32" s="13"/>
    </row>
    <row r="33" spans="4:10" x14ac:dyDescent="0.25">
      <c r="D33" s="13"/>
      <c r="J33" s="13"/>
    </row>
    <row r="34" spans="4:10" x14ac:dyDescent="0.25">
      <c r="D34" s="13"/>
      <c r="J34" s="13"/>
    </row>
    <row r="35" spans="4:10" x14ac:dyDescent="0.25">
      <c r="D35" s="13"/>
    </row>
  </sheetData>
  <mergeCells count="6">
    <mergeCell ref="A5:J5"/>
    <mergeCell ref="A6:J6"/>
    <mergeCell ref="A7:J7"/>
    <mergeCell ref="A8:J8"/>
    <mergeCell ref="B10:C10"/>
    <mergeCell ref="D10:E10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RELACION DE ING MES 11-2021 </vt:lpstr>
      <vt:lpstr>RELACION DE ING MES 10-2021 </vt:lpstr>
      <vt:lpstr>RELACION DE ING MES 09-2021</vt:lpstr>
      <vt:lpstr>RELACION DE ING MES 08-2021 </vt:lpstr>
      <vt:lpstr>RELACION DE ING MES 07-2021 </vt:lpstr>
      <vt:lpstr>RELACION DE ING MES 06-2021 </vt:lpstr>
      <vt:lpstr>RELACION DE ING MES 05-2021 </vt:lpstr>
      <vt:lpstr>RELACION DE ING MES 04-2021</vt:lpstr>
      <vt:lpstr>RELACION DE ING MES 03-2021</vt:lpstr>
      <vt:lpstr>RELACION DE ING MES 02-2021 </vt:lpstr>
      <vt:lpstr>RELACION DE ING MES 01-2021</vt:lpstr>
      <vt:lpstr>RELACION DE ING MES 12-2020</vt:lpstr>
      <vt:lpstr>RELACION DE ING MES 11-2020</vt:lpstr>
      <vt:lpstr>RELACION DE ING MES 10-2020</vt:lpstr>
      <vt:lpstr>RELACION DE ING MES 09-2020</vt:lpstr>
    </vt:vector>
  </TitlesOfParts>
  <Company>Diario Avance de Los Teques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Contabilidad</cp:lastModifiedBy>
  <cp:lastPrinted>2021-12-03T18:23:09Z</cp:lastPrinted>
  <dcterms:created xsi:type="dcterms:W3CDTF">2012-02-09T13:07:09Z</dcterms:created>
  <dcterms:modified xsi:type="dcterms:W3CDTF">2021-12-03T18:23:27Z</dcterms:modified>
</cp:coreProperties>
</file>